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055" yWindow="315" windowWidth="24345" windowHeight="12870"/>
  </bookViews>
  <sheets>
    <sheet name="1 KOONDEELARVE" sheetId="5" r:id="rId1"/>
    <sheet name="2 TULUDE KOOND" sheetId="6" r:id="rId2"/>
    <sheet name="2.1 LK TULUD" sheetId="7" r:id="rId3"/>
    <sheet name="Sheet2" sheetId="15" state="hidden" r:id="rId4"/>
    <sheet name="2.2 OMATULUD" sheetId="4" r:id="rId5"/>
    <sheet name="2.3 TOETUSED" sheetId="12" r:id="rId6"/>
    <sheet name="3 KULUD" sheetId="8" r:id="rId7"/>
    <sheet name="4 INVEST" sheetId="16" r:id="rId8"/>
    <sheet name="5 FIN.TEH" sheetId="11" r:id="rId9"/>
    <sheet name="6 RAHAKÄIVE" sheetId="10" r:id="rId10"/>
    <sheet name="7 LIIGENDUS" sheetId="13" r:id="rId11"/>
  </sheets>
  <definedNames>
    <definedName name="_xlnm._FilterDatabase" localSheetId="0" hidden="1">'1 KOONDEELARVE'!$A$13:$A$61</definedName>
    <definedName name="_xlnm._FilterDatabase" localSheetId="5" hidden="1">'2.3 TOETUSED'!$A$5:$B$14</definedName>
    <definedName name="_xlnm._FilterDatabase" localSheetId="6" hidden="1">'3 KULUD'!$A$10:$B$721</definedName>
    <definedName name="OLE_LINK1" localSheetId="6">'3 KULUD'!#REF!</definedName>
    <definedName name="_xlnm.Print_Titles" localSheetId="0">'1 KOONDEELARVE'!$10:$10</definedName>
    <definedName name="_xlnm.Print_Titles" localSheetId="1">'2 TULUDE KOOND'!$11:$11</definedName>
    <definedName name="_xlnm.Print_Titles" localSheetId="7">'4 INVEST'!$9:$9</definedName>
  </definedNames>
  <calcPr calcId="145621"/>
</workbook>
</file>

<file path=xl/calcChain.xml><?xml version="1.0" encoding="utf-8"?>
<calcChain xmlns="http://schemas.openxmlformats.org/spreadsheetml/2006/main">
  <c r="B21" i="13" l="1"/>
  <c r="B20" i="13"/>
  <c r="B698" i="8"/>
  <c r="B724" i="8"/>
  <c r="B22" i="13"/>
  <c r="D91" i="16" l="1"/>
  <c r="C91" i="16"/>
  <c r="D67" i="16"/>
  <c r="C67" i="16"/>
  <c r="C63" i="16"/>
  <c r="D63" i="16"/>
  <c r="C37" i="16"/>
  <c r="D37" i="16"/>
  <c r="B717" i="8" l="1"/>
  <c r="B489" i="8"/>
  <c r="B337" i="8"/>
  <c r="B326" i="8"/>
  <c r="B280" i="8"/>
  <c r="B304" i="8"/>
  <c r="B720" i="8"/>
  <c r="B718" i="8"/>
  <c r="B494" i="8"/>
  <c r="B329" i="8"/>
  <c r="B328" i="8"/>
  <c r="B333" i="8"/>
  <c r="B332" i="8" s="1"/>
  <c r="B46" i="8"/>
  <c r="B39" i="8"/>
  <c r="B22" i="12" l="1"/>
  <c r="B429" i="4"/>
  <c r="B215" i="4"/>
  <c r="B214" i="4" s="1"/>
  <c r="B690" i="8" l="1"/>
  <c r="B6" i="12" l="1"/>
  <c r="C61" i="16" l="1"/>
  <c r="B249" i="8" l="1"/>
  <c r="C89" i="16"/>
  <c r="C88" i="16" s="1"/>
  <c r="C85" i="16" l="1"/>
  <c r="C48" i="16" l="1"/>
  <c r="C47" i="16"/>
  <c r="C46" i="16"/>
  <c r="C45" i="16" s="1"/>
  <c r="C107" i="16"/>
  <c r="C106" i="16" s="1"/>
  <c r="C101" i="16"/>
  <c r="C100" i="16"/>
  <c r="C99" i="16"/>
  <c r="C98" i="16" s="1"/>
  <c r="C92" i="16"/>
  <c r="C90" i="16" l="1"/>
  <c r="B42" i="13"/>
  <c r="B35" i="13"/>
  <c r="B30" i="13" l="1"/>
  <c r="C84" i="16" l="1"/>
  <c r="C82" i="16"/>
  <c r="C77" i="16"/>
  <c r="C76" i="16"/>
  <c r="C69" i="16" s="1"/>
  <c r="C57" i="16" s="1"/>
  <c r="C23" i="16" s="1"/>
  <c r="C16" i="16" s="1"/>
  <c r="C74" i="16"/>
  <c r="C73" i="16" s="1"/>
  <c r="C72" i="16"/>
  <c r="C68" i="16" s="1"/>
  <c r="C56" i="16" s="1"/>
  <c r="C22" i="16" s="1"/>
  <c r="C15" i="16" s="1"/>
  <c r="C71" i="16"/>
  <c r="C34" i="16"/>
  <c r="C55" i="16"/>
  <c r="C21" i="16" s="1"/>
  <c r="C14" i="16" s="1"/>
  <c r="D55" i="16"/>
  <c r="C59" i="16"/>
  <c r="C60" i="16"/>
  <c r="C42" i="16"/>
  <c r="C39" i="16"/>
  <c r="C36" i="16"/>
  <c r="C33" i="16"/>
  <c r="C32" i="16"/>
  <c r="C29" i="16" s="1"/>
  <c r="C24" i="16" s="1"/>
  <c r="C17" i="16" s="1"/>
  <c r="C70" i="16" l="1"/>
  <c r="C58" i="16"/>
  <c r="C66" i="16"/>
  <c r="C31" i="16"/>
  <c r="C54" i="16" l="1"/>
  <c r="C30" i="16"/>
  <c r="C28" i="16"/>
  <c r="C27" i="16" s="1"/>
  <c r="C53" i="16" l="1"/>
  <c r="C20" i="16"/>
  <c r="C54" i="5"/>
  <c r="C13" i="16" l="1"/>
  <c r="C12" i="16" s="1"/>
  <c r="C19" i="16"/>
  <c r="B143" i="8"/>
  <c r="B295" i="4" l="1"/>
  <c r="D88" i="16" l="1"/>
  <c r="D21" i="16" s="1"/>
  <c r="D14" i="16" s="1"/>
  <c r="D116" i="16" s="1"/>
  <c r="B248" i="8" l="1"/>
  <c r="D69" i="5" l="1"/>
  <c r="D68" i="5"/>
  <c r="D66" i="5"/>
  <c r="D64" i="5"/>
  <c r="D63" i="5"/>
  <c r="D61" i="5"/>
  <c r="D60" i="5"/>
  <c r="D59" i="5"/>
  <c r="D57" i="5"/>
  <c r="D55" i="5"/>
  <c r="D54" i="5"/>
  <c r="D53" i="5"/>
  <c r="D52" i="5"/>
  <c r="C58" i="5"/>
  <c r="D58" i="5" s="1"/>
  <c r="C67" i="5"/>
  <c r="B41" i="13" s="1"/>
  <c r="D67" i="5" l="1"/>
  <c r="D85" i="16" l="1"/>
  <c r="B491" i="8" l="1"/>
  <c r="B419" i="8"/>
  <c r="B133" i="8" l="1"/>
  <c r="B238" i="8"/>
  <c r="B237" i="8" s="1"/>
  <c r="B427" i="4" l="1"/>
  <c r="B421" i="8" l="1"/>
  <c r="B408" i="8"/>
  <c r="B155" i="8"/>
  <c r="B160" i="8"/>
  <c r="B97" i="8"/>
  <c r="B431" i="8"/>
  <c r="B433" i="8" s="1"/>
  <c r="B432" i="8" s="1"/>
  <c r="B14" i="8"/>
  <c r="B16" i="8" s="1"/>
  <c r="B15" i="8" s="1"/>
  <c r="B700" i="8"/>
  <c r="B664" i="8"/>
  <c r="B639" i="8"/>
  <c r="B637" i="8" s="1"/>
  <c r="B597" i="8"/>
  <c r="B575" i="8"/>
  <c r="B535" i="8"/>
  <c r="B446" i="8"/>
  <c r="B29" i="7" l="1"/>
  <c r="D70" i="16" l="1"/>
  <c r="D111" i="16"/>
  <c r="D110" i="16" s="1"/>
  <c r="D108" i="16"/>
  <c r="D107" i="16" s="1"/>
  <c r="D106" i="16" s="1"/>
  <c r="B31" i="13" s="1"/>
  <c r="D102" i="16"/>
  <c r="D99" i="16" s="1"/>
  <c r="D92" i="16"/>
  <c r="D56" i="16" s="1"/>
  <c r="D84" i="16"/>
  <c r="D77" i="16"/>
  <c r="D73" i="16"/>
  <c r="D69" i="16"/>
  <c r="D57" i="16" s="1"/>
  <c r="D23" i="16" s="1"/>
  <c r="D16" i="16" s="1"/>
  <c r="D118" i="16" s="1"/>
  <c r="D59" i="16"/>
  <c r="D48" i="16"/>
  <c r="D47" i="16"/>
  <c r="D46" i="16"/>
  <c r="D42" i="16"/>
  <c r="D39" i="16"/>
  <c r="D36" i="16"/>
  <c r="D33" i="16"/>
  <c r="D32" i="16"/>
  <c r="D31" i="16"/>
  <c r="D66" i="16" l="1"/>
  <c r="D28" i="16"/>
  <c r="D29" i="16"/>
  <c r="D24" i="16" s="1"/>
  <c r="D17" i="16" s="1"/>
  <c r="D119" i="16" s="1"/>
  <c r="D45" i="16"/>
  <c r="D101" i="16"/>
  <c r="D22" i="16"/>
  <c r="D15" i="16" s="1"/>
  <c r="D117" i="16" s="1"/>
  <c r="D30" i="16"/>
  <c r="D90" i="16"/>
  <c r="D58" i="16"/>
  <c r="D54" i="16" l="1"/>
  <c r="D53" i="16" s="1"/>
  <c r="D27" i="16"/>
  <c r="D20" i="16" l="1"/>
  <c r="D19" i="16" s="1"/>
  <c r="C34" i="5" l="1"/>
  <c r="D13" i="16"/>
  <c r="D12" i="16" s="1"/>
  <c r="D115" i="16" l="1"/>
  <c r="D114" i="16" s="1"/>
  <c r="C48" i="5"/>
  <c r="B283" i="8" l="1"/>
  <c r="B360" i="8"/>
  <c r="B359" i="8" s="1"/>
  <c r="B376" i="8"/>
  <c r="B296" i="8"/>
  <c r="B288" i="8"/>
  <c r="B251" i="8"/>
  <c r="B246" i="8" s="1"/>
  <c r="B216" i="8"/>
  <c r="B208" i="8"/>
  <c r="B186" i="8"/>
  <c r="B658" i="8"/>
  <c r="B287" i="8"/>
  <c r="B271" i="8"/>
  <c r="B266" i="8" s="1"/>
  <c r="B243" i="8"/>
  <c r="B201" i="8"/>
  <c r="B662" i="8"/>
  <c r="B630" i="8"/>
  <c r="B309" i="8"/>
  <c r="B187" i="8"/>
  <c r="B330" i="8" l="1"/>
  <c r="B327" i="8"/>
  <c r="B235" i="8"/>
  <c r="B228" i="8" s="1"/>
  <c r="B286" i="8"/>
  <c r="B719" i="8" l="1"/>
  <c r="B689" i="8"/>
  <c r="B685" i="8"/>
  <c r="B657" i="8"/>
  <c r="B654" i="8"/>
  <c r="B626" i="8"/>
  <c r="B624" i="8" s="1"/>
  <c r="B620" i="8"/>
  <c r="B619" i="8" s="1"/>
  <c r="B616" i="8"/>
  <c r="B594" i="8"/>
  <c r="B589" i="8" s="1"/>
  <c r="B572" i="8"/>
  <c r="B568" i="8"/>
  <c r="B566" i="8" s="1"/>
  <c r="B562" i="8"/>
  <c r="B561" i="8" s="1"/>
  <c r="B556" i="8"/>
  <c r="B555" i="8" s="1"/>
  <c r="B552" i="8"/>
  <c r="B533" i="8"/>
  <c r="B526" i="8"/>
  <c r="B525" i="8" s="1"/>
  <c r="B521" i="8"/>
  <c r="B520" i="8" s="1"/>
  <c r="B486" i="8"/>
  <c r="B474" i="8"/>
  <c r="B473" i="8" s="1"/>
  <c r="B471" i="8"/>
  <c r="B469" i="8" s="1"/>
  <c r="B468" i="8" s="1"/>
  <c r="B464" i="8"/>
  <c r="B441" i="8"/>
  <c r="B404" i="8"/>
  <c r="B397" i="8"/>
  <c r="B392" i="8"/>
  <c r="B371" i="8"/>
  <c r="B370" i="8"/>
  <c r="B369" i="8" s="1"/>
  <c r="B354" i="8" s="1"/>
  <c r="B261" i="8"/>
  <c r="B217" i="8"/>
  <c r="B174" i="8"/>
  <c r="B169" i="8"/>
  <c r="B163" i="8"/>
  <c r="B152" i="8"/>
  <c r="B151" i="8" s="1"/>
  <c r="B134" i="8"/>
  <c r="B127" i="8"/>
  <c r="B120" i="8" s="1"/>
  <c r="B126" i="8"/>
  <c r="B123" i="8"/>
  <c r="B100" i="8"/>
  <c r="B93" i="8"/>
  <c r="B91" i="8"/>
  <c r="B71" i="8"/>
  <c r="B70" i="8"/>
  <c r="B68" i="8" s="1"/>
  <c r="B62" i="8"/>
  <c r="B61" i="8"/>
  <c r="B58" i="8"/>
  <c r="B119" i="8" l="1"/>
  <c r="B168" i="8"/>
  <c r="B158" i="8" s="1"/>
  <c r="B514" i="8"/>
  <c r="B81" i="8"/>
  <c r="B118" i="8"/>
  <c r="B649" i="8"/>
  <c r="B390" i="8"/>
  <c r="B385" i="8" s="1"/>
  <c r="B95" i="8"/>
  <c r="B680" i="8"/>
  <c r="B185" i="8"/>
  <c r="B226" i="8"/>
  <c r="B611" i="8"/>
  <c r="B458" i="8"/>
  <c r="B38" i="8"/>
  <c r="B33" i="8" s="1"/>
  <c r="B112" i="8" l="1"/>
  <c r="B547" i="8"/>
  <c r="B76" i="8"/>
  <c r="B180" i="8"/>
  <c r="B44" i="6"/>
  <c r="D44" i="6" s="1"/>
  <c r="C27" i="5" s="1"/>
  <c r="B43" i="6" l="1"/>
  <c r="B24" i="4" l="1"/>
  <c r="B25" i="4"/>
  <c r="B42" i="6" l="1"/>
  <c r="B41" i="6" s="1"/>
  <c r="B16" i="6"/>
  <c r="B38" i="7"/>
  <c r="B32" i="7"/>
  <c r="B37" i="7"/>
  <c r="B5" i="7"/>
  <c r="B28" i="7"/>
  <c r="B26" i="7" s="1"/>
  <c r="B5" i="12"/>
  <c r="B28" i="12"/>
  <c r="B26" i="12" s="1"/>
  <c r="B17" i="12"/>
  <c r="B19" i="12"/>
  <c r="B12" i="12"/>
  <c r="B164" i="4"/>
  <c r="B413" i="4"/>
  <c r="B190" i="4"/>
  <c r="B189" i="4" s="1"/>
  <c r="B140" i="4"/>
  <c r="B139" i="4" s="1"/>
  <c r="B88" i="4"/>
  <c r="B87" i="4" s="1"/>
  <c r="B81" i="4"/>
  <c r="B61" i="4"/>
  <c r="B23" i="4"/>
  <c r="B422" i="4"/>
  <c r="B328" i="4"/>
  <c r="B327" i="4" s="1"/>
  <c r="B314" i="4"/>
  <c r="B312" i="4"/>
  <c r="B282" i="4"/>
  <c r="B273" i="4"/>
  <c r="B257" i="4"/>
  <c r="B210" i="4"/>
  <c r="B209" i="4" s="1"/>
  <c r="B207" i="4" s="1"/>
  <c r="B282" i="8" s="1"/>
  <c r="B284" i="8" s="1"/>
  <c r="B281" i="8" s="1"/>
  <c r="B202" i="4"/>
  <c r="B185" i="4"/>
  <c r="B184" i="4" s="1"/>
  <c r="B174" i="4"/>
  <c r="B170" i="4"/>
  <c r="B169" i="4" s="1"/>
  <c r="B123" i="4"/>
  <c r="B77" i="4"/>
  <c r="B76" i="4" s="1"/>
  <c r="B58" i="4"/>
  <c r="B54" i="4"/>
  <c r="B14" i="4"/>
  <c r="B13" i="4" s="1"/>
  <c r="B198" i="4"/>
  <c r="B37" i="4"/>
  <c r="B426" i="4"/>
  <c r="B418" i="4"/>
  <c r="B415" i="4"/>
  <c r="B406" i="4"/>
  <c r="B400" i="4"/>
  <c r="B396" i="4"/>
  <c r="B394" i="4"/>
  <c r="B392" i="4"/>
  <c r="B385" i="4"/>
  <c r="B382" i="4"/>
  <c r="B378" i="4"/>
  <c r="B374" i="4"/>
  <c r="B369" i="4"/>
  <c r="B364" i="4"/>
  <c r="B363" i="4" s="1"/>
  <c r="B357" i="4"/>
  <c r="B355" i="4"/>
  <c r="B353" i="4"/>
  <c r="B346" i="4"/>
  <c r="B341" i="4"/>
  <c r="B336" i="4"/>
  <c r="B333" i="4"/>
  <c r="B323" i="4"/>
  <c r="B321" i="4"/>
  <c r="B317" i="4"/>
  <c r="B305" i="4"/>
  <c r="B302" i="4"/>
  <c r="B298" i="4"/>
  <c r="B293" i="4"/>
  <c r="B286" i="4"/>
  <c r="B277" i="4"/>
  <c r="B276" i="4" s="1"/>
  <c r="B270" i="4"/>
  <c r="B266" i="4"/>
  <c r="B263" i="4"/>
  <c r="B254" i="4"/>
  <c r="B252" i="4"/>
  <c r="B246" i="4"/>
  <c r="B245" i="4" s="1"/>
  <c r="B240" i="4"/>
  <c r="B238" i="4"/>
  <c r="B234" i="4"/>
  <c r="B231" i="4"/>
  <c r="B225" i="4"/>
  <c r="B224" i="4" s="1"/>
  <c r="B221" i="4"/>
  <c r="B220" i="4" s="1"/>
  <c r="B204" i="4"/>
  <c r="B194" i="4"/>
  <c r="B193" i="4" s="1"/>
  <c r="B181" i="4"/>
  <c r="B180" i="4" s="1"/>
  <c r="B176" i="4"/>
  <c r="B161" i="4"/>
  <c r="B157" i="4"/>
  <c r="B152" i="4"/>
  <c r="B151" i="4" s="1"/>
  <c r="B148" i="4"/>
  <c r="B144" i="4"/>
  <c r="B136" i="4"/>
  <c r="B133" i="4"/>
  <c r="B129" i="4"/>
  <c r="B125" i="4"/>
  <c r="B118" i="4"/>
  <c r="B117" i="4" s="1"/>
  <c r="B115" i="4"/>
  <c r="B114" i="4"/>
  <c r="B113" i="4"/>
  <c r="B107" i="4"/>
  <c r="B104" i="4"/>
  <c r="B98" i="4"/>
  <c r="B95" i="4"/>
  <c r="B94" i="4"/>
  <c r="B92" i="4" s="1"/>
  <c r="B84" i="4"/>
  <c r="B72" i="4"/>
  <c r="B71" i="4" s="1"/>
  <c r="B67" i="4"/>
  <c r="B66" i="4" s="1"/>
  <c r="B49" i="4"/>
  <c r="B48" i="4" s="1"/>
  <c r="B44" i="4"/>
  <c r="B43" i="4" s="1"/>
  <c r="B40" i="4"/>
  <c r="B29" i="4"/>
  <c r="B18" i="4"/>
  <c r="B17" i="4" s="1"/>
  <c r="B8" i="4"/>
  <c r="B6" i="4"/>
  <c r="B15" i="13" l="1"/>
  <c r="C43" i="6"/>
  <c r="C41" i="6" s="1"/>
  <c r="B143" i="4"/>
  <c r="B91" i="4"/>
  <c r="B399" i="4"/>
  <c r="B47" i="4"/>
  <c r="B311" i="4"/>
  <c r="B103" i="4"/>
  <c r="B11" i="12"/>
  <c r="B10" i="12" s="1"/>
  <c r="B16" i="12"/>
  <c r="B352" i="4"/>
  <c r="B350" i="4" s="1"/>
  <c r="B591" i="8" s="1"/>
  <c r="B592" i="8" s="1"/>
  <c r="B590" i="8" s="1"/>
  <c r="B80" i="4"/>
  <c r="B292" i="4"/>
  <c r="B391" i="4"/>
  <c r="B251" i="4"/>
  <c r="B249" i="4" s="1"/>
  <c r="B443" i="8" s="1"/>
  <c r="B444" i="8" s="1"/>
  <c r="B442" i="8" s="1"/>
  <c r="B425" i="4"/>
  <c r="B173" i="4"/>
  <c r="B167" i="4" s="1"/>
  <c r="B112" i="4"/>
  <c r="B111" i="4" s="1"/>
  <c r="B57" i="4"/>
  <c r="B230" i="4"/>
  <c r="B320" i="4"/>
  <c r="B368" i="4"/>
  <c r="B237" i="4"/>
  <c r="B301" i="4"/>
  <c r="B340" i="4"/>
  <c r="B122" i="4"/>
  <c r="B262" i="4"/>
  <c r="B281" i="4"/>
  <c r="B332" i="4"/>
  <c r="B5" i="4"/>
  <c r="B26" i="8" s="1"/>
  <c r="B25" i="8" s="1"/>
  <c r="B24" i="8" s="1"/>
  <c r="B128" i="4"/>
  <c r="B156" i="4"/>
  <c r="B197" i="4"/>
  <c r="B263" i="8" s="1"/>
  <c r="B264" i="8" s="1"/>
  <c r="B262" i="8" s="1"/>
  <c r="B218" i="4"/>
  <c r="B356" i="8" s="1"/>
  <c r="B357" i="8" s="1"/>
  <c r="B355" i="8" s="1"/>
  <c r="B28" i="4"/>
  <c r="B377" i="4"/>
  <c r="B412" i="4"/>
  <c r="B182" i="8" l="1"/>
  <c r="B183" i="8" s="1"/>
  <c r="B181" i="8" s="1"/>
  <c r="B361" i="4"/>
  <c r="B613" i="8" s="1"/>
  <c r="B614" i="8" s="1"/>
  <c r="B612" i="8" s="1"/>
  <c r="B64" i="4"/>
  <c r="B78" i="8" s="1"/>
  <c r="B79" i="8" s="1"/>
  <c r="B77" i="8" s="1"/>
  <c r="B410" i="4"/>
  <c r="B682" i="8" s="1"/>
  <c r="B683" i="8" s="1"/>
  <c r="B681" i="8" s="1"/>
  <c r="B309" i="4"/>
  <c r="B549" i="8" s="1"/>
  <c r="B550" i="8" s="1"/>
  <c r="B548" i="8" s="1"/>
  <c r="B31" i="12"/>
  <c r="B228" i="4"/>
  <c r="B387" i="8" s="1"/>
  <c r="B388" i="8" s="1"/>
  <c r="B386" i="8" s="1"/>
  <c r="B120" i="4"/>
  <c r="B115" i="8" s="1"/>
  <c r="B116" i="8" s="1"/>
  <c r="B114" i="8" s="1"/>
  <c r="B260" i="4"/>
  <c r="B461" i="8" s="1"/>
  <c r="B462" i="8" s="1"/>
  <c r="B460" i="8" s="1"/>
  <c r="B290" i="4"/>
  <c r="B517" i="8" s="1"/>
  <c r="B518" i="8" s="1"/>
  <c r="B516" i="8" s="1"/>
  <c r="B389" i="4"/>
  <c r="B651" i="8" s="1"/>
  <c r="B652" i="8" s="1"/>
  <c r="B650" i="8" s="1"/>
  <c r="B11" i="4"/>
  <c r="B35" i="8" s="1"/>
  <c r="B36" i="8" s="1"/>
  <c r="B34" i="8" s="1"/>
  <c r="B730" i="8" s="1"/>
  <c r="B2" i="15" l="1"/>
  <c r="B3" i="15"/>
  <c r="B14" i="15" l="1"/>
  <c r="B10" i="15"/>
  <c r="B6" i="15"/>
  <c r="B5" i="15"/>
  <c r="B15" i="15"/>
  <c r="B7" i="15"/>
  <c r="B17" i="15"/>
  <c r="B16" i="15"/>
  <c r="B12" i="15"/>
  <c r="B13" i="15"/>
  <c r="B8" i="15"/>
  <c r="B11" i="15"/>
  <c r="B9" i="15"/>
  <c r="B4" i="15"/>
  <c r="D28" i="5" l="1"/>
  <c r="D35" i="5"/>
  <c r="D37" i="5"/>
  <c r="D39" i="5"/>
  <c r="D41" i="5"/>
  <c r="D42" i="5"/>
  <c r="D43" i="5"/>
  <c r="D44" i="5"/>
  <c r="D45" i="5"/>
  <c r="D46" i="5"/>
  <c r="D47" i="5"/>
  <c r="D71" i="5"/>
  <c r="D72" i="5"/>
  <c r="D27" i="5"/>
  <c r="D22" i="5"/>
  <c r="D19" i="5"/>
  <c r="C56" i="5"/>
  <c r="D56" i="5" s="1"/>
  <c r="D48" i="5"/>
  <c r="D34" i="5"/>
  <c r="D21" i="5" l="1"/>
  <c r="D31" i="5" l="1"/>
  <c r="B31" i="7" l="1"/>
  <c r="B25" i="7"/>
  <c r="B22" i="7"/>
  <c r="B13" i="11" l="1"/>
  <c r="B11" i="11" s="1"/>
  <c r="C65" i="5" l="1"/>
  <c r="C62" i="5" l="1"/>
  <c r="D62" i="5" s="1"/>
  <c r="D65" i="5"/>
  <c r="B31" i="6"/>
  <c r="B30" i="6"/>
  <c r="B16" i="7"/>
  <c r="B13" i="7"/>
  <c r="B21" i="6" s="1"/>
  <c r="D21" i="6" s="1"/>
  <c r="C16" i="5" s="1"/>
  <c r="D16" i="5" s="1"/>
  <c r="B34" i="6"/>
  <c r="C50" i="5"/>
  <c r="D50" i="5" s="1"/>
  <c r="B37" i="6"/>
  <c r="D24" i="5" l="1"/>
  <c r="B19" i="6"/>
  <c r="B18" i="6" s="1"/>
  <c r="D18" i="6" s="1"/>
  <c r="C15" i="5" s="1"/>
  <c r="D15" i="5" s="1"/>
  <c r="B9" i="7"/>
  <c r="B15" i="6"/>
  <c r="B39" i="13"/>
  <c r="D42" i="6"/>
  <c r="C25" i="5" s="1"/>
  <c r="D25" i="5" s="1"/>
  <c r="B26" i="6"/>
  <c r="B23" i="6" s="1"/>
  <c r="B36" i="6"/>
  <c r="B33" i="6"/>
  <c r="D33" i="6" s="1"/>
  <c r="D37" i="6"/>
  <c r="D34" i="6"/>
  <c r="C20" i="5" s="1"/>
  <c r="B28" i="13" s="1"/>
  <c r="D30" i="6"/>
  <c r="B29" i="6"/>
  <c r="B20" i="7"/>
  <c r="B44" i="7" l="1"/>
  <c r="D20" i="5"/>
  <c r="D19" i="6"/>
  <c r="D16" i="6"/>
  <c r="B13" i="6"/>
  <c r="B39" i="6" s="1"/>
  <c r="D15" i="6"/>
  <c r="C14" i="5" s="1"/>
  <c r="D14" i="5" l="1"/>
  <c r="B13" i="13"/>
  <c r="D41" i="6"/>
  <c r="D43" i="6"/>
  <c r="C26" i="5" s="1"/>
  <c r="D26" i="5" s="1"/>
  <c r="C25" i="6"/>
  <c r="C26" i="6"/>
  <c r="C27" i="6"/>
  <c r="B46" i="6"/>
  <c r="D13" i="6"/>
  <c r="D27" i="6" l="1"/>
  <c r="D26" i="6"/>
  <c r="D25" i="6"/>
  <c r="C31" i="6"/>
  <c r="B1" i="15" l="1"/>
  <c r="C24" i="6" s="1"/>
  <c r="C29" i="6"/>
  <c r="D31" i="6"/>
  <c r="D29" i="6" l="1"/>
  <c r="C18" i="5" s="1"/>
  <c r="D36" i="6"/>
  <c r="C23" i="5" s="1"/>
  <c r="D24" i="6"/>
  <c r="B18" i="15"/>
  <c r="B19" i="15" s="1"/>
  <c r="C23" i="6"/>
  <c r="C39" i="6" s="1"/>
  <c r="B16" i="13" l="1"/>
  <c r="D23" i="6"/>
  <c r="D39" i="6" s="1"/>
  <c r="C17" i="5" l="1"/>
  <c r="B14" i="13" s="1"/>
  <c r="D46" i="6"/>
  <c r="C46" i="6"/>
  <c r="B34" i="13" l="1"/>
  <c r="B26" i="13" s="1"/>
  <c r="C13" i="5" l="1"/>
  <c r="C73" i="5" s="1"/>
  <c r="B11" i="13" l="1"/>
  <c r="D23" i="5" l="1"/>
  <c r="D18" i="5"/>
  <c r="D13" i="5" l="1"/>
  <c r="D17" i="5"/>
  <c r="D73" i="5" l="1"/>
  <c r="B420" i="8"/>
  <c r="B24" i="15" s="1"/>
  <c r="B726" i="8" l="1"/>
  <c r="B729" i="8"/>
  <c r="B731" i="8"/>
  <c r="B728" i="8"/>
  <c r="C38" i="5" l="1"/>
  <c r="C49" i="5" s="1"/>
  <c r="D49" i="5" s="1"/>
  <c r="C32" i="5"/>
  <c r="D32" i="5" s="1"/>
  <c r="C33" i="5"/>
  <c r="D33" i="5" s="1"/>
  <c r="D38" i="5" l="1"/>
  <c r="C51" i="5"/>
  <c r="D51" i="5" s="1"/>
  <c r="B18" i="13"/>
  <c r="B24" i="13" s="1"/>
  <c r="B37" i="13" s="1"/>
  <c r="B44" i="13" s="1"/>
  <c r="C30" i="5"/>
  <c r="C29" i="5" s="1"/>
  <c r="C74" i="5" s="1"/>
  <c r="C70" i="5" l="1"/>
  <c r="D70" i="5"/>
  <c r="D30" i="5"/>
  <c r="D29" i="5"/>
  <c r="C36" i="5"/>
  <c r="D74" i="5" l="1"/>
  <c r="C40" i="5"/>
  <c r="D36" i="5"/>
  <c r="D40" i="5" l="1"/>
</calcChain>
</file>

<file path=xl/sharedStrings.xml><?xml version="1.0" encoding="utf-8"?>
<sst xmlns="http://schemas.openxmlformats.org/spreadsheetml/2006/main" count="1276" uniqueCount="572">
  <si>
    <t>kliendi osalustasu koduteenuste osutamisel</t>
  </si>
  <si>
    <t>linnarajatiste reklaamitulu</t>
  </si>
  <si>
    <t>huviringi osalustasu</t>
  </si>
  <si>
    <t>TOETUSED</t>
  </si>
  <si>
    <t>investeeringuteks</t>
  </si>
  <si>
    <t>Välisrahastus kokku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</si>
  <si>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</si>
  <si>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</si>
  <si>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</si>
  <si>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</si>
  <si>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</si>
  <si>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</si>
  <si>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</si>
  <si>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</si>
  <si>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</si>
  <si>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</si>
  <si>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</si>
  <si>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</si>
  <si>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</si>
  <si>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</si>
  <si>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</si>
  <si>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</si>
  <si>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</si>
  <si>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</si>
  <si>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</si>
  <si>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</si>
  <si>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</si>
  <si>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</si>
  <si>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</si>
  <si>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</si>
  <si>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Muud erakorralised tulud</t>
  </si>
  <si>
    <t>Linnaosa valitsuse reservfond</t>
  </si>
  <si>
    <t>Mustamäe Linnaosa Valitsuse haldusala</t>
  </si>
  <si>
    <t>Nõmme Linnaosa Valitsuse haldusala</t>
  </si>
  <si>
    <t>Pirita Linnaosa Valitsuse haldusala</t>
  </si>
  <si>
    <t>Põhja-Tallinna Valitsuse haldusala</t>
  </si>
  <si>
    <t>Sotsiaaltoetused</t>
  </si>
  <si>
    <t>Linna üldkulud</t>
  </si>
  <si>
    <t>linnavalitsuse reservfond</t>
  </si>
  <si>
    <t>INVESTEERIMISTEGEVUSE EELARVE</t>
  </si>
  <si>
    <t>LE</t>
  </si>
  <si>
    <t>RE</t>
  </si>
  <si>
    <t>LISA 5</t>
  </si>
  <si>
    <t>RAHAKÄIBE PROGNOOS</t>
  </si>
  <si>
    <t>noortekeskuse muud tasulised teenused</t>
  </si>
  <si>
    <t>jäätmeveo teenustasu</t>
  </si>
  <si>
    <t xml:space="preserve">Laekumised haldustegevusest </t>
  </si>
  <si>
    <t xml:space="preserve"> Tulude laekumine</t>
  </si>
  <si>
    <t xml:space="preserve"> Toetused</t>
  </si>
  <si>
    <t>Väljamaksed haldustegevuseks</t>
  </si>
  <si>
    <t xml:space="preserve">Haldustegevus kokku </t>
  </si>
  <si>
    <t xml:space="preserve">Laekumised investeerimistegevusest </t>
  </si>
  <si>
    <t>Väljamaksed investeerimistegevuseks</t>
  </si>
  <si>
    <t xml:space="preserve">Investeerimistegevus kokku </t>
  </si>
  <si>
    <t>Laekumised finantseerimistegevusest</t>
  </si>
  <si>
    <t>Väljamaksed finantseerimistegevuseks</t>
  </si>
  <si>
    <t xml:space="preserve">Finantseerimistegevus kokku </t>
  </si>
  <si>
    <t>Laekumised kokku</t>
  </si>
  <si>
    <t>Väljamaksed kokku</t>
  </si>
  <si>
    <t>FINANTSEERIMISTEGEVUSE EELARVE</t>
  </si>
  <si>
    <t>Tallinna Õpetajate Maja</t>
  </si>
  <si>
    <t>Isikliku abistaja teenused</t>
  </si>
  <si>
    <t>Perekonda toetavad teenused</t>
  </si>
  <si>
    <t>Hooldamine perekonnas</t>
  </si>
  <si>
    <t>LISA 6</t>
  </si>
  <si>
    <t>LISA 7</t>
  </si>
  <si>
    <t>Tootegrupp: kalmistud</t>
  </si>
  <si>
    <t>Tootegrupp: jäätmemajandus</t>
  </si>
  <si>
    <t>KOKKU OMATULUD</t>
  </si>
  <si>
    <t>Tulud majandustegevusest</t>
  </si>
  <si>
    <t>Võlalt arvestatud intressitulu</t>
  </si>
  <si>
    <t>KOKKU</t>
  </si>
  <si>
    <t>€</t>
  </si>
  <si>
    <t>LISA 1</t>
  </si>
  <si>
    <t>KOONDEELARVE</t>
  </si>
  <si>
    <t>TULEMI PROGNOOS</t>
  </si>
  <si>
    <t>TULUD  KOKKU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</si>
  <si>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</si>
  <si>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</si>
  <si>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</si>
  <si>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</si>
  <si>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</si>
  <si>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</si>
  <si>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</si>
  <si>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</si>
  <si>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</si>
  <si>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</si>
  <si>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</si>
  <si>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</si>
  <si>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</si>
  <si>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</si>
  <si>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</si>
  <si>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</si>
  <si>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</si>
  <si>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</si>
  <si>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</si>
  <si>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</si>
  <si>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</si>
  <si>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</si>
  <si>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</si>
  <si>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</si>
  <si>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</si>
  <si>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</si>
  <si>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</si>
  <si>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LAENUKOHUSTUSTES KOKKU</t>
  </si>
  <si>
    <t>Laenude võtmine</t>
  </si>
  <si>
    <t>Laenude tagasimaksed</t>
  </si>
  <si>
    <t xml:space="preserve">Kapitaliliisingu maksed </t>
  </si>
  <si>
    <t>MUUTUS NETOVARAS</t>
  </si>
  <si>
    <t>SISSETULEKUD</t>
  </si>
  <si>
    <t>VÄLJAMINEKUD</t>
  </si>
  <si>
    <t>Tallinna Linnavolikogu esimees</t>
  </si>
  <si>
    <t>LISA 2</t>
  </si>
  <si>
    <t>TULUDE EELARVE</t>
  </si>
  <si>
    <t>Tululiik</t>
  </si>
  <si>
    <t>Linnakassa</t>
  </si>
  <si>
    <t>Omatulud</t>
  </si>
  <si>
    <t>Eelarve kokku</t>
  </si>
  <si>
    <t>Maksutulud kokku</t>
  </si>
  <si>
    <t>Trahvid</t>
  </si>
  <si>
    <t>Kasum vara müügist</t>
  </si>
  <si>
    <t>Tulud kokku (v.a toetused)</t>
  </si>
  <si>
    <t>Toetused</t>
  </si>
  <si>
    <t>sh riigilt jm institutsioonidelt</t>
  </si>
  <si>
    <t>välisrahastus</t>
  </si>
  <si>
    <t>LINNAKASSA TULUD</t>
  </si>
  <si>
    <t>Transpordiamet</t>
  </si>
  <si>
    <t>Linnaarhiiv</t>
  </si>
  <si>
    <t>Linnavaraamet</t>
  </si>
  <si>
    <t>Munitsipaalpolitsei Amet</t>
  </si>
  <si>
    <t>Sotsiaal- ja Tervishoiuameti haldusala</t>
  </si>
  <si>
    <t>Tulu vara müügist</t>
  </si>
  <si>
    <t>Võlalt arvestatud tulu</t>
  </si>
  <si>
    <t>LISA 3</t>
  </si>
  <si>
    <t xml:space="preserve">KULUDE EELARVE </t>
  </si>
  <si>
    <t>Kulud kokku</t>
  </si>
  <si>
    <t xml:space="preserve">Katteallikad </t>
  </si>
  <si>
    <t>sh omatulud</t>
  </si>
  <si>
    <t>linnakassa</t>
  </si>
  <si>
    <t>Muud eelarvepositsioonid</t>
  </si>
  <si>
    <t>sellest töötasu</t>
  </si>
  <si>
    <t>Tootegrupp: arhiiviteenused</t>
  </si>
  <si>
    <t>Haridusameti haldusala</t>
  </si>
  <si>
    <t>Tootevaldkond: haridus</t>
  </si>
  <si>
    <t>Toode:</t>
  </si>
  <si>
    <t>Tootegrupp: hariduse tugiteenused</t>
  </si>
  <si>
    <t>välisrahastuse arvelt</t>
  </si>
  <si>
    <t>ps amortisatsioon</t>
  </si>
  <si>
    <t>Tootevaldkond: kultuur</t>
  </si>
  <si>
    <t>Olulisemad üritused:</t>
  </si>
  <si>
    <t>Spordi- ja Noorsooameti haldusala</t>
  </si>
  <si>
    <t>Tootevaldkond: sport ja vaba aeg</t>
  </si>
  <si>
    <t>Tootegrupp: sportimisvõimaluste tagamine</t>
  </si>
  <si>
    <t>Tootevaldkond: noorsootöö</t>
  </si>
  <si>
    <t>Tootegrupp: noorsootöö</t>
  </si>
  <si>
    <t>Spordi- ja Noorsooamet</t>
  </si>
  <si>
    <t>Spordiprojektide toetus</t>
  </si>
  <si>
    <t>Tootevaldkond: sotsiaalhoolekanne</t>
  </si>
  <si>
    <t>Tootegrupp: puuetega isikute hoolekanne</t>
  </si>
  <si>
    <t>Tootegrupp: eakate hoolekanne</t>
  </si>
  <si>
    <t>Tootegrupp: laste hoolekanne</t>
  </si>
  <si>
    <t>Tootegrupp: muude kriisirühmade hoolekanne</t>
  </si>
  <si>
    <t>Sotsiaal- ja Tervishoiuamet</t>
  </si>
  <si>
    <t>Mitmesugused tervishoiukulud</t>
  </si>
  <si>
    <t>Tootevaldkond: ettevõtluskeskkond</t>
  </si>
  <si>
    <t>Tootegrupp: ettevõtluse arendamine</t>
  </si>
  <si>
    <t>Reservid</t>
  </si>
  <si>
    <t>Kommunaalameti haldusala</t>
  </si>
  <si>
    <t>Teerajatiste korrashoid</t>
  </si>
  <si>
    <t>Teerajatiste puhastamine</t>
  </si>
  <si>
    <t>Keskkonnaameti haldusala</t>
  </si>
  <si>
    <t>Tootevaldkond: heakord</t>
  </si>
  <si>
    <t>Tootegrupp: haljastus</t>
  </si>
  <si>
    <t>Haabersti Linnaosa Valitsuse haldusala</t>
  </si>
  <si>
    <t>Tootegrupp: toimetulekuraskustes isikute hoolekanne</t>
  </si>
  <si>
    <t>Linnaosa valitsus</t>
  </si>
  <si>
    <t>Muud heakorrakulud</t>
  </si>
  <si>
    <t>Tallinna Kesklinna Valitsuse haldusala</t>
  </si>
  <si>
    <t>sh</t>
  </si>
  <si>
    <t>VR</t>
  </si>
  <si>
    <t>Üksikkorterite majandamine</t>
  </si>
  <si>
    <t>Äriruumide majandamine</t>
  </si>
  <si>
    <t>Kristiine Linnaosa Valitsuse haldusala</t>
  </si>
  <si>
    <t>Lasnamäe Linnaosa Valitsuse haldusala</t>
  </si>
  <si>
    <t>OMATULUD</t>
  </si>
  <si>
    <t>Kokku</t>
  </si>
  <si>
    <t>Üür ja rent</t>
  </si>
  <si>
    <t>äriruumide üüritulu</t>
  </si>
  <si>
    <t>kommunaalteenused</t>
  </si>
  <si>
    <t>Muu toodete ja teenuste müük</t>
  </si>
  <si>
    <t>muud eespoolnimetamata tulud majandustegevusest</t>
  </si>
  <si>
    <t>Tulud tugiteenustest</t>
  </si>
  <si>
    <t>teenused</t>
  </si>
  <si>
    <t xml:space="preserve">Tulud haridusalasest tegevusest </t>
  </si>
  <si>
    <t>teistelt kohalikelt omavalitsustelt koolide ja koolieelsete lasteasutuste tegevuskulude katteks</t>
  </si>
  <si>
    <t>Tulud kultuuri- ja kunstialasest tegevusest</t>
  </si>
  <si>
    <t>Tulud spordi- ja puhkealasest tegevusest</t>
  </si>
  <si>
    <t>muu vara üür ja rent</t>
  </si>
  <si>
    <t>koolieelse lasteasutuse toitlustustasu</t>
  </si>
  <si>
    <t>haridusasutuse ruumide kasutamine üritusteks</t>
  </si>
  <si>
    <t>tehniliste vahendite ja inventari laenutamine</t>
  </si>
  <si>
    <t>muud tasulised teenused</t>
  </si>
  <si>
    <t>noortelaagri teenused</t>
  </si>
  <si>
    <t>piletitulu</t>
  </si>
  <si>
    <t>noortekeskuse ruumide kasutamise teenus</t>
  </si>
  <si>
    <t>õppetasu</t>
  </si>
  <si>
    <t>müügitulu</t>
  </si>
  <si>
    <t>kultuuriasutuse ruumide kasutamine üritusteks</t>
  </si>
  <si>
    <t>Eespool nimetamata muud tulud</t>
  </si>
  <si>
    <t>ringitasu</t>
  </si>
  <si>
    <t>kultuuriasutuse muu teenus</t>
  </si>
  <si>
    <t>Õiguste müük</t>
  </si>
  <si>
    <t>tulu parkimisest</t>
  </si>
  <si>
    <t>reklaamitulu</t>
  </si>
  <si>
    <t>ruumide kasutamine üritusteks</t>
  </si>
  <si>
    <t>Elamu- ja kommunaaltegevuse tulud</t>
  </si>
  <si>
    <t>eluruumide üüritulu</t>
  </si>
  <si>
    <t>Tulud muudelt majandusaladelt</t>
  </si>
  <si>
    <t>Tulud sotsiaalabialasest tegevusest</t>
  </si>
  <si>
    <t>hooldustasu</t>
  </si>
  <si>
    <t>toitlustustasu</t>
  </si>
  <si>
    <t>majutusteenus</t>
  </si>
  <si>
    <t>Tulud tervishoiualasest tegevusest</t>
  </si>
  <si>
    <t>tulu kaubandustegevusest</t>
  </si>
  <si>
    <t>tulu müügipiletite realiseerimisest</t>
  </si>
  <si>
    <t>Tulud transporditeenustest</t>
  </si>
  <si>
    <t>Tulu keskkonnaalasest tegevusest</t>
  </si>
  <si>
    <t>tasu jäätmete vastuvõtmise eest jäätmejaamas</t>
  </si>
  <si>
    <t>hoolekande muud teenused</t>
  </si>
  <si>
    <t>Ülelinnalised kultuuriüritused ja -projektid*</t>
  </si>
  <si>
    <t>RE - riigieelarve vahenditest tehtavad kulutused</t>
  </si>
  <si>
    <t>VR - välisrahastuse arvelt tehtavad kulutused</t>
  </si>
  <si>
    <t>Ettevõtlusameti haldusala</t>
  </si>
  <si>
    <t>LE - linnaeelarve vahendite arvelt tehtavad kulutused, sisaldavad ka võetavat laenu</t>
  </si>
  <si>
    <t>Randade hooldus</t>
  </si>
  <si>
    <t>Taaskasutatavate ja ohtlike jäätmete käitlus</t>
  </si>
  <si>
    <t>Maksed teenuste kontsessioonilepingu raames</t>
  </si>
  <si>
    <t>Tootegrupp: lastehoid ja alusharidus</t>
  </si>
  <si>
    <t>Tootegrupp: põhi- ja üldkeskharidus</t>
  </si>
  <si>
    <t>Tootegrupp: kutseharidus</t>
  </si>
  <si>
    <t>Tootegrupp: huviharidus</t>
  </si>
  <si>
    <t>* Eelarve täitmisel on linnavalitsusel õigus muuta linnavalitsuse reservfondi ja reservide jaotust ettenähtud üldsumma piires.</t>
  </si>
  <si>
    <t>Reservfond*, sh</t>
  </si>
  <si>
    <t>EELARVE KOHALIKU OMAVALITSUSE ÜKSUSE FINANTSJUHTIMISE SEADUSE JÄRGI</t>
  </si>
  <si>
    <t>Toetus välisprojektide kaasfinantseerimiseks</t>
  </si>
  <si>
    <t>programmilised tegevused ja üritused</t>
  </si>
  <si>
    <t>SE</t>
  </si>
  <si>
    <t>Kasum/kahjum varude müügist</t>
  </si>
  <si>
    <t>Tootevaldkond: teed ja tänavad*</t>
  </si>
  <si>
    <t>Tootegrupp: teetööd</t>
  </si>
  <si>
    <t>* Eelarve täitmisel on linnavalitsusel õigus muuta summade jaotust tootevaldkonna üldsumma piires.</t>
  </si>
  <si>
    <t>rahvusvahelised spordiüritused</t>
  </si>
  <si>
    <t>spordiasutuse tasulised teenused</t>
  </si>
  <si>
    <t>Haridusamet</t>
  </si>
  <si>
    <t>LISA 4</t>
  </si>
  <si>
    <t>Kokku (I+II+III)</t>
  </si>
  <si>
    <t>I VÄLISRAHASTUSEGA INVESTEERIMISPROJEKTID</t>
  </si>
  <si>
    <t>Välisprojektid kokku</t>
  </si>
  <si>
    <t>II MUUD INVESTEERIMISPROJEKTID</t>
  </si>
  <si>
    <t>Investeerimistoetused kokku</t>
  </si>
  <si>
    <t>INVESTEERIMISPROJEKTID KOKKU (I+II)</t>
  </si>
  <si>
    <t>Piirkondlikud sündmused, projektid ja mittetulundustegevuse toetamine</t>
  </si>
  <si>
    <t>Teenuste kontsessioonilepingu raames renoveeritud koolid</t>
  </si>
  <si>
    <t>Objekti ja projekti nimetus</t>
  </si>
  <si>
    <t>III ANTAV SIHTFINANTSEERIMINE INVESTEERIMISTEGEVUSEKS</t>
  </si>
  <si>
    <t>KULUD</t>
  </si>
  <si>
    <t>* Katteallikad:</t>
  </si>
  <si>
    <t>Kultuuriameti haldusala</t>
  </si>
  <si>
    <t>Tallinna Loomaaia polaariumi jääkarude ekspositsiooni rajamine</t>
  </si>
  <si>
    <t>Katte allikas*</t>
  </si>
  <si>
    <t xml:space="preserve">INVESTEERIMISPROJEKTID JA ANTAV SIHTFINANTSEERIMINE KOKKU </t>
  </si>
  <si>
    <t>HARIDUS</t>
  </si>
  <si>
    <t>KULTUUR</t>
  </si>
  <si>
    <t>TEED JA TÄNAVAD</t>
  </si>
  <si>
    <t>Muud projektid kokku</t>
  </si>
  <si>
    <t>Põhikoolide ja gümnaasiumite remont ja soetused</t>
  </si>
  <si>
    <t>Koolieelsete lasteasutuste remont, soetused ja uued lasteaiad</t>
  </si>
  <si>
    <t>Keskraamatukogu teavikute soetamine</t>
  </si>
  <si>
    <t>Hobuveski rekonstrueerimine</t>
  </si>
  <si>
    <t>SPORT JA VABA AEG</t>
  </si>
  <si>
    <t>HEAKORD</t>
  </si>
  <si>
    <t>Välisrahastuseta teede kapitaalremont ja rekonstrueerimine</t>
  </si>
  <si>
    <r>
      <t>Tootegrupp: loomaaed</t>
    </r>
    <r>
      <rPr>
        <sz val="8"/>
        <rFont val="Arial"/>
        <family val="2"/>
        <charset val="186"/>
      </rPr>
      <t xml:space="preserve"> (Tallinna Loomaaed)</t>
    </r>
  </si>
  <si>
    <r>
      <t>Tootegrupp: muuseumid</t>
    </r>
    <r>
      <rPr>
        <sz val="8"/>
        <rFont val="Arial"/>
        <family val="2"/>
        <charset val="186"/>
      </rPr>
      <t xml:space="preserve"> (Tallinna Linnamuuseum)</t>
    </r>
  </si>
  <si>
    <r>
      <t>Tootegrupp: kultuuritegevus</t>
    </r>
    <r>
      <rPr>
        <sz val="8"/>
        <rFont val="Arial"/>
        <family val="2"/>
        <charset val="186"/>
      </rPr>
      <t xml:space="preserve"> (Vene Kultuurikeskus, Tallinna Pelgulinna Rahvamaja)</t>
    </r>
  </si>
  <si>
    <r>
      <t>Tootegrupp: raamatukogud</t>
    </r>
    <r>
      <rPr>
        <sz val="8"/>
        <rFont val="Arial"/>
        <family val="2"/>
        <charset val="186"/>
      </rPr>
      <t xml:space="preserve"> (Tallinna Keskraamatukogu)</t>
    </r>
  </si>
  <si>
    <r>
      <t>Tootegrupp: teater</t>
    </r>
    <r>
      <rPr>
        <sz val="8"/>
        <rFont val="Arial"/>
        <family val="2"/>
        <charset val="186"/>
      </rPr>
      <t xml:space="preserve"> (Tallinna Linnateater)</t>
    </r>
  </si>
  <si>
    <r>
      <t>Teenused psüühiliste erivajadustega inimestele</t>
    </r>
    <r>
      <rPr>
        <sz val="8"/>
        <rFont val="Arial"/>
        <family val="2"/>
        <charset val="186"/>
      </rPr>
      <t xml:space="preserve"> (Tallinna Vaimse Tervise Keskus)</t>
    </r>
  </si>
  <si>
    <r>
      <t>Üldhooldekodu teenused</t>
    </r>
    <r>
      <rPr>
        <sz val="8"/>
        <rFont val="Arial"/>
        <family val="2"/>
        <charset val="186"/>
      </rPr>
      <t xml:space="preserve"> (Sotsiaal- ja Tervishoiuamet, Iru Hooldekodu)</t>
    </r>
  </si>
  <si>
    <r>
      <t>Sotsiaalmajutusüksused</t>
    </r>
    <r>
      <rPr>
        <sz val="8"/>
        <rFont val="Arial"/>
        <family val="2"/>
        <charset val="186"/>
      </rPr>
      <t xml:space="preserve"> (Tallinna Sotsiaaltöö Keskus)</t>
    </r>
  </si>
  <si>
    <r>
      <t>Muud hoolekandeteenused</t>
    </r>
    <r>
      <rPr>
        <sz val="8"/>
        <rFont val="Arial"/>
        <family val="2"/>
        <charset val="186"/>
      </rPr>
      <t xml:space="preserve"> (Tallinna Sotsiaaltöö Keskus)</t>
    </r>
  </si>
  <si>
    <r>
      <t>Spordihallid ja -väljakud</t>
    </r>
    <r>
      <rPr>
        <sz val="8"/>
        <rFont val="Arial"/>
        <family val="2"/>
        <charset val="186"/>
      </rPr>
      <t xml:space="preserve"> (Tallinna Spordihall)</t>
    </r>
  </si>
  <si>
    <r>
      <t>Spordihooned ja -rajatised</t>
    </r>
    <r>
      <rPr>
        <sz val="8"/>
        <rFont val="Arial"/>
        <family val="2"/>
        <charset val="186"/>
      </rPr>
      <t xml:space="preserve"> (Pirita Spordikeskus, Tondiraba Spordikeskus, Kristiine Sport, Nõmme Spordikeskus)</t>
    </r>
  </si>
  <si>
    <r>
      <t>Kalmistuteenused</t>
    </r>
    <r>
      <rPr>
        <sz val="8"/>
        <rFont val="Arial"/>
        <family val="2"/>
        <charset val="186"/>
      </rPr>
      <t xml:space="preserve"> (Tallinna Kalmistud)</t>
    </r>
  </si>
  <si>
    <r>
      <t>Korraldatud jäätmevedu</t>
    </r>
    <r>
      <rPr>
        <sz val="8"/>
        <rFont val="Arial"/>
        <family val="2"/>
        <charset val="186"/>
      </rPr>
      <t xml:space="preserve"> (Tallinna Jäätmekeskus)</t>
    </r>
  </si>
  <si>
    <r>
      <t>Tootegrupp: botaanikaaed</t>
    </r>
    <r>
      <rPr>
        <sz val="8"/>
        <rFont val="Arial"/>
        <family val="2"/>
        <charset val="186"/>
      </rPr>
      <t xml:space="preserve"> (Tallinna Botaanikaaed)</t>
    </r>
  </si>
  <si>
    <r>
      <t>Tootegrupp: kultuuritegevus</t>
    </r>
    <r>
      <rPr>
        <sz val="8"/>
        <rFont val="Arial"/>
        <family val="2"/>
        <charset val="186"/>
      </rPr>
      <t xml:space="preserve"> (Kesklinna Vaba Aja Keskus)</t>
    </r>
  </si>
  <si>
    <r>
      <t>Päevakeskuse teenused</t>
    </r>
    <r>
      <rPr>
        <sz val="8"/>
        <rFont val="Arial"/>
        <family val="2"/>
        <charset val="186"/>
      </rPr>
      <t xml:space="preserve"> (Tallinna Kesklinna Sotsiaalkeskus)</t>
    </r>
  </si>
  <si>
    <r>
      <t>Koduteenused</t>
    </r>
    <r>
      <rPr>
        <sz val="8"/>
        <rFont val="Arial"/>
        <family val="2"/>
        <charset val="186"/>
      </rPr>
      <t xml:space="preserve"> (Tallinna Kesklinna Sotsiaalkeskus)</t>
    </r>
  </si>
  <si>
    <r>
      <t>Tootegrupp: kultuuritegevus</t>
    </r>
    <r>
      <rPr>
        <sz val="8"/>
        <rFont val="Arial"/>
        <family val="2"/>
        <charset val="186"/>
      </rPr>
      <t xml:space="preserve"> (Kultuurikeskus Lindakivi)</t>
    </r>
  </si>
  <si>
    <r>
      <t>Noortekeskus</t>
    </r>
    <r>
      <rPr>
        <sz val="8"/>
        <rFont val="Arial"/>
        <family val="2"/>
        <charset val="186"/>
      </rPr>
      <t xml:space="preserve"> (Lasnamäe Noortekeskus)</t>
    </r>
  </si>
  <si>
    <r>
      <t>Spordihooned ja -rajatised</t>
    </r>
    <r>
      <rPr>
        <sz val="8"/>
        <rFont val="Arial"/>
        <family val="2"/>
        <charset val="186"/>
      </rPr>
      <t xml:space="preserve"> (Lasnamäe Spordikompleks)</t>
    </r>
  </si>
  <si>
    <r>
      <t>Laste päevakeskuse teenused</t>
    </r>
    <r>
      <rPr>
        <sz val="8"/>
        <rFont val="Arial"/>
        <family val="2"/>
        <charset val="186"/>
      </rPr>
      <t xml:space="preserve"> (Lasnamäe Lastekeskus)</t>
    </r>
  </si>
  <si>
    <r>
      <t>Tootegrupp: kultuuritegevus</t>
    </r>
    <r>
      <rPr>
        <sz val="8"/>
        <rFont val="Arial"/>
        <family val="2"/>
        <charset val="186"/>
      </rPr>
      <t xml:space="preserve"> (Nõmme Kultuurikeskus)</t>
    </r>
  </si>
  <si>
    <r>
      <t>Noortekeskus</t>
    </r>
    <r>
      <rPr>
        <sz val="8"/>
        <rFont val="Arial"/>
        <family val="2"/>
        <charset val="186"/>
      </rPr>
      <t xml:space="preserve"> (Nõmme Vaba Aja Keskus)</t>
    </r>
  </si>
  <si>
    <r>
      <t>Laste päevakeskuse teenused</t>
    </r>
    <r>
      <rPr>
        <sz val="8"/>
        <rFont val="Arial"/>
        <family val="2"/>
        <charset val="186"/>
      </rPr>
      <t xml:space="preserve"> (Nõmme Vaba Aja Keskus)</t>
    </r>
  </si>
  <si>
    <r>
      <t>Toetatud elamine</t>
    </r>
    <r>
      <rPr>
        <sz val="8"/>
        <rFont val="Arial"/>
        <family val="2"/>
        <charset val="186"/>
      </rPr>
      <t xml:space="preserve"> (Nõmme Sotsiaalmaja)</t>
    </r>
  </si>
  <si>
    <r>
      <t>Tootegrupp: kultuuritegevus</t>
    </r>
    <r>
      <rPr>
        <sz val="8"/>
        <rFont val="Arial"/>
        <family val="2"/>
        <charset val="186"/>
      </rPr>
      <t xml:space="preserve"> (Pirita Vaba Aja Keskus)</t>
    </r>
  </si>
  <si>
    <r>
      <t>Päevakeskuse teenused</t>
    </r>
    <r>
      <rPr>
        <sz val="8"/>
        <rFont val="Arial"/>
        <family val="2"/>
        <charset val="186"/>
      </rPr>
      <t xml:space="preserve"> (Pirita Vaba Aja Keskus)</t>
    </r>
  </si>
  <si>
    <r>
      <t>Tootegrupp: kultuuritegevus</t>
    </r>
    <r>
      <rPr>
        <sz val="8"/>
        <rFont val="Arial"/>
        <family val="2"/>
        <charset val="186"/>
      </rPr>
      <t xml:space="preserve"> (Salme Kultuurikeskus)</t>
    </r>
  </si>
  <si>
    <r>
      <t>Päevakeskuse teenused</t>
    </r>
    <r>
      <rPr>
        <sz val="8"/>
        <rFont val="Arial"/>
        <family val="2"/>
        <charset val="186"/>
      </rPr>
      <t xml:space="preserve"> (Põhja-Tallinna Sotsiaalkeskus)</t>
    </r>
  </si>
  <si>
    <t>Aktsiakapitali suurendamine (-)</t>
  </si>
  <si>
    <t xml:space="preserve">  Maksud</t>
  </si>
  <si>
    <t xml:space="preserve">   sh tulumaks</t>
  </si>
  <si>
    <t xml:space="preserve">        maamaks</t>
  </si>
  <si>
    <t xml:space="preserve">        kohalikud maksud</t>
  </si>
  <si>
    <t xml:space="preserve"> Tegevustulu</t>
  </si>
  <si>
    <t xml:space="preserve"> Muud tulud</t>
  </si>
  <si>
    <t xml:space="preserve">  sh riigilt</t>
  </si>
  <si>
    <t xml:space="preserve">       välisrahastus</t>
  </si>
  <si>
    <t xml:space="preserve">   sh tegevuskulu</t>
  </si>
  <si>
    <t xml:space="preserve">       finantskulud</t>
  </si>
  <si>
    <t xml:space="preserve">   sh põhivara müük</t>
  </si>
  <si>
    <t xml:space="preserve">       saadud dividendid</t>
  </si>
  <si>
    <t xml:space="preserve">       finantstulu</t>
  </si>
  <si>
    <t xml:space="preserve">   sh põhivara soetamine</t>
  </si>
  <si>
    <t xml:space="preserve">  sh eelarvelaenu võtmine/võlakirjade emiteerimine</t>
  </si>
  <si>
    <t xml:space="preserve">      kapitalirendi põhiosa maksed</t>
  </si>
  <si>
    <t>MUUTUSED VARADES</t>
  </si>
  <si>
    <t>MUUTUSED KOHUSTUSTES</t>
  </si>
  <si>
    <t>laagriteenused</t>
  </si>
  <si>
    <r>
      <t>Tootegrupp: kirjanduskeskus</t>
    </r>
    <r>
      <rPr>
        <sz val="8"/>
        <rFont val="Arial"/>
        <family val="2"/>
        <charset val="186"/>
      </rPr>
      <t xml:space="preserve"> (Tallinna Kirjanduskeskus)</t>
    </r>
  </si>
  <si>
    <t>Tallinna Botaanikaaia remonttööd ja soetused</t>
  </si>
  <si>
    <t>TEHNOVÕRGUD</t>
  </si>
  <si>
    <t>MUUTUS RAHAS</t>
  </si>
  <si>
    <t>Hoiuste muutus</t>
  </si>
  <si>
    <t>MUUTUS FINANTSVARADES KOKKU</t>
  </si>
  <si>
    <t>Lisaeelarve</t>
  </si>
  <si>
    <t>2017. aasta eelarve kokku</t>
  </si>
  <si>
    <t>toetused</t>
  </si>
  <si>
    <t xml:space="preserve">Eelarveaasta eesmärk: </t>
  </si>
  <si>
    <t>Sõle Spordikompleksi ehitus ja sisustus</t>
  </si>
  <si>
    <t>Era- ja avaliku sektori koostööprojektid kokku</t>
  </si>
  <si>
    <t>Haridus</t>
  </si>
  <si>
    <t>sh tegevuskulud</t>
  </si>
  <si>
    <t>finantseerimistehingud</t>
  </si>
  <si>
    <t>INVESTEERIMISTEGEVUS KOKKU (I+II+III+IV)</t>
  </si>
  <si>
    <t>Kultuuriamet</t>
  </si>
  <si>
    <r>
      <t xml:space="preserve">Muud sotsiaaltoetused, </t>
    </r>
    <r>
      <rPr>
        <i/>
        <u/>
        <sz val="10"/>
        <rFont val="Arial"/>
        <family val="2"/>
        <charset val="186"/>
      </rPr>
      <t>sh</t>
    </r>
  </si>
  <si>
    <t>Toetused erivajadustega inimestele (a)</t>
  </si>
  <si>
    <t xml:space="preserve">  sh eelarvelaenu tagastamine/võlakirjade tagasiostmine</t>
  </si>
  <si>
    <t>Tallinna Linnateatri tulekahju- ja valvesüsteemi väljavahetamise projekt</t>
  </si>
  <si>
    <t>SE - sihtotstarbeliste eraldiste arvelt tehtavad kulutused</t>
  </si>
  <si>
    <t>„Tallinna linna 2017. aasta teine lisaeelarve“</t>
  </si>
  <si>
    <t xml:space="preserve">määruse nr   </t>
  </si>
  <si>
    <t>Tallinna Linnavolikogu   . oktoobri 2017</t>
  </si>
  <si>
    <t>Esialgne eelarve + I lisaeelarve</t>
  </si>
  <si>
    <t>laste hoiu toitlustustasu</t>
  </si>
  <si>
    <t>koolitoidutasu</t>
  </si>
  <si>
    <t>ametikooli õppetasu</t>
  </si>
  <si>
    <t>muu müügitulu</t>
  </si>
  <si>
    <t>sotsiaalmajutusüksuse kohatasu</t>
  </si>
  <si>
    <t>sotsiaalmajutusüksuse saunateenus</t>
  </si>
  <si>
    <t>haljastusteenused</t>
  </si>
  <si>
    <t>kalmistuteenused</t>
  </si>
  <si>
    <t>väikeloomade krematooriumiteenus</t>
  </si>
  <si>
    <t>väikeloomade transport</t>
  </si>
  <si>
    <t>muud tulud</t>
  </si>
  <si>
    <t>huviringide osalustasu</t>
  </si>
  <si>
    <t>koduteenuste tasu</t>
  </si>
  <si>
    <t>Tallinna Männikäbi Lasteaia hoone energiatõhususe parandamine</t>
  </si>
  <si>
    <t>Sitsi Lasteaia hoone energiatõhususe parandamine</t>
  </si>
  <si>
    <t>Smart-up BSR - Nutika spetsialiseerumise edendamine Läänemere regioonis innovatsioonikeskuste koordineeritud tegevuse kaudu</t>
  </si>
  <si>
    <t>Tehnoloogilise lahenduse prototüübi loomine maa-aluste rajatiste 3D andmeseireks</t>
  </si>
  <si>
    <t>sh Tallinna Loomaaia polaariumi jääkarude ekspositsiooni rajamine</t>
  </si>
  <si>
    <t>sh investeeringuteks</t>
  </si>
  <si>
    <t>Maamaks</t>
  </si>
  <si>
    <t>Parkimistasu</t>
  </si>
  <si>
    <t>Hoonestusõiguse tasu</t>
  </si>
  <si>
    <t xml:space="preserve">Linnavaraamet </t>
  </si>
  <si>
    <t>Spordi- ja noorsooamet</t>
  </si>
  <si>
    <t>Kristiine LOV haldusala</t>
  </si>
  <si>
    <t>Lasnamäe LOV haldusala</t>
  </si>
  <si>
    <t>1. Linnaarhiiv</t>
  </si>
  <si>
    <t>2. Haridusameti haldusala</t>
  </si>
  <si>
    <t>2.1. Haridusamet</t>
  </si>
  <si>
    <t>2.2. Koolieelsed lasteasutused</t>
  </si>
  <si>
    <t>2.3. Põhikoolid ja gümnaasiumid</t>
  </si>
  <si>
    <t>2.4. Tallinna Kopli Ametikool</t>
  </si>
  <si>
    <t>2.5. Huvikoolid</t>
  </si>
  <si>
    <t>2.6. Tallinna Õpetajate Maja</t>
  </si>
  <si>
    <t>3. Kultuuriameti haldusala</t>
  </si>
  <si>
    <t>3.1. Kultuuriamet</t>
  </si>
  <si>
    <t>3.2. Tallinna Keskraamatukogu</t>
  </si>
  <si>
    <t>3.3. Tallinna Pelgulinna Rahvamaja</t>
  </si>
  <si>
    <t>3.4. Tallinna Linnamuuseum</t>
  </si>
  <si>
    <t>3.5. Tallinna Kirjanduskeskus</t>
  </si>
  <si>
    <t>3.6. Tallinna Loomaaed</t>
  </si>
  <si>
    <t>3.7. Tallinna Linnateater</t>
  </si>
  <si>
    <t>3.8. Tallinna Filharmoonia</t>
  </si>
  <si>
    <t>4. Spordi- ja Noorsooameti haldusala</t>
  </si>
  <si>
    <t>4.1. Tallinna Spordi- ja Noorsooamet</t>
  </si>
  <si>
    <t>4.2. Pirita Spordikeskus</t>
  </si>
  <si>
    <t>4.3. Tallinna Spordihall</t>
  </si>
  <si>
    <t>4.4. Kadrioru Staadion</t>
  </si>
  <si>
    <t>4.5. Kristiine Sport</t>
  </si>
  <si>
    <t>4.6. Nõmme Spordikeskus</t>
  </si>
  <si>
    <t>5. Sotsiaal- ja Tervishoiuameti haldusala</t>
  </si>
  <si>
    <t>5.1. Sotsiaal- ja Tervishoiuamet</t>
  </si>
  <si>
    <t>5.2. Päevakeskus Käo</t>
  </si>
  <si>
    <t>5.3. Tallinna Vaimse Tervise Keskus</t>
  </si>
  <si>
    <t>5.4. Tallinna Tugikeskus Juks</t>
  </si>
  <si>
    <t>5.5. Tallinna Sotsiaaltöö Keskus</t>
  </si>
  <si>
    <t>5.6. Tallinna Kiirabi</t>
  </si>
  <si>
    <t>6. Linnavaraamet</t>
  </si>
  <si>
    <t>7. Ettevõtlusameti haldusala</t>
  </si>
  <si>
    <t>7.1. Ettevõtlusamet</t>
  </si>
  <si>
    <t>välisprojektide kaasfinantseerimine</t>
  </si>
  <si>
    <t>finantskulud (a)</t>
  </si>
  <si>
    <t>Birgitta festival</t>
  </si>
  <si>
    <t>Kultuuriöö</t>
  </si>
  <si>
    <t>Projekt „Tallinna Raamat”</t>
  </si>
  <si>
    <t>Noorte info- ja nõustamiskeskus</t>
  </si>
  <si>
    <t>projekt „Sport kooli”</t>
  </si>
  <si>
    <t>Noorsootööprogrammid ja -projektid</t>
  </si>
  <si>
    <t>laagriprojektid</t>
  </si>
  <si>
    <t>parima noorsootöötaja preemia</t>
  </si>
  <si>
    <r>
      <t>Päevategevus ja -hoid</t>
    </r>
    <r>
      <rPr>
        <sz val="8"/>
        <rFont val="Arial"/>
        <family val="2"/>
        <charset val="186"/>
      </rPr>
      <t xml:space="preserve"> (Sotsiaal- ja Tervishoiuamet, Tallinna Tugikeskus Juks, Päevakeskus Käo)</t>
    </r>
  </si>
  <si>
    <t>Omastehooldaja asendusteenus</t>
  </si>
  <si>
    <t>Kriisiabi</t>
  </si>
  <si>
    <t>Toetused lastele ja peredele (a)</t>
  </si>
  <si>
    <t>esmakordselt kooli mineva lapse toetus</t>
  </si>
  <si>
    <t>sünnitoetus</t>
  </si>
  <si>
    <t>lapsehoiuteenuse hüvitis</t>
  </si>
  <si>
    <t>ellusuunamise toetus</t>
  </si>
  <si>
    <t>puudega lapse toetus</t>
  </si>
  <si>
    <t>Tallinna Kiirabi</t>
  </si>
  <si>
    <t>Kainestusmaja haldamine</t>
  </si>
  <si>
    <t>Elamumajanduse muud kulud</t>
  </si>
  <si>
    <r>
      <t xml:space="preserve">sh </t>
    </r>
    <r>
      <rPr>
        <sz val="8"/>
        <rFont val="Arial"/>
        <family val="2"/>
        <charset val="186"/>
      </rPr>
      <t>eluruumide haldamine</t>
    </r>
  </si>
  <si>
    <t>korteriühistute toetus (a)</t>
  </si>
  <si>
    <t>Väikeettevõtlus</t>
  </si>
  <si>
    <t>Tööhõive tagamine</t>
  </si>
  <si>
    <t>Tootegrupp: turismi arendamine</t>
  </si>
  <si>
    <t>Kultuuriturism</t>
  </si>
  <si>
    <t>Turismiinfoteenused</t>
  </si>
  <si>
    <r>
      <t xml:space="preserve">Väikeettevõtluse toetamine, </t>
    </r>
    <r>
      <rPr>
        <i/>
        <u/>
        <sz val="10"/>
        <rFont val="Arial"/>
        <family val="2"/>
        <charset val="186"/>
      </rPr>
      <t>sh</t>
    </r>
  </si>
  <si>
    <t>uute töökohtade loomise toetus</t>
  </si>
  <si>
    <t>messitoetus</t>
  </si>
  <si>
    <t>Sihtotstarbeline toetus sotsiaalsete töökohtade loomiseks</t>
  </si>
  <si>
    <r>
      <t>Haljastute hooldus</t>
    </r>
    <r>
      <rPr>
        <sz val="8"/>
        <rFont val="Arial"/>
        <family val="2"/>
        <charset val="186"/>
      </rPr>
      <t xml:space="preserve"> (Kadrioru Park)</t>
    </r>
  </si>
  <si>
    <t>Toetused korteriühistutele, sh*</t>
  </si>
  <si>
    <t>toetus korteriühistutele fassaadide korrastamiseks (ü)</t>
  </si>
  <si>
    <t>supergraafilised seinapildid korterelamutele (ü)</t>
  </si>
  <si>
    <r>
      <t>Noortekeskus</t>
    </r>
    <r>
      <rPr>
        <sz val="8"/>
        <rFont val="Arial"/>
        <family val="2"/>
        <charset val="186"/>
      </rPr>
      <t xml:space="preserve"> (Kesklinna Vaba Aja Keskus)</t>
    </r>
  </si>
  <si>
    <t>- osutada koduteenuseid kõrvalabi vajavale 130 perele.</t>
  </si>
  <si>
    <r>
      <t>Saunateenuse korraldamine</t>
    </r>
    <r>
      <rPr>
        <sz val="8"/>
        <rFont val="Arial"/>
        <family val="2"/>
        <charset val="186"/>
      </rPr>
      <t xml:space="preserve"> (Raua Saun)</t>
    </r>
  </si>
  <si>
    <t>Rahvarinde muuseum</t>
  </si>
  <si>
    <r>
      <t>Noortekeskus</t>
    </r>
    <r>
      <rPr>
        <sz val="8"/>
        <rFont val="Arial"/>
        <family val="2"/>
        <charset val="186"/>
      </rPr>
      <t xml:space="preserve"> (Kristiine Tegevuskeskus)</t>
    </r>
  </si>
  <si>
    <r>
      <t>Päevakeskuse teenused</t>
    </r>
    <r>
      <rPr>
        <sz val="8"/>
        <rFont val="Arial"/>
        <family val="2"/>
        <charset val="186"/>
      </rPr>
      <t xml:space="preserve"> (Kristiine Sotsiaalmaja)</t>
    </r>
  </si>
  <si>
    <r>
      <t>Koduteenused</t>
    </r>
    <r>
      <rPr>
        <sz val="8"/>
        <rFont val="Arial"/>
        <family val="2"/>
        <charset val="186"/>
      </rPr>
      <t xml:space="preserve"> (Kristiine Sotsiaalmaja)</t>
    </r>
  </si>
  <si>
    <r>
      <t>Päevakeskuse teenused</t>
    </r>
    <r>
      <rPr>
        <sz val="8"/>
        <rFont val="Arial"/>
        <family val="2"/>
        <charset val="186"/>
      </rPr>
      <t xml:space="preserve"> (Nõmme Vaba Aja Keskus)</t>
    </r>
  </si>
  <si>
    <t>reservid, sh</t>
  </si>
  <si>
    <t>oma- ja kaasfinantseerimise ja välisprojektide ettevalmistamise reserv</t>
  </si>
  <si>
    <r>
      <t xml:space="preserve">sh </t>
    </r>
    <r>
      <rPr>
        <sz val="8"/>
        <rFont val="Arial"/>
        <family val="2"/>
        <charset val="186"/>
      </rPr>
      <t xml:space="preserve">õendusabi korraldamine </t>
    </r>
  </si>
  <si>
    <r>
      <rPr>
        <i/>
        <sz val="8"/>
        <rFont val="Arial"/>
        <family val="2"/>
        <charset val="186"/>
      </rPr>
      <t>sh</t>
    </r>
    <r>
      <rPr>
        <sz val="8"/>
        <rFont val="Arial"/>
        <family val="2"/>
        <charset val="186"/>
      </rPr>
      <t xml:space="preserve"> noorsootööprojektid</t>
    </r>
  </si>
  <si>
    <r>
      <t xml:space="preserve">sh </t>
    </r>
    <r>
      <rPr>
        <sz val="8"/>
        <rFont val="Arial"/>
        <family val="2"/>
        <charset val="186"/>
      </rPr>
      <t>Tallinna meistrivõistlused</t>
    </r>
  </si>
  <si>
    <r>
      <t xml:space="preserve">sh </t>
    </r>
    <r>
      <rPr>
        <sz val="8"/>
        <rFont val="Arial"/>
        <family val="2"/>
        <charset val="186"/>
      </rPr>
      <t>heakorrakuu</t>
    </r>
  </si>
  <si>
    <t>Eelarveaasta eesmärk:</t>
  </si>
  <si>
    <t>L. Koidula tn 23 hoone rekonstrueerimine lasteaiaks</t>
  </si>
  <si>
    <t>Pihlaka tn 10 hoone rekonstrueerimine lasteaiaks</t>
  </si>
  <si>
    <t xml:space="preserve">Sitsi Lasteaia hoone energiatõhususe parandamine </t>
  </si>
  <si>
    <t>Tallinna Botaanikaaia alajaama rekonstrueerimine</t>
  </si>
  <si>
    <t>Tallinna Loomaaia remonttööd ja soetused</t>
  </si>
  <si>
    <t>Kultuuriasutuste remonttööd ja soetused</t>
  </si>
  <si>
    <t>töötasu</t>
  </si>
  <si>
    <t>Koerte treenimis- ja jalutusväljaku ja kergliiklusteede rajamine Lillekülla</t>
  </si>
  <si>
    <t>Suur-Sõjamäe tn rekonstrueerimine (Kesk-Sõjamäe tn - J. Smuuli tee) (koos Kesk-Sõjamäe tänavaga)</t>
  </si>
  <si>
    <t>Ravikindlustusega hõlmamata isikute ravikulud (a)</t>
  </si>
  <si>
    <t>Linnavolikogu Kantselei</t>
  </si>
  <si>
    <t>sh linnakassa</t>
  </si>
  <si>
    <t>Keskkonnaamet</t>
  </si>
  <si>
    <t>Linnaplaneerimise Amet</t>
  </si>
  <si>
    <t>Ettevõtluse haldus</t>
  </si>
  <si>
    <t>Muinsuskaitsealased investeeringud</t>
  </si>
  <si>
    <t>Planeeringud ja arhitektuurikonkursid</t>
  </si>
  <si>
    <t>Koerte treenimis- ja jalutusväljaku rajamine Lillepi parki</t>
  </si>
  <si>
    <t>Lillepi pargi peremänguväljaku rajamine</t>
  </si>
  <si>
    <t>MUUTUS MUUDES KOHUSTUSTES KOKKU</t>
  </si>
  <si>
    <t>MUUTUS NÕUETES KOKKU</t>
  </si>
  <si>
    <t>Eelarveaasta eesmärk*:</t>
  </si>
  <si>
    <r>
      <t>Ujulad</t>
    </r>
    <r>
      <rPr>
        <sz val="8"/>
        <rFont val="Arial"/>
        <family val="2"/>
        <charset val="186"/>
      </rPr>
      <t xml:space="preserve"> (Tallinna Spordihall, Kristiine Sport)</t>
    </r>
  </si>
  <si>
    <t>sh Tallinna Männikäbi Lasteaia ja Sitsi Lasteaia renoveerimine koostöös KIK-ga**</t>
  </si>
  <si>
    <t>**** Tegevuskulud on kajastatud ka lisas 3 „Kulude eelarve” ja finantseerimistehingud lisas 5 „Finantseerimistegevuse eelarve”.</t>
  </si>
  <si>
    <t>IV ERA- JA AVALIKU SEKTORI KOOSTÖÖPROJEKTID****</t>
  </si>
  <si>
    <t xml:space="preserve">** Tallinna Linnavolikogu 22. detsembri 2016 määruses nr 28 „Tallinna linna 2017. aasta eelarve" muu investeerimisprojektina kajastatud projekt Tallinna Männikäbi Lasteaia ja Sitsi Lasteaia renoveerimine koostöös KIK-ga paigutatakse ümber välisrahastusega investeerimisprojektidesse. </t>
  </si>
  <si>
    <t>TERVISHOID</t>
  </si>
  <si>
    <t>Tallinna Kiirabi meditsiinivarustuse soetamine</t>
  </si>
  <si>
    <t>OT</t>
  </si>
  <si>
    <t xml:space="preserve">- tagada spordihoonete ja -rajatiste lahtiolek kokku 53 564 tundi aastas. </t>
  </si>
  <si>
    <t>- tagada ujulate lahtiolek kokku 10 568 tundi aastas.</t>
  </si>
  <si>
    <t>Tootegrupp: sporditegevuse toetamine</t>
  </si>
  <si>
    <t>Sporditegevuse toetamine (a)</t>
  </si>
  <si>
    <t>- tagada sporditegevuse toetus kokku 20 500 7-19-aastasele ning vanusepiiranguta püsiva töövõimetusega (vähemalt 40%) harrastajale.</t>
  </si>
  <si>
    <t>* Eelarve täitmisel on linnavalitsusel õigus muuta summade jaotust toetuste üldsumma piires.</t>
  </si>
  <si>
    <t>Kogu-maksumus</t>
  </si>
  <si>
    <r>
      <t>Staadionid</t>
    </r>
    <r>
      <rPr>
        <sz val="8"/>
        <rFont val="Arial"/>
        <family val="2"/>
        <charset val="186"/>
      </rPr>
      <t xml:space="preserve"> (Kadrioru Staadion)</t>
    </r>
  </si>
  <si>
    <t xml:space="preserve">Paljassaare põik 5 ja Mustjõe tn 40 jäätmejaamade ehitamine ja multiliftkonteinerite soetamine </t>
  </si>
  <si>
    <t>SOHJOA - Keskkonnasõbralikule ja isesõitvale viimase miili ühistranspordile üleminek Läänemere regioonis</t>
  </si>
  <si>
    <t xml:space="preserve"> - võimaldada tasuta toitlustamist kõigile munitsipaalüldhariduskoolide statsionaarses õppes õppivatele õpilastele.
</t>
  </si>
  <si>
    <t xml:space="preserve">* tühistada Tallinna Linnavolikogu 22. detsembri 2016 määruse nr 28 "Tallinna linna 2017. aasta eelarve" lisas 3 kajastatud eesmärk "- võimaldada tasuta toitlustamist 150 X kuni XII klassi õpilasele vähekindlustatud peredest."
</t>
  </si>
  <si>
    <t>Välisrahastusega projekt „SOHJOA - Keskkonnasõbralikule ja isesõitvale viimase miili ühistranspordile üleminek Läänemere regioonis" (ü)</t>
  </si>
  <si>
    <r>
      <t>Välisrahastusega projekt "Smart-up BSR - Nutika spetsialiseerumise edendamine Läänemere regioonis innovatsioonikeskuste koordineeritud tegevuse kaudu"</t>
    </r>
    <r>
      <rPr>
        <sz val="10"/>
        <rFont val="Arial"/>
        <family val="2"/>
        <charset val="186"/>
      </rPr>
      <t xml:space="preserve"> (ü)</t>
    </r>
  </si>
  <si>
    <t>koolieelsete lasteasutuste remonttööd, soetused ja tuleohutusnõuete täitmine</t>
  </si>
  <si>
    <t>Paljassaare põik 5 ja Mustjõe tn 40 jäätmejaamade ehitamine ja multiliftkonteinerite soetamine***</t>
  </si>
  <si>
    <t xml:space="preserve">***Tallinna Linnavolikogu 22. detsembri 2016 määruses nr 28 „Tallinna linna 2017. aasta eelarve" oli objekti nimetus „Paljassaare tee 5 ja Värvi tn 6 jäätmejaamade ehitamine ja multiliftkonteinerite soetamine“. Objekti nimetust muudetakse seoses aadressiandmete muutumisega.
</t>
  </si>
  <si>
    <t xml:space="preserve"> - võimaldada 760 lapsele hoidu ja alushariduse omandamist eralasteaias;</t>
  </si>
  <si>
    <t>Eelarveaasta eesmärgid:</t>
  </si>
  <si>
    <t>OT - omatulude arvelt tehtavad kulutused</t>
  </si>
  <si>
    <t>Sotsiaalhoolekanne</t>
  </si>
  <si>
    <t>Tervishoid</t>
  </si>
  <si>
    <t>* Eelarve täitmisel on linnavalitsusel õigus muuta summade jaotust ülelinnaliste kultuuriürituste üldsumma piires.</t>
  </si>
  <si>
    <t>- tagada Tallinna linna koolieelsetes munitsipaallasteasutustes käivate ja rahvastikuregistris Tallinna elanikuna registreeritud laste toidukulu päevamaksumuse katmine sõimeealistele 1,80 € ja aiaealistele 2 € ulatuses.</t>
  </si>
  <si>
    <r>
      <t>Koduteenused</t>
    </r>
    <r>
      <rPr>
        <sz val="8"/>
        <rFont val="Arial"/>
        <family val="2"/>
        <charset val="186"/>
      </rPr>
      <t xml:space="preserve"> (Paljassaare Sotsiaalmaja)</t>
    </r>
  </si>
  <si>
    <t>sh Tallinna Pae Gümnaasiumi juurdeehitus ja sisustus</t>
  </si>
  <si>
    <t>sellest Vanalinna päevad</t>
  </si>
  <si>
    <t>piletimüügi teenustasu</t>
  </si>
  <si>
    <t>8. Transpordiamet</t>
  </si>
  <si>
    <t>9. Kommunaalameti haldusala</t>
  </si>
  <si>
    <t>9.1. Kommunaalamet</t>
  </si>
  <si>
    <t>9.2. Kadrioru Park</t>
  </si>
  <si>
    <t>10. Keskkonnaameti haldusala</t>
  </si>
  <si>
    <t>10.1. Keskkonnaamet</t>
  </si>
  <si>
    <t>10.2. Tallinna Kalmistud</t>
  </si>
  <si>
    <t>10.3. Tallinna Jäätmekeskus</t>
  </si>
  <si>
    <t>11. Haabersti Linnaosa Valitsuse haldusala</t>
  </si>
  <si>
    <t>11.1. Haabersti Linnaosa Valitsus</t>
  </si>
  <si>
    <t>12. Tallinna Kesklinna Valitsuse haldusala</t>
  </si>
  <si>
    <t>12.1. Tallinna Kesklinna Valitsus</t>
  </si>
  <si>
    <t>12.2. Tallinna Kesklinna Sotsiaalkeskus</t>
  </si>
  <si>
    <t>12.3. Kesklinna Vaba Aja Keskus</t>
  </si>
  <si>
    <t>13. Kristiine Linnaosa Valitsuse haldusala</t>
  </si>
  <si>
    <t>13.1. Kristiine Linnaosa Valitsus</t>
  </si>
  <si>
    <t>13.2. Kristiine Tegevuskeskus</t>
  </si>
  <si>
    <t>14. Lasnamäe Linnaosa Valitsuse haldusala</t>
  </si>
  <si>
    <t>14.1. Lasnamäe Linnaosa Valitsus</t>
  </si>
  <si>
    <t>14.2. Lasnamäe Spordikompleks</t>
  </si>
  <si>
    <t>14.3. Kultuurikeskus Lindakivi</t>
  </si>
  <si>
    <t>14.4. Lasnamäe Saun</t>
  </si>
  <si>
    <t>14.5. Lasnamäe Lastekeskus</t>
  </si>
  <si>
    <t>15. Mustamäe Linnaosa Valitsuse haldusala</t>
  </si>
  <si>
    <t>15.1. Mustamäe Linnaosa Valitsus</t>
  </si>
  <si>
    <t>16. Nõmme Linnaosa Valitsuse haldusala</t>
  </si>
  <si>
    <t>16.1. Nõmme Linnaosa Valitsus</t>
  </si>
  <si>
    <t>16.2. Nõmme Kultuurikeskus</t>
  </si>
  <si>
    <t>16.3. Nõmme Sotsiaalmaja</t>
  </si>
  <si>
    <t>17. Pirita Linnaosa Valitsuse haldusala</t>
  </si>
  <si>
    <t>17.1. Pirita Linnaosa Valitsus</t>
  </si>
  <si>
    <t>17.2. Pirita Vaba Aja Keskus</t>
  </si>
  <si>
    <t>18. Põhja-Tallinna Valitsuse haldusala</t>
  </si>
  <si>
    <t>18.1. Põhja-Tallinna Valitsus</t>
  </si>
  <si>
    <t>18.2. Salme Kultuurikeskus</t>
  </si>
  <si>
    <t>FinEst Link - Soome-Eesti Transpordiühendus</t>
  </si>
  <si>
    <t>Toetus SA-le Tallinna Televisioon</t>
  </si>
  <si>
    <t>Tootevaldkond: linnatransport</t>
  </si>
  <si>
    <t>Tootegrupp: ühistransport</t>
  </si>
  <si>
    <t>Piletimajandus</t>
  </si>
  <si>
    <t>Välisrahastusega projekt „FinEst Link - Soome-Eesti Transpordiühendus” (ü)</t>
  </si>
  <si>
    <t>Tallinna Linnateatri arendusprojekt</t>
  </si>
  <si>
    <t>Graafiline disain Tallinna Linnahallile</t>
  </si>
  <si>
    <t>Mihhail Kõlvart</t>
  </si>
  <si>
    <t xml:space="preserve">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</si>
</sst>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"/>
    <numFmt numFmtId="165" formatCode="#,##0.0"/>
    <numFmt numFmtId="166" formatCode="_-* #,##0.00\ _k_r_-;\-* #,##0.00\ _k_r_-;_-* \-??\ _k_r_-;_-@_-"/>
  </numFmts>
  <fonts count="9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u/>
      <sz val="10"/>
      <name val="Arial"/>
      <family val="2"/>
      <charset val="186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9"/>
      <name val="Arial"/>
      <family val="2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9"/>
      <name val="Arial"/>
      <family val="2"/>
    </font>
    <font>
      <b/>
      <sz val="10"/>
      <color indexed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00B0F0"/>
      <name val="Arial"/>
      <family val="2"/>
    </font>
    <font>
      <i/>
      <u/>
      <sz val="1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u/>
      <sz val="10"/>
      <color theme="1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sz val="8"/>
      <name val="Arial"/>
      <family val="2"/>
    </font>
    <font>
      <b/>
      <sz val="10"/>
      <name val="Times New Roman"/>
      <family val="1"/>
      <charset val="186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5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0" fillId="0" borderId="0"/>
    <xf numFmtId="0" fontId="42" fillId="0" borderId="0"/>
    <xf numFmtId="0" fontId="43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49" fillId="4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6" fillId="3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4" fillId="23" borderId="7" applyNumberFormat="0" applyFont="0" applyAlignment="0" applyProtection="0"/>
    <xf numFmtId="0" fontId="66" fillId="20" borderId="8" applyNumberFormat="0" applyAlignment="0" applyProtection="0"/>
    <xf numFmtId="9" fontId="5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53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43" fillId="0" borderId="0"/>
    <xf numFmtId="0" fontId="2" fillId="0" borderId="0"/>
    <xf numFmtId="0" fontId="1" fillId="0" borderId="0"/>
    <xf numFmtId="0" fontId="5" fillId="0" borderId="0"/>
  </cellStyleXfs>
  <cellXfs count="564">
    <xf numFmtId="0" fontId="0" fillId="0" borderId="0" xfId="0"/>
    <xf numFmtId="0" fontId="25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6" fillId="0" borderId="0" xfId="0" applyFont="1" applyFill="1"/>
    <xf numFmtId="0" fontId="5" fillId="0" borderId="0" xfId="0" applyFont="1" applyFill="1" applyBorder="1" applyAlignment="1">
      <alignment horizontal="left" vertical="top"/>
    </xf>
    <xf numFmtId="3" fontId="27" fillId="0" borderId="0" xfId="0" applyNumberFormat="1" applyFont="1" applyFill="1" applyAlignment="1">
      <alignment vertical="top"/>
    </xf>
    <xf numFmtId="0" fontId="5" fillId="0" borderId="0" xfId="0" applyFont="1" applyFill="1"/>
    <xf numFmtId="3" fontId="26" fillId="0" borderId="0" xfId="0" applyNumberFormat="1" applyFont="1" applyFill="1" applyBorder="1"/>
    <xf numFmtId="0" fontId="5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3" fontId="25" fillId="0" borderId="0" xfId="0" applyNumberFormat="1" applyFont="1" applyFill="1" applyBorder="1" applyAlignment="1"/>
    <xf numFmtId="3" fontId="5" fillId="0" borderId="0" xfId="0" applyNumberFormat="1" applyFont="1" applyFill="1" applyAlignment="1"/>
    <xf numFmtId="3" fontId="26" fillId="0" borderId="0" xfId="0" applyNumberFormat="1" applyFont="1" applyFill="1" applyAlignment="1"/>
    <xf numFmtId="0" fontId="19" fillId="0" borderId="0" xfId="0" applyFont="1" applyAlignment="1">
      <alignment horizontal="right"/>
    </xf>
    <xf numFmtId="0" fontId="0" fillId="0" borderId="0" xfId="0" applyAlignment="1"/>
    <xf numFmtId="164" fontId="19" fillId="0" borderId="0" xfId="0" applyNumberFormat="1" applyFont="1" applyAlignment="1">
      <alignment horizontal="right"/>
    </xf>
    <xf numFmtId="0" fontId="0" fillId="0" borderId="0" xfId="0" applyFill="1"/>
    <xf numFmtId="0" fontId="31" fillId="0" borderId="0" xfId="0" applyFont="1" applyFill="1"/>
    <xf numFmtId="14" fontId="26" fillId="0" borderId="0" xfId="0" applyNumberFormat="1" applyFont="1" applyFill="1" applyAlignment="1">
      <alignment horizontal="left"/>
    </xf>
    <xf numFmtId="0" fontId="19" fillId="0" borderId="0" xfId="0" applyFont="1"/>
    <xf numFmtId="0" fontId="32" fillId="0" borderId="0" xfId="0" applyFont="1" applyFill="1" applyAlignment="1">
      <alignment horizontal="left" indent="2"/>
    </xf>
    <xf numFmtId="3" fontId="32" fillId="0" borderId="0" xfId="0" applyNumberFormat="1" applyFont="1" applyFill="1"/>
    <xf numFmtId="3" fontId="0" fillId="0" borderId="0" xfId="0" applyNumberFormat="1"/>
    <xf numFmtId="0" fontId="27" fillId="0" borderId="0" xfId="0" applyFont="1" applyFill="1" applyAlignment="1">
      <alignment horizontal="left" indent="4"/>
    </xf>
    <xf numFmtId="3" fontId="27" fillId="0" borderId="0" xfId="0" applyNumberFormat="1" applyFont="1" applyFill="1"/>
    <xf numFmtId="0" fontId="27" fillId="0" borderId="0" xfId="0" applyFont="1" applyFill="1" applyAlignment="1">
      <alignment horizontal="left" wrapText="1" indent="4"/>
    </xf>
    <xf numFmtId="0" fontId="27" fillId="0" borderId="0" xfId="35" applyNumberFormat="1" applyFont="1" applyFill="1" applyBorder="1" applyAlignment="1" applyProtection="1">
      <alignment horizontal="left" indent="6"/>
    </xf>
    <xf numFmtId="0" fontId="26" fillId="0" borderId="0" xfId="0" applyFont="1" applyFill="1" applyAlignment="1">
      <alignment horizontal="left" indent="1"/>
    </xf>
    <xf numFmtId="0" fontId="3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indent="4"/>
    </xf>
    <xf numFmtId="0" fontId="34" fillId="0" borderId="1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0" fontId="32" fillId="0" borderId="0" xfId="0" applyFont="1" applyFill="1" applyAlignment="1">
      <alignment horizontal="left" indent="1"/>
    </xf>
    <xf numFmtId="165" fontId="19" fillId="0" borderId="0" xfId="0" applyNumberFormat="1" applyFont="1"/>
    <xf numFmtId="9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14" fontId="5" fillId="0" borderId="0" xfId="0" applyNumberFormat="1" applyFont="1"/>
    <xf numFmtId="9" fontId="29" fillId="0" borderId="0" xfId="0" applyNumberFormat="1" applyFont="1"/>
    <xf numFmtId="165" fontId="29" fillId="0" borderId="0" xfId="0" applyNumberFormat="1" applyFont="1"/>
    <xf numFmtId="164" fontId="5" fillId="0" borderId="0" xfId="0" applyNumberFormat="1" applyFont="1"/>
    <xf numFmtId="0" fontId="37" fillId="0" borderId="0" xfId="35" applyFont="1" applyFill="1" applyBorder="1" applyAlignment="1" applyProtection="1">
      <alignment horizontal="left" wrapText="1"/>
    </xf>
    <xf numFmtId="0" fontId="38" fillId="0" borderId="0" xfId="35" applyFont="1" applyFill="1" applyBorder="1" applyAlignment="1" applyProtection="1">
      <alignment horizontal="left" wrapText="1"/>
    </xf>
    <xf numFmtId="0" fontId="31" fillId="0" borderId="0" xfId="0" applyFont="1"/>
    <xf numFmtId="0" fontId="0" fillId="0" borderId="0" xfId="0" applyAlignment="1">
      <alignment horizontal="right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/>
    <xf numFmtId="3" fontId="19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left"/>
    </xf>
    <xf numFmtId="0" fontId="19" fillId="0" borderId="0" xfId="0" quotePrefix="1" applyFont="1" applyFill="1" applyBorder="1"/>
    <xf numFmtId="3" fontId="19" fillId="0" borderId="0" xfId="0" quotePrefix="1" applyNumberFormat="1" applyFont="1" applyFill="1" applyBorder="1"/>
    <xf numFmtId="2" fontId="27" fillId="0" borderId="0" xfId="0" applyNumberFormat="1" applyFont="1" applyFill="1" applyBorder="1" applyAlignment="1">
      <alignment horizontal="left" indent="2"/>
    </xf>
    <xf numFmtId="3" fontId="27" fillId="0" borderId="0" xfId="0" applyNumberFormat="1" applyFont="1" applyFill="1" applyBorder="1" applyAlignment="1">
      <alignment horizontal="left" indent="2"/>
    </xf>
    <xf numFmtId="3" fontId="26" fillId="0" borderId="0" xfId="0" applyNumberFormat="1" applyFont="1" applyFill="1"/>
    <xf numFmtId="0" fontId="26" fillId="0" borderId="0" xfId="0" applyFont="1" applyFill="1" applyBorder="1" applyAlignment="1">
      <alignment wrapText="1"/>
    </xf>
    <xf numFmtId="0" fontId="31" fillId="0" borderId="0" xfId="0" applyFont="1" applyFill="1" applyBorder="1"/>
    <xf numFmtId="0" fontId="5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41" fillId="0" borderId="0" xfId="0" applyFont="1" applyFill="1" applyBorder="1" applyAlignment="1">
      <alignment horizontal="left" indent="2"/>
    </xf>
    <xf numFmtId="2" fontId="41" fillId="0" borderId="0" xfId="0" applyNumberFormat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2"/>
    </xf>
    <xf numFmtId="165" fontId="31" fillId="0" borderId="0" xfId="36" applyNumberFormat="1" applyFont="1" applyFill="1" applyBorder="1" applyAlignment="1">
      <alignment horizontal="left" wrapText="1"/>
    </xf>
    <xf numFmtId="0" fontId="44" fillId="0" borderId="0" xfId="0" applyFont="1" applyFill="1" applyBorder="1"/>
    <xf numFmtId="0" fontId="32" fillId="0" borderId="0" xfId="36" applyFont="1" applyFill="1" applyBorder="1" applyAlignment="1" applyProtection="1">
      <alignment horizontal="left" vertical="top" indent="1"/>
    </xf>
    <xf numFmtId="0" fontId="34" fillId="0" borderId="0" xfId="36" applyNumberFormat="1" applyFont="1" applyFill="1" applyBorder="1" applyAlignment="1">
      <alignment horizontal="left"/>
    </xf>
    <xf numFmtId="0" fontId="27" fillId="0" borderId="0" xfId="36" applyNumberFormat="1" applyFont="1" applyFill="1" applyBorder="1" applyAlignment="1" applyProtection="1">
      <alignment horizontal="left" indent="1"/>
    </xf>
    <xf numFmtId="0" fontId="27" fillId="0" borderId="0" xfId="36" applyNumberFormat="1" applyFont="1" applyFill="1" applyBorder="1" applyAlignment="1" applyProtection="1">
      <alignment horizontal="left" indent="2"/>
    </xf>
    <xf numFmtId="3" fontId="26" fillId="0" borderId="0" xfId="0" applyNumberFormat="1" applyFont="1"/>
    <xf numFmtId="0" fontId="45" fillId="0" borderId="0" xfId="0" applyFont="1" applyBorder="1" applyAlignment="1">
      <alignment horizontal="left" indent="1"/>
    </xf>
    <xf numFmtId="0" fontId="25" fillId="0" borderId="0" xfId="0" applyFont="1" applyFill="1" applyBorder="1" applyAlignment="1">
      <alignment horizontal="left"/>
    </xf>
    <xf numFmtId="0" fontId="39" fillId="0" borderId="0" xfId="0" applyFont="1" applyBorder="1"/>
    <xf numFmtId="165" fontId="0" fillId="0" borderId="0" xfId="0" applyNumberFormat="1"/>
    <xf numFmtId="0" fontId="29" fillId="0" borderId="0" xfId="0" applyFont="1"/>
    <xf numFmtId="0" fontId="5" fillId="0" borderId="0" xfId="0" applyFont="1" applyAlignment="1">
      <alignment horizontal="left" indent="3"/>
    </xf>
    <xf numFmtId="3" fontId="5" fillId="0" borderId="0" xfId="0" applyNumberFormat="1" applyFont="1"/>
    <xf numFmtId="0" fontId="5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165" fontId="39" fillId="0" borderId="0" xfId="0" applyNumberFormat="1" applyFont="1"/>
    <xf numFmtId="0" fontId="26" fillId="0" borderId="0" xfId="0" applyNumberFormat="1" applyFont="1" applyFill="1" applyAlignment="1">
      <alignment horizontal="left" vertical="top"/>
    </xf>
    <xf numFmtId="0" fontId="34" fillId="0" borderId="0" xfId="0" applyNumberFormat="1" applyFont="1" applyFill="1" applyAlignment="1">
      <alignment horizontal="left" vertical="top"/>
    </xf>
    <xf numFmtId="165" fontId="32" fillId="0" borderId="0" xfId="0" applyNumberFormat="1" applyFont="1" applyFill="1" applyAlignment="1">
      <alignment vertical="top"/>
    </xf>
    <xf numFmtId="165" fontId="26" fillId="0" borderId="0" xfId="0" applyNumberFormat="1" applyFont="1" applyFill="1" applyAlignment="1">
      <alignment vertical="top"/>
    </xf>
    <xf numFmtId="0" fontId="46" fillId="0" borderId="0" xfId="0" applyFont="1" applyFill="1" applyBorder="1"/>
    <xf numFmtId="3" fontId="35" fillId="0" borderId="0" xfId="0" applyNumberFormat="1" applyFont="1" applyBorder="1" applyAlignment="1"/>
    <xf numFmtId="3" fontId="26" fillId="0" borderId="0" xfId="0" applyNumberFormat="1" applyFont="1" applyBorder="1" applyAlignment="1"/>
    <xf numFmtId="3" fontId="45" fillId="0" borderId="0" xfId="0" applyNumberFormat="1" applyFont="1" applyBorder="1" applyAlignment="1"/>
    <xf numFmtId="0" fontId="26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3"/>
    </xf>
    <xf numFmtId="3" fontId="33" fillId="0" borderId="0" xfId="0" applyNumberFormat="1" applyFont="1" applyFill="1"/>
    <xf numFmtId="3" fontId="34" fillId="0" borderId="10" xfId="0" applyNumberFormat="1" applyFont="1" applyFill="1" applyBorder="1"/>
    <xf numFmtId="3" fontId="34" fillId="0" borderId="0" xfId="0" applyNumberFormat="1" applyFont="1" applyFill="1" applyBorder="1"/>
    <xf numFmtId="0" fontId="25" fillId="0" borderId="0" xfId="0" applyFont="1" applyBorder="1" applyAlignment="1">
      <alignment horizontal="left" wrapText="1"/>
    </xf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40" fillId="0" borderId="0" xfId="0" applyFont="1"/>
    <xf numFmtId="0" fontId="40" fillId="0" borderId="0" xfId="0" applyFont="1" applyFill="1"/>
    <xf numFmtId="0" fontId="40" fillId="0" borderId="0" xfId="0" applyFont="1" applyBorder="1"/>
    <xf numFmtId="3" fontId="5" fillId="0" borderId="0" xfId="0" applyNumberFormat="1" applyFont="1" applyFill="1"/>
    <xf numFmtId="164" fontId="5" fillId="0" borderId="0" xfId="43" applyNumberFormat="1" applyFont="1" applyAlignment="1">
      <alignment horizontal="right"/>
    </xf>
    <xf numFmtId="0" fontId="31" fillId="0" borderId="0" xfId="43" applyFont="1"/>
    <xf numFmtId="0" fontId="26" fillId="0" borderId="0" xfId="43" applyFont="1"/>
    <xf numFmtId="0" fontId="45" fillId="0" borderId="0" xfId="43" applyFont="1" applyAlignment="1">
      <alignment horizontal="right"/>
    </xf>
    <xf numFmtId="14" fontId="26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5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 vertical="top"/>
    </xf>
    <xf numFmtId="3" fontId="5" fillId="0" borderId="0" xfId="0" applyNumberFormat="1" applyFont="1" applyBorder="1" applyAlignment="1"/>
    <xf numFmtId="3" fontId="27" fillId="0" borderId="0" xfId="0" applyNumberFormat="1" applyFont="1" applyFill="1" applyAlignment="1">
      <alignment horizontal="right" vertical="top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/>
    <xf numFmtId="0" fontId="26" fillId="0" borderId="0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horizontal="right"/>
    </xf>
    <xf numFmtId="0" fontId="39" fillId="0" borderId="0" xfId="0" applyFont="1" applyFill="1"/>
    <xf numFmtId="3" fontId="41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/>
    <xf numFmtId="3" fontId="40" fillId="0" borderId="0" xfId="0" applyNumberFormat="1" applyFont="1" applyFill="1" applyAlignment="1"/>
    <xf numFmtId="3" fontId="40" fillId="0" borderId="0" xfId="0" applyNumberFormat="1" applyFont="1" applyFill="1" applyBorder="1" applyAlignment="1"/>
    <xf numFmtId="3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horizontal="left"/>
    </xf>
    <xf numFmtId="0" fontId="27" fillId="0" borderId="0" xfId="0" applyNumberFormat="1" applyFont="1" applyFill="1" applyAlignment="1">
      <alignment horizontal="left" vertical="top" indent="3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wrapText="1"/>
    </xf>
    <xf numFmtId="3" fontId="70" fillId="0" borderId="0" xfId="0" applyNumberFormat="1" applyFont="1"/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43" applyFont="1"/>
    <xf numFmtId="3" fontId="5" fillId="0" borderId="0" xfId="43" applyNumberFormat="1" applyFont="1"/>
    <xf numFmtId="0" fontId="0" fillId="0" borderId="0" xfId="0" applyBorder="1" applyAlignment="1">
      <alignment horizontal="right"/>
    </xf>
    <xf numFmtId="0" fontId="45" fillId="0" borderId="0" xfId="50" applyFont="1" applyBorder="1" applyAlignment="1">
      <alignment wrapText="1"/>
    </xf>
    <xf numFmtId="0" fontId="72" fillId="0" borderId="0" xfId="0" applyFont="1"/>
    <xf numFmtId="0" fontId="27" fillId="0" borderId="0" xfId="0" applyFont="1" applyFill="1" applyAlignment="1">
      <alignment horizontal="left" wrapText="1" indent="6"/>
    </xf>
    <xf numFmtId="3" fontId="73" fillId="0" borderId="0" xfId="0" applyNumberFormat="1" applyFont="1"/>
    <xf numFmtId="0" fontId="40" fillId="0" borderId="0" xfId="43" applyFont="1" applyFill="1" applyBorder="1" applyAlignment="1">
      <alignment horizontal="left" vertical="top"/>
    </xf>
    <xf numFmtId="0" fontId="41" fillId="0" borderId="0" xfId="43" applyFont="1" applyFill="1" applyBorder="1" applyAlignment="1">
      <alignment horizontal="left" vertical="top" indent="3"/>
    </xf>
    <xf numFmtId="0" fontId="39" fillId="0" borderId="0" xfId="43" applyFont="1" applyFill="1" applyBorder="1" applyAlignment="1">
      <alignment horizontal="left" vertical="top"/>
    </xf>
    <xf numFmtId="0" fontId="41" fillId="0" borderId="0" xfId="43" applyFont="1" applyFill="1" applyBorder="1" applyAlignment="1">
      <alignment horizontal="left" vertical="top" wrapText="1" indent="3"/>
    </xf>
    <xf numFmtId="0" fontId="52" fillId="0" borderId="0" xfId="43" applyFont="1" applyFill="1" applyBorder="1" applyAlignment="1">
      <alignment horizontal="left" vertical="top"/>
    </xf>
    <xf numFmtId="0" fontId="40" fillId="0" borderId="0" xfId="43" applyFont="1" applyFill="1" applyBorder="1" applyAlignment="1">
      <alignment horizontal="left" vertical="top" wrapText="1"/>
    </xf>
    <xf numFmtId="0" fontId="51" fillId="0" borderId="0" xfId="43" applyFont="1" applyFill="1" applyBorder="1" applyAlignment="1">
      <alignment horizontal="left" vertical="top" indent="3"/>
    </xf>
    <xf numFmtId="0" fontId="52" fillId="0" borderId="0" xfId="43" applyFont="1" applyFill="1" applyBorder="1" applyAlignment="1">
      <alignment horizontal="left" vertical="top" wrapText="1"/>
    </xf>
    <xf numFmtId="2" fontId="41" fillId="0" borderId="0" xfId="43" applyNumberFormat="1" applyFont="1" applyFill="1" applyBorder="1" applyAlignment="1">
      <alignment horizontal="left" vertical="top" wrapText="1" indent="3"/>
    </xf>
    <xf numFmtId="16" fontId="40" fillId="0" borderId="0" xfId="43" applyNumberFormat="1" applyFont="1" applyFill="1" applyBorder="1" applyAlignment="1">
      <alignment horizontal="left" vertical="top"/>
    </xf>
    <xf numFmtId="3" fontId="39" fillId="0" borderId="0" xfId="43" applyNumberFormat="1" applyFont="1" applyFill="1" applyBorder="1" applyAlignment="1">
      <alignment vertical="top"/>
    </xf>
    <xf numFmtId="3" fontId="40" fillId="0" borderId="0" xfId="43" applyNumberFormat="1" applyFont="1" applyFill="1" applyBorder="1" applyAlignment="1">
      <alignment vertical="top"/>
    </xf>
    <xf numFmtId="3" fontId="41" fillId="0" borderId="0" xfId="43" applyNumberFormat="1" applyFont="1" applyFill="1" applyBorder="1" applyAlignment="1">
      <alignment vertical="top" wrapText="1"/>
    </xf>
    <xf numFmtId="3" fontId="41" fillId="0" borderId="0" xfId="43" applyNumberFormat="1" applyFont="1" applyFill="1" applyBorder="1" applyAlignment="1">
      <alignment vertical="top"/>
    </xf>
    <xf numFmtId="3" fontId="40" fillId="0" borderId="0" xfId="43" applyNumberFormat="1" applyFont="1" applyFill="1" applyBorder="1" applyAlignment="1">
      <alignment vertical="top" wrapText="1"/>
    </xf>
    <xf numFmtId="3" fontId="52" fillId="0" borderId="0" xfId="43" applyNumberFormat="1" applyFont="1" applyFill="1" applyBorder="1" applyAlignment="1">
      <alignment vertical="top" wrapText="1"/>
    </xf>
    <xf numFmtId="3" fontId="52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/>
    </xf>
    <xf numFmtId="0" fontId="44" fillId="0" borderId="0" xfId="36" applyNumberFormat="1" applyFont="1" applyFill="1" applyBorder="1" applyAlignment="1" applyProtection="1">
      <alignment horizontal="left" vertical="top" indent="1"/>
    </xf>
    <xf numFmtId="0" fontId="44" fillId="0" borderId="0" xfId="36" applyNumberFormat="1" applyFont="1" applyFill="1" applyBorder="1" applyAlignment="1" applyProtection="1">
      <alignment horizontal="left" vertical="top" wrapText="1" indent="2"/>
    </xf>
    <xf numFmtId="0" fontId="27" fillId="0" borderId="0" xfId="36" applyNumberFormat="1" applyFont="1" applyFill="1" applyBorder="1" applyAlignment="1" applyProtection="1">
      <alignment horizontal="left" vertical="top" indent="2"/>
    </xf>
    <xf numFmtId="3" fontId="26" fillId="0" borderId="0" xfId="148" applyNumberFormat="1" applyFont="1"/>
    <xf numFmtId="3" fontId="5" fillId="0" borderId="0" xfId="148" applyNumberFormat="1" applyFont="1"/>
    <xf numFmtId="0" fontId="26" fillId="0" borderId="0" xfId="37" applyNumberFormat="1" applyFont="1" applyFill="1" applyBorder="1" applyAlignment="1">
      <alignment horizontal="left" vertical="top" indent="2"/>
    </xf>
    <xf numFmtId="0" fontId="26" fillId="0" borderId="14" xfId="43" applyFont="1" applyFill="1" applyBorder="1" applyAlignment="1" applyProtection="1">
      <alignment horizontal="left" vertical="top" wrapText="1"/>
    </xf>
    <xf numFmtId="0" fontId="38" fillId="0" borderId="11" xfId="43" applyFont="1" applyFill="1" applyBorder="1" applyAlignment="1" applyProtection="1">
      <alignment horizontal="left" vertical="top" wrapText="1"/>
      <protection locked="0"/>
    </xf>
    <xf numFmtId="0" fontId="71" fillId="0" borderId="12" xfId="43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36" fillId="0" borderId="0" xfId="37" applyNumberFormat="1" applyFont="1" applyFill="1" applyBorder="1" applyAlignment="1">
      <alignment horizontal="left" wrapText="1" indent="1"/>
    </xf>
    <xf numFmtId="0" fontId="33" fillId="0" borderId="0" xfId="0" applyNumberFormat="1" applyFont="1" applyFill="1" applyAlignment="1">
      <alignment horizontal="left" vertical="top" indent="1"/>
    </xf>
    <xf numFmtId="0" fontId="44" fillId="0" borderId="0" xfId="36" applyNumberFormat="1" applyFont="1" applyFill="1" applyBorder="1" applyAlignment="1" applyProtection="1">
      <alignment horizontal="left" vertical="top" indent="2"/>
    </xf>
    <xf numFmtId="0" fontId="33" fillId="0" borderId="0" xfId="0" applyNumberFormat="1" applyFont="1" applyFill="1" applyAlignment="1">
      <alignment horizontal="left" vertical="top" wrapText="1" indent="1"/>
    </xf>
    <xf numFmtId="0" fontId="34" fillId="0" borderId="0" xfId="36" applyNumberFormat="1" applyFont="1" applyFill="1" applyBorder="1" applyAlignment="1" applyProtection="1">
      <alignment horizontal="left" vertical="top"/>
    </xf>
    <xf numFmtId="0" fontId="31" fillId="0" borderId="0" xfId="36" applyNumberFormat="1" applyFont="1" applyFill="1" applyBorder="1" applyAlignment="1" applyProtection="1">
      <alignment horizontal="left" vertical="top"/>
    </xf>
    <xf numFmtId="0" fontId="26" fillId="0" borderId="0" xfId="36" applyNumberFormat="1" applyFont="1" applyFill="1" applyBorder="1" applyAlignment="1" applyProtection="1">
      <alignment horizontal="left" vertical="top"/>
    </xf>
    <xf numFmtId="0" fontId="27" fillId="0" borderId="0" xfId="36" applyFont="1" applyFill="1" applyBorder="1" applyAlignment="1" applyProtection="1">
      <alignment horizontal="left" vertical="top" indent="1"/>
    </xf>
    <xf numFmtId="0" fontId="26" fillId="0" borderId="0" xfId="36" applyFont="1" applyFill="1" applyBorder="1" applyAlignment="1">
      <alignment horizontal="left" vertical="top"/>
    </xf>
    <xf numFmtId="0" fontId="27" fillId="0" borderId="0" xfId="36" applyNumberFormat="1" applyFont="1" applyFill="1" applyBorder="1" applyAlignment="1" applyProtection="1">
      <alignment horizontal="left" vertical="top" indent="1"/>
    </xf>
    <xf numFmtId="0" fontId="31" fillId="0" borderId="0" xfId="0" applyNumberFormat="1" applyFont="1" applyFill="1" applyAlignment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 indent="3"/>
    </xf>
    <xf numFmtId="0" fontId="24" fillId="0" borderId="0" xfId="36" applyNumberFormat="1" applyFont="1" applyFill="1" applyBorder="1" applyAlignment="1" applyProtection="1">
      <alignment horizontal="left" vertical="top" indent="2"/>
    </xf>
    <xf numFmtId="0" fontId="35" fillId="0" borderId="0" xfId="37" applyNumberFormat="1" applyFont="1" applyFill="1" applyBorder="1" applyAlignment="1">
      <alignment horizontal="left" vertical="top"/>
    </xf>
    <xf numFmtId="0" fontId="24" fillId="0" borderId="0" xfId="36" applyNumberFormat="1" applyFont="1" applyFill="1" applyBorder="1" applyAlignment="1" applyProtection="1">
      <alignment horizontal="left" vertical="top" wrapText="1"/>
    </xf>
    <xf numFmtId="0" fontId="36" fillId="0" borderId="0" xfId="36" applyNumberFormat="1" applyFont="1" applyFill="1" applyBorder="1" applyAlignment="1" applyProtection="1">
      <alignment horizontal="left" vertical="top" indent="2"/>
    </xf>
    <xf numFmtId="0" fontId="24" fillId="0" borderId="0" xfId="36" applyNumberFormat="1" applyFont="1" applyFill="1" applyBorder="1" applyAlignment="1" applyProtection="1">
      <alignment horizontal="left" vertical="top" indent="3"/>
    </xf>
    <xf numFmtId="0" fontId="26" fillId="0" borderId="0" xfId="0" applyNumberFormat="1" applyFont="1" applyFill="1" applyAlignment="1">
      <alignment horizontal="left" vertical="top" indent="2"/>
    </xf>
    <xf numFmtId="0" fontId="5" fillId="0" borderId="0" xfId="31" applyNumberFormat="1" applyFont="1" applyFill="1" applyBorder="1" applyAlignment="1" applyProtection="1">
      <alignment horizontal="left" vertical="top" wrapText="1" indent="2"/>
    </xf>
    <xf numFmtId="0" fontId="26" fillId="0" borderId="0" xfId="36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36" fillId="0" borderId="0" xfId="31" quotePrefix="1" applyNumberFormat="1" applyFont="1" applyFill="1" applyBorder="1" applyAlignment="1" applyProtection="1">
      <alignment horizontal="left" vertical="top" wrapText="1" indent="1"/>
    </xf>
    <xf numFmtId="0" fontId="5" fillId="0" borderId="0" xfId="31" applyNumberFormat="1" applyFont="1" applyFill="1" applyBorder="1" applyAlignment="1" applyProtection="1">
      <alignment horizontal="left" vertical="top" wrapText="1"/>
    </xf>
    <xf numFmtId="0" fontId="36" fillId="0" borderId="0" xfId="0" applyNumberFormat="1" applyFont="1" applyFill="1" applyAlignment="1">
      <alignment horizontal="left" wrapText="1" indent="3"/>
    </xf>
    <xf numFmtId="0" fontId="36" fillId="0" borderId="0" xfId="0" quotePrefix="1" applyNumberFormat="1" applyFont="1" applyFill="1" applyAlignment="1">
      <alignment horizontal="left" wrapText="1" indent="1"/>
    </xf>
    <xf numFmtId="0" fontId="24" fillId="0" borderId="0" xfId="31" applyNumberFormat="1" applyFont="1" applyFill="1" applyBorder="1" applyAlignment="1" applyProtection="1">
      <alignment horizontal="left" vertical="top" wrapText="1" indent="3"/>
    </xf>
    <xf numFmtId="0" fontId="5" fillId="0" borderId="0" xfId="31" applyNumberFormat="1" applyFont="1" applyFill="1" applyBorder="1" applyAlignment="1" applyProtection="1">
      <alignment horizontal="left" vertical="top" indent="2"/>
    </xf>
    <xf numFmtId="0" fontId="5" fillId="0" borderId="0" xfId="0" applyNumberFormat="1" applyFont="1" applyFill="1" applyAlignment="1">
      <alignment horizontal="left" vertical="top" wrapText="1"/>
    </xf>
    <xf numFmtId="0" fontId="36" fillId="0" borderId="0" xfId="36" quotePrefix="1" applyNumberFormat="1" applyFont="1" applyFill="1" applyBorder="1" applyAlignment="1" applyProtection="1">
      <alignment horizontal="left" indent="1"/>
    </xf>
    <xf numFmtId="0" fontId="36" fillId="0" borderId="0" xfId="36" applyNumberFormat="1" applyFont="1" applyFill="1" applyBorder="1" applyAlignment="1" applyProtection="1">
      <alignment horizontal="left" vertical="top" indent="1"/>
    </xf>
    <xf numFmtId="0" fontId="32" fillId="0" borderId="0" xfId="0" applyNumberFormat="1" applyFont="1" applyFill="1" applyAlignment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/>
    </xf>
    <xf numFmtId="0" fontId="24" fillId="0" borderId="0" xfId="36" applyNumberFormat="1" applyFont="1" applyFill="1" applyBorder="1" applyAlignment="1" applyProtection="1">
      <alignment horizontal="left" vertical="top" wrapText="1" indent="2"/>
    </xf>
    <xf numFmtId="0" fontId="32" fillId="0" borderId="0" xfId="36" applyNumberFormat="1" applyFont="1" applyFill="1" applyBorder="1" applyAlignment="1" applyProtection="1">
      <alignment horizontal="left" vertical="top"/>
    </xf>
    <xf numFmtId="0" fontId="24" fillId="0" borderId="0" xfId="36" applyNumberFormat="1" applyFont="1" applyFill="1" applyBorder="1" applyAlignment="1" applyProtection="1">
      <alignment horizontal="left" vertical="top" indent="1"/>
    </xf>
    <xf numFmtId="0" fontId="35" fillId="0" borderId="0" xfId="36" applyNumberFormat="1" applyFont="1" applyFill="1" applyBorder="1" applyAlignment="1" applyProtection="1">
      <alignment horizontal="left" vertical="top" wrapText="1"/>
    </xf>
    <xf numFmtId="0" fontId="33" fillId="0" borderId="0" xfId="36" applyNumberFormat="1" applyFont="1" applyFill="1" applyBorder="1" applyAlignment="1" applyProtection="1">
      <alignment horizontal="left" vertical="top" indent="1"/>
    </xf>
    <xf numFmtId="0" fontId="24" fillId="0" borderId="0" xfId="37" applyNumberFormat="1" applyFont="1" applyFill="1" applyBorder="1" applyAlignment="1">
      <alignment horizontal="left" vertical="top" indent="1"/>
    </xf>
    <xf numFmtId="0" fontId="27" fillId="0" borderId="0" xfId="36" applyNumberFormat="1" applyFont="1" applyFill="1" applyBorder="1" applyAlignment="1" applyProtection="1">
      <alignment horizontal="left" vertical="top"/>
    </xf>
    <xf numFmtId="0" fontId="35" fillId="0" borderId="0" xfId="0" applyNumberFormat="1" applyFont="1" applyFill="1" applyAlignment="1">
      <alignment horizontal="left" vertical="top"/>
    </xf>
    <xf numFmtId="0" fontId="34" fillId="0" borderId="0" xfId="36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 wrapText="1" indent="1"/>
    </xf>
    <xf numFmtId="0" fontId="24" fillId="0" borderId="0" xfId="0" applyNumberFormat="1" applyFont="1" applyFill="1" applyAlignment="1">
      <alignment horizontal="left" vertical="top" wrapText="1" indent="2"/>
    </xf>
    <xf numFmtId="0" fontId="44" fillId="0" borderId="0" xfId="36" applyNumberFormat="1" applyFont="1" applyFill="1" applyBorder="1" applyAlignment="1" applyProtection="1">
      <alignment horizontal="left" vertical="top" wrapText="1" indent="3"/>
    </xf>
    <xf numFmtId="0" fontId="34" fillId="0" borderId="0" xfId="36" applyNumberFormat="1" applyFont="1" applyFill="1" applyBorder="1" applyAlignment="1" applyProtection="1">
      <alignment horizontal="left" vertical="top" wrapText="1"/>
    </xf>
    <xf numFmtId="0" fontId="26" fillId="0" borderId="0" xfId="36" applyNumberFormat="1" applyFont="1" applyFill="1" applyBorder="1" applyAlignment="1" applyProtection="1">
      <alignment horizontal="left" vertical="top" wrapText="1"/>
    </xf>
    <xf numFmtId="0" fontId="26" fillId="0" borderId="0" xfId="36" applyNumberFormat="1" applyFont="1" applyFill="1" applyBorder="1" applyAlignment="1">
      <alignment horizontal="left" vertical="top" wrapText="1"/>
    </xf>
    <xf numFmtId="0" fontId="27" fillId="0" borderId="0" xfId="36" applyNumberFormat="1" applyFont="1" applyFill="1" applyBorder="1" applyAlignment="1" applyProtection="1">
      <alignment horizontal="left" vertical="top" wrapText="1" indent="1"/>
    </xf>
    <xf numFmtId="0" fontId="27" fillId="0" borderId="0" xfId="36" applyNumberFormat="1" applyFont="1" applyFill="1" applyBorder="1" applyAlignment="1" applyProtection="1">
      <alignment horizontal="left" vertical="top" wrapText="1" indent="2"/>
    </xf>
    <xf numFmtId="0" fontId="36" fillId="0" borderId="0" xfId="37" quotePrefix="1" applyNumberFormat="1" applyFont="1" applyFill="1" applyBorder="1" applyAlignment="1">
      <alignment horizontal="left" wrapText="1" indent="1"/>
    </xf>
    <xf numFmtId="0" fontId="44" fillId="0" borderId="0" xfId="36" applyNumberFormat="1" applyFont="1" applyFill="1" applyBorder="1" applyAlignment="1" applyProtection="1">
      <alignment horizontal="left" wrapText="1" indent="1"/>
    </xf>
    <xf numFmtId="0" fontId="26" fillId="0" borderId="0" xfId="37" applyNumberFormat="1" applyFont="1" applyFill="1" applyBorder="1" applyAlignment="1">
      <alignment horizontal="left" vertical="top" wrapText="1"/>
    </xf>
    <xf numFmtId="0" fontId="27" fillId="0" borderId="0" xfId="36" applyNumberFormat="1" applyFont="1" applyFill="1" applyBorder="1" applyAlignment="1" applyProtection="1">
      <alignment horizontal="left" vertical="top" indent="3"/>
    </xf>
    <xf numFmtId="0" fontId="5" fillId="0" borderId="0" xfId="31" applyNumberFormat="1" applyFont="1" applyFill="1" applyBorder="1" applyAlignment="1" applyProtection="1">
      <alignment horizontal="left" vertical="top" wrapText="1" indent="3"/>
    </xf>
    <xf numFmtId="0" fontId="33" fillId="0" borderId="0" xfId="37" applyNumberFormat="1" applyFont="1" applyFill="1" applyBorder="1" applyAlignment="1">
      <alignment horizontal="left" vertical="top"/>
    </xf>
    <xf numFmtId="0" fontId="36" fillId="0" borderId="0" xfId="36" applyNumberFormat="1" applyFont="1" applyFill="1" applyBorder="1" applyAlignment="1" applyProtection="1">
      <alignment horizontal="left" vertical="top" wrapText="1" indent="2"/>
    </xf>
    <xf numFmtId="0" fontId="31" fillId="0" borderId="0" xfId="36" applyNumberFormat="1" applyFont="1" applyFill="1" applyBorder="1" applyAlignment="1">
      <alignment horizontal="left" vertical="top"/>
    </xf>
    <xf numFmtId="0" fontId="31" fillId="0" borderId="0" xfId="37" applyNumberFormat="1" applyFont="1" applyFill="1" applyBorder="1" applyAlignment="1">
      <alignment horizontal="left" vertical="top"/>
    </xf>
    <xf numFmtId="0" fontId="26" fillId="0" borderId="0" xfId="0" applyNumberFormat="1" applyFont="1" applyFill="1" applyAlignment="1">
      <alignment horizontal="left" vertical="top" wrapText="1" indent="2"/>
    </xf>
    <xf numFmtId="0" fontId="33" fillId="0" borderId="0" xfId="36" applyNumberFormat="1" applyFont="1" applyFill="1" applyBorder="1" applyAlignment="1" applyProtection="1">
      <alignment horizontal="left" vertical="top" wrapText="1" indent="1"/>
    </xf>
    <xf numFmtId="0" fontId="26" fillId="0" borderId="0" xfId="36" applyNumberFormat="1" applyFont="1" applyFill="1" applyBorder="1" applyAlignment="1" applyProtection="1">
      <alignment horizontal="left" vertical="top" indent="2"/>
    </xf>
    <xf numFmtId="0" fontId="5" fillId="0" borderId="0" xfId="36" applyNumberFormat="1" applyFont="1" applyFill="1" applyBorder="1" applyAlignment="1" applyProtection="1">
      <alignment horizontal="left" vertical="top" indent="2"/>
    </xf>
    <xf numFmtId="0" fontId="35" fillId="0" borderId="0" xfId="36" applyNumberFormat="1" applyFont="1" applyFill="1" applyBorder="1" applyAlignment="1">
      <alignment horizontal="left" vertical="top" wrapText="1"/>
    </xf>
    <xf numFmtId="0" fontId="44" fillId="0" borderId="0" xfId="36" applyNumberFormat="1" applyFont="1" applyFill="1" applyBorder="1" applyAlignment="1" applyProtection="1">
      <alignment horizontal="left" vertical="top"/>
    </xf>
    <xf numFmtId="0" fontId="31" fillId="0" borderId="0" xfId="0" applyNumberFormat="1" applyFont="1" applyFill="1" applyAlignment="1">
      <alignment horizontal="left" vertical="top" wrapText="1"/>
    </xf>
    <xf numFmtId="0" fontId="24" fillId="0" borderId="0" xfId="36" applyNumberFormat="1" applyFont="1" applyFill="1" applyBorder="1" applyAlignment="1" applyProtection="1">
      <alignment horizontal="left" vertical="top"/>
    </xf>
    <xf numFmtId="3" fontId="34" fillId="0" borderId="0" xfId="36" applyNumberFormat="1" applyFont="1" applyFill="1" applyBorder="1" applyAlignment="1" applyProtection="1">
      <alignment vertical="top"/>
    </xf>
    <xf numFmtId="3" fontId="48" fillId="0" borderId="0" xfId="0" applyNumberFormat="1" applyFont="1"/>
    <xf numFmtId="0" fontId="26" fillId="0" borderId="14" xfId="43" applyFont="1" applyFill="1" applyBorder="1" applyAlignment="1" applyProtection="1">
      <alignment horizontal="center" vertical="top" wrapText="1"/>
    </xf>
    <xf numFmtId="0" fontId="35" fillId="0" borderId="0" xfId="0" applyFont="1" applyFill="1" applyAlignment="1">
      <alignment horizontal="left" indent="6"/>
    </xf>
    <xf numFmtId="0" fontId="27" fillId="0" borderId="0" xfId="0" applyFont="1" applyAlignment="1">
      <alignment horizontal="left" indent="7"/>
    </xf>
    <xf numFmtId="0" fontId="32" fillId="0" borderId="0" xfId="0" applyFont="1" applyFill="1" applyAlignment="1">
      <alignment horizontal="left" indent="4"/>
    </xf>
    <xf numFmtId="0" fontId="27" fillId="0" borderId="0" xfId="0" applyFont="1" applyFill="1" applyAlignment="1">
      <alignment horizontal="left" indent="7"/>
    </xf>
    <xf numFmtId="0" fontId="5" fillId="0" borderId="16" xfId="43" applyFont="1" applyFill="1" applyBorder="1" applyAlignment="1" applyProtection="1">
      <alignment horizontal="left" vertical="top"/>
      <protection locked="0"/>
    </xf>
    <xf numFmtId="3" fontId="5" fillId="0" borderId="16" xfId="43" applyNumberFormat="1" applyFont="1" applyFill="1" applyBorder="1" applyAlignment="1" applyProtection="1">
      <alignment vertical="top"/>
      <protection locked="0"/>
    </xf>
    <xf numFmtId="0" fontId="5" fillId="0" borderId="14" xfId="43" applyFont="1" applyBorder="1"/>
    <xf numFmtId="0" fontId="26" fillId="0" borderId="14" xfId="43" applyFont="1" applyBorder="1"/>
    <xf numFmtId="0" fontId="35" fillId="0" borderId="16" xfId="43" applyFont="1" applyFill="1" applyBorder="1" applyAlignment="1" applyProtection="1">
      <alignment horizontal="left" vertical="top" wrapText="1"/>
      <protection locked="0"/>
    </xf>
    <xf numFmtId="0" fontId="5" fillId="0" borderId="11" xfId="43" applyFont="1" applyFill="1" applyBorder="1" applyAlignment="1" applyProtection="1">
      <alignment horizontal="center" vertical="top" wrapText="1"/>
    </xf>
    <xf numFmtId="0" fontId="5" fillId="0" borderId="12" xfId="43" applyFont="1" applyFill="1" applyBorder="1" applyAlignment="1" applyProtection="1">
      <alignment horizontal="center" vertical="top" wrapText="1"/>
    </xf>
    <xf numFmtId="0" fontId="41" fillId="0" borderId="0" xfId="0" applyFont="1" applyAlignment="1">
      <alignment horizontal="center" wrapText="1"/>
    </xf>
    <xf numFmtId="0" fontId="39" fillId="0" borderId="0" xfId="0" applyFont="1"/>
    <xf numFmtId="3" fontId="39" fillId="0" borderId="0" xfId="0" applyNumberFormat="1" applyFont="1" applyFill="1"/>
    <xf numFmtId="3" fontId="40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40" fillId="0" borderId="0" xfId="148" applyFont="1" applyFill="1" applyBorder="1" applyAlignment="1">
      <alignment horizontal="left" vertical="top"/>
    </xf>
    <xf numFmtId="0" fontId="40" fillId="0" borderId="0" xfId="43" applyFont="1" applyFill="1" applyBorder="1"/>
    <xf numFmtId="0" fontId="40" fillId="0" borderId="0" xfId="43" applyFont="1" applyFill="1" applyBorder="1" applyAlignment="1">
      <alignment horizontal="left"/>
    </xf>
    <xf numFmtId="3" fontId="40" fillId="0" borderId="0" xfId="43" applyNumberFormat="1" applyFont="1" applyFill="1" applyBorder="1" applyAlignment="1"/>
    <xf numFmtId="2" fontId="27" fillId="0" borderId="0" xfId="148" applyNumberFormat="1" applyFont="1" applyFill="1" applyBorder="1" applyAlignment="1">
      <alignment horizontal="left" indent="2"/>
    </xf>
    <xf numFmtId="3" fontId="26" fillId="0" borderId="0" xfId="37" applyNumberFormat="1" applyFont="1" applyFill="1" applyBorder="1" applyAlignment="1">
      <alignment horizontal="right" vertical="top"/>
    </xf>
    <xf numFmtId="3" fontId="27" fillId="0" borderId="0" xfId="36" applyNumberFormat="1" applyFont="1" applyFill="1" applyBorder="1" applyAlignment="1" applyProtection="1">
      <alignment horizontal="right"/>
    </xf>
    <xf numFmtId="3" fontId="26" fillId="0" borderId="0" xfId="0" applyNumberFormat="1" applyFont="1" applyFill="1" applyAlignment="1">
      <alignment horizontal="right" vertical="top"/>
    </xf>
    <xf numFmtId="3" fontId="32" fillId="0" borderId="0" xfId="36" applyNumberFormat="1" applyFont="1" applyFill="1" applyBorder="1" applyAlignment="1" applyProtection="1">
      <alignment horizontal="right" vertical="top"/>
    </xf>
    <xf numFmtId="3" fontId="5" fillId="0" borderId="0" xfId="36" applyNumberFormat="1" applyFont="1" applyFill="1" applyBorder="1" applyAlignment="1">
      <alignment horizontal="right" vertical="top" wrapText="1"/>
    </xf>
    <xf numFmtId="3" fontId="34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Border="1" applyAlignment="1">
      <alignment horizontal="right"/>
    </xf>
    <xf numFmtId="0" fontId="74" fillId="0" borderId="0" xfId="0" applyFont="1" applyBorder="1"/>
    <xf numFmtId="3" fontId="74" fillId="0" borderId="0" xfId="0" applyNumberFormat="1" applyFont="1"/>
    <xf numFmtId="0" fontId="27" fillId="0" borderId="0" xfId="0" applyFont="1" applyAlignment="1">
      <alignment vertical="top" wrapText="1"/>
    </xf>
    <xf numFmtId="3" fontId="5" fillId="0" borderId="0" xfId="31" applyNumberFormat="1" applyFont="1" applyFill="1" applyBorder="1" applyAlignment="1" applyProtection="1">
      <alignment vertical="top" wrapText="1"/>
    </xf>
    <xf numFmtId="3" fontId="36" fillId="0" borderId="0" xfId="31" quotePrefix="1" applyNumberFormat="1" applyFont="1" applyFill="1" applyBorder="1" applyAlignment="1" applyProtection="1">
      <alignment vertical="top" wrapText="1"/>
    </xf>
    <xf numFmtId="3" fontId="0" fillId="0" borderId="0" xfId="0" applyNumberFormat="1" applyFill="1"/>
    <xf numFmtId="0" fontId="5" fillId="0" borderId="0" xfId="0" applyFont="1" applyFill="1" applyAlignment="1">
      <alignment horizontal="right"/>
    </xf>
    <xf numFmtId="0" fontId="25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41" fillId="0" borderId="0" xfId="148" applyFont="1" applyFill="1" applyBorder="1" applyAlignment="1">
      <alignment horizontal="left" vertical="top" indent="3"/>
    </xf>
    <xf numFmtId="0" fontId="36" fillId="0" borderId="0" xfId="37" quotePrefix="1" applyNumberFormat="1" applyFont="1" applyFill="1" applyBorder="1" applyAlignment="1">
      <alignment horizontal="left" vertical="top" wrapText="1" indent="1"/>
    </xf>
    <xf numFmtId="3" fontId="5" fillId="0" borderId="0" xfId="36" applyNumberFormat="1" applyFont="1" applyFill="1" applyBorder="1" applyAlignment="1" applyProtection="1">
      <alignment vertical="top"/>
    </xf>
    <xf numFmtId="3" fontId="5" fillId="0" borderId="0" xfId="36" applyNumberFormat="1" applyFont="1" applyFill="1" applyBorder="1" applyAlignment="1">
      <alignment vertical="top" wrapText="1"/>
    </xf>
    <xf numFmtId="3" fontId="5" fillId="0" borderId="0" xfId="37" applyNumberFormat="1" applyFont="1" applyFill="1" applyBorder="1" applyAlignment="1">
      <alignment vertical="top"/>
    </xf>
    <xf numFmtId="0" fontId="35" fillId="0" borderId="0" xfId="151" applyNumberFormat="1" applyFont="1" applyFill="1" applyBorder="1" applyAlignment="1">
      <alignment horizontal="left" vertical="top"/>
    </xf>
    <xf numFmtId="3" fontId="5" fillId="0" borderId="0" xfId="151" applyNumberFormat="1" applyFont="1" applyFill="1" applyBorder="1" applyAlignment="1">
      <alignment vertical="top"/>
    </xf>
    <xf numFmtId="3" fontId="26" fillId="0" borderId="0" xfId="36" applyNumberFormat="1" applyFont="1" applyFill="1" applyBorder="1" applyAlignment="1" applyProtection="1">
      <alignment vertical="top"/>
    </xf>
    <xf numFmtId="3" fontId="44" fillId="0" borderId="0" xfId="36" applyNumberFormat="1" applyFont="1" applyFill="1" applyBorder="1" applyAlignment="1" applyProtection="1">
      <alignment vertical="top"/>
    </xf>
    <xf numFmtId="0" fontId="5" fillId="0" borderId="0" xfId="36" applyNumberFormat="1" applyFont="1" applyFill="1" applyBorder="1" applyAlignment="1" applyProtection="1">
      <alignment horizontal="left" vertical="top" indent="1"/>
    </xf>
    <xf numFmtId="3" fontId="24" fillId="0" borderId="0" xfId="36" applyNumberFormat="1" applyFont="1" applyFill="1" applyBorder="1" applyAlignment="1" applyProtection="1">
      <alignment vertical="top"/>
    </xf>
    <xf numFmtId="3" fontId="26" fillId="0" borderId="0" xfId="0" applyNumberFormat="1" applyFont="1" applyFill="1" applyAlignment="1">
      <alignment vertical="top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vertical="top" wrapText="1"/>
    </xf>
    <xf numFmtId="0" fontId="41" fillId="0" borderId="0" xfId="43" applyFont="1" applyFill="1" applyBorder="1" applyAlignment="1">
      <alignment horizontal="left" vertical="center" indent="3"/>
    </xf>
    <xf numFmtId="0" fontId="27" fillId="0" borderId="0" xfId="148" applyFont="1" applyFill="1" applyBorder="1" applyAlignment="1">
      <alignment horizontal="left" vertical="top" indent="3"/>
    </xf>
    <xf numFmtId="2" fontId="40" fillId="0" borderId="0" xfId="43" applyNumberFormat="1" applyFont="1" applyFill="1" applyBorder="1" applyAlignment="1">
      <alignment horizontal="left" vertical="top"/>
    </xf>
    <xf numFmtId="0" fontId="41" fillId="0" borderId="0" xfId="148" applyFont="1" applyFill="1" applyBorder="1" applyAlignment="1">
      <alignment horizontal="left" vertical="top" wrapText="1" indent="3"/>
    </xf>
    <xf numFmtId="3" fontId="41" fillId="0" borderId="0" xfId="43" applyNumberFormat="1" applyFont="1" applyFill="1" applyBorder="1" applyAlignment="1">
      <alignment vertical="center"/>
    </xf>
    <xf numFmtId="3" fontId="40" fillId="0" borderId="0" xfId="148" applyNumberFormat="1" applyFont="1" applyFill="1" applyBorder="1" applyAlignment="1">
      <alignment vertical="top"/>
    </xf>
    <xf numFmtId="3" fontId="27" fillId="0" borderId="0" xfId="148" applyNumberFormat="1" applyFont="1" applyFill="1" applyBorder="1" applyAlignment="1">
      <alignment vertical="top"/>
    </xf>
    <xf numFmtId="3" fontId="41" fillId="0" borderId="0" xfId="148" applyNumberFormat="1" applyFont="1" applyFill="1" applyBorder="1" applyAlignment="1">
      <alignment vertical="top" wrapText="1"/>
    </xf>
    <xf numFmtId="3" fontId="41" fillId="0" borderId="0" xfId="148" applyNumberFormat="1" applyFont="1" applyFill="1" applyBorder="1" applyAlignment="1">
      <alignment vertical="top"/>
    </xf>
    <xf numFmtId="0" fontId="26" fillId="0" borderId="0" xfId="148" applyFont="1" applyFill="1" applyBorder="1"/>
    <xf numFmtId="0" fontId="5" fillId="0" borderId="0" xfId="148" applyFont="1" applyFill="1" applyBorder="1"/>
    <xf numFmtId="0" fontId="5" fillId="0" borderId="0" xfId="50" applyFont="1" applyFill="1" applyBorder="1" applyAlignment="1" applyProtection="1">
      <alignment horizontal="left" vertical="top" wrapText="1" indent="4"/>
      <protection locked="0"/>
    </xf>
    <xf numFmtId="0" fontId="45" fillId="0" borderId="0" xfId="148" applyFont="1" applyBorder="1"/>
    <xf numFmtId="0" fontId="5" fillId="0" borderId="0" xfId="148" applyFont="1" applyFill="1" applyBorder="1" applyAlignment="1" applyProtection="1">
      <alignment horizontal="left" vertical="top" wrapText="1" indent="4"/>
      <protection locked="0"/>
    </xf>
    <xf numFmtId="0" fontId="45" fillId="0" borderId="0" xfId="148" applyFont="1" applyBorder="1" applyAlignment="1">
      <alignment wrapText="1"/>
    </xf>
    <xf numFmtId="0" fontId="24" fillId="0" borderId="0" xfId="148" applyFont="1" applyFill="1" applyBorder="1" applyAlignment="1" applyProtection="1">
      <alignment horizontal="left" vertical="top" wrapText="1"/>
      <protection locked="0"/>
    </xf>
    <xf numFmtId="0" fontId="45" fillId="0" borderId="0" xfId="148" applyFont="1" applyBorder="1" applyAlignment="1">
      <alignment horizontal="left" wrapText="1"/>
    </xf>
    <xf numFmtId="0" fontId="5" fillId="0" borderId="0" xfId="43" applyFont="1" applyFill="1" applyBorder="1" applyAlignment="1" applyProtection="1">
      <alignment horizontal="left" vertical="top" indent="4"/>
      <protection locked="0"/>
    </xf>
    <xf numFmtId="0" fontId="24" fillId="0" borderId="0" xfId="148" applyFont="1" applyBorder="1"/>
    <xf numFmtId="0" fontId="26" fillId="0" borderId="0" xfId="148" applyFont="1" applyBorder="1"/>
    <xf numFmtId="3" fontId="26" fillId="0" borderId="0" xfId="148" applyNumberFormat="1" applyFont="1" applyFill="1" applyBorder="1"/>
    <xf numFmtId="0" fontId="5" fillId="0" borderId="0" xfId="148"/>
    <xf numFmtId="3" fontId="35" fillId="0" borderId="0" xfId="148" applyNumberFormat="1" applyFont="1" applyBorder="1" applyAlignment="1"/>
    <xf numFmtId="3" fontId="45" fillId="0" borderId="0" xfId="148" applyNumberFormat="1" applyFont="1" applyBorder="1" applyAlignment="1"/>
    <xf numFmtId="3" fontId="26" fillId="0" borderId="0" xfId="148" applyNumberFormat="1" applyFont="1" applyFill="1" applyBorder="1" applyAlignment="1"/>
    <xf numFmtId="3" fontId="35" fillId="0" borderId="0" xfId="148" applyNumberFormat="1" applyFont="1" applyFill="1" applyBorder="1" applyAlignment="1"/>
    <xf numFmtId="3" fontId="5" fillId="0" borderId="0" xfId="148" applyNumberFormat="1"/>
    <xf numFmtId="3" fontId="45" fillId="0" borderId="0" xfId="50" applyNumberFormat="1" applyFont="1" applyFill="1" applyBorder="1" applyAlignment="1"/>
    <xf numFmtId="3" fontId="26" fillId="0" borderId="0" xfId="148" applyNumberFormat="1" applyFont="1" applyBorder="1" applyAlignment="1"/>
    <xf numFmtId="3" fontId="5" fillId="0" borderId="0" xfId="148" applyNumberFormat="1" applyFont="1" applyBorder="1" applyAlignment="1"/>
    <xf numFmtId="3" fontId="5" fillId="0" borderId="0" xfId="43" applyNumberFormat="1" applyFont="1" applyBorder="1" applyAlignment="1"/>
    <xf numFmtId="3" fontId="45" fillId="0" borderId="0" xfId="43" applyNumberFormat="1" applyFont="1" applyBorder="1" applyAlignment="1"/>
    <xf numFmtId="0" fontId="45" fillId="0" borderId="0" xfId="148" applyFont="1" applyFill="1" applyBorder="1" applyAlignment="1" applyProtection="1">
      <alignment horizontal="left" vertical="top"/>
      <protection locked="0"/>
    </xf>
    <xf numFmtId="0" fontId="45" fillId="0" borderId="0" xfId="148" applyFont="1" applyBorder="1" applyAlignment="1">
      <alignment horizontal="left" wrapText="1" indent="3"/>
    </xf>
    <xf numFmtId="0" fontId="35" fillId="0" borderId="0" xfId="148" applyFont="1" applyBorder="1" applyAlignment="1">
      <alignment horizontal="left" indent="1"/>
    </xf>
    <xf numFmtId="0" fontId="5" fillId="0" borderId="0" xfId="148" applyFont="1" applyFill="1" applyBorder="1" applyAlignment="1">
      <alignment horizontal="left" indent="1"/>
    </xf>
    <xf numFmtId="2" fontId="27" fillId="0" borderId="0" xfId="148" applyNumberFormat="1" applyFont="1" applyFill="1" applyBorder="1" applyAlignment="1">
      <alignment horizontal="left" vertical="top" indent="2"/>
    </xf>
    <xf numFmtId="2" fontId="41" fillId="0" borderId="0" xfId="148" applyNumberFormat="1" applyFont="1" applyFill="1" applyBorder="1" applyAlignment="1">
      <alignment horizontal="left" indent="2"/>
    </xf>
    <xf numFmtId="0" fontId="40" fillId="0" borderId="0" xfId="148" applyFont="1" applyFill="1" applyBorder="1" applyAlignment="1">
      <alignment vertical="top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39" fillId="0" borderId="0" xfId="0" applyNumberFormat="1" applyFont="1" applyFill="1" applyBorder="1" applyAlignment="1"/>
    <xf numFmtId="3" fontId="5" fillId="0" borderId="0" xfId="148" applyNumberFormat="1" applyFont="1" applyFill="1" applyBorder="1" applyAlignment="1"/>
    <xf numFmtId="3" fontId="5" fillId="0" borderId="0" xfId="0" applyNumberFormat="1" applyFont="1" applyFill="1" applyBorder="1" applyAlignment="1"/>
    <xf numFmtId="3" fontId="41" fillId="0" borderId="0" xfId="148" applyNumberFormat="1" applyFont="1" applyFill="1" applyBorder="1" applyAlignment="1"/>
    <xf numFmtId="3" fontId="41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27" fillId="0" borderId="0" xfId="148" applyNumberFormat="1" applyFont="1" applyFill="1" applyBorder="1" applyAlignment="1"/>
    <xf numFmtId="3" fontId="19" fillId="0" borderId="0" xfId="0" applyNumberFormat="1" applyFont="1" applyFill="1" applyBorder="1" applyAlignment="1"/>
    <xf numFmtId="0" fontId="45" fillId="0" borderId="0" xfId="148" applyFont="1" applyFill="1" applyBorder="1" applyAlignment="1">
      <alignment horizontal="left" wrapText="1" indent="4"/>
    </xf>
    <xf numFmtId="0" fontId="77" fillId="0" borderId="0" xfId="0" applyFont="1" applyFill="1" applyAlignment="1">
      <alignment horizontal="left" indent="1"/>
    </xf>
    <xf numFmtId="0" fontId="78" fillId="0" borderId="0" xfId="36" applyNumberFormat="1" applyFont="1" applyFill="1" applyBorder="1" applyAlignment="1" applyProtection="1">
      <alignment horizontal="left" vertical="top"/>
    </xf>
    <xf numFmtId="0" fontId="79" fillId="0" borderId="0" xfId="36" applyNumberFormat="1" applyFont="1" applyFill="1" applyBorder="1" applyAlignment="1" applyProtection="1">
      <alignment horizontal="left" vertical="top"/>
    </xf>
    <xf numFmtId="0" fontId="79" fillId="0" borderId="0" xfId="36" applyFont="1" applyFill="1" applyBorder="1" applyAlignment="1">
      <alignment horizontal="left" vertical="top"/>
    </xf>
    <xf numFmtId="0" fontId="80" fillId="0" borderId="0" xfId="36" applyNumberFormat="1" applyFont="1" applyFill="1" applyBorder="1" applyAlignment="1" applyProtection="1">
      <alignment horizontal="left" vertical="top" indent="1"/>
    </xf>
    <xf numFmtId="0" fontId="80" fillId="0" borderId="0" xfId="36" applyNumberFormat="1" applyFont="1" applyFill="1" applyBorder="1" applyAlignment="1" applyProtection="1">
      <alignment horizontal="left" vertical="top" indent="2"/>
    </xf>
    <xf numFmtId="0" fontId="80" fillId="0" borderId="0" xfId="36" applyNumberFormat="1" applyFont="1" applyFill="1" applyBorder="1" applyAlignment="1" applyProtection="1">
      <alignment horizontal="left" vertical="top" indent="3"/>
    </xf>
    <xf numFmtId="0" fontId="81" fillId="0" borderId="0" xfId="0" applyNumberFormat="1" applyFont="1" applyFill="1" applyAlignment="1">
      <alignment horizontal="left" vertical="top"/>
    </xf>
    <xf numFmtId="0" fontId="82" fillId="0" borderId="0" xfId="0" applyNumberFormat="1" applyFont="1" applyFill="1" applyAlignment="1">
      <alignment horizontal="left" vertical="top" indent="1"/>
    </xf>
    <xf numFmtId="0" fontId="83" fillId="0" borderId="0" xfId="36" applyNumberFormat="1" applyFont="1" applyFill="1" applyBorder="1" applyAlignment="1" applyProtection="1">
      <alignment horizontal="left" vertical="top" indent="2"/>
    </xf>
    <xf numFmtId="0" fontId="83" fillId="0" borderId="0" xfId="36" applyFont="1" applyFill="1" applyBorder="1" applyAlignment="1" applyProtection="1">
      <alignment horizontal="left" vertical="top" indent="3"/>
    </xf>
    <xf numFmtId="49" fontId="77" fillId="0" borderId="0" xfId="37" applyNumberFormat="1" applyFont="1" applyFill="1" applyBorder="1" applyAlignment="1">
      <alignment horizontal="left" wrapText="1" indent="1"/>
    </xf>
    <xf numFmtId="0" fontId="83" fillId="0" borderId="0" xfId="36" applyFont="1" applyFill="1" applyBorder="1" applyAlignment="1" applyProtection="1">
      <alignment horizontal="left" vertical="top" indent="4"/>
    </xf>
    <xf numFmtId="49" fontId="77" fillId="0" borderId="0" xfId="37" applyNumberFormat="1" applyFont="1" applyFill="1" applyBorder="1" applyAlignment="1">
      <alignment horizontal="left" vertical="top" wrapText="1" indent="1"/>
    </xf>
    <xf numFmtId="0" fontId="84" fillId="0" borderId="0" xfId="31" applyNumberFormat="1" applyFont="1" applyFill="1" applyBorder="1" applyAlignment="1" applyProtection="1">
      <alignment horizontal="left" vertical="top" wrapText="1" indent="3"/>
    </xf>
    <xf numFmtId="0" fontId="79" fillId="0" borderId="0" xfId="0" applyNumberFormat="1" applyFont="1" applyFill="1" applyAlignment="1">
      <alignment horizontal="left" vertical="top" indent="2"/>
    </xf>
    <xf numFmtId="0" fontId="70" fillId="0" borderId="0" xfId="31" applyNumberFormat="1" applyFont="1" applyFill="1" applyBorder="1" applyAlignment="1" applyProtection="1">
      <alignment horizontal="left" vertical="top" wrapText="1" indent="2"/>
    </xf>
    <xf numFmtId="0" fontId="83" fillId="0" borderId="0" xfId="36" applyNumberFormat="1" applyFont="1" applyFill="1" applyBorder="1" applyAlignment="1" applyProtection="1">
      <alignment horizontal="left" vertical="top" indent="3"/>
    </xf>
    <xf numFmtId="0" fontId="77" fillId="0" borderId="0" xfId="37" applyNumberFormat="1" applyFont="1" applyFill="1" applyBorder="1" applyAlignment="1">
      <alignment horizontal="left" vertical="top" wrapText="1"/>
    </xf>
    <xf numFmtId="0" fontId="85" fillId="0" borderId="0" xfId="37" applyNumberFormat="1" applyFont="1" applyFill="1" applyBorder="1" applyAlignment="1">
      <alignment horizontal="left" vertical="top"/>
    </xf>
    <xf numFmtId="0" fontId="83" fillId="0" borderId="0" xfId="36" applyNumberFormat="1" applyFont="1" applyFill="1" applyBorder="1" applyAlignment="1" applyProtection="1">
      <alignment horizontal="left" vertical="top" indent="1"/>
    </xf>
    <xf numFmtId="0" fontId="76" fillId="0" borderId="0" xfId="36" applyNumberFormat="1" applyFont="1" applyFill="1" applyBorder="1" applyAlignment="1" applyProtection="1">
      <alignment horizontal="left" vertical="top" indent="1"/>
    </xf>
    <xf numFmtId="0" fontId="76" fillId="0" borderId="0" xfId="36" applyNumberFormat="1" applyFont="1" applyFill="1" applyBorder="1" applyAlignment="1" applyProtection="1">
      <alignment horizontal="left" vertical="top" wrapText="1" indent="2"/>
    </xf>
    <xf numFmtId="0" fontId="76" fillId="0" borderId="0" xfId="36" applyNumberFormat="1" applyFont="1" applyFill="1" applyBorder="1" applyAlignment="1" applyProtection="1">
      <alignment horizontal="left" vertical="top" indent="2"/>
    </xf>
    <xf numFmtId="0" fontId="86" fillId="0" borderId="0" xfId="36" applyNumberFormat="1" applyFont="1" applyFill="1" applyBorder="1" applyAlignment="1" applyProtection="1">
      <alignment horizontal="left" vertical="top" indent="2"/>
    </xf>
    <xf numFmtId="0" fontId="87" fillId="0" borderId="0" xfId="36" applyNumberFormat="1" applyFont="1" applyFill="1" applyBorder="1" applyAlignment="1" applyProtection="1">
      <alignment horizontal="left" vertical="top"/>
    </xf>
    <xf numFmtId="0" fontId="36" fillId="0" borderId="0" xfId="0" applyNumberFormat="1" applyFont="1" applyFill="1" applyAlignment="1">
      <alignment horizontal="left" vertical="top" indent="1"/>
    </xf>
    <xf numFmtId="0" fontId="24" fillId="0" borderId="0" xfId="0" applyNumberFormat="1" applyFont="1" applyFill="1" applyAlignment="1">
      <alignment horizontal="left" vertical="top" indent="2"/>
    </xf>
    <xf numFmtId="0" fontId="88" fillId="0" borderId="0" xfId="0" applyNumberFormat="1" applyFont="1" applyFill="1" applyAlignment="1">
      <alignment horizontal="left" vertical="top"/>
    </xf>
    <xf numFmtId="0" fontId="84" fillId="0" borderId="0" xfId="36" applyNumberFormat="1" applyFont="1" applyFill="1" applyBorder="1" applyAlignment="1">
      <alignment horizontal="left" vertical="top"/>
    </xf>
    <xf numFmtId="0" fontId="36" fillId="0" borderId="0" xfId="36" applyNumberFormat="1" applyFont="1" applyFill="1" applyBorder="1" applyAlignment="1" applyProtection="1">
      <alignment horizontal="left" vertical="top" wrapText="1" indent="1"/>
    </xf>
    <xf numFmtId="0" fontId="35" fillId="0" borderId="0" xfId="36" applyFont="1" applyFill="1" applyBorder="1" applyAlignment="1" applyProtection="1">
      <alignment horizontal="left" vertical="top" wrapText="1"/>
    </xf>
    <xf numFmtId="0" fontId="88" fillId="0" borderId="0" xfId="36" applyNumberFormat="1" applyFont="1" applyFill="1" applyBorder="1" applyAlignment="1" applyProtection="1">
      <alignment horizontal="left" vertical="top"/>
    </xf>
    <xf numFmtId="0" fontId="84" fillId="0" borderId="0" xfId="0" applyNumberFormat="1" applyFont="1" applyFill="1" applyAlignment="1">
      <alignment horizontal="left" vertical="top"/>
    </xf>
    <xf numFmtId="0" fontId="88" fillId="0" borderId="0" xfId="37" applyNumberFormat="1" applyFont="1" applyFill="1" applyBorder="1" applyAlignment="1">
      <alignment horizontal="left" vertical="top"/>
    </xf>
    <xf numFmtId="0" fontId="31" fillId="0" borderId="0" xfId="43" applyNumberFormat="1" applyFont="1" applyFill="1" applyAlignment="1">
      <alignment horizontal="left" vertical="top" wrapText="1"/>
    </xf>
    <xf numFmtId="0" fontId="33" fillId="0" borderId="0" xfId="43" applyNumberFormat="1" applyFont="1" applyFill="1" applyAlignment="1">
      <alignment horizontal="left" vertical="top" wrapText="1" indent="1"/>
    </xf>
    <xf numFmtId="0" fontId="26" fillId="0" borderId="0" xfId="43" applyNumberFormat="1" applyFont="1" applyFill="1" applyAlignment="1">
      <alignment horizontal="left" vertical="top" wrapText="1" indent="2"/>
    </xf>
    <xf numFmtId="0" fontId="84" fillId="0" borderId="0" xfId="0" applyFont="1" applyFill="1"/>
    <xf numFmtId="3" fontId="79" fillId="0" borderId="0" xfId="36" applyNumberFormat="1" applyFont="1" applyFill="1" applyBorder="1" applyAlignment="1" applyProtection="1">
      <alignment vertical="top"/>
    </xf>
    <xf numFmtId="3" fontId="80" fillId="0" borderId="0" xfId="36" applyNumberFormat="1" applyFont="1" applyFill="1" applyBorder="1" applyAlignment="1" applyProtection="1">
      <alignment vertical="top"/>
    </xf>
    <xf numFmtId="3" fontId="79" fillId="0" borderId="0" xfId="36" applyNumberFormat="1" applyFont="1" applyFill="1" applyBorder="1" applyAlignment="1">
      <alignment vertical="top"/>
    </xf>
    <xf numFmtId="3" fontId="27" fillId="0" borderId="0" xfId="36" applyNumberFormat="1" applyFont="1" applyFill="1" applyBorder="1" applyAlignment="1" applyProtection="1">
      <alignment vertical="top"/>
    </xf>
    <xf numFmtId="3" fontId="81" fillId="0" borderId="0" xfId="0" applyNumberFormat="1" applyFont="1" applyFill="1" applyAlignment="1">
      <alignment vertical="top"/>
    </xf>
    <xf numFmtId="3" fontId="79" fillId="0" borderId="0" xfId="148" applyNumberFormat="1" applyFont="1" applyFill="1" applyAlignment="1">
      <alignment vertical="top"/>
    </xf>
    <xf numFmtId="3" fontId="79" fillId="0" borderId="0" xfId="0" applyNumberFormat="1" applyFont="1" applyFill="1" applyAlignment="1">
      <alignment vertical="top"/>
    </xf>
    <xf numFmtId="3" fontId="83" fillId="0" borderId="0" xfId="36" applyNumberFormat="1" applyFont="1" applyFill="1" applyBorder="1" applyAlignment="1" applyProtection="1">
      <alignment vertical="top"/>
    </xf>
    <xf numFmtId="3" fontId="84" fillId="0" borderId="0" xfId="31" applyNumberFormat="1" applyFont="1" applyFill="1" applyBorder="1" applyAlignment="1" applyProtection="1">
      <alignment vertical="top" wrapText="1"/>
    </xf>
    <xf numFmtId="3" fontId="70" fillId="0" borderId="0" xfId="31" applyNumberFormat="1" applyFont="1" applyFill="1" applyBorder="1" applyAlignment="1" applyProtection="1">
      <alignment vertical="top" wrapText="1"/>
    </xf>
    <xf numFmtId="3" fontId="70" fillId="0" borderId="0" xfId="37" applyNumberFormat="1" applyFont="1" applyFill="1" applyBorder="1" applyAlignment="1">
      <alignment vertical="top"/>
    </xf>
    <xf numFmtId="3" fontId="26" fillId="0" borderId="0" xfId="36" applyNumberFormat="1" applyFont="1" applyFill="1" applyBorder="1" applyAlignment="1">
      <alignment vertical="top"/>
    </xf>
    <xf numFmtId="3" fontId="31" fillId="0" borderId="0" xfId="0" applyNumberFormat="1" applyFont="1" applyFill="1" applyAlignment="1">
      <alignment vertical="top"/>
    </xf>
    <xf numFmtId="3" fontId="77" fillId="0" borderId="0" xfId="37" applyNumberFormat="1" applyFont="1" applyFill="1" applyBorder="1" applyAlignment="1">
      <alignment wrapText="1"/>
    </xf>
    <xf numFmtId="3" fontId="76" fillId="0" borderId="0" xfId="36" applyNumberFormat="1" applyFont="1" applyFill="1" applyBorder="1" applyAlignment="1" applyProtection="1">
      <alignment vertical="top"/>
    </xf>
    <xf numFmtId="3" fontId="86" fillId="0" borderId="0" xfId="36" applyNumberFormat="1" applyFont="1" applyFill="1" applyBorder="1" applyAlignment="1" applyProtection="1">
      <alignment vertical="top"/>
    </xf>
    <xf numFmtId="3" fontId="87" fillId="0" borderId="0" xfId="36" applyNumberFormat="1" applyFont="1" applyFill="1" applyBorder="1" applyAlignment="1" applyProtection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24" fillId="0" borderId="0" xfId="36" applyNumberFormat="1" applyFont="1" applyFill="1" applyBorder="1" applyAlignment="1" applyProtection="1">
      <alignment vertical="top" wrapText="1"/>
    </xf>
    <xf numFmtId="3" fontId="44" fillId="0" borderId="0" xfId="36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Alignment="1">
      <alignment vertical="top"/>
    </xf>
    <xf numFmtId="3" fontId="24" fillId="0" borderId="0" xfId="0" applyNumberFormat="1" applyFont="1" applyFill="1" applyAlignment="1">
      <alignment vertical="top" wrapText="1"/>
    </xf>
    <xf numFmtId="3" fontId="24" fillId="0" borderId="0" xfId="0" applyNumberFormat="1" applyFont="1" applyFill="1" applyAlignment="1">
      <alignment vertical="top"/>
    </xf>
    <xf numFmtId="3" fontId="44" fillId="0" borderId="0" xfId="0" applyNumberFormat="1" applyFont="1" applyFill="1" applyAlignment="1">
      <alignment vertical="top"/>
    </xf>
    <xf numFmtId="3" fontId="32" fillId="0" borderId="0" xfId="0" applyNumberFormat="1" applyFont="1" applyFill="1" applyAlignment="1">
      <alignment vertical="top"/>
    </xf>
    <xf numFmtId="3" fontId="36" fillId="0" borderId="0" xfId="0" applyNumberFormat="1" applyFont="1" applyFill="1" applyAlignment="1">
      <alignment vertical="top"/>
    </xf>
    <xf numFmtId="3" fontId="32" fillId="0" borderId="0" xfId="36" applyNumberFormat="1" applyFont="1" applyFill="1" applyBorder="1" applyAlignment="1" applyProtection="1">
      <alignment vertical="top"/>
    </xf>
    <xf numFmtId="3" fontId="26" fillId="0" borderId="0" xfId="36" applyNumberFormat="1" applyFont="1" applyFill="1" applyBorder="1" applyAlignment="1" applyProtection="1">
      <alignment vertical="top" wrapText="1"/>
    </xf>
    <xf numFmtId="3" fontId="27" fillId="0" borderId="0" xfId="36" applyNumberFormat="1" applyFont="1" applyFill="1" applyBorder="1" applyAlignment="1" applyProtection="1">
      <alignment vertical="top" wrapText="1"/>
    </xf>
    <xf numFmtId="3" fontId="26" fillId="0" borderId="0" xfId="36" applyNumberFormat="1" applyFont="1" applyFill="1" applyBorder="1" applyAlignment="1">
      <alignment vertical="top" wrapText="1"/>
    </xf>
    <xf numFmtId="3" fontId="36" fillId="0" borderId="0" xfId="37" quotePrefix="1" applyNumberFormat="1" applyFont="1" applyFill="1" applyBorder="1" applyAlignment="1">
      <alignment wrapText="1"/>
    </xf>
    <xf numFmtId="3" fontId="44" fillId="0" borderId="0" xfId="36" applyNumberFormat="1" applyFont="1" applyFill="1" applyBorder="1" applyAlignment="1" applyProtection="1">
      <alignment wrapText="1"/>
    </xf>
    <xf numFmtId="3" fontId="5" fillId="0" borderId="0" xfId="36" applyNumberFormat="1" applyFont="1" applyFill="1" applyBorder="1" applyAlignment="1" applyProtection="1">
      <alignment vertical="top" wrapText="1"/>
    </xf>
    <xf numFmtId="3" fontId="36" fillId="0" borderId="0" xfId="36" applyNumberFormat="1" applyFont="1" applyFill="1" applyBorder="1" applyAlignment="1" applyProtection="1">
      <alignment vertical="top" wrapText="1"/>
    </xf>
    <xf numFmtId="3" fontId="26" fillId="0" borderId="0" xfId="37" applyNumberFormat="1" applyFont="1" applyFill="1" applyBorder="1" applyAlignment="1">
      <alignment vertical="top" wrapText="1"/>
    </xf>
    <xf numFmtId="3" fontId="31" fillId="0" borderId="0" xfId="36" applyNumberFormat="1" applyFont="1" applyFill="1" applyBorder="1" applyAlignment="1" applyProtection="1">
      <alignment vertical="top"/>
    </xf>
    <xf numFmtId="3" fontId="84" fillId="0" borderId="0" xfId="36" applyNumberFormat="1" applyFont="1" applyFill="1" applyBorder="1" applyAlignment="1" applyProtection="1">
      <alignment vertical="top"/>
    </xf>
    <xf numFmtId="3" fontId="86" fillId="0" borderId="0" xfId="36" applyNumberFormat="1" applyFont="1" applyFill="1" applyAlignment="1">
      <alignment vertical="top" wrapText="1"/>
    </xf>
    <xf numFmtId="3" fontId="31" fillId="0" borderId="0" xfId="36" applyNumberFormat="1" applyFont="1" applyFill="1" applyBorder="1" applyAlignment="1">
      <alignment vertical="top"/>
    </xf>
    <xf numFmtId="3" fontId="31" fillId="0" borderId="0" xfId="37" applyNumberFormat="1" applyFont="1" applyFill="1" applyBorder="1" applyAlignment="1">
      <alignment vertical="top"/>
    </xf>
    <xf numFmtId="3" fontId="36" fillId="0" borderId="0" xfId="37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vertical="top"/>
    </xf>
    <xf numFmtId="3" fontId="24" fillId="0" borderId="0" xfId="31" applyNumberFormat="1" applyFont="1" applyFill="1" applyBorder="1" applyAlignment="1" applyProtection="1">
      <alignment vertical="top" wrapText="1"/>
    </xf>
    <xf numFmtId="3" fontId="31" fillId="0" borderId="0" xfId="43" applyNumberFormat="1" applyFont="1" applyFill="1" applyAlignment="1">
      <alignment vertical="top" wrapText="1"/>
    </xf>
    <xf numFmtId="3" fontId="26" fillId="0" borderId="0" xfId="43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right"/>
    </xf>
    <xf numFmtId="0" fontId="27" fillId="0" borderId="0" xfId="37" applyFont="1" applyFill="1" applyBorder="1" applyAlignment="1">
      <alignment horizontal="left" indent="1"/>
    </xf>
    <xf numFmtId="49" fontId="36" fillId="0" borderId="0" xfId="37" applyNumberFormat="1" applyFont="1" applyFill="1" applyBorder="1" applyAlignment="1">
      <alignment horizontal="left" vertical="top" wrapText="1" indent="1"/>
    </xf>
    <xf numFmtId="0" fontId="26" fillId="0" borderId="11" xfId="43" applyFont="1" applyFill="1" applyBorder="1" applyAlignment="1" applyProtection="1">
      <alignment horizontal="left" vertical="top" wrapText="1"/>
    </xf>
    <xf numFmtId="0" fontId="26" fillId="24" borderId="11" xfId="148" applyFont="1" applyFill="1" applyBorder="1" applyAlignment="1" applyProtection="1">
      <alignment vertical="top" wrapText="1"/>
      <protection locked="0"/>
    </xf>
    <xf numFmtId="0" fontId="26" fillId="24" borderId="14" xfId="148" applyFont="1" applyFill="1" applyBorder="1" applyAlignment="1" applyProtection="1">
      <alignment horizontal="left" vertical="top" wrapText="1"/>
      <protection locked="0"/>
    </xf>
    <xf numFmtId="0" fontId="5" fillId="0" borderId="19" xfId="148" applyFont="1" applyFill="1" applyBorder="1" applyAlignment="1" applyProtection="1">
      <alignment horizontal="right" vertical="top" wrapText="1"/>
      <protection locked="0"/>
    </xf>
    <xf numFmtId="0" fontId="26" fillId="24" borderId="20" xfId="148" applyFont="1" applyFill="1" applyBorder="1" applyAlignment="1" applyProtection="1">
      <alignment horizontal="left" vertical="top" wrapText="1"/>
      <protection locked="0"/>
    </xf>
    <xf numFmtId="0" fontId="5" fillId="0" borderId="15" xfId="148" applyFont="1" applyFill="1" applyBorder="1" applyAlignment="1" applyProtection="1">
      <alignment horizontal="left" vertical="top" wrapText="1"/>
      <protection locked="0"/>
    </xf>
    <xf numFmtId="0" fontId="26" fillId="25" borderId="14" xfId="152" applyFont="1" applyFill="1" applyBorder="1" applyAlignment="1" applyProtection="1">
      <alignment horizontal="left" vertical="top" wrapText="1"/>
      <protection locked="0"/>
    </xf>
    <xf numFmtId="0" fontId="5" fillId="0" borderId="19" xfId="149" applyFont="1" applyFill="1" applyBorder="1" applyAlignment="1" applyProtection="1">
      <alignment horizontal="right" vertical="top" wrapText="1"/>
      <protection locked="0"/>
    </xf>
    <xf numFmtId="0" fontId="5" fillId="0" borderId="14" xfId="152" applyFont="1" applyFill="1" applyBorder="1" applyAlignment="1" applyProtection="1">
      <alignment horizontal="left" vertical="top" wrapText="1"/>
      <protection locked="0"/>
    </xf>
    <xf numFmtId="0" fontId="5" fillId="0" borderId="17" xfId="152" applyFont="1" applyFill="1" applyBorder="1" applyAlignment="1" applyProtection="1">
      <alignment horizontal="right" vertical="top" wrapText="1"/>
      <protection locked="0"/>
    </xf>
    <xf numFmtId="0" fontId="5" fillId="0" borderId="14" xfId="149" applyFont="1" applyFill="1" applyBorder="1" applyAlignment="1" applyProtection="1">
      <alignment horizontal="left" vertical="top" wrapText="1"/>
      <protection locked="0"/>
    </xf>
    <xf numFmtId="0" fontId="5" fillId="0" borderId="11" xfId="149" applyFont="1" applyFill="1" applyBorder="1" applyAlignment="1" applyProtection="1">
      <alignment horizontal="left" vertical="top" wrapText="1"/>
      <protection locked="0"/>
    </xf>
    <xf numFmtId="0" fontId="5" fillId="0" borderId="21" xfId="149" applyFont="1" applyFill="1" applyBorder="1" applyAlignment="1" applyProtection="1">
      <alignment horizontal="left" vertical="top" wrapText="1"/>
      <protection locked="0"/>
    </xf>
    <xf numFmtId="0" fontId="45" fillId="0" borderId="0" xfId="148" applyFont="1" applyFill="1" applyBorder="1" applyAlignment="1" applyProtection="1">
      <alignment horizontal="left" vertical="top" wrapText="1"/>
      <protection locked="0"/>
    </xf>
    <xf numFmtId="0" fontId="5" fillId="0" borderId="20" xfId="152" applyFont="1" applyFill="1" applyBorder="1" applyAlignment="1" applyProtection="1">
      <alignment horizontal="left" vertical="top" wrapText="1"/>
      <protection locked="0"/>
    </xf>
    <xf numFmtId="0" fontId="5" fillId="0" borderId="16" xfId="152" applyFont="1" applyFill="1" applyBorder="1" applyAlignment="1" applyProtection="1">
      <alignment horizontal="right" vertical="top" wrapText="1"/>
      <protection locked="0"/>
    </xf>
    <xf numFmtId="0" fontId="26" fillId="25" borderId="20" xfId="152" applyFont="1" applyFill="1" applyBorder="1" applyAlignment="1" applyProtection="1">
      <alignment horizontal="left" vertical="top" wrapText="1"/>
      <protection locked="0"/>
    </xf>
    <xf numFmtId="0" fontId="5" fillId="0" borderId="14" xfId="152" applyFont="1" applyFill="1" applyBorder="1" applyAlignment="1" applyProtection="1">
      <alignment horizontal="right" vertical="top" wrapText="1"/>
      <protection locked="0"/>
    </xf>
    <xf numFmtId="0" fontId="26" fillId="0" borderId="14" xfId="152" applyFont="1" applyFill="1" applyBorder="1" applyAlignment="1" applyProtection="1">
      <alignment horizontal="left" vertical="top" wrapText="1"/>
      <protection locked="0"/>
    </xf>
    <xf numFmtId="0" fontId="24" fillId="0" borderId="17" xfId="152" applyFont="1" applyFill="1" applyBorder="1" applyAlignment="1" applyProtection="1">
      <alignment horizontal="left" vertical="top" wrapText="1" indent="2"/>
      <protection locked="0"/>
    </xf>
    <xf numFmtId="0" fontId="26" fillId="0" borderId="14" xfId="148" applyFont="1" applyFill="1" applyBorder="1" applyAlignment="1" applyProtection="1">
      <alignment horizontal="left" vertical="top"/>
      <protection locked="0"/>
    </xf>
    <xf numFmtId="0" fontId="5" fillId="0" borderId="19" xfId="152" applyFont="1" applyFill="1" applyBorder="1" applyAlignment="1" applyProtection="1">
      <alignment horizontal="right" vertical="top" wrapText="1"/>
      <protection locked="0"/>
    </xf>
    <xf numFmtId="0" fontId="5" fillId="0" borderId="14" xfId="148" applyFont="1" applyFill="1" applyBorder="1" applyAlignment="1" applyProtection="1">
      <alignment vertical="top" wrapText="1"/>
      <protection locked="0"/>
    </xf>
    <xf numFmtId="0" fontId="44" fillId="0" borderId="20" xfId="152" applyFont="1" applyFill="1" applyBorder="1" applyAlignment="1" applyProtection="1">
      <alignment horizontal="left" vertical="top" wrapText="1" indent="1"/>
      <protection locked="0"/>
    </xf>
    <xf numFmtId="0" fontId="24" fillId="0" borderId="20" xfId="152" applyFont="1" applyFill="1" applyBorder="1" applyAlignment="1" applyProtection="1">
      <alignment horizontal="left" vertical="top" wrapText="1" indent="2"/>
      <protection locked="0"/>
    </xf>
    <xf numFmtId="0" fontId="26" fillId="24" borderId="14" xfId="148" applyFont="1" applyFill="1" applyBorder="1" applyAlignment="1" applyProtection="1">
      <alignment horizontal="left" vertical="top"/>
      <protection locked="0"/>
    </xf>
    <xf numFmtId="0" fontId="5" fillId="0" borderId="20" xfId="148" applyFont="1" applyFill="1" applyBorder="1" applyAlignment="1" applyProtection="1">
      <alignment horizontal="left" vertical="top" wrapText="1"/>
      <protection locked="0"/>
    </xf>
    <xf numFmtId="0" fontId="24" fillId="0" borderId="14" xfId="148" applyFont="1" applyBorder="1" applyAlignment="1">
      <alignment horizontal="left" wrapText="1" indent="1"/>
    </xf>
    <xf numFmtId="0" fontId="26" fillId="29" borderId="14" xfId="148" applyFont="1" applyFill="1" applyBorder="1" applyAlignment="1" applyProtection="1">
      <alignment horizontal="left" vertical="top" wrapText="1"/>
      <protection locked="0"/>
    </xf>
    <xf numFmtId="0" fontId="5" fillId="0" borderId="16" xfId="148" applyFont="1" applyFill="1" applyBorder="1" applyAlignment="1" applyProtection="1">
      <alignment horizontal="right" vertical="top" wrapText="1"/>
      <protection locked="0"/>
    </xf>
    <xf numFmtId="0" fontId="26" fillId="0" borderId="13" xfId="148" applyNumberFormat="1" applyFont="1" applyFill="1" applyBorder="1" applyAlignment="1" applyProtection="1">
      <alignment horizontal="center" vertical="top"/>
      <protection locked="0"/>
    </xf>
    <xf numFmtId="3" fontId="26" fillId="24" borderId="14" xfId="148" applyNumberFormat="1" applyFont="1" applyFill="1" applyBorder="1" applyAlignment="1" applyProtection="1">
      <alignment horizontal="right" vertical="top"/>
      <protection locked="0"/>
    </xf>
    <xf numFmtId="3" fontId="5" fillId="0" borderId="13" xfId="43" applyNumberFormat="1" applyFont="1" applyFill="1" applyBorder="1" applyAlignment="1" applyProtection="1">
      <alignment vertical="top"/>
      <protection locked="0"/>
    </xf>
    <xf numFmtId="3" fontId="26" fillId="24" borderId="20" xfId="148" applyNumberFormat="1" applyFont="1" applyFill="1" applyBorder="1" applyAlignment="1" applyProtection="1">
      <alignment horizontal="right" vertical="top"/>
      <protection locked="0"/>
    </xf>
    <xf numFmtId="3" fontId="89" fillId="0" borderId="13" xfId="43" applyNumberFormat="1" applyFont="1" applyFill="1" applyBorder="1" applyAlignment="1" applyProtection="1">
      <alignment vertical="top"/>
      <protection locked="0"/>
    </xf>
    <xf numFmtId="3" fontId="5" fillId="0" borderId="20" xfId="148" applyNumberFormat="1" applyFont="1" applyFill="1" applyBorder="1" applyAlignment="1" applyProtection="1">
      <alignment horizontal="right" vertical="top"/>
      <protection locked="0"/>
    </xf>
    <xf numFmtId="3" fontId="5" fillId="0" borderId="14" xfId="148" applyNumberFormat="1" applyFont="1" applyFill="1" applyBorder="1" applyAlignment="1" applyProtection="1">
      <alignment horizontal="right" vertical="top"/>
      <protection locked="0"/>
    </xf>
    <xf numFmtId="3" fontId="26" fillId="25" borderId="14" xfId="153" applyNumberFormat="1" applyFont="1" applyFill="1" applyBorder="1" applyAlignment="1" applyProtection="1">
      <alignment vertical="top"/>
      <protection locked="0"/>
    </xf>
    <xf numFmtId="3" fontId="5" fillId="0" borderId="20" xfId="149" applyNumberFormat="1" applyFont="1" applyFill="1" applyBorder="1" applyAlignment="1" applyProtection="1">
      <alignment horizontal="right" vertical="top"/>
      <protection locked="0"/>
    </xf>
    <xf numFmtId="3" fontId="5" fillId="0" borderId="14" xfId="153" applyNumberFormat="1" applyFont="1" applyFill="1" applyBorder="1" applyAlignment="1" applyProtection="1">
      <alignment vertical="top"/>
      <protection locked="0"/>
    </xf>
    <xf numFmtId="3" fontId="5" fillId="0" borderId="20" xfId="153" applyNumberFormat="1" applyFont="1" applyFill="1" applyBorder="1" applyAlignment="1" applyProtection="1">
      <alignment vertical="top"/>
      <protection locked="0"/>
    </xf>
    <xf numFmtId="3" fontId="5" fillId="0" borderId="18" xfId="148" applyNumberFormat="1" applyFont="1" applyFill="1" applyBorder="1" applyAlignment="1" applyProtection="1">
      <alignment horizontal="right" vertical="top"/>
      <protection locked="0"/>
    </xf>
    <xf numFmtId="3" fontId="5" fillId="0" borderId="13" xfId="148" applyNumberFormat="1" applyFont="1" applyFill="1" applyBorder="1" applyAlignment="1" applyProtection="1">
      <alignment horizontal="right" vertical="top"/>
      <protection locked="0"/>
    </xf>
    <xf numFmtId="3" fontId="26" fillId="25" borderId="20" xfId="153" applyNumberFormat="1" applyFont="1" applyFill="1" applyBorder="1" applyAlignment="1" applyProtection="1">
      <alignment vertical="top"/>
      <protection locked="0"/>
    </xf>
    <xf numFmtId="3" fontId="26" fillId="0" borderId="14" xfId="153" applyNumberFormat="1" applyFont="1" applyFill="1" applyBorder="1" applyAlignment="1" applyProtection="1">
      <alignment vertical="top"/>
      <protection locked="0"/>
    </xf>
    <xf numFmtId="3" fontId="24" fillId="0" borderId="14" xfId="153" applyNumberFormat="1" applyFont="1" applyFill="1" applyBorder="1" applyAlignment="1" applyProtection="1">
      <alignment vertical="top"/>
      <protection locked="0"/>
    </xf>
    <xf numFmtId="3" fontId="26" fillId="0" borderId="20" xfId="153" applyNumberFormat="1" applyFont="1" applyFill="1" applyBorder="1" applyAlignment="1" applyProtection="1">
      <alignment vertical="top"/>
      <protection locked="0"/>
    </xf>
    <xf numFmtId="3" fontId="86" fillId="0" borderId="14" xfId="153" applyNumberFormat="1" applyFont="1" applyFill="1" applyBorder="1" applyAlignment="1" applyProtection="1">
      <alignment vertical="top"/>
      <protection locked="0"/>
    </xf>
    <xf numFmtId="3" fontId="44" fillId="0" borderId="14" xfId="153" applyNumberFormat="1" applyFont="1" applyFill="1" applyBorder="1" applyAlignment="1" applyProtection="1">
      <alignment vertical="top"/>
      <protection locked="0"/>
    </xf>
    <xf numFmtId="3" fontId="5" fillId="0" borderId="20" xfId="148" applyNumberFormat="1" applyFont="1" applyFill="1" applyBorder="1" applyAlignment="1" applyProtection="1">
      <alignment vertical="top"/>
      <protection locked="0"/>
    </xf>
    <xf numFmtId="3" fontId="26" fillId="30" borderId="20" xfId="148" applyNumberFormat="1" applyFont="1" applyFill="1" applyBorder="1" applyAlignment="1" applyProtection="1">
      <alignment vertical="top"/>
      <protection locked="0"/>
    </xf>
    <xf numFmtId="0" fontId="26" fillId="24" borderId="13" xfId="148" applyFont="1" applyFill="1" applyBorder="1" applyAlignment="1" applyProtection="1">
      <alignment vertical="top" wrapText="1"/>
      <protection locked="0"/>
    </xf>
    <xf numFmtId="3" fontId="24" fillId="0" borderId="14" xfId="148" applyNumberFormat="1" applyFont="1" applyFill="1" applyBorder="1" applyAlignment="1" applyProtection="1">
      <alignment vertical="top"/>
      <protection locked="0"/>
    </xf>
    <xf numFmtId="3" fontId="26" fillId="29" borderId="14" xfId="148" applyNumberFormat="1" applyFont="1" applyFill="1" applyBorder="1" applyAlignment="1" applyProtection="1">
      <alignment vertical="top"/>
      <protection locked="0"/>
    </xf>
    <xf numFmtId="3" fontId="5" fillId="0" borderId="13" xfId="148" applyNumberFormat="1" applyFont="1" applyFill="1" applyBorder="1" applyAlignment="1" applyProtection="1">
      <alignment horizontal="right" vertical="top" wrapText="1"/>
    </xf>
    <xf numFmtId="0" fontId="26" fillId="24" borderId="12" xfId="148" applyFont="1" applyFill="1" applyBorder="1" applyAlignment="1" applyProtection="1">
      <alignment vertical="top" wrapText="1"/>
      <protection locked="0"/>
    </xf>
    <xf numFmtId="0" fontId="26" fillId="24" borderId="20" xfId="148" applyFont="1" applyFill="1" applyBorder="1" applyAlignment="1" applyProtection="1">
      <alignment horizontal="left" vertical="top"/>
      <protection locked="0"/>
    </xf>
    <xf numFmtId="0" fontId="5" fillId="0" borderId="20" xfId="148" applyFont="1" applyFill="1" applyBorder="1" applyAlignment="1" applyProtection="1">
      <alignment horizontal="left" vertical="top"/>
      <protection locked="0"/>
    </xf>
    <xf numFmtId="0" fontId="5" fillId="0" borderId="14" xfId="148" applyFont="1" applyFill="1" applyBorder="1" applyAlignment="1" applyProtection="1">
      <alignment horizontal="left" vertical="top"/>
      <protection locked="0"/>
    </xf>
    <xf numFmtId="0" fontId="26" fillId="25" borderId="14" xfId="153" applyFont="1" applyFill="1" applyBorder="1" applyAlignment="1" applyProtection="1">
      <alignment horizontal="left" vertical="top"/>
      <protection locked="0"/>
    </xf>
    <xf numFmtId="0" fontId="5" fillId="0" borderId="20" xfId="149" applyFont="1" applyFill="1" applyBorder="1" applyAlignment="1" applyProtection="1">
      <alignment horizontal="left" vertical="top"/>
      <protection locked="0"/>
    </xf>
    <xf numFmtId="0" fontId="5" fillId="0" borderId="14" xfId="153" applyFont="1" applyFill="1" applyBorder="1" applyAlignment="1" applyProtection="1">
      <alignment horizontal="left" vertical="top"/>
      <protection locked="0"/>
    </xf>
    <xf numFmtId="0" fontId="5" fillId="0" borderId="14" xfId="149" applyFont="1" applyFill="1" applyBorder="1" applyAlignment="1" applyProtection="1">
      <alignment horizontal="left" vertical="top"/>
      <protection locked="0"/>
    </xf>
    <xf numFmtId="0" fontId="5" fillId="0" borderId="20" xfId="153" applyFont="1" applyFill="1" applyBorder="1" applyAlignment="1" applyProtection="1">
      <alignment horizontal="left" vertical="top"/>
      <protection locked="0"/>
    </xf>
    <xf numFmtId="0" fontId="26" fillId="25" borderId="20" xfId="153" applyFont="1" applyFill="1" applyBorder="1" applyAlignment="1" applyProtection="1">
      <alignment horizontal="left" vertical="top"/>
      <protection locked="0"/>
    </xf>
    <xf numFmtId="0" fontId="24" fillId="0" borderId="14" xfId="153" applyFont="1" applyFill="1" applyBorder="1" applyAlignment="1" applyProtection="1">
      <alignment horizontal="left" vertical="top"/>
      <protection locked="0"/>
    </xf>
    <xf numFmtId="0" fontId="24" fillId="0" borderId="20" xfId="153" applyFont="1" applyFill="1" applyBorder="1" applyAlignment="1" applyProtection="1">
      <alignment horizontal="left" vertical="top"/>
      <protection locked="0"/>
    </xf>
    <xf numFmtId="0" fontId="26" fillId="0" borderId="20" xfId="153" applyFont="1" applyFill="1" applyBorder="1" applyAlignment="1" applyProtection="1">
      <alignment horizontal="left" vertical="top"/>
      <protection locked="0"/>
    </xf>
    <xf numFmtId="0" fontId="47" fillId="24" borderId="20" xfId="148" applyFont="1" applyFill="1" applyBorder="1" applyAlignment="1" applyProtection="1">
      <alignment horizontal="left" vertical="top"/>
      <protection locked="0"/>
    </xf>
    <xf numFmtId="0" fontId="5" fillId="0" borderId="14" xfId="148" applyFont="1" applyFill="1" applyBorder="1" applyAlignment="1" applyProtection="1">
      <alignment horizontal="left" vertical="top" wrapText="1"/>
    </xf>
    <xf numFmtId="0" fontId="26" fillId="0" borderId="12" xfId="43" applyFont="1" applyFill="1" applyBorder="1" applyAlignment="1" applyProtection="1">
      <alignment horizontal="center" vertical="top" wrapText="1"/>
    </xf>
    <xf numFmtId="0" fontId="26" fillId="24" borderId="11" xfId="148" applyFont="1" applyFill="1" applyBorder="1" applyAlignment="1" applyProtection="1">
      <alignment vertical="top"/>
      <protection locked="0"/>
    </xf>
    <xf numFmtId="0" fontId="26" fillId="24" borderId="12" xfId="148" applyFont="1" applyFill="1" applyBorder="1" applyAlignment="1" applyProtection="1">
      <alignment vertical="top"/>
      <protection locked="0"/>
    </xf>
    <xf numFmtId="0" fontId="26" fillId="24" borderId="13" xfId="148" applyFont="1" applyFill="1" applyBorder="1" applyAlignment="1" applyProtection="1">
      <alignment vertical="top"/>
      <protection locked="0"/>
    </xf>
    <xf numFmtId="3" fontId="5" fillId="0" borderId="0" xfId="37" applyNumberFormat="1" applyFont="1" applyFill="1" applyBorder="1" applyAlignment="1">
      <alignment vertical="top" wrapText="1"/>
    </xf>
    <xf numFmtId="0" fontId="34" fillId="0" borderId="0" xfId="36" applyFont="1" applyFill="1" applyBorder="1" applyAlignment="1" applyProtection="1">
      <alignment horizontal="left" vertical="top"/>
    </xf>
    <xf numFmtId="0" fontId="26" fillId="0" borderId="0" xfId="36" applyFont="1" applyFill="1" applyBorder="1" applyAlignment="1" applyProtection="1">
      <alignment horizontal="left" vertical="top"/>
    </xf>
    <xf numFmtId="0" fontId="27" fillId="0" borderId="0" xfId="36" applyFont="1" applyFill="1" applyBorder="1" applyAlignment="1" applyProtection="1">
      <alignment horizontal="left" vertical="top" indent="2"/>
    </xf>
    <xf numFmtId="0" fontId="35" fillId="0" borderId="0" xfId="36" applyFont="1" applyFill="1" applyBorder="1" applyAlignment="1" applyProtection="1">
      <alignment horizontal="left" vertical="top"/>
    </xf>
    <xf numFmtId="0" fontId="44" fillId="0" borderId="0" xfId="36" applyFont="1" applyFill="1" applyBorder="1" applyAlignment="1" applyProtection="1">
      <alignment horizontal="left" vertical="top" indent="1"/>
    </xf>
    <xf numFmtId="0" fontId="35" fillId="0" borderId="0" xfId="37" applyNumberFormat="1" applyFont="1" applyFill="1" applyBorder="1" applyAlignment="1">
      <alignment horizontal="left" vertical="top" wrapText="1"/>
    </xf>
    <xf numFmtId="0" fontId="5" fillId="0" borderId="14" xfId="152" applyFont="1" applyFill="1" applyBorder="1" applyAlignment="1" applyProtection="1">
      <alignment horizontal="left" vertical="top"/>
      <protection locked="0"/>
    </xf>
    <xf numFmtId="3" fontId="26" fillId="0" borderId="0" xfId="37" applyNumberFormat="1" applyFont="1" applyFill="1" applyBorder="1" applyAlignment="1">
      <alignment vertical="top"/>
    </xf>
    <xf numFmtId="0" fontId="26" fillId="0" borderId="0" xfId="37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 indent="4"/>
    </xf>
    <xf numFmtId="0" fontId="36" fillId="0" borderId="0" xfId="37" applyNumberFormat="1" applyFont="1" applyFill="1" applyBorder="1" applyAlignment="1">
      <alignment horizontal="left" vertical="top" wrapText="1" indent="1"/>
    </xf>
    <xf numFmtId="3" fontId="36" fillId="0" borderId="0" xfId="37" applyNumberFormat="1" applyFont="1" applyFill="1" applyBorder="1" applyAlignment="1">
      <alignment vertical="top" wrapText="1"/>
    </xf>
    <xf numFmtId="0" fontId="27" fillId="0" borderId="0" xfId="31" applyNumberFormat="1" applyFont="1" applyFill="1" applyBorder="1" applyAlignment="1" applyProtection="1">
      <alignment horizontal="left" vertical="top" wrapText="1" indent="1"/>
    </xf>
    <xf numFmtId="0" fontId="24" fillId="0" borderId="17" xfId="153" applyFont="1" applyFill="1" applyBorder="1" applyAlignment="1" applyProtection="1">
      <alignment horizontal="left" vertical="top" wrapText="1" indent="1"/>
      <protection locked="0"/>
    </xf>
    <xf numFmtId="0" fontId="24" fillId="0" borderId="14" xfId="148" applyFont="1" applyBorder="1" applyAlignment="1">
      <alignment horizontal="left" wrapText="1" indent="2"/>
    </xf>
    <xf numFmtId="0" fontId="26" fillId="25" borderId="14" xfId="135" applyFont="1" applyFill="1" applyBorder="1" applyAlignment="1" applyProtection="1">
      <alignment horizontal="left" vertical="top" wrapText="1"/>
      <protection locked="0"/>
    </xf>
    <xf numFmtId="0" fontId="26" fillId="25" borderId="20" xfId="135" applyFont="1" applyFill="1" applyBorder="1" applyAlignment="1" applyProtection="1">
      <alignment horizontal="left" vertical="top"/>
      <protection locked="0"/>
    </xf>
    <xf numFmtId="0" fontId="5" fillId="0" borderId="20" xfId="135" applyFont="1" applyFill="1" applyBorder="1" applyAlignment="1" applyProtection="1">
      <alignment horizontal="left" vertical="top" wrapText="1"/>
      <protection locked="0"/>
    </xf>
    <xf numFmtId="0" fontId="5" fillId="0" borderId="20" xfId="135" applyFont="1" applyFill="1" applyBorder="1" applyAlignment="1" applyProtection="1">
      <alignment horizontal="left" vertical="top"/>
      <protection locked="0"/>
    </xf>
    <xf numFmtId="0" fontId="27" fillId="0" borderId="0" xfId="0" applyNumberFormat="1" applyFont="1" applyFill="1" applyAlignment="1">
      <alignment horizontal="left" indent="1"/>
    </xf>
    <xf numFmtId="3" fontId="27" fillId="0" borderId="0" xfId="0" applyNumberFormat="1" applyFont="1" applyFill="1" applyAlignment="1"/>
    <xf numFmtId="3" fontId="36" fillId="0" borderId="0" xfId="0" quotePrefix="1" applyNumberFormat="1" applyFont="1" applyFill="1" applyAlignment="1">
      <alignment wrapText="1"/>
    </xf>
    <xf numFmtId="0" fontId="24" fillId="0" borderId="0" xfId="35" applyNumberFormat="1" applyFont="1" applyFill="1" applyBorder="1" applyAlignment="1" applyProtection="1">
      <alignment horizontal="left" vertical="top" wrapText="1" indent="4"/>
    </xf>
    <xf numFmtId="3" fontId="24" fillId="0" borderId="0" xfId="35" applyNumberFormat="1" applyFont="1" applyFill="1" applyBorder="1" applyAlignment="1" applyProtection="1">
      <alignment vertical="top" wrapText="1"/>
    </xf>
    <xf numFmtId="0" fontId="5" fillId="0" borderId="13" xfId="148" applyFont="1" applyFill="1" applyBorder="1" applyAlignment="1" applyProtection="1">
      <alignment horizontal="left" vertical="top" wrapText="1"/>
    </xf>
    <xf numFmtId="3" fontId="5" fillId="0" borderId="22" xfId="149" applyNumberFormat="1" applyFont="1" applyFill="1" applyBorder="1" applyAlignment="1" applyProtection="1">
      <alignment horizontal="right" vertical="top"/>
      <protection locked="0"/>
    </xf>
    <xf numFmtId="3" fontId="26" fillId="24" borderId="22" xfId="148" applyNumberFormat="1" applyFont="1" applyFill="1" applyBorder="1" applyAlignment="1" applyProtection="1">
      <alignment horizontal="right" vertical="top"/>
      <protection locked="0"/>
    </xf>
    <xf numFmtId="3" fontId="5" fillId="0" borderId="22" xfId="148" applyNumberFormat="1" applyFont="1" applyFill="1" applyBorder="1" applyAlignment="1" applyProtection="1">
      <alignment horizontal="right" vertical="top"/>
      <protection locked="0"/>
    </xf>
    <xf numFmtId="3" fontId="26" fillId="0" borderId="22" xfId="153" applyNumberFormat="1" applyFont="1" applyFill="1" applyBorder="1" applyAlignment="1" applyProtection="1">
      <alignment vertical="top"/>
      <protection locked="0"/>
    </xf>
    <xf numFmtId="0" fontId="5" fillId="0" borderId="16" xfId="148" applyFont="1" applyFill="1" applyBorder="1" applyAlignment="1" applyProtection="1">
      <alignment horizontal="left" vertical="top"/>
      <protection locked="0"/>
    </xf>
    <xf numFmtId="3" fontId="5" fillId="0" borderId="23" xfId="148" applyNumberFormat="1" applyFont="1" applyFill="1" applyBorder="1" applyAlignment="1" applyProtection="1">
      <alignment horizontal="right" vertical="top"/>
      <protection locked="0"/>
    </xf>
    <xf numFmtId="3" fontId="5" fillId="0" borderId="22" xfId="153" applyNumberFormat="1" applyFont="1" applyFill="1" applyBorder="1" applyAlignment="1" applyProtection="1">
      <alignment vertical="top"/>
      <protection locked="0"/>
    </xf>
    <xf numFmtId="3" fontId="5" fillId="0" borderId="24" xfId="153" applyNumberFormat="1" applyFont="1" applyFill="1" applyBorder="1" applyAlignment="1" applyProtection="1">
      <alignment vertical="top"/>
      <protection locked="0"/>
    </xf>
    <xf numFmtId="0" fontId="5" fillId="0" borderId="24" xfId="152" applyFont="1" applyFill="1" applyBorder="1" applyAlignment="1" applyProtection="1">
      <alignment horizontal="right" vertical="top" wrapText="1"/>
      <protection locked="0"/>
    </xf>
    <xf numFmtId="3" fontId="26" fillId="25" borderId="24" xfId="153" applyNumberFormat="1" applyFont="1" applyFill="1" applyBorder="1" applyAlignment="1" applyProtection="1">
      <alignment vertical="top"/>
      <protection locked="0"/>
    </xf>
    <xf numFmtId="3" fontId="26" fillId="30" borderId="24" xfId="148" applyNumberFormat="1" applyFont="1" applyFill="1" applyBorder="1" applyAlignment="1" applyProtection="1">
      <alignment vertical="top"/>
      <protection locked="0"/>
    </xf>
    <xf numFmtId="3" fontId="5" fillId="0" borderId="24" xfId="148" applyNumberFormat="1" applyFont="1" applyFill="1" applyBorder="1" applyAlignment="1" applyProtection="1">
      <alignment vertical="top"/>
      <protection locked="0"/>
    </xf>
    <xf numFmtId="3" fontId="5" fillId="0" borderId="16" xfId="43" applyNumberFormat="1" applyFont="1" applyFill="1" applyBorder="1" applyAlignment="1" applyProtection="1">
      <alignment horizontal="right" vertical="top"/>
      <protection locked="0"/>
    </xf>
    <xf numFmtId="3" fontId="26" fillId="25" borderId="20" xfId="153" applyNumberFormat="1" applyFont="1" applyFill="1" applyBorder="1" applyAlignment="1" applyProtection="1">
      <alignment horizontal="right" vertical="top"/>
      <protection locked="0"/>
    </xf>
    <xf numFmtId="0" fontId="90" fillId="0" borderId="14" xfId="87" applyNumberFormat="1" applyFont="1" applyFill="1" applyBorder="1" applyAlignment="1">
      <alignment horizontal="center" vertical="top" wrapText="1"/>
    </xf>
    <xf numFmtId="0" fontId="24" fillId="0" borderId="14" xfId="153" applyFont="1" applyFill="1" applyBorder="1" applyAlignment="1" applyProtection="1">
      <alignment horizontal="left" vertical="top" wrapText="1" indent="1"/>
      <protection locked="0"/>
    </xf>
    <xf numFmtId="0" fontId="36" fillId="0" borderId="16" xfId="148" applyFont="1" applyFill="1" applyBorder="1" applyAlignment="1" applyProtection="1">
      <alignment horizontal="left" vertical="top"/>
      <protection locked="0"/>
    </xf>
    <xf numFmtId="3" fontId="36" fillId="0" borderId="23" xfId="148" applyNumberFormat="1" applyFont="1" applyFill="1" applyBorder="1" applyAlignment="1" applyProtection="1">
      <alignment horizontal="right" vertical="top"/>
      <protection locked="0"/>
    </xf>
    <xf numFmtId="0" fontId="5" fillId="0" borderId="16" xfId="152" applyFont="1" applyFill="1" applyBorder="1" applyAlignment="1" applyProtection="1">
      <alignment horizontal="left" vertical="top" wrapText="1"/>
      <protection locked="0"/>
    </xf>
    <xf numFmtId="0" fontId="5" fillId="0" borderId="0" xfId="36" applyNumberFormat="1" applyFont="1" applyFill="1" applyBorder="1" applyAlignment="1" applyProtection="1">
      <alignment horizontal="left" vertical="top" wrapText="1" indent="2"/>
    </xf>
    <xf numFmtId="3" fontId="24" fillId="0" borderId="0" xfId="36" applyNumberFormat="1" applyFont="1" applyFill="1" applyBorder="1" applyAlignment="1">
      <alignment vertical="top" wrapText="1"/>
    </xf>
    <xf numFmtId="0" fontId="24" fillId="0" borderId="0" xfId="36" applyNumberFormat="1" applyFont="1" applyFill="1" applyBorder="1" applyAlignment="1" applyProtection="1">
      <alignment horizontal="left" vertical="top" wrapText="1" inden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5" fillId="0" borderId="14" xfId="0" applyFont="1" applyFill="1" applyBorder="1" applyAlignment="1" applyProtection="1">
      <alignment horizontal="left" vertical="top"/>
      <protection locked="0"/>
    </xf>
    <xf numFmtId="3" fontId="5" fillId="0" borderId="24" xfId="0" applyNumberFormat="1" applyFont="1" applyFill="1" applyBorder="1" applyAlignment="1" applyProtection="1">
      <alignment vertical="top"/>
      <protection locked="0"/>
    </xf>
    <xf numFmtId="0" fontId="24" fillId="0" borderId="0" xfId="0" applyFont="1" applyBorder="1"/>
    <xf numFmtId="0" fontId="71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3" fontId="45" fillId="0" borderId="0" xfId="43" applyNumberFormat="1" applyFont="1" applyAlignment="1">
      <alignment horizontal="left" vertical="top" wrapText="1"/>
    </xf>
  </cellXfs>
  <cellStyles count="155">
    <cellStyle name="20% - Accent1" xfId="1" builtinId="30" customBuiltin="1"/>
    <cellStyle name="20% - Accent1 2" xfId="52"/>
    <cellStyle name="20% - Accent2" xfId="2" builtinId="34" customBuiltin="1"/>
    <cellStyle name="20% - Accent2 2" xfId="53"/>
    <cellStyle name="20% - Accent3" xfId="3" builtinId="38" customBuiltin="1"/>
    <cellStyle name="20% - Accent3 2" xfId="54"/>
    <cellStyle name="20% - Accent4" xfId="4" builtinId="42" customBuiltin="1"/>
    <cellStyle name="20% - Accent4 2" xfId="55"/>
    <cellStyle name="20% - Accent5" xfId="5" builtinId="46" customBuiltin="1"/>
    <cellStyle name="20% - Accent5 2" xfId="56"/>
    <cellStyle name="20% - Accent6" xfId="6" builtinId="50" customBuiltin="1"/>
    <cellStyle name="20% - Accent6 2" xfId="57"/>
    <cellStyle name="40% - Accent1" xfId="7" builtinId="31" customBuiltin="1"/>
    <cellStyle name="40% - Accent1 2" xfId="58"/>
    <cellStyle name="40% - Accent2" xfId="8" builtinId="35" customBuiltin="1"/>
    <cellStyle name="40% - Accent2 2" xfId="59"/>
    <cellStyle name="40% - Accent3" xfId="9" builtinId="39" customBuiltin="1"/>
    <cellStyle name="40% - Accent3 2" xfId="60"/>
    <cellStyle name="40% - Accent4" xfId="10" builtinId="43" customBuiltin="1"/>
    <cellStyle name="40% - Accent4 2" xfId="61"/>
    <cellStyle name="40% - Accent5" xfId="11" builtinId="47" customBuiltin="1"/>
    <cellStyle name="40% - Accent5 2" xfId="62"/>
    <cellStyle name="40% - Accent6" xfId="12" builtinId="51" customBuiltin="1"/>
    <cellStyle name="40% - Accent6 2" xfId="63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planatory Text" xfId="26" builtinId="53" customBuiltin="1"/>
    <cellStyle name="Explanatory Text 2" xfId="88"/>
    <cellStyle name="Good" xfId="44" builtinId="26" customBuiltin="1"/>
    <cellStyle name="Good 2" xfId="89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l" xfId="0" builtinId="0"/>
    <cellStyle name="Normal 10" xfId="146"/>
    <cellStyle name="Normal 11" xfId="147"/>
    <cellStyle name="Normal 13 2" xfId="148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5" xfId="103"/>
    <cellStyle name="Normal 2 6" xfId="104"/>
    <cellStyle name="Normal 3" xfId="50"/>
    <cellStyle name="Normal 3 10" xfId="105"/>
    <cellStyle name="Normal 3 10 2" xfId="106"/>
    <cellStyle name="Normal 3 11" xfId="107"/>
    <cellStyle name="Normal 3 11 2" xfId="108"/>
    <cellStyle name="Normal 3 12" xfId="109"/>
    <cellStyle name="Normal 3 13" xfId="110"/>
    <cellStyle name="Normal 3 2" xfId="111"/>
    <cellStyle name="Normal 3 2 2" xfId="112"/>
    <cellStyle name="Normal 3 2 3" xfId="113"/>
    <cellStyle name="Normal 3 3" xfId="114"/>
    <cellStyle name="Normal 3 3 2" xfId="115"/>
    <cellStyle name="Normal 3 4" xfId="116"/>
    <cellStyle name="Normal 3 4 2" xfId="117"/>
    <cellStyle name="Normal 3 5" xfId="118"/>
    <cellStyle name="Normal 3 5 2" xfId="119"/>
    <cellStyle name="Normal 3 6" xfId="120"/>
    <cellStyle name="Normal 3 7" xfId="121"/>
    <cellStyle name="Normal 3 8" xfId="122"/>
    <cellStyle name="Normal 3 8 2" xfId="123"/>
    <cellStyle name="Normal 3 9" xfId="124"/>
    <cellStyle name="Normal 3 9 2" xfId="125"/>
    <cellStyle name="Normal 4" xfId="126"/>
    <cellStyle name="Normal 4 2" xfId="127"/>
    <cellStyle name="Normal 5" xfId="128"/>
    <cellStyle name="Normal 5 2" xfId="129"/>
    <cellStyle name="Normal 5 2 2" xfId="130"/>
    <cellStyle name="Normal 5 3" xfId="131"/>
    <cellStyle name="Normal 6" xfId="132"/>
    <cellStyle name="Normal 7" xfId="133"/>
    <cellStyle name="Normal 7 2" xfId="134"/>
    <cellStyle name="Normal 8" xfId="135"/>
    <cellStyle name="Normal 8 6" xfId="150"/>
    <cellStyle name="Normal 8 6 2" xfId="152"/>
    <cellStyle name="Normal 8 6 2 2" xfId="153"/>
    <cellStyle name="Normal 8 7" xfId="154"/>
    <cellStyle name="Normal 9" xfId="136"/>
    <cellStyle name="Normal_2002 määrus lisa 5" xfId="35"/>
    <cellStyle name="Normal_2002 määrus lisa 5_Lisad 22.02.11 II" xfId="36"/>
    <cellStyle name="Normal_vorm 1 koond" xfId="151"/>
    <cellStyle name="Normal_vorm 1 koond_Lisad 22.02.11 II" xfId="37"/>
    <cellStyle name="Note" xfId="38" builtinId="10" customBuiltin="1"/>
    <cellStyle name="Note 2" xfId="137"/>
    <cellStyle name="Note 3" xfId="145"/>
    <cellStyle name="Note 4" xfId="51"/>
    <cellStyle name="Output" xfId="39" builtinId="21" customBuiltin="1"/>
    <cellStyle name="Output 2" xfId="138"/>
    <cellStyle name="Percent 2" xfId="46"/>
    <cellStyle name="Percent 3" xfId="139"/>
    <cellStyle name="Rõhk5 2" xfId="140"/>
    <cellStyle name="Rõhk6 2" xfId="141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43"/>
  <sheetViews>
    <sheetView showZeros="0" tabSelected="1" zoomScaleNormal="100" workbookViewId="0"/>
  </sheetViews>
  <sheetFormatPr defaultRowHeight="12.75" x14ac:dyDescent="0.2"/>
  <cols>
    <col min="1" max="1" width="53" style="103" customWidth="1"/>
    <col min="2" max="2" width="12.5703125" hidden="1" customWidth="1"/>
    <col min="3" max="3" width="13.42578125" style="103" bestFit="1" customWidth="1"/>
    <col min="4" max="4" width="12.5703125" style="103" customWidth="1"/>
    <col min="6" max="6" width="9.7109375" bestFit="1" customWidth="1"/>
  </cols>
  <sheetData>
    <row r="1" spans="1:4" ht="12.75" customHeight="1" x14ac:dyDescent="0.2">
      <c r="D1" s="259" t="s">
        <v>355</v>
      </c>
    </row>
    <row r="2" spans="1:4" ht="12.75" customHeight="1" x14ac:dyDescent="0.2">
      <c r="D2" s="259" t="s">
        <v>354</v>
      </c>
    </row>
    <row r="3" spans="1:4" ht="12.75" customHeight="1" x14ac:dyDescent="0.2">
      <c r="D3" s="260" t="s">
        <v>353</v>
      </c>
    </row>
    <row r="4" spans="1:4" ht="12.75" customHeight="1" x14ac:dyDescent="0.2">
      <c r="A4" s="15"/>
      <c r="D4" s="16" t="s">
        <v>73</v>
      </c>
    </row>
    <row r="5" spans="1:4" x14ac:dyDescent="0.2">
      <c r="A5" s="17"/>
    </row>
    <row r="6" spans="1:4" ht="12.75" customHeight="1" x14ac:dyDescent="0.2">
      <c r="A6" s="17"/>
    </row>
    <row r="7" spans="1:4" ht="15" x14ac:dyDescent="0.25">
      <c r="A7" s="18" t="s">
        <v>74</v>
      </c>
    </row>
    <row r="8" spans="1:4" x14ac:dyDescent="0.2">
      <c r="A8" s="19"/>
      <c r="B8" s="101"/>
      <c r="C8" s="101"/>
      <c r="D8" s="101"/>
    </row>
    <row r="9" spans="1:4" x14ac:dyDescent="0.2">
      <c r="A9" s="4"/>
      <c r="B9" s="101"/>
      <c r="C9" s="101"/>
      <c r="D9" s="260" t="s">
        <v>72</v>
      </c>
    </row>
    <row r="10" spans="1:4" ht="38.25" x14ac:dyDescent="0.2">
      <c r="A10" s="4"/>
      <c r="B10" s="297" t="s">
        <v>356</v>
      </c>
      <c r="C10" s="275" t="s">
        <v>337</v>
      </c>
      <c r="D10" s="275" t="s">
        <v>338</v>
      </c>
    </row>
    <row r="11" spans="1:4" x14ac:dyDescent="0.2">
      <c r="A11" s="4" t="s">
        <v>75</v>
      </c>
      <c r="C11" s="38"/>
    </row>
    <row r="12" spans="1:4" x14ac:dyDescent="0.2">
      <c r="A12" s="63"/>
      <c r="C12" s="143"/>
    </row>
    <row r="13" spans="1:4" x14ac:dyDescent="0.2">
      <c r="A13" s="21" t="s">
        <v>76</v>
      </c>
      <c r="B13" s="22">
        <v>615275384</v>
      </c>
      <c r="C13" s="22">
        <f ca="1">SUM(C14:C27)</f>
        <v>472766</v>
      </c>
      <c r="D13" s="22">
        <f ca="1">B13+C13</f>
        <v>615748150</v>
      </c>
    </row>
    <row r="14" spans="1:4" x14ac:dyDescent="0.2">
      <c r="A14" s="24" t="s">
        <v>77</v>
      </c>
      <c r="B14" s="25">
        <v>392985000</v>
      </c>
      <c r="C14" s="25">
        <f>'2 TULUDE KOOND'!D15</f>
        <v>300000</v>
      </c>
      <c r="D14" s="25">
        <f t="shared" ref="D14:D72" si="0">B14+C14</f>
        <v>393285000</v>
      </c>
    </row>
    <row r="15" spans="1:4" x14ac:dyDescent="0.2">
      <c r="A15" s="24" t="s">
        <v>78</v>
      </c>
      <c r="B15" s="25">
        <v>11735200</v>
      </c>
      <c r="C15" s="25">
        <f>'2 TULUDE KOOND'!D18</f>
        <v>-600000</v>
      </c>
      <c r="D15" s="25">
        <f t="shared" si="0"/>
        <v>11135200</v>
      </c>
    </row>
    <row r="16" spans="1:4" x14ac:dyDescent="0.2">
      <c r="A16" s="24" t="s">
        <v>79</v>
      </c>
      <c r="B16" s="25">
        <v>512800</v>
      </c>
      <c r="C16" s="25">
        <f>'2 TULUDE KOOND'!D21</f>
        <v>5000</v>
      </c>
      <c r="D16" s="25">
        <f t="shared" si="0"/>
        <v>517800</v>
      </c>
    </row>
    <row r="17" spans="1:4" x14ac:dyDescent="0.2">
      <c r="A17" s="24" t="s">
        <v>80</v>
      </c>
      <c r="B17" s="25">
        <v>74649756</v>
      </c>
      <c r="C17" s="25">
        <f ca="1">'2 TULUDE KOOND'!D23</f>
        <v>867000</v>
      </c>
      <c r="D17" s="25">
        <f t="shared" ca="1" si="0"/>
        <v>75516756</v>
      </c>
    </row>
    <row r="18" spans="1:4" x14ac:dyDescent="0.2">
      <c r="A18" s="24" t="s">
        <v>81</v>
      </c>
      <c r="B18" s="25">
        <v>2509710</v>
      </c>
      <c r="C18" s="25">
        <f ca="1">'2 TULUDE KOOND'!D29</f>
        <v>-175582</v>
      </c>
      <c r="D18" s="25">
        <f t="shared" ca="1" si="0"/>
        <v>2334128</v>
      </c>
    </row>
    <row r="19" spans="1:4" x14ac:dyDescent="0.2">
      <c r="A19" s="24" t="s">
        <v>82</v>
      </c>
      <c r="B19" s="25">
        <v>10000</v>
      </c>
      <c r="C19" s="25"/>
      <c r="D19" s="25">
        <f t="shared" si="0"/>
        <v>10000</v>
      </c>
    </row>
    <row r="20" spans="1:4" x14ac:dyDescent="0.2">
      <c r="A20" s="24" t="s">
        <v>83</v>
      </c>
      <c r="B20" s="25">
        <v>16658954</v>
      </c>
      <c r="C20" s="25">
        <f>'2 TULUDE KOOND'!D34</f>
        <v>5438</v>
      </c>
      <c r="D20" s="25">
        <f t="shared" si="0"/>
        <v>16664392</v>
      </c>
    </row>
    <row r="21" spans="1:4" x14ac:dyDescent="0.2">
      <c r="A21" s="24" t="s">
        <v>84</v>
      </c>
      <c r="B21" s="25">
        <v>-5902527</v>
      </c>
      <c r="C21" s="25"/>
      <c r="D21" s="25">
        <f t="shared" si="0"/>
        <v>-5902527</v>
      </c>
    </row>
    <row r="22" spans="1:4" x14ac:dyDescent="0.2">
      <c r="A22" s="24" t="s">
        <v>85</v>
      </c>
      <c r="B22" s="25">
        <v>-10000</v>
      </c>
      <c r="C22" s="25"/>
      <c r="D22" s="25">
        <f t="shared" si="0"/>
        <v>-10000</v>
      </c>
    </row>
    <row r="23" spans="1:4" x14ac:dyDescent="0.2">
      <c r="A23" s="24" t="s">
        <v>86</v>
      </c>
      <c r="B23" s="25">
        <v>307579</v>
      </c>
      <c r="C23" s="25">
        <f>'2 TULUDE KOOND'!D36</f>
        <v>13153</v>
      </c>
      <c r="D23" s="25">
        <f t="shared" si="0"/>
        <v>320732</v>
      </c>
    </row>
    <row r="24" spans="1:4" x14ac:dyDescent="0.2">
      <c r="A24" s="24" t="s">
        <v>87</v>
      </c>
      <c r="B24" s="25">
        <v>7260000</v>
      </c>
      <c r="C24" s="25"/>
      <c r="D24" s="25">
        <f t="shared" si="0"/>
        <v>7260000</v>
      </c>
    </row>
    <row r="25" spans="1:4" x14ac:dyDescent="0.2">
      <c r="A25" s="26" t="s">
        <v>88</v>
      </c>
      <c r="B25" s="25">
        <v>91070457</v>
      </c>
      <c r="C25" s="25">
        <f>'2 TULUDE KOOND'!D42</f>
        <v>-30407</v>
      </c>
      <c r="D25" s="25">
        <f t="shared" si="0"/>
        <v>91040050</v>
      </c>
    </row>
    <row r="26" spans="1:4" x14ac:dyDescent="0.2">
      <c r="A26" s="24" t="s">
        <v>89</v>
      </c>
      <c r="B26" s="25">
        <v>22227920</v>
      </c>
      <c r="C26" s="25">
        <f>'2 TULUDE KOOND'!D43</f>
        <v>33950</v>
      </c>
      <c r="D26" s="25">
        <f t="shared" si="0"/>
        <v>22261870</v>
      </c>
    </row>
    <row r="27" spans="1:4" s="103" customFormat="1" x14ac:dyDescent="0.2">
      <c r="A27" s="24" t="s">
        <v>244</v>
      </c>
      <c r="B27" s="25">
        <v>1260535</v>
      </c>
      <c r="C27" s="25">
        <f>'2 TULUDE KOOND'!D44</f>
        <v>54214</v>
      </c>
      <c r="D27" s="25">
        <f t="shared" si="0"/>
        <v>1314749</v>
      </c>
    </row>
    <row r="28" spans="1:4" ht="14.25" customHeight="1" x14ac:dyDescent="0.2">
      <c r="A28" s="7"/>
      <c r="B28" s="107">
        <v>0</v>
      </c>
      <c r="C28" s="107"/>
      <c r="D28" s="107">
        <f t="shared" si="0"/>
        <v>0</v>
      </c>
    </row>
    <row r="29" spans="1:4" ht="12" customHeight="1" x14ac:dyDescent="0.2">
      <c r="A29" s="21" t="s">
        <v>90</v>
      </c>
      <c r="B29" s="22">
        <v>578109664</v>
      </c>
      <c r="C29" s="22">
        <f ca="1">C30+C34</f>
        <v>1627467</v>
      </c>
      <c r="D29" s="22">
        <f t="shared" ca="1" si="0"/>
        <v>579737131</v>
      </c>
    </row>
    <row r="30" spans="1:4" x14ac:dyDescent="0.2">
      <c r="A30" s="24" t="s">
        <v>91</v>
      </c>
      <c r="B30" s="25">
        <v>516578012</v>
      </c>
      <c r="C30" s="25">
        <f ca="1">SUM(C31:C33)</f>
        <v>1341444</v>
      </c>
      <c r="D30" s="25">
        <f t="shared" ca="1" si="0"/>
        <v>517919456</v>
      </c>
    </row>
    <row r="31" spans="1:4" ht="25.5" x14ac:dyDescent="0.2">
      <c r="A31" s="144" t="s">
        <v>92</v>
      </c>
      <c r="B31" s="25">
        <v>86600125</v>
      </c>
      <c r="C31" s="25">
        <v>0</v>
      </c>
      <c r="D31" s="25">
        <f t="shared" si="0"/>
        <v>86600125</v>
      </c>
    </row>
    <row r="32" spans="1:4" x14ac:dyDescent="0.2">
      <c r="A32" s="27" t="s">
        <v>93</v>
      </c>
      <c r="B32" s="25">
        <v>1806217</v>
      </c>
      <c r="C32" s="25">
        <f ca="1">'3 KULUD'!B730</f>
        <v>20200</v>
      </c>
      <c r="D32" s="25">
        <f t="shared" ca="1" si="0"/>
        <v>1826417</v>
      </c>
    </row>
    <row r="33" spans="1:4" x14ac:dyDescent="0.2">
      <c r="A33" s="27" t="s">
        <v>94</v>
      </c>
      <c r="B33" s="25">
        <v>428171670</v>
      </c>
      <c r="C33" s="25">
        <f ca="1">'3 KULUD'!B729+'3 KULUD'!B731</f>
        <v>1321244</v>
      </c>
      <c r="D33" s="25">
        <f t="shared" ca="1" si="0"/>
        <v>429492914</v>
      </c>
    </row>
    <row r="34" spans="1:4" x14ac:dyDescent="0.2">
      <c r="A34" s="24" t="s">
        <v>95</v>
      </c>
      <c r="B34" s="25">
        <v>61531652</v>
      </c>
      <c r="C34" s="25">
        <f>ROUND(('4 INVEST'!D19)*0.2,0)+'4 INVEST'!D106</f>
        <v>286023</v>
      </c>
      <c r="D34" s="25">
        <f t="shared" si="0"/>
        <v>61817675</v>
      </c>
    </row>
    <row r="35" spans="1:4" x14ac:dyDescent="0.2">
      <c r="A35" s="24"/>
      <c r="B35" s="107">
        <v>0</v>
      </c>
      <c r="C35" s="107"/>
      <c r="D35" s="107">
        <f t="shared" si="0"/>
        <v>0</v>
      </c>
    </row>
    <row r="36" spans="1:4" x14ac:dyDescent="0.2">
      <c r="A36" s="28" t="s">
        <v>96</v>
      </c>
      <c r="B36" s="96">
        <v>37165720</v>
      </c>
      <c r="C36" s="96">
        <f ca="1">C13-C29</f>
        <v>-1154701</v>
      </c>
      <c r="D36" s="96">
        <f t="shared" ca="1" si="0"/>
        <v>36011019</v>
      </c>
    </row>
    <row r="37" spans="1:4" x14ac:dyDescent="0.2">
      <c r="A37" s="29"/>
      <c r="B37" s="8">
        <v>0</v>
      </c>
      <c r="C37" s="8"/>
      <c r="D37" s="8">
        <f t="shared" si="0"/>
        <v>0</v>
      </c>
    </row>
    <row r="38" spans="1:4" x14ac:dyDescent="0.2">
      <c r="A38" s="30" t="s">
        <v>97</v>
      </c>
      <c r="B38" s="25">
        <v>45324925</v>
      </c>
      <c r="C38" s="25">
        <f ca="1">'3 KULUD'!B726</f>
        <v>170210</v>
      </c>
      <c r="D38" s="25">
        <f t="shared" ca="1" si="0"/>
        <v>45495135</v>
      </c>
    </row>
    <row r="39" spans="1:4" x14ac:dyDescent="0.2">
      <c r="A39" s="7"/>
      <c r="B39" s="107">
        <v>0</v>
      </c>
      <c r="C39" s="107"/>
      <c r="D39" s="107">
        <f t="shared" si="0"/>
        <v>0</v>
      </c>
    </row>
    <row r="40" spans="1:4" x14ac:dyDescent="0.2">
      <c r="A40" s="28" t="s">
        <v>98</v>
      </c>
      <c r="B40" s="96">
        <v>-8159205</v>
      </c>
      <c r="C40" s="96">
        <f ca="1">+C36-C38</f>
        <v>-1324911</v>
      </c>
      <c r="D40" s="96">
        <f ca="1">+D36-D38</f>
        <v>-9484116</v>
      </c>
    </row>
    <row r="41" spans="1:4" ht="16.5" thickBot="1" x14ac:dyDescent="0.3">
      <c r="A41" s="31"/>
      <c r="B41" s="97">
        <v>0</v>
      </c>
      <c r="C41" s="97"/>
      <c r="D41" s="97">
        <f t="shared" si="0"/>
        <v>0</v>
      </c>
    </row>
    <row r="42" spans="1:4" ht="16.5" thickTop="1" x14ac:dyDescent="0.25">
      <c r="A42" s="32"/>
      <c r="B42" s="98">
        <v>0</v>
      </c>
      <c r="C42" s="98"/>
      <c r="D42" s="98">
        <f t="shared" si="0"/>
        <v>0</v>
      </c>
    </row>
    <row r="43" spans="1:4" ht="15.75" x14ac:dyDescent="0.25">
      <c r="A43" s="33" t="s">
        <v>99</v>
      </c>
      <c r="B43" s="98">
        <v>0</v>
      </c>
      <c r="C43" s="98"/>
      <c r="D43" s="98">
        <f t="shared" si="0"/>
        <v>0</v>
      </c>
    </row>
    <row r="44" spans="1:4" s="103" customFormat="1" ht="15.75" x14ac:dyDescent="0.25">
      <c r="A44" s="33"/>
      <c r="B44" s="98">
        <v>0</v>
      </c>
      <c r="C44" s="98"/>
      <c r="D44" s="98">
        <f t="shared" si="0"/>
        <v>0</v>
      </c>
    </row>
    <row r="45" spans="1:4" s="103" customFormat="1" x14ac:dyDescent="0.2">
      <c r="A45" s="94" t="s">
        <v>328</v>
      </c>
      <c r="B45" s="25">
        <v>0</v>
      </c>
      <c r="C45" s="25">
        <v>0</v>
      </c>
      <c r="D45" s="25">
        <f t="shared" si="0"/>
        <v>0</v>
      </c>
    </row>
    <row r="46" spans="1:4" x14ac:dyDescent="0.2">
      <c r="A46" s="24"/>
      <c r="B46" s="25">
        <v>0</v>
      </c>
      <c r="C46" s="25"/>
      <c r="D46" s="25">
        <f t="shared" si="0"/>
        <v>0</v>
      </c>
    </row>
    <row r="47" spans="1:4" x14ac:dyDescent="0.2">
      <c r="A47" s="244" t="s">
        <v>100</v>
      </c>
      <c r="B47" s="25">
        <v>0</v>
      </c>
      <c r="C47" s="25"/>
      <c r="D47" s="25">
        <f t="shared" si="0"/>
        <v>0</v>
      </c>
    </row>
    <row r="48" spans="1:4" x14ac:dyDescent="0.2">
      <c r="A48" s="245" t="s">
        <v>101</v>
      </c>
      <c r="B48" s="25">
        <v>87031189</v>
      </c>
      <c r="C48" s="25">
        <f>'4 INVEST'!D12-'1 KOONDEELARVE'!C34</f>
        <v>-996410</v>
      </c>
      <c r="D48" s="25">
        <f t="shared" si="0"/>
        <v>86034779</v>
      </c>
    </row>
    <row r="49" spans="1:4" x14ac:dyDescent="0.2">
      <c r="A49" s="245" t="s">
        <v>97</v>
      </c>
      <c r="B49" s="25">
        <v>-45324925</v>
      </c>
      <c r="C49" s="25">
        <f ca="1">-C38</f>
        <v>-170210</v>
      </c>
      <c r="D49" s="25">
        <f t="shared" ca="1" si="0"/>
        <v>-45495135</v>
      </c>
    </row>
    <row r="50" spans="1:4" x14ac:dyDescent="0.2">
      <c r="A50" s="245" t="s">
        <v>102</v>
      </c>
      <c r="B50" s="25">
        <v>-5902527</v>
      </c>
      <c r="C50" s="25">
        <f>C21</f>
        <v>0</v>
      </c>
      <c r="D50" s="25">
        <f t="shared" si="0"/>
        <v>-5902527</v>
      </c>
    </row>
    <row r="51" spans="1:4" x14ac:dyDescent="0.2">
      <c r="A51" s="246" t="s">
        <v>103</v>
      </c>
      <c r="B51" s="22">
        <v>35803737</v>
      </c>
      <c r="C51" s="22">
        <f ca="1">C48+C49+C50</f>
        <v>-1166620</v>
      </c>
      <c r="D51" s="22">
        <f t="shared" ca="1" si="0"/>
        <v>34637117</v>
      </c>
    </row>
    <row r="52" spans="1:4" s="103" customFormat="1" x14ac:dyDescent="0.2">
      <c r="A52" s="246"/>
      <c r="B52" s="22">
        <v>0</v>
      </c>
      <c r="C52" s="22"/>
      <c r="D52" s="22">
        <f t="shared" si="0"/>
        <v>0</v>
      </c>
    </row>
    <row r="53" spans="1:4" s="103" customFormat="1" x14ac:dyDescent="0.2">
      <c r="A53" s="244" t="s">
        <v>334</v>
      </c>
      <c r="B53" s="22">
        <v>0</v>
      </c>
      <c r="C53" s="22"/>
      <c r="D53" s="22">
        <f t="shared" si="0"/>
        <v>0</v>
      </c>
    </row>
    <row r="54" spans="1:4" s="103" customFormat="1" x14ac:dyDescent="0.2">
      <c r="A54" s="247" t="s">
        <v>335</v>
      </c>
      <c r="B54" s="22">
        <v>-5209634</v>
      </c>
      <c r="C54" s="25">
        <f>66409+20300</f>
        <v>86709</v>
      </c>
      <c r="D54" s="25">
        <f t="shared" si="0"/>
        <v>-5122925</v>
      </c>
    </row>
    <row r="55" spans="1:4" s="103" customFormat="1" x14ac:dyDescent="0.2">
      <c r="A55" s="246"/>
      <c r="B55" s="22">
        <v>0</v>
      </c>
      <c r="C55" s="22"/>
      <c r="D55" s="22">
        <f t="shared" si="0"/>
        <v>0</v>
      </c>
    </row>
    <row r="56" spans="1:4" s="103" customFormat="1" x14ac:dyDescent="0.2">
      <c r="A56" s="246" t="s">
        <v>336</v>
      </c>
      <c r="B56" s="22">
        <v>-5209634</v>
      </c>
      <c r="C56" s="22">
        <f>C54</f>
        <v>86709</v>
      </c>
      <c r="D56" s="22">
        <f t="shared" si="0"/>
        <v>-5122925</v>
      </c>
    </row>
    <row r="57" spans="1:4" s="103" customFormat="1" x14ac:dyDescent="0.2">
      <c r="A57" s="246"/>
      <c r="B57" s="22"/>
      <c r="C57" s="22"/>
      <c r="D57" s="22">
        <f t="shared" si="0"/>
        <v>0</v>
      </c>
    </row>
    <row r="58" spans="1:4" s="103" customFormat="1" x14ac:dyDescent="0.2">
      <c r="A58" s="246" t="s">
        <v>489</v>
      </c>
      <c r="B58" s="22"/>
      <c r="C58" s="22">
        <f>242964-20300</f>
        <v>222664</v>
      </c>
      <c r="D58" s="22">
        <f t="shared" si="0"/>
        <v>222664</v>
      </c>
    </row>
    <row r="59" spans="1:4" s="103" customFormat="1" ht="15.75" x14ac:dyDescent="0.25">
      <c r="A59" s="33"/>
      <c r="B59" s="98">
        <v>0</v>
      </c>
      <c r="C59" s="98"/>
      <c r="D59" s="98">
        <f t="shared" si="0"/>
        <v>0</v>
      </c>
    </row>
    <row r="60" spans="1:4" s="103" customFormat="1" x14ac:dyDescent="0.2">
      <c r="A60" s="94" t="s">
        <v>329</v>
      </c>
      <c r="B60" s="25">
        <v>0</v>
      </c>
      <c r="C60" s="25"/>
      <c r="D60" s="25">
        <f t="shared" si="0"/>
        <v>0</v>
      </c>
    </row>
    <row r="61" spans="1:4" x14ac:dyDescent="0.2">
      <c r="A61" s="24"/>
      <c r="B61" s="25">
        <v>0</v>
      </c>
      <c r="C61" s="25"/>
      <c r="D61" s="25">
        <f t="shared" si="0"/>
        <v>0</v>
      </c>
    </row>
    <row r="62" spans="1:4" x14ac:dyDescent="0.2">
      <c r="A62" s="246" t="s">
        <v>104</v>
      </c>
      <c r="B62" s="22">
        <v>38753308</v>
      </c>
      <c r="C62" s="22">
        <f>C63-C64-C65</f>
        <v>245000</v>
      </c>
      <c r="D62" s="22">
        <f t="shared" si="0"/>
        <v>38998308</v>
      </c>
    </row>
    <row r="63" spans="1:4" x14ac:dyDescent="0.2">
      <c r="A63" s="247" t="s">
        <v>105</v>
      </c>
      <c r="B63" s="25">
        <v>50000000</v>
      </c>
      <c r="C63" s="25"/>
      <c r="D63" s="25">
        <f t="shared" si="0"/>
        <v>50000000</v>
      </c>
    </row>
    <row r="64" spans="1:4" x14ac:dyDescent="0.2">
      <c r="A64" s="247" t="s">
        <v>106</v>
      </c>
      <c r="B64" s="25">
        <v>9913192</v>
      </c>
      <c r="C64" s="25"/>
      <c r="D64" s="25">
        <f t="shared" si="0"/>
        <v>9913192</v>
      </c>
    </row>
    <row r="65" spans="1:4" x14ac:dyDescent="0.2">
      <c r="A65" s="245" t="s">
        <v>236</v>
      </c>
      <c r="B65" s="25">
        <v>1333500</v>
      </c>
      <c r="C65" s="25">
        <f>'5 FIN.TEH'!B11</f>
        <v>-245000</v>
      </c>
      <c r="D65" s="25">
        <f t="shared" si="0"/>
        <v>1088500</v>
      </c>
    </row>
    <row r="66" spans="1:4" s="103" customFormat="1" x14ac:dyDescent="0.2">
      <c r="A66" s="245"/>
      <c r="B66" s="25"/>
      <c r="C66" s="25"/>
      <c r="D66" s="25">
        <f t="shared" si="0"/>
        <v>0</v>
      </c>
    </row>
    <row r="67" spans="1:4" s="103" customFormat="1" x14ac:dyDescent="0.2">
      <c r="A67" s="246" t="s">
        <v>488</v>
      </c>
      <c r="B67" s="25"/>
      <c r="C67" s="22">
        <f>242964-20300</f>
        <v>222664</v>
      </c>
      <c r="D67" s="22">
        <f t="shared" si="0"/>
        <v>222664</v>
      </c>
    </row>
    <row r="68" spans="1:4" s="103" customFormat="1" x14ac:dyDescent="0.2">
      <c r="A68" s="245"/>
      <c r="B68" s="25">
        <v>0</v>
      </c>
      <c r="C68" s="25"/>
      <c r="D68" s="25">
        <f t="shared" si="0"/>
        <v>0</v>
      </c>
    </row>
    <row r="69" spans="1:4" x14ac:dyDescent="0.2">
      <c r="A69" s="34"/>
      <c r="B69" s="22">
        <v>0</v>
      </c>
      <c r="C69" s="22"/>
      <c r="D69" s="22">
        <f t="shared" si="0"/>
        <v>0</v>
      </c>
    </row>
    <row r="70" spans="1:4" s="103" customFormat="1" x14ac:dyDescent="0.2">
      <c r="A70" s="94" t="s">
        <v>108</v>
      </c>
      <c r="B70" s="60">
        <v>-8159205</v>
      </c>
      <c r="C70" s="60">
        <f ca="1">+C51-C62+C54+C58-C67</f>
        <v>-1324911</v>
      </c>
      <c r="D70" s="60">
        <f ca="1">+D51-D62+D54+D58-D67</f>
        <v>-9484116</v>
      </c>
    </row>
    <row r="71" spans="1:4" s="103" customFormat="1" x14ac:dyDescent="0.2">
      <c r="A71" s="94"/>
      <c r="B71" s="60">
        <v>0</v>
      </c>
      <c r="C71" s="60"/>
      <c r="D71" s="60">
        <f t="shared" si="0"/>
        <v>0</v>
      </c>
    </row>
    <row r="72" spans="1:4" s="103" customFormat="1" x14ac:dyDescent="0.2">
      <c r="A72" s="34"/>
      <c r="B72" s="22">
        <v>0</v>
      </c>
      <c r="C72" s="22"/>
      <c r="D72" s="22">
        <f t="shared" si="0"/>
        <v>0</v>
      </c>
    </row>
    <row r="73" spans="1:4" s="103" customFormat="1" x14ac:dyDescent="0.2">
      <c r="A73" s="7" t="s">
        <v>109</v>
      </c>
      <c r="B73" s="107">
        <v>676387545</v>
      </c>
      <c r="C73" s="107">
        <f ca="1">C13-C50+C63-C56-C58</f>
        <v>163393</v>
      </c>
      <c r="D73" s="107">
        <f ca="1">D13-D50+D63-D56-D58</f>
        <v>676550938</v>
      </c>
    </row>
    <row r="74" spans="1:4" x14ac:dyDescent="0.2">
      <c r="A74" s="7" t="s">
        <v>110</v>
      </c>
      <c r="B74" s="107">
        <v>676387545</v>
      </c>
      <c r="C74" s="107">
        <f ca="1">C29+C48+C64+C65-C67</f>
        <v>163393</v>
      </c>
      <c r="D74" s="107">
        <f ca="1">D29+D48+D64+D65-D67</f>
        <v>676550938</v>
      </c>
    </row>
    <row r="75" spans="1:4" x14ac:dyDescent="0.2">
      <c r="A75" s="50"/>
      <c r="B75" s="50"/>
      <c r="C75" s="8"/>
      <c r="D75" s="50"/>
    </row>
    <row r="76" spans="1:4" x14ac:dyDescent="0.2">
      <c r="A76" s="50"/>
      <c r="C76" s="82"/>
      <c r="D76" s="121"/>
    </row>
    <row r="77" spans="1:4" x14ac:dyDescent="0.2">
      <c r="A77" s="50"/>
      <c r="C77" s="35"/>
    </row>
    <row r="78" spans="1:4" x14ac:dyDescent="0.2">
      <c r="A78" s="50"/>
      <c r="C78" s="37"/>
    </row>
    <row r="79" spans="1:4" x14ac:dyDescent="0.2">
      <c r="A79" s="38" t="s">
        <v>570</v>
      </c>
      <c r="C79" s="37"/>
    </row>
    <row r="80" spans="1:4" x14ac:dyDescent="0.2">
      <c r="A80" s="20" t="s">
        <v>111</v>
      </c>
      <c r="C80" s="37"/>
    </row>
    <row r="81" spans="1:3" x14ac:dyDescent="0.2">
      <c r="A81" s="36"/>
      <c r="C81" s="37"/>
    </row>
    <row r="82" spans="1:3" x14ac:dyDescent="0.2">
      <c r="A82" s="36"/>
      <c r="C82" s="37"/>
    </row>
    <row r="83" spans="1:3" x14ac:dyDescent="0.2">
      <c r="A83" s="36"/>
      <c r="C83" s="37"/>
    </row>
    <row r="84" spans="1:3" x14ac:dyDescent="0.2">
      <c r="A84" s="36"/>
      <c r="C84" s="37"/>
    </row>
    <row r="85" spans="1:3" x14ac:dyDescent="0.2">
      <c r="A85" s="36"/>
      <c r="C85" s="37"/>
    </row>
    <row r="86" spans="1:3" x14ac:dyDescent="0.2">
      <c r="A86" s="36"/>
      <c r="C86" s="37"/>
    </row>
    <row r="87" spans="1:3" x14ac:dyDescent="0.2">
      <c r="A87" s="36"/>
      <c r="C87" s="37"/>
    </row>
    <row r="88" spans="1:3" x14ac:dyDescent="0.2">
      <c r="A88" s="36"/>
      <c r="C88" s="37"/>
    </row>
    <row r="89" spans="1:3" x14ac:dyDescent="0.2">
      <c r="A89" s="38"/>
      <c r="C89" s="39"/>
    </row>
    <row r="90" spans="1:3" x14ac:dyDescent="0.2">
      <c r="A90" s="40"/>
      <c r="C90" s="41"/>
    </row>
    <row r="91" spans="1:3" x14ac:dyDescent="0.2">
      <c r="A91" s="36"/>
      <c r="C91" s="42"/>
    </row>
    <row r="92" spans="1:3" x14ac:dyDescent="0.2">
      <c r="A92" s="36"/>
      <c r="C92" s="42"/>
    </row>
    <row r="93" spans="1:3" x14ac:dyDescent="0.2">
      <c r="A93" s="36"/>
      <c r="C93" s="42"/>
    </row>
    <row r="94" spans="1:3" x14ac:dyDescent="0.2">
      <c r="A94" s="36"/>
      <c r="C94" s="42"/>
    </row>
    <row r="95" spans="1:3" x14ac:dyDescent="0.2">
      <c r="A95" s="36"/>
      <c r="C95" s="42"/>
    </row>
    <row r="96" spans="1:3" x14ac:dyDescent="0.2">
      <c r="A96" s="36"/>
      <c r="C96" s="42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8"/>
    </row>
    <row r="101" spans="1:1" x14ac:dyDescent="0.2">
      <c r="A101" s="38"/>
    </row>
    <row r="102" spans="1:1" x14ac:dyDescent="0.2">
      <c r="A102" s="40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8"/>
    </row>
    <row r="108" spans="1:1" x14ac:dyDescent="0.2">
      <c r="A108" s="43"/>
    </row>
    <row r="109" spans="1:1" x14ac:dyDescent="0.2">
      <c r="A109" s="36"/>
    </row>
    <row r="110" spans="1:1" x14ac:dyDescent="0.2">
      <c r="A110" s="36"/>
    </row>
    <row r="111" spans="1:1" x14ac:dyDescent="0.2">
      <c r="A111" s="38"/>
    </row>
    <row r="112" spans="1:1" x14ac:dyDescent="0.2">
      <c r="A112" s="40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20"/>
    </row>
    <row r="118" spans="1:1" x14ac:dyDescent="0.2">
      <c r="A118" s="44"/>
    </row>
    <row r="119" spans="1:1" x14ac:dyDescent="0.2">
      <c r="A119" s="38"/>
    </row>
    <row r="120" spans="1:1" x14ac:dyDescent="0.2">
      <c r="A120" s="40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31" spans="1:1" x14ac:dyDescent="0.2">
      <c r="A131" s="38"/>
    </row>
    <row r="132" spans="1:1" x14ac:dyDescent="0.2">
      <c r="A132" s="40"/>
    </row>
    <row r="133" spans="1:1" x14ac:dyDescent="0.2">
      <c r="A133" s="36"/>
    </row>
    <row r="134" spans="1:1" x14ac:dyDescent="0.2">
      <c r="A134" s="36"/>
    </row>
    <row r="137" spans="1:1" x14ac:dyDescent="0.2">
      <c r="A137" s="40"/>
    </row>
    <row r="143" spans="1:1" x14ac:dyDescent="0.2">
      <c r="A143" s="40"/>
    </row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49"/>
  <sheetViews>
    <sheetView topLeftCell="A4" zoomScaleNormal="100" workbookViewId="0">
      <selection activeCell="A4" sqref="A4"/>
    </sheetView>
  </sheetViews>
  <sheetFormatPr defaultRowHeight="12.75" x14ac:dyDescent="0.2"/>
  <cols>
    <col min="1" max="1" width="66.7109375" customWidth="1"/>
    <col min="2" max="2" width="12.42578125" customWidth="1"/>
    <col min="3" max="5" width="11.7109375" bestFit="1" customWidth="1"/>
  </cols>
  <sheetData>
    <row r="1" spans="1:5" x14ac:dyDescent="0.2">
      <c r="A1" s="337"/>
      <c r="B1" s="337" t="s">
        <v>355</v>
      </c>
    </row>
    <row r="2" spans="1:5" x14ac:dyDescent="0.2">
      <c r="A2" s="337"/>
      <c r="B2" s="337" t="s">
        <v>354</v>
      </c>
    </row>
    <row r="3" spans="1:5" ht="12" customHeight="1" x14ac:dyDescent="0.2">
      <c r="A3" s="338"/>
      <c r="B3" s="338" t="s">
        <v>353</v>
      </c>
    </row>
    <row r="4" spans="1:5" x14ac:dyDescent="0.2">
      <c r="A4" s="15"/>
      <c r="B4" s="14" t="s">
        <v>64</v>
      </c>
    </row>
    <row r="7" spans="1:5" ht="15" x14ac:dyDescent="0.25">
      <c r="A7" s="280" t="s">
        <v>43</v>
      </c>
      <c r="B7" s="104"/>
    </row>
    <row r="8" spans="1:5" s="103" customFormat="1" ht="12.75" customHeight="1" x14ac:dyDescent="0.25">
      <c r="A8" s="280"/>
      <c r="B8" s="104"/>
    </row>
    <row r="9" spans="1:5" ht="12.75" customHeight="1" x14ac:dyDescent="0.25">
      <c r="A9" s="77"/>
      <c r="B9" s="281" t="s">
        <v>72</v>
      </c>
    </row>
    <row r="10" spans="1:5" ht="12.75" customHeight="1" x14ac:dyDescent="0.25">
      <c r="A10" s="77"/>
      <c r="B10" s="105"/>
    </row>
    <row r="11" spans="1:5" x14ac:dyDescent="0.2">
      <c r="A11" s="78" t="s">
        <v>46</v>
      </c>
      <c r="B11" s="75">
        <v>597726285</v>
      </c>
      <c r="C11" s="23"/>
      <c r="D11" s="23"/>
      <c r="E11" s="23"/>
    </row>
    <row r="12" spans="1:5" x14ac:dyDescent="0.2">
      <c r="A12" s="78" t="s">
        <v>47</v>
      </c>
      <c r="B12" s="75">
        <v>483109616</v>
      </c>
      <c r="C12" s="101"/>
      <c r="D12" s="23"/>
      <c r="E12" s="23"/>
    </row>
    <row r="13" spans="1:5" x14ac:dyDescent="0.2">
      <c r="A13" s="100" t="s">
        <v>312</v>
      </c>
      <c r="B13" s="101">
        <v>404420200</v>
      </c>
      <c r="C13" s="101"/>
      <c r="D13" s="23"/>
      <c r="E13" s="23"/>
    </row>
    <row r="14" spans="1:5" x14ac:dyDescent="0.2">
      <c r="A14" s="100" t="s">
        <v>313</v>
      </c>
      <c r="B14" s="101">
        <v>366505000</v>
      </c>
      <c r="C14" s="101"/>
      <c r="D14" s="23"/>
      <c r="E14" s="23"/>
    </row>
    <row r="15" spans="1:5" x14ac:dyDescent="0.2">
      <c r="A15" s="100" t="s">
        <v>314</v>
      </c>
      <c r="B15" s="101">
        <v>26780000</v>
      </c>
      <c r="C15" s="101"/>
      <c r="D15" s="23"/>
      <c r="E15" s="23"/>
    </row>
    <row r="16" spans="1:5" x14ac:dyDescent="0.2">
      <c r="A16" s="102" t="s">
        <v>315</v>
      </c>
      <c r="B16" s="101">
        <v>11135200</v>
      </c>
      <c r="C16" s="101"/>
      <c r="D16" s="23"/>
      <c r="E16" s="23"/>
    </row>
    <row r="17" spans="1:5" x14ac:dyDescent="0.2">
      <c r="A17" s="102" t="s">
        <v>316</v>
      </c>
      <c r="B17" s="101">
        <v>75516756</v>
      </c>
      <c r="C17" s="101"/>
      <c r="D17" s="23"/>
      <c r="E17" s="23"/>
    </row>
    <row r="18" spans="1:5" x14ac:dyDescent="0.2">
      <c r="A18" s="102" t="s">
        <v>317</v>
      </c>
      <c r="B18" s="101">
        <v>3172660</v>
      </c>
      <c r="C18" s="101"/>
      <c r="D18" s="23"/>
      <c r="E18" s="23"/>
    </row>
    <row r="19" spans="1:5" x14ac:dyDescent="0.2">
      <c r="A19" s="64" t="s">
        <v>48</v>
      </c>
      <c r="B19" s="75">
        <v>114616669</v>
      </c>
      <c r="C19" s="101"/>
      <c r="D19" s="23"/>
      <c r="E19" s="23"/>
    </row>
    <row r="20" spans="1:5" x14ac:dyDescent="0.2">
      <c r="A20" s="102" t="s">
        <v>318</v>
      </c>
      <c r="B20" s="101">
        <v>91040050</v>
      </c>
      <c r="C20" s="101"/>
      <c r="D20" s="23"/>
      <c r="E20" s="23"/>
    </row>
    <row r="21" spans="1:5" x14ac:dyDescent="0.2">
      <c r="A21" s="102" t="s">
        <v>319</v>
      </c>
      <c r="B21" s="101">
        <v>23576619</v>
      </c>
      <c r="C21" s="101"/>
      <c r="D21" s="23"/>
      <c r="E21" s="23"/>
    </row>
    <row r="22" spans="1:5" x14ac:dyDescent="0.2">
      <c r="A22" s="64" t="s">
        <v>49</v>
      </c>
      <c r="B22" s="75">
        <v>-579760971</v>
      </c>
      <c r="C22" s="101"/>
      <c r="D22" s="23"/>
      <c r="E22" s="23"/>
    </row>
    <row r="23" spans="1:5" x14ac:dyDescent="0.2">
      <c r="A23" s="102" t="s">
        <v>320</v>
      </c>
      <c r="B23" s="101">
        <v>-577760971</v>
      </c>
      <c r="C23" s="101"/>
      <c r="D23" s="23"/>
      <c r="E23" s="23"/>
    </row>
    <row r="24" spans="1:5" x14ac:dyDescent="0.2">
      <c r="A24" s="102" t="s">
        <v>321</v>
      </c>
      <c r="B24" s="101">
        <v>-2000000</v>
      </c>
      <c r="C24" s="101"/>
      <c r="D24" s="23"/>
      <c r="E24" s="23"/>
    </row>
    <row r="25" spans="1:5" x14ac:dyDescent="0.2">
      <c r="A25" s="64" t="s">
        <v>50</v>
      </c>
      <c r="B25" s="75">
        <v>17965314</v>
      </c>
      <c r="C25" s="101"/>
      <c r="D25" s="23"/>
      <c r="E25" s="23"/>
    </row>
    <row r="26" spans="1:5" x14ac:dyDescent="0.2">
      <c r="A26" s="102"/>
      <c r="B26" s="103"/>
      <c r="C26" s="101"/>
      <c r="D26" s="23"/>
      <c r="E26" s="23"/>
    </row>
    <row r="27" spans="1:5" x14ac:dyDescent="0.2">
      <c r="A27" s="78" t="s">
        <v>51</v>
      </c>
      <c r="B27" s="75">
        <v>23924392</v>
      </c>
      <c r="C27" s="101"/>
      <c r="D27" s="23"/>
      <c r="E27" s="23"/>
    </row>
    <row r="28" spans="1:5" x14ac:dyDescent="0.2">
      <c r="A28" s="106" t="s">
        <v>322</v>
      </c>
      <c r="B28" s="101">
        <v>16654392</v>
      </c>
      <c r="C28" s="101"/>
      <c r="D28" s="23"/>
      <c r="E28" s="23"/>
    </row>
    <row r="29" spans="1:5" x14ac:dyDescent="0.2">
      <c r="A29" s="106" t="s">
        <v>323</v>
      </c>
      <c r="B29" s="101">
        <v>7260000</v>
      </c>
      <c r="C29" s="101"/>
      <c r="D29" s="23"/>
      <c r="E29" s="23"/>
    </row>
    <row r="30" spans="1:5" x14ac:dyDescent="0.2">
      <c r="A30" s="106" t="s">
        <v>324</v>
      </c>
      <c r="B30" s="101">
        <v>10000</v>
      </c>
      <c r="C30" s="101"/>
      <c r="D30" s="23"/>
      <c r="E30" s="23"/>
    </row>
    <row r="31" spans="1:5" x14ac:dyDescent="0.2">
      <c r="A31" s="64" t="s">
        <v>52</v>
      </c>
      <c r="B31" s="75">
        <v>-86010939</v>
      </c>
      <c r="C31" s="101"/>
      <c r="D31" s="23"/>
      <c r="E31" s="23"/>
    </row>
    <row r="32" spans="1:5" x14ac:dyDescent="0.2">
      <c r="A32" s="106" t="s">
        <v>325</v>
      </c>
      <c r="B32" s="101">
        <v>-86010939</v>
      </c>
      <c r="C32" s="101"/>
      <c r="D32" s="23"/>
      <c r="E32" s="23"/>
    </row>
    <row r="33" spans="1:5" x14ac:dyDescent="0.2">
      <c r="A33" s="64" t="s">
        <v>53</v>
      </c>
      <c r="B33" s="75">
        <v>-62086547</v>
      </c>
      <c r="C33" s="101"/>
      <c r="D33" s="23"/>
      <c r="E33" s="23"/>
    </row>
    <row r="34" spans="1:5" x14ac:dyDescent="0.2">
      <c r="A34" s="100"/>
      <c r="B34" s="103"/>
      <c r="C34" s="101"/>
      <c r="D34" s="23"/>
      <c r="E34" s="23"/>
    </row>
    <row r="35" spans="1:5" x14ac:dyDescent="0.2">
      <c r="A35" s="78" t="s">
        <v>54</v>
      </c>
      <c r="B35" s="75">
        <v>50000000</v>
      </c>
      <c r="C35" s="101"/>
      <c r="D35" s="23"/>
      <c r="E35" s="23"/>
    </row>
    <row r="36" spans="1:5" x14ac:dyDescent="0.2">
      <c r="A36" s="100" t="s">
        <v>326</v>
      </c>
      <c r="B36" s="101">
        <v>50000000</v>
      </c>
      <c r="C36" s="101"/>
      <c r="D36" s="23"/>
      <c r="E36" s="23"/>
    </row>
    <row r="37" spans="1:5" x14ac:dyDescent="0.2">
      <c r="A37" s="64" t="s">
        <v>55</v>
      </c>
      <c r="B37" s="75">
        <v>-11001692</v>
      </c>
      <c r="C37" s="101"/>
      <c r="D37" s="23"/>
      <c r="E37" s="23"/>
    </row>
    <row r="38" spans="1:5" x14ac:dyDescent="0.2">
      <c r="A38" s="560" t="s">
        <v>350</v>
      </c>
      <c r="B38" s="101">
        <v>-9913192</v>
      </c>
      <c r="C38" s="101"/>
      <c r="D38" s="23"/>
      <c r="E38" s="23"/>
    </row>
    <row r="39" spans="1:5" x14ac:dyDescent="0.2">
      <c r="A39" s="102" t="s">
        <v>327</v>
      </c>
      <c r="B39" s="101">
        <v>-1088500</v>
      </c>
      <c r="C39" s="101"/>
      <c r="D39" s="23"/>
      <c r="E39" s="23"/>
    </row>
    <row r="40" spans="1:5" x14ac:dyDescent="0.2">
      <c r="A40" s="64" t="s">
        <v>56</v>
      </c>
      <c r="B40" s="75">
        <v>38998308</v>
      </c>
      <c r="C40" s="101"/>
      <c r="D40" s="23"/>
      <c r="E40" s="23"/>
    </row>
    <row r="41" spans="1:5" x14ac:dyDescent="0.2">
      <c r="A41" s="100"/>
      <c r="B41" s="103"/>
      <c r="C41" s="101"/>
    </row>
    <row r="42" spans="1:5" x14ac:dyDescent="0.2">
      <c r="A42" s="78" t="s">
        <v>57</v>
      </c>
      <c r="B42" s="75">
        <v>671650677</v>
      </c>
      <c r="C42" s="101"/>
    </row>
    <row r="43" spans="1:5" x14ac:dyDescent="0.2">
      <c r="A43" s="78" t="s">
        <v>58</v>
      </c>
      <c r="B43" s="75">
        <v>-676773602</v>
      </c>
      <c r="C43" s="101"/>
    </row>
    <row r="44" spans="1:5" x14ac:dyDescent="0.2">
      <c r="A44" s="273"/>
      <c r="B44" s="274"/>
    </row>
    <row r="45" spans="1:5" s="103" customFormat="1" x14ac:dyDescent="0.2">
      <c r="A45" s="78"/>
      <c r="B45" s="145"/>
    </row>
    <row r="46" spans="1:5" x14ac:dyDescent="0.2">
      <c r="A46" s="78"/>
      <c r="B46" s="75"/>
    </row>
    <row r="47" spans="1:5" x14ac:dyDescent="0.2">
      <c r="A47" s="78"/>
      <c r="B47" s="75"/>
    </row>
    <row r="48" spans="1:5" x14ac:dyDescent="0.2">
      <c r="A48" s="38" t="s">
        <v>570</v>
      </c>
    </row>
    <row r="49" spans="1:1" x14ac:dyDescent="0.2">
      <c r="A49" s="20" t="s">
        <v>111</v>
      </c>
    </row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51"/>
  <sheetViews>
    <sheetView zoomScaleNormal="100" workbookViewId="0"/>
  </sheetViews>
  <sheetFormatPr defaultRowHeight="12.75" x14ac:dyDescent="0.2"/>
  <cols>
    <col min="1" max="1" width="49.7109375" customWidth="1"/>
    <col min="2" max="2" width="18.5703125" style="38" customWidth="1"/>
  </cols>
  <sheetData>
    <row r="1" spans="1:3" x14ac:dyDescent="0.2">
      <c r="A1" s="337"/>
      <c r="B1" s="337" t="s">
        <v>355</v>
      </c>
    </row>
    <row r="2" spans="1:3" x14ac:dyDescent="0.2">
      <c r="A2" s="337"/>
      <c r="B2" s="337" t="s">
        <v>354</v>
      </c>
    </row>
    <row r="3" spans="1:3" ht="12" customHeight="1" x14ac:dyDescent="0.2">
      <c r="A3" s="338"/>
      <c r="B3" s="338" t="s">
        <v>353</v>
      </c>
    </row>
    <row r="4" spans="1:3" x14ac:dyDescent="0.2">
      <c r="A4" s="15"/>
      <c r="B4" s="115" t="s">
        <v>65</v>
      </c>
    </row>
    <row r="7" spans="1:3" ht="30" customHeight="1" x14ac:dyDescent="0.25">
      <c r="A7" s="99" t="s">
        <v>243</v>
      </c>
    </row>
    <row r="8" spans="1:3" s="103" customFormat="1" ht="12.75" customHeight="1" x14ac:dyDescent="0.25">
      <c r="A8" s="99"/>
      <c r="B8" s="38"/>
    </row>
    <row r="9" spans="1:3" ht="12.75" customHeight="1" x14ac:dyDescent="0.25">
      <c r="A9" s="77"/>
      <c r="B9" s="137" t="s">
        <v>72</v>
      </c>
    </row>
    <row r="10" spans="1:3" s="103" customFormat="1" ht="12.75" customHeight="1" x14ac:dyDescent="0.25">
      <c r="A10" s="77"/>
      <c r="B10" s="255"/>
      <c r="C10" s="38"/>
    </row>
    <row r="11" spans="1:3" x14ac:dyDescent="0.2">
      <c r="A11" s="256" t="s">
        <v>8</v>
      </c>
      <c r="B11" s="257">
        <f ca="1">SUM(B13:B16)</f>
        <v>404636</v>
      </c>
    </row>
    <row r="12" spans="1:3" x14ac:dyDescent="0.2">
      <c r="A12" s="104"/>
      <c r="B12" s="105"/>
    </row>
    <row r="13" spans="1:3" x14ac:dyDescent="0.2">
      <c r="A13" s="104" t="s">
        <v>9</v>
      </c>
      <c r="B13" s="126">
        <f>'1 KOONDEELARVE'!C14+'1 KOONDEELARVE'!C15</f>
        <v>-300000</v>
      </c>
    </row>
    <row r="14" spans="1:3" x14ac:dyDescent="0.2">
      <c r="A14" s="104" t="s">
        <v>10</v>
      </c>
      <c r="B14" s="126">
        <f ca="1">'1 KOONDEELARVE'!C16+'1 KOONDEELARVE'!C17</f>
        <v>872000</v>
      </c>
      <c r="C14" s="38"/>
    </row>
    <row r="15" spans="1:3" x14ac:dyDescent="0.2">
      <c r="A15" s="104" t="s">
        <v>11</v>
      </c>
      <c r="B15" s="126">
        <f>'2.3 TOETUSED'!B17+'2.3 TOETUSED'!B8+'2.3 TOETUSED'!B7</f>
        <v>-10207</v>
      </c>
    </row>
    <row r="16" spans="1:3" x14ac:dyDescent="0.2">
      <c r="A16" s="104" t="s">
        <v>12</v>
      </c>
      <c r="B16" s="126">
        <f ca="1">'1 KOONDEELARVE'!C18+'1 KOONDEELARVE'!C23+'2.1 LK TULUD'!B32-'2.1 LK TULUD'!B35</f>
        <v>-157157</v>
      </c>
    </row>
    <row r="17" spans="1:2" x14ac:dyDescent="0.2">
      <c r="A17" s="105"/>
      <c r="B17" s="105"/>
    </row>
    <row r="18" spans="1:2" x14ac:dyDescent="0.2">
      <c r="A18" s="124" t="s">
        <v>13</v>
      </c>
      <c r="B18" s="257">
        <f>B20+B21+B22</f>
        <v>1021448</v>
      </c>
    </row>
    <row r="19" spans="1:2" x14ac:dyDescent="0.2">
      <c r="A19" s="105"/>
      <c r="B19" s="105"/>
    </row>
    <row r="20" spans="1:2" x14ac:dyDescent="0.2">
      <c r="A20" s="105" t="s">
        <v>14</v>
      </c>
      <c r="B20" s="258">
        <f>79883</f>
        <v>79883</v>
      </c>
    </row>
    <row r="21" spans="1:2" x14ac:dyDescent="0.2">
      <c r="A21" s="105" t="s">
        <v>15</v>
      </c>
      <c r="B21" s="126">
        <f>1749062+5872</f>
        <v>1754934</v>
      </c>
    </row>
    <row r="22" spans="1:2" x14ac:dyDescent="0.2">
      <c r="A22" s="105" t="s">
        <v>166</v>
      </c>
      <c r="B22" s="126">
        <f>'3 KULUD'!B717+'3 KULUD'!B675+'3 KULUD'!B606+'3 KULUD'!B584+'3 KULUD'!B542+'3 KULUD'!B509+'3 KULUD'!B711</f>
        <v>-813369</v>
      </c>
    </row>
    <row r="23" spans="1:2" x14ac:dyDescent="0.2">
      <c r="A23" s="105"/>
      <c r="B23" s="105"/>
    </row>
    <row r="24" spans="1:2" x14ac:dyDescent="0.2">
      <c r="A24" s="105" t="s">
        <v>16</v>
      </c>
      <c r="B24" s="126">
        <f ca="1">B11-B18</f>
        <v>-616812</v>
      </c>
    </row>
    <row r="25" spans="1:2" x14ac:dyDescent="0.2">
      <c r="A25" s="105"/>
      <c r="B25" s="105"/>
    </row>
    <row r="26" spans="1:2" x14ac:dyDescent="0.2">
      <c r="A26" s="256" t="s">
        <v>17</v>
      </c>
      <c r="B26" s="257">
        <f>B28-B29+B30-B31+B34-B35-B33</f>
        <v>458521</v>
      </c>
    </row>
    <row r="27" spans="1:2" x14ac:dyDescent="0.2">
      <c r="A27" s="104"/>
      <c r="B27" s="105"/>
    </row>
    <row r="28" spans="1:2" x14ac:dyDescent="0.2">
      <c r="A28" s="104" t="s">
        <v>18</v>
      </c>
      <c r="B28" s="126">
        <f>'1 KOONDEELARVE'!C20+'1 KOONDEELARVE'!C22-'2.1 LK TULUD'!B32+'2.1 LK TULUD'!B35</f>
        <v>166</v>
      </c>
    </row>
    <row r="29" spans="1:2" x14ac:dyDescent="0.2">
      <c r="A29" s="104" t="s">
        <v>19</v>
      </c>
      <c r="B29" s="126">
        <v>-856984</v>
      </c>
    </row>
    <row r="30" spans="1:2" x14ac:dyDescent="0.2">
      <c r="A30" s="104" t="s">
        <v>20</v>
      </c>
      <c r="B30" s="126">
        <f>'2.3 TOETUSED'!B11+'2.3 TOETUSED'!B26</f>
        <v>67964</v>
      </c>
    </row>
    <row r="31" spans="1:2" x14ac:dyDescent="0.2">
      <c r="A31" s="104" t="s">
        <v>21</v>
      </c>
      <c r="B31" s="126">
        <f>'4 INVEST'!D106</f>
        <v>535125</v>
      </c>
    </row>
    <row r="32" spans="1:2" s="103" customFormat="1" x14ac:dyDescent="0.2">
      <c r="A32" s="104"/>
      <c r="B32" s="126"/>
    </row>
    <row r="33" spans="1:2" s="38" customFormat="1" x14ac:dyDescent="0.2">
      <c r="A33" s="105" t="s">
        <v>311</v>
      </c>
      <c r="B33" s="126">
        <v>0</v>
      </c>
    </row>
    <row r="34" spans="1:2" x14ac:dyDescent="0.2">
      <c r="A34" s="104" t="s">
        <v>22</v>
      </c>
      <c r="B34" s="126">
        <f>'1 KOONDEELARVE'!C24+'1 KOONDEELARVE'!C19</f>
        <v>0</v>
      </c>
    </row>
    <row r="35" spans="1:2" x14ac:dyDescent="0.2">
      <c r="A35" s="104" t="s">
        <v>23</v>
      </c>
      <c r="B35" s="126">
        <f>'3 KULUD'!B48</f>
        <v>-68532</v>
      </c>
    </row>
    <row r="36" spans="1:2" x14ac:dyDescent="0.2">
      <c r="A36" s="104"/>
      <c r="B36" s="105"/>
    </row>
    <row r="37" spans="1:2" x14ac:dyDescent="0.2">
      <c r="A37" s="104" t="s">
        <v>24</v>
      </c>
      <c r="B37" s="126">
        <f ca="1">B24+B26</f>
        <v>-158291</v>
      </c>
    </row>
    <row r="38" spans="1:2" x14ac:dyDescent="0.2">
      <c r="A38" s="104"/>
      <c r="B38" s="105"/>
    </row>
    <row r="39" spans="1:2" x14ac:dyDescent="0.2">
      <c r="A39" s="256" t="s">
        <v>25</v>
      </c>
      <c r="B39" s="257">
        <f>B41-B42</f>
        <v>467664</v>
      </c>
    </row>
    <row r="40" spans="1:2" x14ac:dyDescent="0.2">
      <c r="A40" s="104"/>
      <c r="B40" s="105"/>
    </row>
    <row r="41" spans="1:2" x14ac:dyDescent="0.2">
      <c r="A41" s="104" t="s">
        <v>26</v>
      </c>
      <c r="B41" s="126">
        <f>'1 KOONDEELARVE'!C63+'1 KOONDEELARVE'!C67+20300</f>
        <v>242964</v>
      </c>
    </row>
    <row r="42" spans="1:2" x14ac:dyDescent="0.2">
      <c r="A42" s="104" t="s">
        <v>27</v>
      </c>
      <c r="B42" s="126">
        <f>+'5 FIN.TEH'!B11+20300</f>
        <v>-224700</v>
      </c>
    </row>
    <row r="43" spans="1:2" x14ac:dyDescent="0.2">
      <c r="A43" s="105"/>
      <c r="B43" s="105"/>
    </row>
    <row r="44" spans="1:2" x14ac:dyDescent="0.2">
      <c r="A44" s="124" t="s">
        <v>28</v>
      </c>
      <c r="B44" s="257">
        <f ca="1">B45+B39+B37</f>
        <v>86709</v>
      </c>
    </row>
    <row r="45" spans="1:2" x14ac:dyDescent="0.2">
      <c r="A45" s="256" t="s">
        <v>29</v>
      </c>
      <c r="B45" s="257">
        <v>-222664</v>
      </c>
    </row>
    <row r="46" spans="1:2" s="103" customFormat="1" x14ac:dyDescent="0.2">
      <c r="A46" s="256"/>
      <c r="B46" s="257"/>
    </row>
    <row r="47" spans="1:2" s="103" customFormat="1" x14ac:dyDescent="0.2">
      <c r="A47" s="4"/>
      <c r="B47" s="60"/>
    </row>
    <row r="48" spans="1:2" x14ac:dyDescent="0.2">
      <c r="A48" s="4"/>
      <c r="B48" s="60"/>
    </row>
    <row r="49" spans="1:2" s="103" customFormat="1" x14ac:dyDescent="0.2">
      <c r="A49" s="50"/>
      <c r="B49" s="107"/>
    </row>
    <row r="50" spans="1:2" x14ac:dyDescent="0.2">
      <c r="A50" s="38" t="s">
        <v>570</v>
      </c>
    </row>
    <row r="51" spans="1:2" x14ac:dyDescent="0.2">
      <c r="A51" s="20" t="s">
        <v>111</v>
      </c>
    </row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8"/>
  <sheetViews>
    <sheetView showZeros="0" zoomScaleNormal="100" workbookViewId="0"/>
  </sheetViews>
  <sheetFormatPr defaultRowHeight="12.75" x14ac:dyDescent="0.2"/>
  <cols>
    <col min="1" max="1" width="36" customWidth="1"/>
    <col min="2" max="4" width="11.42578125" customWidth="1"/>
    <col min="5" max="5" width="11.140625" bestFit="1" customWidth="1"/>
  </cols>
  <sheetData>
    <row r="1" spans="1:5" ht="12.75" customHeight="1" x14ac:dyDescent="0.2">
      <c r="A1" s="294"/>
      <c r="B1" s="294"/>
      <c r="C1" s="294"/>
      <c r="D1" s="294" t="s">
        <v>355</v>
      </c>
    </row>
    <row r="2" spans="1:5" ht="12.75" customHeight="1" x14ac:dyDescent="0.2">
      <c r="A2" s="294"/>
      <c r="B2" s="294"/>
      <c r="C2" s="294"/>
      <c r="D2" s="294" t="s">
        <v>354</v>
      </c>
    </row>
    <row r="3" spans="1:5" ht="12.75" customHeight="1" x14ac:dyDescent="0.2">
      <c r="A3" s="295"/>
      <c r="B3" s="295"/>
      <c r="C3" s="295"/>
      <c r="D3" s="295" t="s">
        <v>353</v>
      </c>
    </row>
    <row r="4" spans="1:5" ht="12.75" customHeight="1" x14ac:dyDescent="0.2">
      <c r="A4" s="15"/>
      <c r="B4" s="15"/>
      <c r="C4" s="15"/>
      <c r="D4" s="16" t="s">
        <v>112</v>
      </c>
    </row>
    <row r="6" spans="1:5" ht="12.75" customHeight="1" x14ac:dyDescent="0.2"/>
    <row r="7" spans="1:5" ht="15" x14ac:dyDescent="0.25">
      <c r="A7" s="45" t="s">
        <v>113</v>
      </c>
      <c r="B7" s="45"/>
      <c r="C7" s="45"/>
    </row>
    <row r="8" spans="1:5" s="103" customFormat="1" ht="12.75" customHeight="1" x14ac:dyDescent="0.25">
      <c r="A8" s="45"/>
      <c r="B8" s="45"/>
      <c r="C8" s="45"/>
    </row>
    <row r="9" spans="1:5" x14ac:dyDescent="0.2">
      <c r="A9" s="19"/>
      <c r="B9" s="19"/>
      <c r="C9" s="19"/>
      <c r="D9" s="46" t="s">
        <v>72</v>
      </c>
    </row>
    <row r="11" spans="1:5" ht="25.5" x14ac:dyDescent="0.2">
      <c r="A11" s="47" t="s">
        <v>114</v>
      </c>
      <c r="B11" s="48" t="s">
        <v>115</v>
      </c>
      <c r="C11" s="48" t="s">
        <v>116</v>
      </c>
      <c r="D11" s="49" t="s">
        <v>117</v>
      </c>
    </row>
    <row r="12" spans="1:5" ht="7.5" customHeight="1" x14ac:dyDescent="0.2">
      <c r="A12" s="2"/>
      <c r="B12" s="2"/>
      <c r="C12" s="2"/>
      <c r="D12" s="2"/>
    </row>
    <row r="13" spans="1:5" x14ac:dyDescent="0.2">
      <c r="A13" s="50" t="s">
        <v>118</v>
      </c>
      <c r="B13" s="8">
        <f>B15+B18</f>
        <v>-300000</v>
      </c>
      <c r="C13" s="8"/>
      <c r="D13" s="8">
        <f>B13+C13</f>
        <v>-300000</v>
      </c>
      <c r="E13" s="101"/>
    </row>
    <row r="14" spans="1:5" x14ac:dyDescent="0.2">
      <c r="A14" s="2"/>
      <c r="B14" s="51"/>
      <c r="C14" s="51"/>
      <c r="D14" s="51"/>
      <c r="E14" s="101"/>
    </row>
    <row r="15" spans="1:5" x14ac:dyDescent="0.2">
      <c r="A15" s="94" t="s">
        <v>77</v>
      </c>
      <c r="B15" s="8">
        <f>B16</f>
        <v>300000</v>
      </c>
      <c r="C15" s="52"/>
      <c r="D15" s="8">
        <f t="shared" ref="D15:D44" si="0">B15+C15</f>
        <v>300000</v>
      </c>
      <c r="E15" s="101"/>
    </row>
    <row r="16" spans="1:5" x14ac:dyDescent="0.2">
      <c r="A16" s="95" t="s">
        <v>376</v>
      </c>
      <c r="B16" s="23">
        <f>'2.1 LK TULUD'!B6</f>
        <v>300000</v>
      </c>
      <c r="C16" s="54"/>
      <c r="D16" s="23">
        <f t="shared" si="0"/>
        <v>300000</v>
      </c>
      <c r="E16" s="101"/>
    </row>
    <row r="17" spans="1:5" ht="7.5" customHeight="1" x14ac:dyDescent="0.2">
      <c r="A17" s="68"/>
      <c r="B17" s="23"/>
      <c r="C17" s="55"/>
      <c r="D17" s="23"/>
      <c r="E17" s="101"/>
    </row>
    <row r="18" spans="1:5" x14ac:dyDescent="0.2">
      <c r="A18" s="94" t="s">
        <v>78</v>
      </c>
      <c r="B18" s="8">
        <f>SUM(B19:B19)</f>
        <v>-600000</v>
      </c>
      <c r="C18" s="52"/>
      <c r="D18" s="8">
        <f t="shared" si="0"/>
        <v>-600000</v>
      </c>
      <c r="E18" s="101"/>
    </row>
    <row r="19" spans="1:5" ht="12.75" customHeight="1" x14ac:dyDescent="0.2">
      <c r="A19" s="95" t="s">
        <v>377</v>
      </c>
      <c r="B19" s="23">
        <f>'2.1 LK TULUD'!B10</f>
        <v>-600000</v>
      </c>
      <c r="C19" s="54"/>
      <c r="D19" s="23">
        <f t="shared" si="0"/>
        <v>-600000</v>
      </c>
      <c r="E19" s="101"/>
    </row>
    <row r="20" spans="1:5" ht="6.75" customHeight="1" x14ac:dyDescent="0.2">
      <c r="A20" s="56"/>
      <c r="B20" s="23"/>
      <c r="C20" s="57"/>
      <c r="D20" s="23"/>
      <c r="E20" s="101"/>
    </row>
    <row r="21" spans="1:5" ht="13.5" customHeight="1" x14ac:dyDescent="0.2">
      <c r="A21" s="50" t="s">
        <v>79</v>
      </c>
      <c r="B21" s="8">
        <f>'2.1 LK TULUD'!B13</f>
        <v>5000</v>
      </c>
      <c r="C21" s="8"/>
      <c r="D21" s="8">
        <f t="shared" si="0"/>
        <v>5000</v>
      </c>
      <c r="E21" s="101"/>
    </row>
    <row r="22" spans="1:5" ht="6.75" customHeight="1" x14ac:dyDescent="0.2">
      <c r="A22" s="58"/>
      <c r="B22" s="23"/>
      <c r="C22" s="59"/>
      <c r="D22" s="23"/>
      <c r="E22" s="101"/>
    </row>
    <row r="23" spans="1:5" x14ac:dyDescent="0.2">
      <c r="A23" s="50" t="s">
        <v>80</v>
      </c>
      <c r="B23" s="8">
        <f>SUM(B24:B27)</f>
        <v>-220</v>
      </c>
      <c r="C23" s="8">
        <f ca="1">SUM(C24:C27)</f>
        <v>867220</v>
      </c>
      <c r="D23" s="8">
        <f t="shared" ca="1" si="0"/>
        <v>867000</v>
      </c>
      <c r="E23" s="101"/>
    </row>
    <row r="24" spans="1:5" x14ac:dyDescent="0.2">
      <c r="A24" s="53" t="s">
        <v>69</v>
      </c>
      <c r="B24" s="23"/>
      <c r="C24" s="23">
        <f ca="1">Sheet2!B1</f>
        <v>902016</v>
      </c>
      <c r="D24" s="23">
        <f t="shared" ca="1" si="0"/>
        <v>902016</v>
      </c>
      <c r="E24" s="101"/>
    </row>
    <row r="25" spans="1:5" x14ac:dyDescent="0.2">
      <c r="A25" s="53" t="s">
        <v>186</v>
      </c>
      <c r="B25" s="23"/>
      <c r="C25" s="23">
        <f ca="1">Sheet2!B15</f>
        <v>103834</v>
      </c>
      <c r="D25" s="23">
        <f t="shared" ca="1" si="0"/>
        <v>103834</v>
      </c>
      <c r="E25" s="101"/>
    </row>
    <row r="26" spans="1:5" x14ac:dyDescent="0.2">
      <c r="A26" s="53" t="s">
        <v>211</v>
      </c>
      <c r="B26" s="23">
        <f>'2.1 LK TULUD'!B16</f>
        <v>-220</v>
      </c>
      <c r="C26" s="23">
        <f ca="1">Sheet2!B14</f>
        <v>-50590</v>
      </c>
      <c r="D26" s="23">
        <f t="shared" ca="1" si="0"/>
        <v>-50810</v>
      </c>
      <c r="E26" s="101"/>
    </row>
    <row r="27" spans="1:5" x14ac:dyDescent="0.2">
      <c r="A27" s="53" t="s">
        <v>189</v>
      </c>
      <c r="B27" s="23"/>
      <c r="C27" s="23">
        <f ca="1">Sheet2!B13</f>
        <v>-88040</v>
      </c>
      <c r="D27" s="23">
        <f t="shared" ca="1" si="0"/>
        <v>-88040</v>
      </c>
      <c r="E27" s="101"/>
    </row>
    <row r="28" spans="1:5" ht="7.5" customHeight="1" x14ac:dyDescent="0.2">
      <c r="A28" s="2"/>
      <c r="B28" s="23"/>
      <c r="C28" s="51"/>
      <c r="D28" s="23"/>
      <c r="E28" s="101"/>
    </row>
    <row r="29" spans="1:5" x14ac:dyDescent="0.2">
      <c r="A29" s="50" t="s">
        <v>81</v>
      </c>
      <c r="B29" s="60">
        <f>SUM(B30:B31)</f>
        <v>-175582</v>
      </c>
      <c r="C29" s="60">
        <f ca="1">SUM(C30:C31)</f>
        <v>0</v>
      </c>
      <c r="D29" s="60">
        <f t="shared" ca="1" si="0"/>
        <v>-175582</v>
      </c>
      <c r="E29" s="101"/>
    </row>
    <row r="30" spans="1:5" x14ac:dyDescent="0.2">
      <c r="A30" s="53" t="s">
        <v>119</v>
      </c>
      <c r="B30" s="23">
        <f>'2.1 LK TULUD'!B22</f>
        <v>-200000</v>
      </c>
      <c r="C30" s="54"/>
      <c r="D30" s="23">
        <f t="shared" si="0"/>
        <v>-200000</v>
      </c>
      <c r="E30" s="101"/>
    </row>
    <row r="31" spans="1:5" ht="13.5" customHeight="1" x14ac:dyDescent="0.2">
      <c r="A31" s="53" t="s">
        <v>208</v>
      </c>
      <c r="B31" s="23">
        <f>'2.1 LK TULUD'!B25</f>
        <v>24418</v>
      </c>
      <c r="C31" s="23">
        <f ca="1">Sheet2!B12</f>
        <v>0</v>
      </c>
      <c r="D31" s="23">
        <f t="shared" ca="1" si="0"/>
        <v>24418</v>
      </c>
      <c r="E31" s="101"/>
    </row>
    <row r="32" spans="1:5" ht="9" customHeight="1" x14ac:dyDescent="0.2">
      <c r="A32" s="2"/>
      <c r="B32" s="23"/>
      <c r="C32" s="51"/>
      <c r="D32" s="23"/>
      <c r="E32" s="101"/>
    </row>
    <row r="33" spans="1:5" x14ac:dyDescent="0.2">
      <c r="A33" s="50" t="s">
        <v>120</v>
      </c>
      <c r="B33" s="60">
        <f>SUM(B34:B34)</f>
        <v>5438</v>
      </c>
      <c r="C33" s="8"/>
      <c r="D33" s="60">
        <f t="shared" si="0"/>
        <v>5438</v>
      </c>
      <c r="E33" s="101"/>
    </row>
    <row r="34" spans="1:5" x14ac:dyDescent="0.2">
      <c r="A34" s="53" t="s">
        <v>131</v>
      </c>
      <c r="B34" s="23">
        <f>'2.1 LK TULUD'!B32</f>
        <v>5438</v>
      </c>
      <c r="C34" s="51"/>
      <c r="D34" s="23">
        <f t="shared" si="0"/>
        <v>5438</v>
      </c>
      <c r="E34" s="101"/>
    </row>
    <row r="35" spans="1:5" ht="9" customHeight="1" x14ac:dyDescent="0.2">
      <c r="A35" s="2"/>
      <c r="B35" s="23"/>
      <c r="C35" s="51"/>
      <c r="D35" s="23"/>
      <c r="E35" s="101"/>
    </row>
    <row r="36" spans="1:5" x14ac:dyDescent="0.2">
      <c r="A36" s="50" t="s">
        <v>86</v>
      </c>
      <c r="B36" s="60">
        <f>SUM(B37:B37)</f>
        <v>13153</v>
      </c>
      <c r="C36" s="8"/>
      <c r="D36" s="60">
        <f t="shared" si="0"/>
        <v>13153</v>
      </c>
      <c r="E36" s="101"/>
    </row>
    <row r="37" spans="1:5" x14ac:dyDescent="0.2">
      <c r="A37" s="53" t="s">
        <v>70</v>
      </c>
      <c r="B37" s="23">
        <f>'2.1 LK TULUD'!B38</f>
        <v>13153</v>
      </c>
      <c r="C37" s="54"/>
      <c r="D37" s="23">
        <f t="shared" si="0"/>
        <v>13153</v>
      </c>
      <c r="E37" s="101"/>
    </row>
    <row r="38" spans="1:5" ht="8.25" customHeight="1" x14ac:dyDescent="0.2">
      <c r="A38" s="50"/>
      <c r="B38" s="278"/>
      <c r="C38" s="8"/>
      <c r="D38" s="278"/>
      <c r="E38" s="278"/>
    </row>
    <row r="39" spans="1:5" x14ac:dyDescent="0.2">
      <c r="A39" s="61" t="s">
        <v>121</v>
      </c>
      <c r="B39" s="60">
        <f>B13+B21+B23+B29+B33+B36</f>
        <v>-452211</v>
      </c>
      <c r="C39" s="60">
        <f ca="1">C13+C21+C23+C29+C33+C36</f>
        <v>867220</v>
      </c>
      <c r="D39" s="60">
        <f ca="1">D13+D21+D23+D29+D33+D36</f>
        <v>415009</v>
      </c>
      <c r="E39" s="101"/>
    </row>
    <row r="40" spans="1:5" ht="7.5" customHeight="1" x14ac:dyDescent="0.2">
      <c r="A40" s="50"/>
      <c r="B40" s="23"/>
      <c r="C40" s="8"/>
      <c r="D40" s="23"/>
      <c r="E40" s="101"/>
    </row>
    <row r="41" spans="1:5" x14ac:dyDescent="0.2">
      <c r="A41" s="50" t="s">
        <v>122</v>
      </c>
      <c r="B41" s="60">
        <f>SUM(B42:B44)</f>
        <v>37557</v>
      </c>
      <c r="C41" s="60">
        <f>SUM(C42:C44)</f>
        <v>20200</v>
      </c>
      <c r="D41" s="60">
        <f t="shared" si="0"/>
        <v>57757</v>
      </c>
      <c r="E41" s="101"/>
    </row>
    <row r="42" spans="1:5" x14ac:dyDescent="0.2">
      <c r="A42" s="2" t="s">
        <v>123</v>
      </c>
      <c r="B42" s="23">
        <f>'2.3 TOETUSED'!B6</f>
        <v>-30407</v>
      </c>
      <c r="C42" s="51"/>
      <c r="D42" s="23">
        <f t="shared" si="0"/>
        <v>-30407</v>
      </c>
      <c r="E42" s="101"/>
    </row>
    <row r="43" spans="1:5" x14ac:dyDescent="0.2">
      <c r="A43" s="53" t="s">
        <v>124</v>
      </c>
      <c r="B43" s="23">
        <f>'2.3 TOETUSED'!B26</f>
        <v>13750</v>
      </c>
      <c r="C43" s="23">
        <f>'2.3 TOETUSED'!B17</f>
        <v>20200</v>
      </c>
      <c r="D43" s="23">
        <f t="shared" si="0"/>
        <v>33950</v>
      </c>
      <c r="E43" s="101"/>
    </row>
    <row r="44" spans="1:5" s="103" customFormat="1" x14ac:dyDescent="0.2">
      <c r="A44" s="53" t="s">
        <v>417</v>
      </c>
      <c r="B44" s="101">
        <f>'2.3 TOETUSED'!B11</f>
        <v>54214</v>
      </c>
      <c r="C44" s="101"/>
      <c r="D44" s="101">
        <f t="shared" si="0"/>
        <v>54214</v>
      </c>
      <c r="E44" s="101"/>
    </row>
    <row r="45" spans="1:5" ht="9.75" customHeight="1" x14ac:dyDescent="0.2">
      <c r="A45" s="2"/>
      <c r="B45" s="23"/>
      <c r="C45" s="51"/>
      <c r="D45" s="23"/>
      <c r="E45" s="101"/>
    </row>
    <row r="46" spans="1:5" x14ac:dyDescent="0.2">
      <c r="A46" s="50" t="s">
        <v>117</v>
      </c>
      <c r="B46" s="60">
        <f>B39+B41</f>
        <v>-414654</v>
      </c>
      <c r="C46" s="60">
        <f t="shared" ref="C46:D46" ca="1" si="1">C39+C41</f>
        <v>887420</v>
      </c>
      <c r="D46" s="60">
        <f t="shared" ca="1" si="1"/>
        <v>472766</v>
      </c>
      <c r="E46" s="101"/>
    </row>
    <row r="47" spans="1:5" x14ac:dyDescent="0.2">
      <c r="D47" s="101"/>
      <c r="E47" s="101"/>
    </row>
    <row r="48" spans="1:5" x14ac:dyDescent="0.2">
      <c r="D48" s="242"/>
    </row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5"/>
  <sheetViews>
    <sheetView showZeros="0" zoomScaleNormal="100" workbookViewId="0"/>
  </sheetViews>
  <sheetFormatPr defaultColWidth="9.140625" defaultRowHeight="12.75" x14ac:dyDescent="0.2"/>
  <cols>
    <col min="1" max="1" width="47.28515625" style="100" customWidth="1"/>
    <col min="2" max="2" width="16.5703125" style="100" customWidth="1"/>
    <col min="3" max="16384" width="9.140625" style="100"/>
  </cols>
  <sheetData>
    <row r="1" spans="1:3" ht="15" x14ac:dyDescent="0.25">
      <c r="A1" s="62" t="s">
        <v>125</v>
      </c>
    </row>
    <row r="2" spans="1:3" ht="12.75" customHeight="1" x14ac:dyDescent="0.25">
      <c r="A2" s="62"/>
    </row>
    <row r="3" spans="1:3" ht="12.75" customHeight="1" x14ac:dyDescent="0.2">
      <c r="A3" s="112"/>
      <c r="B3" s="3" t="s">
        <v>72</v>
      </c>
    </row>
    <row r="4" spans="1:3" ht="12.75" customHeight="1" x14ac:dyDescent="0.2">
      <c r="A4" s="112"/>
      <c r="B4" s="3"/>
    </row>
    <row r="5" spans="1:3" x14ac:dyDescent="0.2">
      <c r="A5" s="64" t="s">
        <v>77</v>
      </c>
      <c r="B5" s="339">
        <f>B6</f>
        <v>300000</v>
      </c>
    </row>
    <row r="6" spans="1:3" ht="12.75" customHeight="1" x14ac:dyDescent="0.2">
      <c r="A6" s="308" t="s">
        <v>376</v>
      </c>
      <c r="B6" s="340">
        <v>300000</v>
      </c>
    </row>
    <row r="7" spans="1:3" ht="12.75" customHeight="1" x14ac:dyDescent="0.2">
      <c r="A7" s="334" t="s">
        <v>115</v>
      </c>
      <c r="B7" s="304">
        <v>300000</v>
      </c>
    </row>
    <row r="8" spans="1:3" ht="12.75" customHeight="1" x14ac:dyDescent="0.2">
      <c r="A8" s="63"/>
      <c r="B8" s="341"/>
    </row>
    <row r="9" spans="1:3" x14ac:dyDescent="0.2">
      <c r="A9" s="64" t="s">
        <v>78</v>
      </c>
      <c r="B9" s="339">
        <f>B10</f>
        <v>-600000</v>
      </c>
    </row>
    <row r="10" spans="1:3" x14ac:dyDescent="0.2">
      <c r="A10" s="336" t="s">
        <v>377</v>
      </c>
      <c r="B10" s="303">
        <v>-600000</v>
      </c>
      <c r="C10" s="106"/>
    </row>
    <row r="11" spans="1:3" ht="12.75" customHeight="1" x14ac:dyDescent="0.2">
      <c r="A11" s="335" t="s">
        <v>126</v>
      </c>
      <c r="B11" s="342">
        <v>-600000</v>
      </c>
      <c r="C11" s="106"/>
    </row>
    <row r="12" spans="1:3" ht="12.75" customHeight="1" x14ac:dyDescent="0.2">
      <c r="A12" s="67"/>
      <c r="B12" s="343"/>
      <c r="C12" s="106"/>
    </row>
    <row r="13" spans="1:3" x14ac:dyDescent="0.2">
      <c r="A13" s="64" t="s">
        <v>79</v>
      </c>
      <c r="B13" s="339">
        <f>SUM(B14:B14)</f>
        <v>5000</v>
      </c>
      <c r="C13" s="106"/>
    </row>
    <row r="14" spans="1:3" ht="12.75" customHeight="1" x14ac:dyDescent="0.2">
      <c r="A14" s="67" t="s">
        <v>126</v>
      </c>
      <c r="B14" s="343">
        <v>5000</v>
      </c>
      <c r="C14" s="106"/>
    </row>
    <row r="15" spans="1:3" x14ac:dyDescent="0.2">
      <c r="A15" s="67"/>
      <c r="B15" s="343"/>
      <c r="C15" s="106"/>
    </row>
    <row r="16" spans="1:3" ht="12.75" customHeight="1" x14ac:dyDescent="0.2">
      <c r="A16" s="122" t="s">
        <v>211</v>
      </c>
      <c r="B16" s="344">
        <f>B17</f>
        <v>-220</v>
      </c>
    </row>
    <row r="17" spans="1:2" x14ac:dyDescent="0.2">
      <c r="A17" s="333" t="s">
        <v>378</v>
      </c>
      <c r="B17" s="340">
        <v>-220</v>
      </c>
    </row>
    <row r="18" spans="1:2" ht="12.75" customHeight="1" x14ac:dyDescent="0.2">
      <c r="A18" s="265" t="s">
        <v>128</v>
      </c>
      <c r="B18" s="345">
        <v>-220</v>
      </c>
    </row>
    <row r="19" spans="1:2" ht="12.75" customHeight="1" x14ac:dyDescent="0.2">
      <c r="A19" s="65"/>
      <c r="B19" s="128"/>
    </row>
    <row r="20" spans="1:2" x14ac:dyDescent="0.2">
      <c r="A20" s="64" t="s">
        <v>81</v>
      </c>
      <c r="B20" s="339">
        <f>B22+B25</f>
        <v>-175582</v>
      </c>
    </row>
    <row r="21" spans="1:2" x14ac:dyDescent="0.2">
      <c r="A21" s="67"/>
      <c r="B21" s="343"/>
    </row>
    <row r="22" spans="1:2" ht="12.75" customHeight="1" x14ac:dyDescent="0.2">
      <c r="A22" s="65" t="s">
        <v>119</v>
      </c>
      <c r="B22" s="128">
        <f>B23</f>
        <v>-200000</v>
      </c>
    </row>
    <row r="23" spans="1:2" ht="12.75" customHeight="1" x14ac:dyDescent="0.2">
      <c r="A23" s="265" t="s">
        <v>129</v>
      </c>
      <c r="B23" s="345">
        <v>-200000</v>
      </c>
    </row>
    <row r="24" spans="1:2" x14ac:dyDescent="0.2">
      <c r="A24" s="66"/>
      <c r="B24" s="343"/>
    </row>
    <row r="25" spans="1:2" x14ac:dyDescent="0.2">
      <c r="A25" s="65" t="s">
        <v>208</v>
      </c>
      <c r="B25" s="128">
        <f>B26</f>
        <v>24418</v>
      </c>
    </row>
    <row r="26" spans="1:2" x14ac:dyDescent="0.2">
      <c r="A26" s="53" t="s">
        <v>30</v>
      </c>
      <c r="B26" s="346">
        <f>SUM(B27:B29)</f>
        <v>24418</v>
      </c>
    </row>
    <row r="27" spans="1:2" x14ac:dyDescent="0.2">
      <c r="A27" s="334" t="s">
        <v>142</v>
      </c>
      <c r="B27" s="304">
        <v>506</v>
      </c>
    </row>
    <row r="28" spans="1:2" x14ac:dyDescent="0.2">
      <c r="A28" s="334" t="s">
        <v>379</v>
      </c>
      <c r="B28" s="304">
        <f>3300+4700</f>
        <v>8000</v>
      </c>
    </row>
    <row r="29" spans="1:2" x14ac:dyDescent="0.2">
      <c r="A29" s="334" t="s">
        <v>380</v>
      </c>
      <c r="B29" s="304">
        <f>89949-74037</f>
        <v>15912</v>
      </c>
    </row>
    <row r="30" spans="1:2" x14ac:dyDescent="0.2">
      <c r="A30" s="65"/>
      <c r="B30" s="128"/>
    </row>
    <row r="31" spans="1:2" x14ac:dyDescent="0.2">
      <c r="A31" s="64" t="s">
        <v>120</v>
      </c>
      <c r="B31" s="339">
        <f>B32</f>
        <v>5438</v>
      </c>
    </row>
    <row r="32" spans="1:2" x14ac:dyDescent="0.2">
      <c r="A32" s="114" t="s">
        <v>131</v>
      </c>
      <c r="B32" s="341">
        <f>SUM(B33:B35)</f>
        <v>5438</v>
      </c>
    </row>
    <row r="33" spans="1:3" x14ac:dyDescent="0.2">
      <c r="A33" s="334" t="s">
        <v>142</v>
      </c>
      <c r="B33" s="304">
        <v>272</v>
      </c>
    </row>
    <row r="34" spans="1:3" x14ac:dyDescent="0.2">
      <c r="A34" s="334" t="s">
        <v>267</v>
      </c>
      <c r="B34" s="304">
        <v>5000</v>
      </c>
    </row>
    <row r="35" spans="1:3" x14ac:dyDescent="0.2">
      <c r="A35" s="334" t="s">
        <v>150</v>
      </c>
      <c r="B35" s="304">
        <v>166</v>
      </c>
    </row>
    <row r="36" spans="1:3" x14ac:dyDescent="0.2">
      <c r="A36" s="114"/>
      <c r="B36" s="341"/>
    </row>
    <row r="37" spans="1:3" ht="13.5" customHeight="1" x14ac:dyDescent="0.2">
      <c r="A37" s="64" t="s">
        <v>86</v>
      </c>
      <c r="B37" s="339">
        <f>B38</f>
        <v>13153</v>
      </c>
    </row>
    <row r="38" spans="1:3" x14ac:dyDescent="0.2">
      <c r="A38" s="65" t="s">
        <v>132</v>
      </c>
      <c r="B38" s="128">
        <f>SUM(B39:B42)</f>
        <v>13153</v>
      </c>
    </row>
    <row r="39" spans="1:3" s="102" customFormat="1" x14ac:dyDescent="0.2">
      <c r="A39" s="334" t="s">
        <v>142</v>
      </c>
      <c r="B39" s="304">
        <v>229</v>
      </c>
    </row>
    <row r="40" spans="1:3" s="102" customFormat="1" x14ac:dyDescent="0.2">
      <c r="A40" s="334" t="s">
        <v>381</v>
      </c>
      <c r="B40" s="304">
        <v>424</v>
      </c>
    </row>
    <row r="41" spans="1:3" s="102" customFormat="1" x14ac:dyDescent="0.2">
      <c r="A41" s="334" t="s">
        <v>382</v>
      </c>
      <c r="B41" s="304">
        <v>1500</v>
      </c>
    </row>
    <row r="42" spans="1:3" s="102" customFormat="1" x14ac:dyDescent="0.2">
      <c r="A42" s="334" t="s">
        <v>128</v>
      </c>
      <c r="B42" s="304">
        <v>11000</v>
      </c>
    </row>
    <row r="43" spans="1:3" s="102" customFormat="1" x14ac:dyDescent="0.2">
      <c r="A43" s="66"/>
      <c r="B43" s="343"/>
    </row>
    <row r="44" spans="1:3" s="102" customFormat="1" x14ac:dyDescent="0.2">
      <c r="A44" s="64" t="s">
        <v>71</v>
      </c>
      <c r="B44" s="339">
        <f>B5+B9+B13+B16+B20+B31+B37</f>
        <v>-452211</v>
      </c>
    </row>
    <row r="45" spans="1:3" s="102" customFormat="1" ht="15" customHeight="1" x14ac:dyDescent="0.2">
      <c r="A45" s="100"/>
      <c r="B45" s="113"/>
      <c r="C45" s="100"/>
    </row>
    <row r="46" spans="1:3" s="102" customFormat="1" x14ac:dyDescent="0.2">
      <c r="A46" s="100"/>
      <c r="B46" s="113"/>
      <c r="C46" s="100"/>
    </row>
    <row r="47" spans="1:3" x14ac:dyDescent="0.2">
      <c r="B47" s="113"/>
    </row>
    <row r="50" ht="12.75" customHeight="1" x14ac:dyDescent="0.2"/>
    <row r="53" ht="12.75" customHeight="1" x14ac:dyDescent="0.2"/>
    <row r="54" ht="12.75" customHeight="1" x14ac:dyDescent="0.2"/>
    <row r="55" ht="12.75" customHeight="1" x14ac:dyDescent="0.2"/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1"/>
  <sheetViews>
    <sheetView workbookViewId="0">
      <selection activeCell="B16" sqref="B16"/>
    </sheetView>
  </sheetViews>
  <sheetFormatPr defaultColWidth="9.140625" defaultRowHeight="12.75" x14ac:dyDescent="0.2"/>
  <cols>
    <col min="1" max="1" width="40" style="38" bestFit="1" customWidth="1"/>
    <col min="2" max="2" width="11.7109375" style="38" bestFit="1" customWidth="1"/>
    <col min="3" max="16384" width="9.140625" style="38"/>
  </cols>
  <sheetData>
    <row r="1" spans="1:4" x14ac:dyDescent="0.2">
      <c r="A1" s="7" t="s">
        <v>69</v>
      </c>
      <c r="B1" s="12">
        <f ca="1">SUM(B2:B11)</f>
        <v>902016</v>
      </c>
      <c r="C1" s="7"/>
      <c r="D1" s="7"/>
    </row>
    <row r="2" spans="1:4" x14ac:dyDescent="0.2">
      <c r="A2" s="9" t="s">
        <v>193</v>
      </c>
      <c r="B2" s="12">
        <f ca="1">SUMIF('2.2 OMATULUD'!$A$5:B$429,$A2,'2.2 OMATULUD'!B$5:B$429)</f>
        <v>-259210</v>
      </c>
      <c r="C2" s="7"/>
      <c r="D2" s="7"/>
    </row>
    <row r="3" spans="1:4" x14ac:dyDescent="0.2">
      <c r="A3" s="9" t="s">
        <v>215</v>
      </c>
      <c r="B3" s="12">
        <f ca="1">SUMIF('2.2 OMATULUD'!$A$5:B$429,$A3,'2.2 OMATULUD'!B$5:B$429)</f>
        <v>10750</v>
      </c>
      <c r="C3" s="7"/>
      <c r="D3" s="7"/>
    </row>
    <row r="4" spans="1:4" x14ac:dyDescent="0.2">
      <c r="A4" s="9" t="s">
        <v>195</v>
      </c>
      <c r="B4" s="12">
        <f ca="1">SUMIF('2.2 OMATULUD'!$A$5:B$429,$A4,'2.2 OMATULUD'!B$5:B$429)</f>
        <v>349240</v>
      </c>
      <c r="C4" s="7"/>
      <c r="D4" s="7"/>
    </row>
    <row r="5" spans="1:4" x14ac:dyDescent="0.2">
      <c r="A5" s="9" t="s">
        <v>226</v>
      </c>
      <c r="B5" s="12">
        <f ca="1">SUMIF('2.2 OMATULUD'!$A$5:B$429,$A5,'2.2 OMATULUD'!B$5:B$429)</f>
        <v>-148800</v>
      </c>
      <c r="C5" s="7"/>
      <c r="D5" s="7"/>
    </row>
    <row r="6" spans="1:4" x14ac:dyDescent="0.2">
      <c r="A6" s="9" t="s">
        <v>217</v>
      </c>
      <c r="B6" s="12">
        <f ca="1">SUMIF('2.2 OMATULUD'!$A$5:B$429,$A6,'2.2 OMATULUD'!B$5:B$429)</f>
        <v>0</v>
      </c>
      <c r="C6" s="7"/>
      <c r="D6" s="7"/>
    </row>
    <row r="7" spans="1:4" x14ac:dyDescent="0.2">
      <c r="A7" s="9" t="s">
        <v>218</v>
      </c>
      <c r="B7" s="12">
        <f ca="1">SUMIF('2.2 OMATULUD'!$A$5:B$429,$A7,'2.2 OMATULUD'!B$5:B$429)</f>
        <v>40076</v>
      </c>
      <c r="C7" s="7"/>
      <c r="D7" s="7"/>
    </row>
    <row r="8" spans="1:4" x14ac:dyDescent="0.2">
      <c r="A8" s="9" t="s">
        <v>196</v>
      </c>
      <c r="B8" s="12">
        <f ca="1">SUMIF('2.2 OMATULUD'!$A$5:B$429,$A8,'2.2 OMATULUD'!B$5:B$429)</f>
        <v>35931</v>
      </c>
      <c r="C8" s="7"/>
      <c r="D8" s="7"/>
    </row>
    <row r="9" spans="1:4" x14ac:dyDescent="0.2">
      <c r="A9" s="9" t="s">
        <v>222</v>
      </c>
      <c r="B9" s="12">
        <f ca="1">SUMIF('2.2 OMATULUD'!$A$5:B$429,$A9,'2.2 OMATULUD'!B$5:B$429)</f>
        <v>876979</v>
      </c>
      <c r="C9" s="7"/>
      <c r="D9" s="7"/>
    </row>
    <row r="10" spans="1:4" x14ac:dyDescent="0.2">
      <c r="A10" s="9" t="s">
        <v>191</v>
      </c>
      <c r="B10" s="12">
        <f ca="1">SUMIF('2.2 OMATULUD'!$A$5:B$429,$A10,'2.2 OMATULUD'!B$5:B$429)</f>
        <v>1300</v>
      </c>
      <c r="C10" s="7"/>
      <c r="D10" s="7"/>
    </row>
    <row r="11" spans="1:4" x14ac:dyDescent="0.2">
      <c r="A11" s="10" t="s">
        <v>225</v>
      </c>
      <c r="B11" s="12">
        <f ca="1">SUMIF('2.2 OMATULUD'!$A$5:B$429,$A11,'2.2 OMATULUD'!B$5:B$429)</f>
        <v>-4250</v>
      </c>
      <c r="C11" s="7"/>
      <c r="D11" s="7"/>
    </row>
    <row r="12" spans="1:4" x14ac:dyDescent="0.2">
      <c r="A12" s="7" t="s">
        <v>208</v>
      </c>
      <c r="B12" s="12">
        <f ca="1">SUMIF('2.2 OMATULUD'!$A$5:B$429,$A12,'2.2 OMATULUD'!B$5:B$429)</f>
        <v>0</v>
      </c>
      <c r="C12" s="7"/>
      <c r="D12" s="7"/>
    </row>
    <row r="13" spans="1:4" x14ac:dyDescent="0.2">
      <c r="A13" s="7" t="s">
        <v>189</v>
      </c>
      <c r="B13" s="12">
        <f ca="1">SUMIF('2.2 OMATULUD'!$A$5:B$429,$A13,'2.2 OMATULUD'!B$5:B$429)</f>
        <v>-88040</v>
      </c>
      <c r="C13" s="7"/>
      <c r="D13" s="7"/>
    </row>
    <row r="14" spans="1:4" x14ac:dyDescent="0.2">
      <c r="A14" s="7" t="s">
        <v>211</v>
      </c>
      <c r="B14" s="12">
        <f ca="1">SUMIF('2.2 OMATULUD'!$A$5:B$429,$A14,'2.2 OMATULUD'!B$5:B$429)</f>
        <v>-50590</v>
      </c>
      <c r="C14" s="7"/>
      <c r="D14" s="7"/>
    </row>
    <row r="15" spans="1:4" x14ac:dyDescent="0.2">
      <c r="A15" s="7" t="s">
        <v>186</v>
      </c>
      <c r="B15" s="12">
        <f ca="1">SUMIF('2.2 OMATULUD'!$A$5:B$429,$A15,'2.2 OMATULUD'!B$5:B$429)</f>
        <v>103834</v>
      </c>
      <c r="C15" s="7"/>
      <c r="D15" s="7"/>
    </row>
    <row r="16" spans="1:4" x14ac:dyDescent="0.2">
      <c r="A16" s="130" t="s">
        <v>70</v>
      </c>
      <c r="B16" s="12">
        <f ca="1">SUMIF('2.2 OMATULUD'!$A$5:B$429,$A16,'2.2 OMATULUD'!B$5:B$429)</f>
        <v>0</v>
      </c>
      <c r="C16" s="7"/>
      <c r="D16" s="7"/>
    </row>
    <row r="17" spans="1:4" x14ac:dyDescent="0.2">
      <c r="A17" s="116" t="s">
        <v>247</v>
      </c>
      <c r="B17" s="12">
        <f ca="1">SUMIF('2.2 OMATULUD'!$A$5:B$429,$A17,'2.2 OMATULUD'!B$5:B$429)</f>
        <v>0</v>
      </c>
      <c r="C17" s="7"/>
      <c r="D17" s="7"/>
    </row>
    <row r="18" spans="1:4" x14ac:dyDescent="0.2">
      <c r="A18" s="4" t="s">
        <v>71</v>
      </c>
      <c r="B18" s="13">
        <f ca="1">B12+B13+B14+B15+B1+B17</f>
        <v>867220</v>
      </c>
      <c r="C18" s="7"/>
      <c r="D18" s="7"/>
    </row>
    <row r="19" spans="1:4" x14ac:dyDescent="0.2">
      <c r="A19" s="7"/>
      <c r="B19" s="107">
        <f ca="1">B18-'2.2 OMATULUD'!B429</f>
        <v>0</v>
      </c>
      <c r="C19" s="7"/>
      <c r="D19" s="7"/>
    </row>
    <row r="20" spans="1:4" x14ac:dyDescent="0.2">
      <c r="A20" s="38" t="s">
        <v>265</v>
      </c>
      <c r="C20" s="7"/>
      <c r="D20" s="7"/>
    </row>
    <row r="21" spans="1:4" x14ac:dyDescent="0.2">
      <c r="C21" s="7"/>
      <c r="D21" s="7"/>
    </row>
    <row r="23" spans="1:4" x14ac:dyDescent="0.2">
      <c r="A23" s="134"/>
      <c r="B23" s="135"/>
    </row>
    <row r="24" spans="1:4" x14ac:dyDescent="0.2">
      <c r="A24" s="131" t="s">
        <v>140</v>
      </c>
      <c r="B24" s="118">
        <f ca="1">SUMIF('3 KULUD'!A12:B721,'3 KULUD'!A701,'3 KULUD'!B12:B721)-'3 KULUD'!B62-'3 KULUD'!B120-'3 KULUD'!B172-'3 KULUD'!B187-'3 KULUD'!B217-'3 KULUD'!B288-'3 KULUD'!B371</f>
        <v>649579</v>
      </c>
    </row>
    <row r="25" spans="1:4" x14ac:dyDescent="0.2">
      <c r="A25" s="115"/>
      <c r="B25" s="82"/>
    </row>
    <row r="29" spans="1:4" x14ac:dyDescent="0.2">
      <c r="A29" s="134"/>
      <c r="B29" s="135"/>
    </row>
    <row r="30" spans="1:4" x14ac:dyDescent="0.2">
      <c r="A30" s="132"/>
      <c r="B30" s="82"/>
    </row>
    <row r="31" spans="1:4" x14ac:dyDescent="0.2">
      <c r="A31" s="133"/>
      <c r="B31" s="82"/>
    </row>
  </sheetData>
  <phoneticPr fontId="2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429"/>
  <sheetViews>
    <sheetView zoomScaleNormal="100" workbookViewId="0"/>
  </sheetViews>
  <sheetFormatPr defaultColWidth="9.140625" defaultRowHeight="12.75" x14ac:dyDescent="0.2"/>
  <cols>
    <col min="1" max="1" width="57.5703125" style="65" customWidth="1"/>
    <col min="2" max="2" width="14.140625" style="128" customWidth="1"/>
    <col min="3" max="16384" width="9.140625" style="105"/>
  </cols>
  <sheetData>
    <row r="1" spans="1:5" ht="15" x14ac:dyDescent="0.25">
      <c r="A1" s="1" t="s">
        <v>184</v>
      </c>
      <c r="B1" s="11"/>
    </row>
    <row r="2" spans="1:5" ht="12.75" customHeight="1" x14ac:dyDescent="0.25">
      <c r="A2" s="1"/>
      <c r="B2" s="11"/>
    </row>
    <row r="3" spans="1:5" x14ac:dyDescent="0.2">
      <c r="B3" s="123" t="s">
        <v>72</v>
      </c>
    </row>
    <row r="5" spans="1:5" x14ac:dyDescent="0.2">
      <c r="A5" s="148" t="s">
        <v>383</v>
      </c>
      <c r="B5" s="156">
        <f>B6+B8</f>
        <v>5000</v>
      </c>
    </row>
    <row r="6" spans="1:5" x14ac:dyDescent="0.2">
      <c r="A6" s="146" t="s">
        <v>191</v>
      </c>
      <c r="B6" s="157">
        <f>B7</f>
        <v>1000</v>
      </c>
    </row>
    <row r="7" spans="1:5" x14ac:dyDescent="0.2">
      <c r="A7" s="147" t="s">
        <v>192</v>
      </c>
      <c r="B7" s="159">
        <v>1000</v>
      </c>
    </row>
    <row r="8" spans="1:5" x14ac:dyDescent="0.2">
      <c r="A8" s="146" t="s">
        <v>186</v>
      </c>
      <c r="B8" s="157">
        <f>B9</f>
        <v>4000</v>
      </c>
    </row>
    <row r="9" spans="1:5" x14ac:dyDescent="0.2">
      <c r="A9" s="147" t="s">
        <v>187</v>
      </c>
      <c r="B9" s="159">
        <v>4000</v>
      </c>
    </row>
    <row r="10" spans="1:5" x14ac:dyDescent="0.2">
      <c r="A10" s="147"/>
      <c r="B10" s="159"/>
      <c r="C10" s="125"/>
      <c r="D10" s="127"/>
      <c r="E10" s="126"/>
    </row>
    <row r="11" spans="1:5" x14ac:dyDescent="0.2">
      <c r="A11" s="148" t="s">
        <v>384</v>
      </c>
      <c r="B11" s="156">
        <f>B13+B17+B28+B43+B47+B57</f>
        <v>-242450</v>
      </c>
      <c r="C11" s="125"/>
      <c r="D11" s="127"/>
      <c r="E11" s="126"/>
    </row>
    <row r="12" spans="1:5" x14ac:dyDescent="0.2">
      <c r="A12" s="150"/>
      <c r="B12" s="162"/>
      <c r="C12" s="125"/>
      <c r="D12" s="125"/>
      <c r="E12" s="126"/>
    </row>
    <row r="13" spans="1:5" x14ac:dyDescent="0.2">
      <c r="A13" s="146" t="s">
        <v>385</v>
      </c>
      <c r="B13" s="157">
        <f>B14</f>
        <v>10000</v>
      </c>
      <c r="C13" s="125"/>
      <c r="D13" s="127"/>
      <c r="E13" s="126"/>
    </row>
    <row r="14" spans="1:5" x14ac:dyDescent="0.2">
      <c r="A14" s="146" t="s">
        <v>193</v>
      </c>
      <c r="B14" s="157">
        <f>B15</f>
        <v>10000</v>
      </c>
      <c r="C14" s="125"/>
      <c r="D14" s="127"/>
      <c r="E14" s="126"/>
    </row>
    <row r="15" spans="1:5" ht="25.5" x14ac:dyDescent="0.2">
      <c r="A15" s="149" t="s">
        <v>194</v>
      </c>
      <c r="B15" s="158">
        <v>10000</v>
      </c>
      <c r="C15" s="125"/>
      <c r="D15" s="127"/>
      <c r="E15" s="126"/>
    </row>
    <row r="16" spans="1:5" x14ac:dyDescent="0.2">
      <c r="A16" s="147"/>
      <c r="B16" s="159"/>
      <c r="D16" s="126"/>
    </row>
    <row r="17" spans="1:4" x14ac:dyDescent="0.2">
      <c r="A17" s="146" t="s">
        <v>386</v>
      </c>
      <c r="B17" s="157">
        <f>B18+B23+B26</f>
        <v>-508190</v>
      </c>
      <c r="D17" s="126"/>
    </row>
    <row r="18" spans="1:4" x14ac:dyDescent="0.2">
      <c r="A18" s="146" t="s">
        <v>193</v>
      </c>
      <c r="B18" s="157">
        <f>SUM(B19:B22)</f>
        <v>-526500</v>
      </c>
    </row>
    <row r="19" spans="1:4" x14ac:dyDescent="0.2">
      <c r="A19" s="149" t="s">
        <v>198</v>
      </c>
      <c r="B19" s="158">
        <v>-510840</v>
      </c>
    </row>
    <row r="20" spans="1:4" x14ac:dyDescent="0.2">
      <c r="A20" s="298" t="s">
        <v>357</v>
      </c>
      <c r="B20" s="302">
        <v>-5030</v>
      </c>
    </row>
    <row r="21" spans="1:4" x14ac:dyDescent="0.2">
      <c r="A21" s="147" t="s">
        <v>199</v>
      </c>
      <c r="B21" s="159">
        <v>11660</v>
      </c>
    </row>
    <row r="22" spans="1:4" x14ac:dyDescent="0.2">
      <c r="A22" s="147" t="s">
        <v>192</v>
      </c>
      <c r="B22" s="159">
        <v>-22290</v>
      </c>
    </row>
    <row r="23" spans="1:4" x14ac:dyDescent="0.2">
      <c r="A23" s="146" t="s">
        <v>186</v>
      </c>
      <c r="B23" s="157">
        <f>+B24</f>
        <v>18800</v>
      </c>
    </row>
    <row r="24" spans="1:4" x14ac:dyDescent="0.2">
      <c r="A24" s="147" t="s">
        <v>188</v>
      </c>
      <c r="B24" s="159">
        <f>18310+490</f>
        <v>18800</v>
      </c>
    </row>
    <row r="25" spans="1:4" x14ac:dyDescent="0.2">
      <c r="A25" s="261" t="s">
        <v>189</v>
      </c>
      <c r="B25" s="159">
        <f>B26</f>
        <v>-490</v>
      </c>
    </row>
    <row r="26" spans="1:4" x14ac:dyDescent="0.2">
      <c r="A26" s="147" t="s">
        <v>190</v>
      </c>
      <c r="B26" s="159">
        <v>-490</v>
      </c>
    </row>
    <row r="27" spans="1:4" x14ac:dyDescent="0.2">
      <c r="A27" s="147"/>
      <c r="B27" s="159"/>
    </row>
    <row r="28" spans="1:4" x14ac:dyDescent="0.2">
      <c r="A28" s="151" t="s">
        <v>387</v>
      </c>
      <c r="B28" s="160">
        <f>B29+B37+B40</f>
        <v>199910</v>
      </c>
    </row>
    <row r="29" spans="1:4" x14ac:dyDescent="0.2">
      <c r="A29" s="146" t="s">
        <v>193</v>
      </c>
      <c r="B29" s="157">
        <f>SUM(B30:B36)</f>
        <v>197650</v>
      </c>
    </row>
    <row r="30" spans="1:4" x14ac:dyDescent="0.2">
      <c r="A30" s="149" t="s">
        <v>198</v>
      </c>
      <c r="B30" s="158">
        <v>-17650</v>
      </c>
    </row>
    <row r="31" spans="1:4" x14ac:dyDescent="0.2">
      <c r="A31" s="149" t="s">
        <v>358</v>
      </c>
      <c r="B31" s="158">
        <v>-1000</v>
      </c>
    </row>
    <row r="32" spans="1:4" x14ac:dyDescent="0.2">
      <c r="A32" s="147" t="s">
        <v>2</v>
      </c>
      <c r="B32" s="159">
        <v>131350</v>
      </c>
    </row>
    <row r="33" spans="1:2" x14ac:dyDescent="0.2">
      <c r="A33" s="147" t="s">
        <v>205</v>
      </c>
      <c r="B33" s="159">
        <v>10000</v>
      </c>
    </row>
    <row r="34" spans="1:2" x14ac:dyDescent="0.2">
      <c r="A34" s="147" t="s">
        <v>199</v>
      </c>
      <c r="B34" s="159">
        <v>73990</v>
      </c>
    </row>
    <row r="35" spans="1:2" x14ac:dyDescent="0.2">
      <c r="A35" s="149" t="s">
        <v>200</v>
      </c>
      <c r="B35" s="158">
        <v>4100</v>
      </c>
    </row>
    <row r="36" spans="1:2" x14ac:dyDescent="0.2">
      <c r="A36" s="147" t="s">
        <v>192</v>
      </c>
      <c r="B36" s="159">
        <v>-3140</v>
      </c>
    </row>
    <row r="37" spans="1:2" x14ac:dyDescent="0.2">
      <c r="A37" s="146" t="s">
        <v>186</v>
      </c>
      <c r="B37" s="157">
        <f>B38+B39</f>
        <v>2110</v>
      </c>
    </row>
    <row r="38" spans="1:2" x14ac:dyDescent="0.2">
      <c r="A38" s="147" t="s">
        <v>187</v>
      </c>
      <c r="B38" s="159">
        <v>1510</v>
      </c>
    </row>
    <row r="39" spans="1:2" x14ac:dyDescent="0.2">
      <c r="A39" s="147" t="s">
        <v>197</v>
      </c>
      <c r="B39" s="159">
        <v>600</v>
      </c>
    </row>
    <row r="40" spans="1:2" x14ac:dyDescent="0.2">
      <c r="A40" s="146" t="s">
        <v>189</v>
      </c>
      <c r="B40" s="157">
        <f>B41</f>
        <v>150</v>
      </c>
    </row>
    <row r="41" spans="1:2" x14ac:dyDescent="0.2">
      <c r="A41" s="147" t="s">
        <v>190</v>
      </c>
      <c r="B41" s="159">
        <v>150</v>
      </c>
    </row>
    <row r="42" spans="1:2" x14ac:dyDescent="0.2">
      <c r="A42" s="147"/>
      <c r="B42" s="159"/>
    </row>
    <row r="43" spans="1:2" x14ac:dyDescent="0.2">
      <c r="A43" s="151" t="s">
        <v>388</v>
      </c>
      <c r="B43" s="160">
        <f>B44</f>
        <v>-5000</v>
      </c>
    </row>
    <row r="44" spans="1:2" x14ac:dyDescent="0.2">
      <c r="A44" s="146" t="s">
        <v>193</v>
      </c>
      <c r="B44" s="157">
        <f>B45</f>
        <v>-5000</v>
      </c>
    </row>
    <row r="45" spans="1:2" x14ac:dyDescent="0.2">
      <c r="A45" s="149" t="s">
        <v>359</v>
      </c>
      <c r="B45" s="158">
        <v>-5000</v>
      </c>
    </row>
    <row r="46" spans="1:2" x14ac:dyDescent="0.2">
      <c r="A46" s="147"/>
      <c r="B46" s="159"/>
    </row>
    <row r="47" spans="1:2" x14ac:dyDescent="0.2">
      <c r="A47" s="146" t="s">
        <v>389</v>
      </c>
      <c r="B47" s="157">
        <f>+B54+B48</f>
        <v>63470</v>
      </c>
    </row>
    <row r="48" spans="1:2" x14ac:dyDescent="0.2">
      <c r="A48" s="146" t="s">
        <v>193</v>
      </c>
      <c r="B48" s="157">
        <f>B52+B49+B50+B51+B53</f>
        <v>64640</v>
      </c>
    </row>
    <row r="49" spans="1:2" x14ac:dyDescent="0.2">
      <c r="A49" s="147" t="s">
        <v>205</v>
      </c>
      <c r="B49" s="159">
        <f>6000+2200+27385</f>
        <v>35585</v>
      </c>
    </row>
    <row r="50" spans="1:2" x14ac:dyDescent="0.2">
      <c r="A50" s="147" t="s">
        <v>203</v>
      </c>
      <c r="B50" s="159">
        <v>20905</v>
      </c>
    </row>
    <row r="51" spans="1:2" x14ac:dyDescent="0.2">
      <c r="A51" s="149" t="s">
        <v>192</v>
      </c>
      <c r="B51" s="158">
        <v>500</v>
      </c>
    </row>
    <row r="52" spans="1:2" x14ac:dyDescent="0.2">
      <c r="A52" s="149" t="s">
        <v>199</v>
      </c>
      <c r="B52" s="158">
        <v>5170</v>
      </c>
    </row>
    <row r="53" spans="1:2" x14ac:dyDescent="0.2">
      <c r="A53" s="299" t="s">
        <v>330</v>
      </c>
      <c r="B53" s="304">
        <v>2480</v>
      </c>
    </row>
    <row r="54" spans="1:2" x14ac:dyDescent="0.2">
      <c r="A54" s="262" t="s">
        <v>186</v>
      </c>
      <c r="B54" s="264">
        <f>B55</f>
        <v>-1170</v>
      </c>
    </row>
    <row r="55" spans="1:2" x14ac:dyDescent="0.2">
      <c r="A55" s="147" t="s">
        <v>187</v>
      </c>
      <c r="B55" s="159">
        <v>-1170</v>
      </c>
    </row>
    <row r="56" spans="1:2" x14ac:dyDescent="0.2">
      <c r="A56" s="149"/>
      <c r="B56" s="158"/>
    </row>
    <row r="57" spans="1:2" x14ac:dyDescent="0.2">
      <c r="A57" s="146" t="s">
        <v>390</v>
      </c>
      <c r="B57" s="157">
        <f>B58+B61</f>
        <v>-2640</v>
      </c>
    </row>
    <row r="58" spans="1:2" x14ac:dyDescent="0.2">
      <c r="A58" s="263" t="s">
        <v>193</v>
      </c>
      <c r="B58" s="264">
        <f>B59+B60</f>
        <v>0</v>
      </c>
    </row>
    <row r="59" spans="1:2" x14ac:dyDescent="0.2">
      <c r="A59" s="147" t="s">
        <v>199</v>
      </c>
      <c r="B59" s="159">
        <v>1493</v>
      </c>
    </row>
    <row r="60" spans="1:2" x14ac:dyDescent="0.2">
      <c r="A60" s="147" t="s">
        <v>200</v>
      </c>
      <c r="B60" s="159">
        <v>-1493</v>
      </c>
    </row>
    <row r="61" spans="1:2" x14ac:dyDescent="0.2">
      <c r="A61" s="146" t="s">
        <v>186</v>
      </c>
      <c r="B61" s="157">
        <f>+B62</f>
        <v>-2640</v>
      </c>
    </row>
    <row r="62" spans="1:2" x14ac:dyDescent="0.2">
      <c r="A62" s="147" t="s">
        <v>188</v>
      </c>
      <c r="B62" s="159">
        <v>-2640</v>
      </c>
    </row>
    <row r="63" spans="1:2" x14ac:dyDescent="0.2">
      <c r="A63" s="149"/>
      <c r="B63" s="158"/>
    </row>
    <row r="64" spans="1:2" x14ac:dyDescent="0.2">
      <c r="A64" s="148" t="s">
        <v>391</v>
      </c>
      <c r="B64" s="156">
        <f>B66+B71+B76+B80+B91+B103+B111+B87</f>
        <v>65500</v>
      </c>
    </row>
    <row r="65" spans="1:2" x14ac:dyDescent="0.2">
      <c r="A65" s="150"/>
      <c r="B65" s="162"/>
    </row>
    <row r="66" spans="1:2" x14ac:dyDescent="0.2">
      <c r="A66" s="146" t="s">
        <v>392</v>
      </c>
      <c r="B66" s="157">
        <f>+B67</f>
        <v>40000</v>
      </c>
    </row>
    <row r="67" spans="1:2" x14ac:dyDescent="0.2">
      <c r="A67" s="146" t="s">
        <v>189</v>
      </c>
      <c r="B67" s="157">
        <f>B68+B69</f>
        <v>40000</v>
      </c>
    </row>
    <row r="68" spans="1:2" x14ac:dyDescent="0.2">
      <c r="A68" s="147" t="s">
        <v>206</v>
      </c>
      <c r="B68" s="159">
        <v>26500</v>
      </c>
    </row>
    <row r="69" spans="1:2" x14ac:dyDescent="0.2">
      <c r="A69" s="147" t="s">
        <v>213</v>
      </c>
      <c r="B69" s="159">
        <v>13500</v>
      </c>
    </row>
    <row r="70" spans="1:2" x14ac:dyDescent="0.2">
      <c r="A70" s="147"/>
      <c r="B70" s="159"/>
    </row>
    <row r="71" spans="1:2" x14ac:dyDescent="0.2">
      <c r="A71" s="146" t="s">
        <v>393</v>
      </c>
      <c r="B71" s="157">
        <f>B72</f>
        <v>1500</v>
      </c>
    </row>
    <row r="72" spans="1:2" x14ac:dyDescent="0.2">
      <c r="A72" s="146" t="s">
        <v>195</v>
      </c>
      <c r="B72" s="157">
        <f>SUM(B73:B74)</f>
        <v>1500</v>
      </c>
    </row>
    <row r="73" spans="1:2" x14ac:dyDescent="0.2">
      <c r="A73" s="149" t="s">
        <v>192</v>
      </c>
      <c r="B73" s="158">
        <v>1000</v>
      </c>
    </row>
    <row r="74" spans="1:2" x14ac:dyDescent="0.2">
      <c r="A74" s="147" t="s">
        <v>210</v>
      </c>
      <c r="B74" s="159">
        <v>500</v>
      </c>
    </row>
    <row r="75" spans="1:2" x14ac:dyDescent="0.2">
      <c r="A75" s="149"/>
      <c r="B75" s="158"/>
    </row>
    <row r="76" spans="1:2" x14ac:dyDescent="0.2">
      <c r="A76" s="300" t="s">
        <v>394</v>
      </c>
      <c r="B76" s="157">
        <f>B77</f>
        <v>3000</v>
      </c>
    </row>
    <row r="77" spans="1:2" x14ac:dyDescent="0.2">
      <c r="A77" s="146" t="s">
        <v>195</v>
      </c>
      <c r="B77" s="157">
        <f>B78</f>
        <v>3000</v>
      </c>
    </row>
    <row r="78" spans="1:2" x14ac:dyDescent="0.2">
      <c r="A78" s="147" t="s">
        <v>209</v>
      </c>
      <c r="B78" s="159">
        <v>3000</v>
      </c>
    </row>
    <row r="79" spans="1:2" x14ac:dyDescent="0.2">
      <c r="A79" s="149"/>
      <c r="B79" s="158"/>
    </row>
    <row r="80" spans="1:2" x14ac:dyDescent="0.2">
      <c r="A80" s="146" t="s">
        <v>395</v>
      </c>
      <c r="B80" s="157">
        <f>B81+B84</f>
        <v>0</v>
      </c>
    </row>
    <row r="81" spans="1:2" x14ac:dyDescent="0.2">
      <c r="A81" s="146" t="s">
        <v>195</v>
      </c>
      <c r="B81" s="157">
        <f>+B82+B83</f>
        <v>60000</v>
      </c>
    </row>
    <row r="82" spans="1:2" x14ac:dyDescent="0.2">
      <c r="A82" s="149" t="s">
        <v>192</v>
      </c>
      <c r="B82" s="158">
        <v>70000</v>
      </c>
    </row>
    <row r="83" spans="1:2" x14ac:dyDescent="0.2">
      <c r="A83" s="149" t="s">
        <v>207</v>
      </c>
      <c r="B83" s="158">
        <v>-10000</v>
      </c>
    </row>
    <row r="84" spans="1:2" x14ac:dyDescent="0.2">
      <c r="A84" s="262" t="s">
        <v>189</v>
      </c>
      <c r="B84" s="264">
        <f>B85+B90</f>
        <v>-60000</v>
      </c>
    </row>
    <row r="85" spans="1:2" x14ac:dyDescent="0.2">
      <c r="A85" s="147" t="s">
        <v>206</v>
      </c>
      <c r="B85" s="159">
        <v>-60000</v>
      </c>
    </row>
    <row r="86" spans="1:2" x14ac:dyDescent="0.2">
      <c r="A86" s="147"/>
      <c r="B86" s="159"/>
    </row>
    <row r="87" spans="1:2" x14ac:dyDescent="0.2">
      <c r="A87" s="146" t="s">
        <v>396</v>
      </c>
      <c r="B87" s="157">
        <f>SUM(B88)</f>
        <v>4000</v>
      </c>
    </row>
    <row r="88" spans="1:2" x14ac:dyDescent="0.2">
      <c r="A88" s="146" t="s">
        <v>195</v>
      </c>
      <c r="B88" s="157">
        <f>+B89</f>
        <v>4000</v>
      </c>
    </row>
    <row r="89" spans="1:2" x14ac:dyDescent="0.2">
      <c r="A89" s="149" t="s">
        <v>210</v>
      </c>
      <c r="B89" s="158">
        <v>4000</v>
      </c>
    </row>
    <row r="90" spans="1:2" x14ac:dyDescent="0.2">
      <c r="A90" s="149"/>
      <c r="B90" s="158"/>
    </row>
    <row r="91" spans="1:2" x14ac:dyDescent="0.2">
      <c r="A91" s="146" t="s">
        <v>397</v>
      </c>
      <c r="B91" s="157">
        <f>B92+B95+B98</f>
        <v>0</v>
      </c>
    </row>
    <row r="92" spans="1:2" x14ac:dyDescent="0.2">
      <c r="A92" s="146" t="s">
        <v>195</v>
      </c>
      <c r="B92" s="157">
        <f>SUM(B93:B94)</f>
        <v>324000</v>
      </c>
    </row>
    <row r="93" spans="1:2" x14ac:dyDescent="0.2">
      <c r="A93" s="147" t="s">
        <v>203</v>
      </c>
      <c r="B93" s="159">
        <v>320000</v>
      </c>
    </row>
    <row r="94" spans="1:2" x14ac:dyDescent="0.2">
      <c r="A94" s="149" t="s">
        <v>192</v>
      </c>
      <c r="B94" s="158">
        <f>4000</f>
        <v>4000</v>
      </c>
    </row>
    <row r="95" spans="1:2" x14ac:dyDescent="0.2">
      <c r="A95" s="146" t="s">
        <v>186</v>
      </c>
      <c r="B95" s="157">
        <f>SUM(B96:B97)</f>
        <v>42000</v>
      </c>
    </row>
    <row r="96" spans="1:2" x14ac:dyDescent="0.2">
      <c r="A96" s="147" t="s">
        <v>188</v>
      </c>
      <c r="B96" s="159">
        <v>8000</v>
      </c>
    </row>
    <row r="97" spans="1:2" x14ac:dyDescent="0.2">
      <c r="A97" s="147" t="s">
        <v>197</v>
      </c>
      <c r="B97" s="159">
        <v>34000</v>
      </c>
    </row>
    <row r="98" spans="1:2" x14ac:dyDescent="0.2">
      <c r="A98" s="146" t="s">
        <v>189</v>
      </c>
      <c r="B98" s="157">
        <f>SUM(B99:B101)</f>
        <v>-366000</v>
      </c>
    </row>
    <row r="99" spans="1:2" x14ac:dyDescent="0.2">
      <c r="A99" s="149" t="s">
        <v>213</v>
      </c>
      <c r="B99" s="158">
        <v>-2000</v>
      </c>
    </row>
    <row r="100" spans="1:2" x14ac:dyDescent="0.2">
      <c r="A100" s="149" t="s">
        <v>360</v>
      </c>
      <c r="B100" s="158">
        <v>-374000</v>
      </c>
    </row>
    <row r="101" spans="1:2" x14ac:dyDescent="0.2">
      <c r="A101" s="149" t="s">
        <v>190</v>
      </c>
      <c r="B101" s="158">
        <v>10000</v>
      </c>
    </row>
    <row r="102" spans="1:2" x14ac:dyDescent="0.2">
      <c r="A102" s="149"/>
      <c r="B102" s="158"/>
    </row>
    <row r="103" spans="1:2" x14ac:dyDescent="0.2">
      <c r="A103" s="146" t="s">
        <v>398</v>
      </c>
      <c r="B103" s="157">
        <f>B104+B107</f>
        <v>25000</v>
      </c>
    </row>
    <row r="104" spans="1:2" x14ac:dyDescent="0.2">
      <c r="A104" s="146" t="s">
        <v>195</v>
      </c>
      <c r="B104" s="157">
        <f>SUM(B105:B106)</f>
        <v>25990</v>
      </c>
    </row>
    <row r="105" spans="1:2" x14ac:dyDescent="0.2">
      <c r="A105" s="147" t="s">
        <v>203</v>
      </c>
      <c r="B105" s="159">
        <v>24490</v>
      </c>
    </row>
    <row r="106" spans="1:2" x14ac:dyDescent="0.2">
      <c r="A106" s="149" t="s">
        <v>207</v>
      </c>
      <c r="B106" s="158">
        <v>1500</v>
      </c>
    </row>
    <row r="107" spans="1:2" x14ac:dyDescent="0.2">
      <c r="A107" s="146" t="s">
        <v>186</v>
      </c>
      <c r="B107" s="157">
        <f>SUM(B108:B109)</f>
        <v>-990</v>
      </c>
    </row>
    <row r="108" spans="1:2" x14ac:dyDescent="0.2">
      <c r="A108" s="147" t="s">
        <v>187</v>
      </c>
      <c r="B108" s="159">
        <v>-690</v>
      </c>
    </row>
    <row r="109" spans="1:2" x14ac:dyDescent="0.2">
      <c r="A109" s="147" t="s">
        <v>197</v>
      </c>
      <c r="B109" s="159">
        <v>-300</v>
      </c>
    </row>
    <row r="110" spans="1:2" x14ac:dyDescent="0.2">
      <c r="A110" s="149"/>
      <c r="B110" s="158"/>
    </row>
    <row r="111" spans="1:2" x14ac:dyDescent="0.2">
      <c r="A111" s="146" t="s">
        <v>399</v>
      </c>
      <c r="B111" s="157">
        <f>B112+B117</f>
        <v>-8000</v>
      </c>
    </row>
    <row r="112" spans="1:2" x14ac:dyDescent="0.2">
      <c r="A112" s="146" t="s">
        <v>195</v>
      </c>
      <c r="B112" s="157">
        <f>B113+B114+B116+B115</f>
        <v>-10000</v>
      </c>
    </row>
    <row r="113" spans="1:2" x14ac:dyDescent="0.2">
      <c r="A113" s="147" t="s">
        <v>203</v>
      </c>
      <c r="B113" s="159">
        <f>-(10000+10000)</f>
        <v>-20000</v>
      </c>
    </row>
    <row r="114" spans="1:2" x14ac:dyDescent="0.2">
      <c r="A114" s="149" t="s">
        <v>192</v>
      </c>
      <c r="B114" s="158">
        <f>21000-1000</f>
        <v>20000</v>
      </c>
    </row>
    <row r="115" spans="1:2" x14ac:dyDescent="0.2">
      <c r="A115" s="149" t="s">
        <v>207</v>
      </c>
      <c r="B115" s="158">
        <f>-11210+4210-5000</f>
        <v>-12000</v>
      </c>
    </row>
    <row r="116" spans="1:2" x14ac:dyDescent="0.2">
      <c r="A116" s="149" t="s">
        <v>200</v>
      </c>
      <c r="B116" s="158">
        <v>2000</v>
      </c>
    </row>
    <row r="117" spans="1:2" x14ac:dyDescent="0.2">
      <c r="A117" s="151" t="s">
        <v>211</v>
      </c>
      <c r="B117" s="160">
        <f>B118</f>
        <v>2000</v>
      </c>
    </row>
    <row r="118" spans="1:2" x14ac:dyDescent="0.2">
      <c r="A118" s="147" t="s">
        <v>212</v>
      </c>
      <c r="B118" s="159">
        <f>1860+140</f>
        <v>2000</v>
      </c>
    </row>
    <row r="119" spans="1:2" x14ac:dyDescent="0.2">
      <c r="A119" s="147"/>
      <c r="B119" s="159"/>
    </row>
    <row r="120" spans="1:2" x14ac:dyDescent="0.2">
      <c r="A120" s="148" t="s">
        <v>400</v>
      </c>
      <c r="B120" s="156">
        <f>B122+B128+B139+B143+B151+B156</f>
        <v>27921</v>
      </c>
    </row>
    <row r="121" spans="1:2" x14ac:dyDescent="0.2">
      <c r="A121" s="147"/>
      <c r="B121" s="159"/>
    </row>
    <row r="122" spans="1:2" x14ac:dyDescent="0.2">
      <c r="A122" s="151" t="s">
        <v>401</v>
      </c>
      <c r="B122" s="160">
        <f>SUM(B123+B125)</f>
        <v>1330</v>
      </c>
    </row>
    <row r="123" spans="1:2" x14ac:dyDescent="0.2">
      <c r="A123" s="146" t="s">
        <v>196</v>
      </c>
      <c r="B123" s="157">
        <f>SUM(B124)</f>
        <v>1300</v>
      </c>
    </row>
    <row r="124" spans="1:2" x14ac:dyDescent="0.2">
      <c r="A124" s="149" t="s">
        <v>192</v>
      </c>
      <c r="B124" s="158">
        <v>1300</v>
      </c>
    </row>
    <row r="125" spans="1:2" x14ac:dyDescent="0.2">
      <c r="A125" s="146" t="s">
        <v>186</v>
      </c>
      <c r="B125" s="157">
        <f>SUM(B126)</f>
        <v>30</v>
      </c>
    </row>
    <row r="126" spans="1:2" x14ac:dyDescent="0.2">
      <c r="A126" s="147" t="s">
        <v>187</v>
      </c>
      <c r="B126" s="159">
        <v>30</v>
      </c>
    </row>
    <row r="127" spans="1:2" x14ac:dyDescent="0.2">
      <c r="A127" s="147"/>
      <c r="B127" s="159"/>
    </row>
    <row r="128" spans="1:2" x14ac:dyDescent="0.2">
      <c r="A128" s="146" t="s">
        <v>402</v>
      </c>
      <c r="B128" s="157">
        <f>SUM(B129+B133+B136)</f>
        <v>38600</v>
      </c>
    </row>
    <row r="129" spans="1:2" x14ac:dyDescent="0.2">
      <c r="A129" s="146" t="s">
        <v>196</v>
      </c>
      <c r="B129" s="157">
        <f>SUM(B130:B132)</f>
        <v>30000</v>
      </c>
    </row>
    <row r="130" spans="1:2" x14ac:dyDescent="0.2">
      <c r="A130" s="147" t="s">
        <v>252</v>
      </c>
      <c r="B130" s="159">
        <v>23000</v>
      </c>
    </row>
    <row r="131" spans="1:2" x14ac:dyDescent="0.2">
      <c r="A131" s="147" t="s">
        <v>214</v>
      </c>
      <c r="B131" s="159">
        <v>6000</v>
      </c>
    </row>
    <row r="132" spans="1:2" x14ac:dyDescent="0.2">
      <c r="A132" s="147" t="s">
        <v>201</v>
      </c>
      <c r="B132" s="159">
        <v>1000</v>
      </c>
    </row>
    <row r="133" spans="1:2" x14ac:dyDescent="0.2">
      <c r="A133" s="146" t="s">
        <v>186</v>
      </c>
      <c r="B133" s="157">
        <f>SUM(B134:B135)</f>
        <v>9100</v>
      </c>
    </row>
    <row r="134" spans="1:2" x14ac:dyDescent="0.2">
      <c r="A134" s="147" t="s">
        <v>187</v>
      </c>
      <c r="B134" s="159">
        <v>9700</v>
      </c>
    </row>
    <row r="135" spans="1:2" x14ac:dyDescent="0.2">
      <c r="A135" s="147" t="s">
        <v>188</v>
      </c>
      <c r="B135" s="159">
        <v>-600</v>
      </c>
    </row>
    <row r="136" spans="1:2" x14ac:dyDescent="0.2">
      <c r="A136" s="146" t="s">
        <v>189</v>
      </c>
      <c r="B136" s="157">
        <f>SUM(B137)</f>
        <v>-500</v>
      </c>
    </row>
    <row r="137" spans="1:2" x14ac:dyDescent="0.2">
      <c r="A137" s="149" t="s">
        <v>213</v>
      </c>
      <c r="B137" s="158">
        <v>-500</v>
      </c>
    </row>
    <row r="138" spans="1:2" x14ac:dyDescent="0.2">
      <c r="A138" s="146"/>
      <c r="B138" s="157"/>
    </row>
    <row r="139" spans="1:2" x14ac:dyDescent="0.2">
      <c r="A139" s="146" t="s">
        <v>403</v>
      </c>
      <c r="B139" s="157">
        <f>B140</f>
        <v>665</v>
      </c>
    </row>
    <row r="140" spans="1:2" x14ac:dyDescent="0.2">
      <c r="A140" s="146" t="s">
        <v>189</v>
      </c>
      <c r="B140" s="157">
        <f>+B141</f>
        <v>665</v>
      </c>
    </row>
    <row r="141" spans="1:2" x14ac:dyDescent="0.2">
      <c r="A141" s="149" t="s">
        <v>190</v>
      </c>
      <c r="B141" s="158">
        <v>665</v>
      </c>
    </row>
    <row r="142" spans="1:2" x14ac:dyDescent="0.2">
      <c r="A142" s="146"/>
      <c r="B142" s="157"/>
    </row>
    <row r="143" spans="1:2" x14ac:dyDescent="0.2">
      <c r="A143" s="146" t="s">
        <v>404</v>
      </c>
      <c r="B143" s="157">
        <f>B144+B148</f>
        <v>0</v>
      </c>
    </row>
    <row r="144" spans="1:2" x14ac:dyDescent="0.2">
      <c r="A144" s="146" t="s">
        <v>196</v>
      </c>
      <c r="B144" s="157">
        <f>B145+B146+B147</f>
        <v>-212</v>
      </c>
    </row>
    <row r="145" spans="1:2" x14ac:dyDescent="0.2">
      <c r="A145" s="147" t="s">
        <v>252</v>
      </c>
      <c r="B145" s="159">
        <v>-3795</v>
      </c>
    </row>
    <row r="146" spans="1:2" x14ac:dyDescent="0.2">
      <c r="A146" s="147" t="s">
        <v>214</v>
      </c>
      <c r="B146" s="159">
        <v>90</v>
      </c>
    </row>
    <row r="147" spans="1:2" x14ac:dyDescent="0.2">
      <c r="A147" s="147" t="s">
        <v>201</v>
      </c>
      <c r="B147" s="159">
        <v>3493</v>
      </c>
    </row>
    <row r="148" spans="1:2" x14ac:dyDescent="0.2">
      <c r="A148" s="146" t="s">
        <v>186</v>
      </c>
      <c r="B148" s="157">
        <f>B149</f>
        <v>212</v>
      </c>
    </row>
    <row r="149" spans="1:2" x14ac:dyDescent="0.2">
      <c r="A149" s="147" t="s">
        <v>187</v>
      </c>
      <c r="B149" s="159">
        <v>212</v>
      </c>
    </row>
    <row r="150" spans="1:2" x14ac:dyDescent="0.2">
      <c r="A150" s="152"/>
      <c r="B150" s="163"/>
    </row>
    <row r="151" spans="1:2" x14ac:dyDescent="0.2">
      <c r="A151" s="151" t="s">
        <v>405</v>
      </c>
      <c r="B151" s="160">
        <f>B152</f>
        <v>-12674</v>
      </c>
    </row>
    <row r="152" spans="1:2" x14ac:dyDescent="0.2">
      <c r="A152" s="146" t="s">
        <v>186</v>
      </c>
      <c r="B152" s="157">
        <f>SUM(B153+B154)</f>
        <v>-12674</v>
      </c>
    </row>
    <row r="153" spans="1:2" x14ac:dyDescent="0.2">
      <c r="A153" s="147" t="s">
        <v>187</v>
      </c>
      <c r="B153" s="159">
        <v>-11000</v>
      </c>
    </row>
    <row r="154" spans="1:2" x14ac:dyDescent="0.2">
      <c r="A154" s="147" t="s">
        <v>188</v>
      </c>
      <c r="B154" s="159">
        <v>-1674</v>
      </c>
    </row>
    <row r="155" spans="1:2" x14ac:dyDescent="0.2">
      <c r="A155" s="147"/>
      <c r="B155" s="159"/>
    </row>
    <row r="156" spans="1:2" x14ac:dyDescent="0.2">
      <c r="A156" s="146" t="s">
        <v>406</v>
      </c>
      <c r="B156" s="157">
        <f>SUM(B157+B161+B164)</f>
        <v>0</v>
      </c>
    </row>
    <row r="157" spans="1:2" x14ac:dyDescent="0.2">
      <c r="A157" s="146" t="s">
        <v>196</v>
      </c>
      <c r="B157" s="157">
        <f>SUM(B158+B159+B160)</f>
        <v>-2400</v>
      </c>
    </row>
    <row r="158" spans="1:2" x14ac:dyDescent="0.2">
      <c r="A158" s="147" t="s">
        <v>252</v>
      </c>
      <c r="B158" s="159">
        <v>-50000</v>
      </c>
    </row>
    <row r="159" spans="1:2" x14ac:dyDescent="0.2">
      <c r="A159" s="147" t="s">
        <v>214</v>
      </c>
      <c r="B159" s="159">
        <v>-2500</v>
      </c>
    </row>
    <row r="160" spans="1:2" x14ac:dyDescent="0.2">
      <c r="A160" s="147" t="s">
        <v>201</v>
      </c>
      <c r="B160" s="159">
        <v>50100</v>
      </c>
    </row>
    <row r="161" spans="1:2" x14ac:dyDescent="0.2">
      <c r="A161" s="146" t="s">
        <v>186</v>
      </c>
      <c r="B161" s="157">
        <f>SUM(B162+B163)</f>
        <v>1700</v>
      </c>
    </row>
    <row r="162" spans="1:2" x14ac:dyDescent="0.2">
      <c r="A162" s="147" t="s">
        <v>187</v>
      </c>
      <c r="B162" s="159">
        <v>1500</v>
      </c>
    </row>
    <row r="163" spans="1:2" x14ac:dyDescent="0.2">
      <c r="A163" s="147" t="s">
        <v>188</v>
      </c>
      <c r="B163" s="159">
        <v>200</v>
      </c>
    </row>
    <row r="164" spans="1:2" x14ac:dyDescent="0.2">
      <c r="A164" s="146" t="s">
        <v>189</v>
      </c>
      <c r="B164" s="157">
        <f>B165</f>
        <v>700</v>
      </c>
    </row>
    <row r="165" spans="1:2" x14ac:dyDescent="0.2">
      <c r="A165" s="147" t="s">
        <v>360</v>
      </c>
      <c r="B165" s="159">
        <v>700</v>
      </c>
    </row>
    <row r="166" spans="1:2" x14ac:dyDescent="0.2">
      <c r="A166" s="149"/>
      <c r="B166" s="158"/>
    </row>
    <row r="167" spans="1:2" x14ac:dyDescent="0.2">
      <c r="A167" s="148" t="s">
        <v>407</v>
      </c>
      <c r="B167" s="156">
        <f>B169+B173+B180+B184+B189+B193</f>
        <v>912923</v>
      </c>
    </row>
    <row r="168" spans="1:2" x14ac:dyDescent="0.2">
      <c r="A168" s="146"/>
      <c r="B168" s="157"/>
    </row>
    <row r="169" spans="1:2" x14ac:dyDescent="0.2">
      <c r="A169" s="146" t="s">
        <v>408</v>
      </c>
      <c r="B169" s="157">
        <f>B170</f>
        <v>-554</v>
      </c>
    </row>
    <row r="170" spans="1:2" x14ac:dyDescent="0.2">
      <c r="A170" s="146" t="s">
        <v>186</v>
      </c>
      <c r="B170" s="157">
        <f>B171</f>
        <v>-554</v>
      </c>
    </row>
    <row r="171" spans="1:2" x14ac:dyDescent="0.2">
      <c r="A171" s="147" t="s">
        <v>187</v>
      </c>
      <c r="B171" s="159">
        <v>-554</v>
      </c>
    </row>
    <row r="172" spans="1:2" x14ac:dyDescent="0.2">
      <c r="A172" s="146"/>
      <c r="B172" s="157"/>
    </row>
    <row r="173" spans="1:2" ht="13.5" customHeight="1" x14ac:dyDescent="0.2">
      <c r="A173" s="146" t="s">
        <v>409</v>
      </c>
      <c r="B173" s="157">
        <f>B174+B176</f>
        <v>15900</v>
      </c>
    </row>
    <row r="174" spans="1:2" x14ac:dyDescent="0.2">
      <c r="A174" s="146" t="s">
        <v>218</v>
      </c>
      <c r="B174" s="157">
        <f>B175</f>
        <v>13000</v>
      </c>
    </row>
    <row r="175" spans="1:2" x14ac:dyDescent="0.2">
      <c r="A175" s="149" t="s">
        <v>219</v>
      </c>
      <c r="B175" s="158">
        <v>13000</v>
      </c>
    </row>
    <row r="176" spans="1:2" x14ac:dyDescent="0.2">
      <c r="A176" s="151" t="s">
        <v>186</v>
      </c>
      <c r="B176" s="160">
        <f>B177+B178</f>
        <v>2900</v>
      </c>
    </row>
    <row r="177" spans="1:2" x14ac:dyDescent="0.2">
      <c r="A177" s="149" t="s">
        <v>188</v>
      </c>
      <c r="B177" s="158">
        <v>2000</v>
      </c>
    </row>
    <row r="178" spans="1:2" x14ac:dyDescent="0.2">
      <c r="A178" s="149" t="s">
        <v>187</v>
      </c>
      <c r="B178" s="158">
        <v>900</v>
      </c>
    </row>
    <row r="179" spans="1:2" x14ac:dyDescent="0.2">
      <c r="A179" s="146"/>
      <c r="B179" s="157"/>
    </row>
    <row r="180" spans="1:2" x14ac:dyDescent="0.2">
      <c r="A180" s="146" t="s">
        <v>410</v>
      </c>
      <c r="B180" s="157">
        <f>+B181</f>
        <v>672</v>
      </c>
    </row>
    <row r="181" spans="1:2" x14ac:dyDescent="0.2">
      <c r="A181" s="146" t="s">
        <v>189</v>
      </c>
      <c r="B181" s="157">
        <f>B182</f>
        <v>672</v>
      </c>
    </row>
    <row r="182" spans="1:2" x14ac:dyDescent="0.2">
      <c r="A182" s="149" t="s">
        <v>190</v>
      </c>
      <c r="B182" s="158">
        <v>672</v>
      </c>
    </row>
    <row r="183" spans="1:2" x14ac:dyDescent="0.2">
      <c r="A183" s="146"/>
      <c r="B183" s="157"/>
    </row>
    <row r="184" spans="1:2" x14ac:dyDescent="0.2">
      <c r="A184" s="146" t="s">
        <v>411</v>
      </c>
      <c r="B184" s="157">
        <f>B185</f>
        <v>2926</v>
      </c>
    </row>
    <row r="185" spans="1:2" x14ac:dyDescent="0.2">
      <c r="A185" s="146" t="s">
        <v>218</v>
      </c>
      <c r="B185" s="157">
        <f>B186+B187</f>
        <v>2926</v>
      </c>
    </row>
    <row r="186" spans="1:2" x14ac:dyDescent="0.2">
      <c r="A186" s="149" t="s">
        <v>219</v>
      </c>
      <c r="B186" s="158">
        <v>6720</v>
      </c>
    </row>
    <row r="187" spans="1:2" x14ac:dyDescent="0.2">
      <c r="A187" s="149" t="s">
        <v>221</v>
      </c>
      <c r="B187" s="158">
        <v>-3794</v>
      </c>
    </row>
    <row r="188" spans="1:2" x14ac:dyDescent="0.2">
      <c r="A188" s="149"/>
      <c r="B188" s="158"/>
    </row>
    <row r="189" spans="1:2" x14ac:dyDescent="0.2">
      <c r="A189" s="146" t="s">
        <v>412</v>
      </c>
      <c r="B189" s="157">
        <f>B190</f>
        <v>17000</v>
      </c>
    </row>
    <row r="190" spans="1:2" x14ac:dyDescent="0.2">
      <c r="A190" s="146" t="s">
        <v>218</v>
      </c>
      <c r="B190" s="157">
        <f>+B191</f>
        <v>17000</v>
      </c>
    </row>
    <row r="191" spans="1:2" x14ac:dyDescent="0.2">
      <c r="A191" s="149" t="s">
        <v>219</v>
      </c>
      <c r="B191" s="158">
        <v>17000</v>
      </c>
    </row>
    <row r="192" spans="1:2" x14ac:dyDescent="0.2">
      <c r="A192" s="149"/>
      <c r="B192" s="158"/>
    </row>
    <row r="193" spans="1:2" x14ac:dyDescent="0.2">
      <c r="A193" s="146" t="s">
        <v>413</v>
      </c>
      <c r="B193" s="157">
        <f>B194</f>
        <v>876979</v>
      </c>
    </row>
    <row r="194" spans="1:2" x14ac:dyDescent="0.2">
      <c r="A194" s="146" t="s">
        <v>222</v>
      </c>
      <c r="B194" s="157">
        <f>B195</f>
        <v>876979</v>
      </c>
    </row>
    <row r="195" spans="1:2" x14ac:dyDescent="0.2">
      <c r="A195" s="149" t="s">
        <v>192</v>
      </c>
      <c r="B195" s="158">
        <v>876979</v>
      </c>
    </row>
    <row r="196" spans="1:2" x14ac:dyDescent="0.2">
      <c r="A196" s="147"/>
      <c r="B196" s="159"/>
    </row>
    <row r="197" spans="1:2" x14ac:dyDescent="0.2">
      <c r="A197" s="148" t="s">
        <v>414</v>
      </c>
      <c r="B197" s="156">
        <f>B198+B202+B204</f>
        <v>21375</v>
      </c>
    </row>
    <row r="198" spans="1:2" x14ac:dyDescent="0.2">
      <c r="A198" s="146" t="s">
        <v>215</v>
      </c>
      <c r="B198" s="157">
        <f>B199+B200+B201</f>
        <v>22000</v>
      </c>
    </row>
    <row r="199" spans="1:2" x14ac:dyDescent="0.2">
      <c r="A199" s="147" t="s">
        <v>216</v>
      </c>
      <c r="B199" s="159">
        <v>10000</v>
      </c>
    </row>
    <row r="200" spans="1:2" x14ac:dyDescent="0.2">
      <c r="A200" s="147" t="s">
        <v>361</v>
      </c>
      <c r="B200" s="159">
        <v>15000</v>
      </c>
    </row>
    <row r="201" spans="1:2" x14ac:dyDescent="0.2">
      <c r="A201" s="147" t="s">
        <v>362</v>
      </c>
      <c r="B201" s="159">
        <v>-3000</v>
      </c>
    </row>
    <row r="202" spans="1:2" x14ac:dyDescent="0.2">
      <c r="A202" s="146" t="s">
        <v>186</v>
      </c>
      <c r="B202" s="157">
        <f>B203</f>
        <v>-925</v>
      </c>
    </row>
    <row r="203" spans="1:2" x14ac:dyDescent="0.2">
      <c r="A203" s="147" t="s">
        <v>187</v>
      </c>
      <c r="B203" s="159">
        <v>-925</v>
      </c>
    </row>
    <row r="204" spans="1:2" x14ac:dyDescent="0.2">
      <c r="A204" s="263" t="s">
        <v>191</v>
      </c>
      <c r="B204" s="264">
        <f>B205</f>
        <v>300</v>
      </c>
    </row>
    <row r="205" spans="1:2" x14ac:dyDescent="0.2">
      <c r="A205" s="147" t="s">
        <v>192</v>
      </c>
      <c r="B205" s="159">
        <v>300</v>
      </c>
    </row>
    <row r="206" spans="1:2" x14ac:dyDescent="0.2">
      <c r="A206" s="147"/>
      <c r="B206" s="159"/>
    </row>
    <row r="207" spans="1:2" x14ac:dyDescent="0.2">
      <c r="A207" s="148" t="s">
        <v>415</v>
      </c>
      <c r="B207" s="156">
        <f>B209</f>
        <v>82200</v>
      </c>
    </row>
    <row r="208" spans="1:2" x14ac:dyDescent="0.2">
      <c r="A208" s="148"/>
      <c r="B208" s="156"/>
    </row>
    <row r="209" spans="1:2" x14ac:dyDescent="0.2">
      <c r="A209" s="146" t="s">
        <v>416</v>
      </c>
      <c r="B209" s="157">
        <f>B210</f>
        <v>82200</v>
      </c>
    </row>
    <row r="210" spans="1:2" x14ac:dyDescent="0.2">
      <c r="A210" s="146" t="s">
        <v>189</v>
      </c>
      <c r="B210" s="157">
        <f>B211+B212</f>
        <v>82200</v>
      </c>
    </row>
    <row r="211" spans="1:2" x14ac:dyDescent="0.2">
      <c r="A211" s="147" t="s">
        <v>206</v>
      </c>
      <c r="B211" s="159">
        <v>78700</v>
      </c>
    </row>
    <row r="212" spans="1:2" x14ac:dyDescent="0.2">
      <c r="A212" s="147" t="s">
        <v>192</v>
      </c>
      <c r="B212" s="159">
        <v>3500</v>
      </c>
    </row>
    <row r="213" spans="1:2" x14ac:dyDescent="0.2">
      <c r="A213" s="147"/>
      <c r="B213" s="159"/>
    </row>
    <row r="214" spans="1:2" x14ac:dyDescent="0.2">
      <c r="A214" s="148" t="s">
        <v>527</v>
      </c>
      <c r="B214" s="156">
        <f>B215</f>
        <v>-4250</v>
      </c>
    </row>
    <row r="215" spans="1:2" x14ac:dyDescent="0.2">
      <c r="A215" s="146" t="s">
        <v>225</v>
      </c>
      <c r="B215" s="157">
        <f>B216</f>
        <v>-4250</v>
      </c>
    </row>
    <row r="216" spans="1:2" x14ac:dyDescent="0.2">
      <c r="A216" s="149" t="s">
        <v>526</v>
      </c>
      <c r="B216" s="158">
        <v>-4250</v>
      </c>
    </row>
    <row r="217" spans="1:2" x14ac:dyDescent="0.2">
      <c r="A217" s="146"/>
      <c r="B217" s="157"/>
    </row>
    <row r="218" spans="1:2" x14ac:dyDescent="0.2">
      <c r="A218" s="148" t="s">
        <v>528</v>
      </c>
      <c r="B218" s="156">
        <f>B220+B224</f>
        <v>44623</v>
      </c>
    </row>
    <row r="219" spans="1:2" x14ac:dyDescent="0.2">
      <c r="A219" s="146"/>
      <c r="B219" s="157"/>
    </row>
    <row r="220" spans="1:2" x14ac:dyDescent="0.2">
      <c r="A220" s="146" t="s">
        <v>529</v>
      </c>
      <c r="B220" s="157">
        <f>+B221</f>
        <v>4623</v>
      </c>
    </row>
    <row r="221" spans="1:2" x14ac:dyDescent="0.2">
      <c r="A221" s="262" t="s">
        <v>189</v>
      </c>
      <c r="B221" s="264">
        <f>SUM(B222)</f>
        <v>4623</v>
      </c>
    </row>
    <row r="222" spans="1:2" x14ac:dyDescent="0.2">
      <c r="A222" s="149" t="s">
        <v>190</v>
      </c>
      <c r="B222" s="158">
        <v>4623</v>
      </c>
    </row>
    <row r="223" spans="1:2" x14ac:dyDescent="0.2">
      <c r="A223" s="147"/>
      <c r="B223" s="159"/>
    </row>
    <row r="224" spans="1:2" x14ac:dyDescent="0.2">
      <c r="A224" s="146" t="s">
        <v>530</v>
      </c>
      <c r="B224" s="157">
        <f>B225</f>
        <v>40000</v>
      </c>
    </row>
    <row r="225" spans="1:2" x14ac:dyDescent="0.2">
      <c r="A225" s="146" t="s">
        <v>189</v>
      </c>
      <c r="B225" s="157">
        <f>SUM(B226)</f>
        <v>40000</v>
      </c>
    </row>
    <row r="226" spans="1:2" x14ac:dyDescent="0.2">
      <c r="A226" s="147" t="s">
        <v>363</v>
      </c>
      <c r="B226" s="159">
        <v>40000</v>
      </c>
    </row>
    <row r="227" spans="1:2" x14ac:dyDescent="0.2">
      <c r="A227" s="146"/>
      <c r="B227" s="157"/>
    </row>
    <row r="228" spans="1:2" x14ac:dyDescent="0.2">
      <c r="A228" s="148" t="s">
        <v>531</v>
      </c>
      <c r="B228" s="156">
        <f>SUM(B230,B237,B245)</f>
        <v>-130900</v>
      </c>
    </row>
    <row r="229" spans="1:2" x14ac:dyDescent="0.2">
      <c r="A229" s="153"/>
      <c r="B229" s="161"/>
    </row>
    <row r="230" spans="1:2" x14ac:dyDescent="0.2">
      <c r="A230" s="151" t="s">
        <v>532</v>
      </c>
      <c r="B230" s="160">
        <f>SUM(B231,B234)</f>
        <v>-13900</v>
      </c>
    </row>
    <row r="231" spans="1:2" x14ac:dyDescent="0.2">
      <c r="A231" s="146" t="s">
        <v>186</v>
      </c>
      <c r="B231" s="157">
        <f>SUM(B232:B233)</f>
        <v>-15100</v>
      </c>
    </row>
    <row r="232" spans="1:2" x14ac:dyDescent="0.2">
      <c r="A232" s="147" t="s">
        <v>187</v>
      </c>
      <c r="B232" s="159">
        <v>-8100</v>
      </c>
    </row>
    <row r="233" spans="1:2" x14ac:dyDescent="0.2">
      <c r="A233" s="147" t="s">
        <v>188</v>
      </c>
      <c r="B233" s="159">
        <v>-7000</v>
      </c>
    </row>
    <row r="234" spans="1:2" x14ac:dyDescent="0.2">
      <c r="A234" s="146" t="s">
        <v>226</v>
      </c>
      <c r="B234" s="157">
        <f>SUM(B235:B235)</f>
        <v>1200</v>
      </c>
    </row>
    <row r="235" spans="1:2" x14ac:dyDescent="0.2">
      <c r="A235" s="147" t="s">
        <v>227</v>
      </c>
      <c r="B235" s="159">
        <v>1200</v>
      </c>
    </row>
    <row r="236" spans="1:2" x14ac:dyDescent="0.2">
      <c r="A236" s="151"/>
      <c r="B236" s="160"/>
    </row>
    <row r="237" spans="1:2" x14ac:dyDescent="0.2">
      <c r="A237" s="146" t="s">
        <v>533</v>
      </c>
      <c r="B237" s="157">
        <f>SUM(B238,B240)</f>
        <v>33000</v>
      </c>
    </row>
    <row r="238" spans="1:2" x14ac:dyDescent="0.2">
      <c r="A238" s="146" t="s">
        <v>186</v>
      </c>
      <c r="B238" s="157">
        <f>SUM(B239:B239)</f>
        <v>-500</v>
      </c>
    </row>
    <row r="239" spans="1:2" x14ac:dyDescent="0.2">
      <c r="A239" s="147" t="s">
        <v>188</v>
      </c>
      <c r="B239" s="159">
        <v>-500</v>
      </c>
    </row>
    <row r="240" spans="1:2" x14ac:dyDescent="0.2">
      <c r="A240" s="146" t="s">
        <v>189</v>
      </c>
      <c r="B240" s="157">
        <f>SUM(B241:B243)</f>
        <v>33500</v>
      </c>
    </row>
    <row r="241" spans="1:2" x14ac:dyDescent="0.2">
      <c r="A241" s="147" t="s">
        <v>364</v>
      </c>
      <c r="B241" s="159">
        <v>30000</v>
      </c>
    </row>
    <row r="242" spans="1:2" x14ac:dyDescent="0.2">
      <c r="A242" s="147" t="s">
        <v>365</v>
      </c>
      <c r="B242" s="159">
        <v>3000</v>
      </c>
    </row>
    <row r="243" spans="1:2" x14ac:dyDescent="0.2">
      <c r="A243" s="147" t="s">
        <v>366</v>
      </c>
      <c r="B243" s="159">
        <v>500</v>
      </c>
    </row>
    <row r="244" spans="1:2" x14ac:dyDescent="0.2">
      <c r="A244" s="147"/>
      <c r="B244" s="159"/>
    </row>
    <row r="245" spans="1:2" x14ac:dyDescent="0.2">
      <c r="A245" s="146" t="s">
        <v>534</v>
      </c>
      <c r="B245" s="157">
        <f>SUM(B246)</f>
        <v>-150000</v>
      </c>
    </row>
    <row r="246" spans="1:2" x14ac:dyDescent="0.2">
      <c r="A246" s="146" t="s">
        <v>226</v>
      </c>
      <c r="B246" s="157">
        <f>SUM(B247:B247)</f>
        <v>-150000</v>
      </c>
    </row>
    <row r="247" spans="1:2" x14ac:dyDescent="0.2">
      <c r="A247" s="147" t="s">
        <v>45</v>
      </c>
      <c r="B247" s="159">
        <v>-150000</v>
      </c>
    </row>
    <row r="248" spans="1:2" x14ac:dyDescent="0.2">
      <c r="A248" s="146"/>
      <c r="B248" s="157"/>
    </row>
    <row r="249" spans="1:2" x14ac:dyDescent="0.2">
      <c r="A249" s="148" t="s">
        <v>535</v>
      </c>
      <c r="B249" s="156">
        <f>B251</f>
        <v>18000</v>
      </c>
    </row>
    <row r="250" spans="1:2" x14ac:dyDescent="0.2">
      <c r="A250" s="150"/>
      <c r="B250" s="162"/>
    </row>
    <row r="251" spans="1:2" x14ac:dyDescent="0.2">
      <c r="A251" s="146" t="s">
        <v>536</v>
      </c>
      <c r="B251" s="157">
        <f>+B252+B254+B257</f>
        <v>18000</v>
      </c>
    </row>
    <row r="252" spans="1:2" x14ac:dyDescent="0.2">
      <c r="A252" s="146" t="s">
        <v>186</v>
      </c>
      <c r="B252" s="157">
        <f>SUM(B253:B253)</f>
        <v>-2500</v>
      </c>
    </row>
    <row r="253" spans="1:2" x14ac:dyDescent="0.2">
      <c r="A253" s="147" t="s">
        <v>187</v>
      </c>
      <c r="B253" s="159">
        <v>-2500</v>
      </c>
    </row>
    <row r="254" spans="1:2" x14ac:dyDescent="0.2">
      <c r="A254" s="146" t="s">
        <v>211</v>
      </c>
      <c r="B254" s="157">
        <f>SUM(B255:B256)</f>
        <v>0</v>
      </c>
    </row>
    <row r="255" spans="1:2" x14ac:dyDescent="0.2">
      <c r="A255" s="149" t="s">
        <v>223</v>
      </c>
      <c r="B255" s="158">
        <v>2400</v>
      </c>
    </row>
    <row r="256" spans="1:2" x14ac:dyDescent="0.2">
      <c r="A256" s="149" t="s">
        <v>212</v>
      </c>
      <c r="B256" s="158">
        <v>-2400</v>
      </c>
    </row>
    <row r="257" spans="1:2" x14ac:dyDescent="0.2">
      <c r="A257" s="146" t="s">
        <v>189</v>
      </c>
      <c r="B257" s="157">
        <f>B258</f>
        <v>20500</v>
      </c>
    </row>
    <row r="258" spans="1:2" x14ac:dyDescent="0.2">
      <c r="A258" s="147" t="s">
        <v>1</v>
      </c>
      <c r="B258" s="159">
        <v>20500</v>
      </c>
    </row>
    <row r="259" spans="1:2" x14ac:dyDescent="0.2">
      <c r="A259" s="147"/>
      <c r="B259" s="159"/>
    </row>
    <row r="260" spans="1:2" x14ac:dyDescent="0.2">
      <c r="A260" s="148" t="s">
        <v>537</v>
      </c>
      <c r="B260" s="156">
        <f>B262+B276+B281</f>
        <v>18430</v>
      </c>
    </row>
    <row r="261" spans="1:2" x14ac:dyDescent="0.2">
      <c r="A261" s="150"/>
      <c r="B261" s="162"/>
    </row>
    <row r="262" spans="1:2" x14ac:dyDescent="0.2">
      <c r="A262" s="146" t="s">
        <v>538</v>
      </c>
      <c r="B262" s="157">
        <f>B263+B266+B273+B270</f>
        <v>12100</v>
      </c>
    </row>
    <row r="263" spans="1:2" x14ac:dyDescent="0.2">
      <c r="A263" s="146" t="s">
        <v>215</v>
      </c>
      <c r="B263" s="157">
        <f>SUM(B264:B265)</f>
        <v>-3500</v>
      </c>
    </row>
    <row r="264" spans="1:2" x14ac:dyDescent="0.2">
      <c r="A264" s="147" t="s">
        <v>216</v>
      </c>
      <c r="B264" s="159">
        <v>-2500</v>
      </c>
    </row>
    <row r="265" spans="1:2" x14ac:dyDescent="0.2">
      <c r="A265" s="147" t="s">
        <v>188</v>
      </c>
      <c r="B265" s="159">
        <v>-1000</v>
      </c>
    </row>
    <row r="266" spans="1:2" x14ac:dyDescent="0.2">
      <c r="A266" s="146" t="s">
        <v>186</v>
      </c>
      <c r="B266" s="157">
        <f>SUM(B267:B269)</f>
        <v>23100</v>
      </c>
    </row>
    <row r="267" spans="1:2" x14ac:dyDescent="0.2">
      <c r="A267" s="147" t="s">
        <v>187</v>
      </c>
      <c r="B267" s="159">
        <v>10500</v>
      </c>
    </row>
    <row r="268" spans="1:2" x14ac:dyDescent="0.2">
      <c r="A268" s="147" t="s">
        <v>188</v>
      </c>
      <c r="B268" s="159">
        <v>10000</v>
      </c>
    </row>
    <row r="269" spans="1:2" x14ac:dyDescent="0.2">
      <c r="A269" s="147" t="s">
        <v>197</v>
      </c>
      <c r="B269" s="159">
        <v>2600</v>
      </c>
    </row>
    <row r="270" spans="1:2" x14ac:dyDescent="0.2">
      <c r="A270" s="146" t="s">
        <v>211</v>
      </c>
      <c r="B270" s="157">
        <f>SUM(B271:B272)</f>
        <v>-54800</v>
      </c>
    </row>
    <row r="271" spans="1:2" x14ac:dyDescent="0.2">
      <c r="A271" s="149" t="s">
        <v>223</v>
      </c>
      <c r="B271" s="158">
        <v>-55600</v>
      </c>
    </row>
    <row r="272" spans="1:2" x14ac:dyDescent="0.2">
      <c r="A272" s="154" t="s">
        <v>224</v>
      </c>
      <c r="B272" s="158">
        <v>800</v>
      </c>
    </row>
    <row r="273" spans="1:2" x14ac:dyDescent="0.2">
      <c r="A273" s="151" t="s">
        <v>189</v>
      </c>
      <c r="B273" s="160">
        <f>B274</f>
        <v>47300</v>
      </c>
    </row>
    <row r="274" spans="1:2" x14ac:dyDescent="0.2">
      <c r="A274" s="147" t="s">
        <v>1</v>
      </c>
      <c r="B274" s="159">
        <v>47300</v>
      </c>
    </row>
    <row r="275" spans="1:2" x14ac:dyDescent="0.2">
      <c r="A275" s="150"/>
      <c r="B275" s="162"/>
    </row>
    <row r="276" spans="1:2" x14ac:dyDescent="0.2">
      <c r="A276" s="151" t="s">
        <v>539</v>
      </c>
      <c r="B276" s="160">
        <f>B277</f>
        <v>3500</v>
      </c>
    </row>
    <row r="277" spans="1:2" x14ac:dyDescent="0.2">
      <c r="A277" s="146" t="s">
        <v>218</v>
      </c>
      <c r="B277" s="157">
        <f>SUM(B278:B279)</f>
        <v>3500</v>
      </c>
    </row>
    <row r="278" spans="1:2" x14ac:dyDescent="0.2">
      <c r="A278" s="147" t="s">
        <v>0</v>
      </c>
      <c r="B278" s="159">
        <v>-500</v>
      </c>
    </row>
    <row r="279" spans="1:2" x14ac:dyDescent="0.2">
      <c r="A279" s="149" t="s">
        <v>220</v>
      </c>
      <c r="B279" s="158">
        <v>4000</v>
      </c>
    </row>
    <row r="280" spans="1:2" x14ac:dyDescent="0.2">
      <c r="A280" s="147"/>
      <c r="B280" s="159"/>
    </row>
    <row r="281" spans="1:2" x14ac:dyDescent="0.2">
      <c r="A281" s="146" t="s">
        <v>540</v>
      </c>
      <c r="B281" s="157">
        <f>B282+B286</f>
        <v>2830</v>
      </c>
    </row>
    <row r="282" spans="1:2" x14ac:dyDescent="0.2">
      <c r="A282" s="146" t="s">
        <v>195</v>
      </c>
      <c r="B282" s="157">
        <f>B285+B283+B284</f>
        <v>3500</v>
      </c>
    </row>
    <row r="283" spans="1:2" x14ac:dyDescent="0.2">
      <c r="A283" s="147" t="s">
        <v>203</v>
      </c>
      <c r="B283" s="159">
        <v>4500</v>
      </c>
    </row>
    <row r="284" spans="1:2" x14ac:dyDescent="0.2">
      <c r="A284" s="147" t="s">
        <v>192</v>
      </c>
      <c r="B284" s="159">
        <v>1000</v>
      </c>
    </row>
    <row r="285" spans="1:2" x14ac:dyDescent="0.2">
      <c r="A285" s="149" t="s">
        <v>207</v>
      </c>
      <c r="B285" s="158">
        <v>-2000</v>
      </c>
    </row>
    <row r="286" spans="1:2" x14ac:dyDescent="0.2">
      <c r="A286" s="146" t="s">
        <v>196</v>
      </c>
      <c r="B286" s="157">
        <f>SUM(B287:B288)</f>
        <v>-670</v>
      </c>
    </row>
    <row r="287" spans="1:2" x14ac:dyDescent="0.2">
      <c r="A287" s="149" t="s">
        <v>202</v>
      </c>
      <c r="B287" s="158">
        <v>-600</v>
      </c>
    </row>
    <row r="288" spans="1:2" x14ac:dyDescent="0.2">
      <c r="A288" s="149" t="s">
        <v>44</v>
      </c>
      <c r="B288" s="158">
        <v>-70</v>
      </c>
    </row>
    <row r="289" spans="1:2" x14ac:dyDescent="0.2">
      <c r="A289" s="149"/>
      <c r="B289" s="158"/>
    </row>
    <row r="290" spans="1:2" x14ac:dyDescent="0.2">
      <c r="A290" s="148" t="s">
        <v>541</v>
      </c>
      <c r="B290" s="156">
        <f>B292+B301</f>
        <v>11163</v>
      </c>
    </row>
    <row r="291" spans="1:2" x14ac:dyDescent="0.2">
      <c r="A291" s="150"/>
      <c r="B291" s="162"/>
    </row>
    <row r="292" spans="1:2" x14ac:dyDescent="0.2">
      <c r="A292" s="146" t="s">
        <v>542</v>
      </c>
      <c r="B292" s="157">
        <f>+B293+B295+B298</f>
        <v>9050</v>
      </c>
    </row>
    <row r="293" spans="1:2" x14ac:dyDescent="0.2">
      <c r="A293" s="146" t="s">
        <v>186</v>
      </c>
      <c r="B293" s="157">
        <f>SUM(B294:B294)</f>
        <v>130</v>
      </c>
    </row>
    <row r="294" spans="1:2" x14ac:dyDescent="0.2">
      <c r="A294" s="147" t="s">
        <v>187</v>
      </c>
      <c r="B294" s="159">
        <v>130</v>
      </c>
    </row>
    <row r="295" spans="1:2" x14ac:dyDescent="0.2">
      <c r="A295" s="146" t="s">
        <v>211</v>
      </c>
      <c r="B295" s="157">
        <f>+B297+B296</f>
        <v>3520</v>
      </c>
    </row>
    <row r="296" spans="1:2" x14ac:dyDescent="0.2">
      <c r="A296" s="149" t="s">
        <v>223</v>
      </c>
      <c r="B296" s="157">
        <v>3260</v>
      </c>
    </row>
    <row r="297" spans="1:2" x14ac:dyDescent="0.2">
      <c r="A297" s="154" t="s">
        <v>224</v>
      </c>
      <c r="B297" s="158">
        <v>260</v>
      </c>
    </row>
    <row r="298" spans="1:2" x14ac:dyDescent="0.2">
      <c r="A298" s="146" t="s">
        <v>189</v>
      </c>
      <c r="B298" s="157">
        <f>SUM(B299:B299)</f>
        <v>5400</v>
      </c>
    </row>
    <row r="299" spans="1:2" x14ac:dyDescent="0.2">
      <c r="A299" s="147" t="s">
        <v>1</v>
      </c>
      <c r="B299" s="159">
        <v>5400</v>
      </c>
    </row>
    <row r="300" spans="1:2" x14ac:dyDescent="0.2">
      <c r="A300" s="146"/>
      <c r="B300" s="157"/>
    </row>
    <row r="301" spans="1:2" x14ac:dyDescent="0.2">
      <c r="A301" s="261" t="s">
        <v>543</v>
      </c>
      <c r="B301" s="303">
        <f>B302+B305</f>
        <v>2113</v>
      </c>
    </row>
    <row r="302" spans="1:2" x14ac:dyDescent="0.2">
      <c r="A302" s="146" t="s">
        <v>218</v>
      </c>
      <c r="B302" s="157">
        <f>SUM(B303:B304)</f>
        <v>2450</v>
      </c>
    </row>
    <row r="303" spans="1:2" x14ac:dyDescent="0.2">
      <c r="A303" s="149" t="s">
        <v>192</v>
      </c>
      <c r="B303" s="158">
        <v>1000</v>
      </c>
    </row>
    <row r="304" spans="1:2" x14ac:dyDescent="0.2">
      <c r="A304" s="147" t="s">
        <v>0</v>
      </c>
      <c r="B304" s="159">
        <v>1450</v>
      </c>
    </row>
    <row r="305" spans="1:2" x14ac:dyDescent="0.2">
      <c r="A305" s="261" t="s">
        <v>196</v>
      </c>
      <c r="B305" s="303">
        <f>B306+B307</f>
        <v>-337</v>
      </c>
    </row>
    <row r="306" spans="1:2" x14ac:dyDescent="0.2">
      <c r="A306" s="301" t="s">
        <v>204</v>
      </c>
      <c r="B306" s="305">
        <v>36</v>
      </c>
    </row>
    <row r="307" spans="1:2" x14ac:dyDescent="0.2">
      <c r="A307" s="301" t="s">
        <v>202</v>
      </c>
      <c r="B307" s="305">
        <v>-373</v>
      </c>
    </row>
    <row r="308" spans="1:2" x14ac:dyDescent="0.2">
      <c r="A308" s="149"/>
      <c r="B308" s="158"/>
    </row>
    <row r="309" spans="1:2" x14ac:dyDescent="0.2">
      <c r="A309" s="148" t="s">
        <v>544</v>
      </c>
      <c r="B309" s="156">
        <f>B311+B320+B327+B332+B340</f>
        <v>34180</v>
      </c>
    </row>
    <row r="310" spans="1:2" x14ac:dyDescent="0.2">
      <c r="A310" s="150"/>
      <c r="B310" s="162"/>
    </row>
    <row r="311" spans="1:2" x14ac:dyDescent="0.2">
      <c r="A311" s="146" t="s">
        <v>545</v>
      </c>
      <c r="B311" s="157">
        <f>+B312+B314+B317</f>
        <v>270</v>
      </c>
    </row>
    <row r="312" spans="1:2" x14ac:dyDescent="0.2">
      <c r="A312" s="146" t="s">
        <v>186</v>
      </c>
      <c r="B312" s="157">
        <f>B313</f>
        <v>-6000</v>
      </c>
    </row>
    <row r="313" spans="1:2" x14ac:dyDescent="0.2">
      <c r="A313" s="147" t="s">
        <v>187</v>
      </c>
      <c r="B313" s="159">
        <v>-6000</v>
      </c>
    </row>
    <row r="314" spans="1:2" x14ac:dyDescent="0.2">
      <c r="A314" s="146" t="s">
        <v>211</v>
      </c>
      <c r="B314" s="157">
        <f>B315+B316</f>
        <v>-21230</v>
      </c>
    </row>
    <row r="315" spans="1:2" x14ac:dyDescent="0.2">
      <c r="A315" s="149" t="s">
        <v>223</v>
      </c>
      <c r="B315" s="158">
        <v>-10330</v>
      </c>
    </row>
    <row r="316" spans="1:2" x14ac:dyDescent="0.2">
      <c r="A316" s="149" t="s">
        <v>212</v>
      </c>
      <c r="B316" s="158">
        <v>-10900</v>
      </c>
    </row>
    <row r="317" spans="1:2" x14ac:dyDescent="0.2">
      <c r="A317" s="146" t="s">
        <v>189</v>
      </c>
      <c r="B317" s="157">
        <f>B318</f>
        <v>27500</v>
      </c>
    </row>
    <row r="318" spans="1:2" x14ac:dyDescent="0.2">
      <c r="A318" s="147" t="s">
        <v>1</v>
      </c>
      <c r="B318" s="159">
        <v>27500</v>
      </c>
    </row>
    <row r="319" spans="1:2" x14ac:dyDescent="0.2">
      <c r="A319" s="149"/>
      <c r="B319" s="158"/>
    </row>
    <row r="320" spans="1:2" x14ac:dyDescent="0.2">
      <c r="A320" s="151" t="s">
        <v>546</v>
      </c>
      <c r="B320" s="160">
        <f>B321+B323</f>
        <v>10910</v>
      </c>
    </row>
    <row r="321" spans="1:2" x14ac:dyDescent="0.2">
      <c r="A321" s="146" t="s">
        <v>196</v>
      </c>
      <c r="B321" s="157">
        <f>B322</f>
        <v>8500</v>
      </c>
    </row>
    <row r="322" spans="1:2" x14ac:dyDescent="0.2">
      <c r="A322" s="147" t="s">
        <v>252</v>
      </c>
      <c r="B322" s="159">
        <v>8500</v>
      </c>
    </row>
    <row r="323" spans="1:2" x14ac:dyDescent="0.2">
      <c r="A323" s="146" t="s">
        <v>186</v>
      </c>
      <c r="B323" s="157">
        <f>B324+B325</f>
        <v>2410</v>
      </c>
    </row>
    <row r="324" spans="1:2" x14ac:dyDescent="0.2">
      <c r="A324" s="147" t="s">
        <v>187</v>
      </c>
      <c r="B324" s="159">
        <v>-590</v>
      </c>
    </row>
    <row r="325" spans="1:2" x14ac:dyDescent="0.2">
      <c r="A325" s="147" t="s">
        <v>188</v>
      </c>
      <c r="B325" s="159">
        <v>3000</v>
      </c>
    </row>
    <row r="326" spans="1:2" x14ac:dyDescent="0.2">
      <c r="A326" s="147"/>
      <c r="B326" s="159"/>
    </row>
    <row r="327" spans="1:2" x14ac:dyDescent="0.2">
      <c r="A327" s="146" t="s">
        <v>547</v>
      </c>
      <c r="B327" s="157">
        <f>B328</f>
        <v>4800</v>
      </c>
    </row>
    <row r="328" spans="1:2" x14ac:dyDescent="0.2">
      <c r="A328" s="146" t="s">
        <v>195</v>
      </c>
      <c r="B328" s="157">
        <f>B329+B330</f>
        <v>4800</v>
      </c>
    </row>
    <row r="329" spans="1:2" x14ac:dyDescent="0.2">
      <c r="A329" s="147" t="s">
        <v>203</v>
      </c>
      <c r="B329" s="159">
        <v>3800</v>
      </c>
    </row>
    <row r="330" spans="1:2" x14ac:dyDescent="0.2">
      <c r="A330" s="149" t="s">
        <v>207</v>
      </c>
      <c r="B330" s="158">
        <v>1000</v>
      </c>
    </row>
    <row r="331" spans="1:2" x14ac:dyDescent="0.2">
      <c r="A331" s="149"/>
      <c r="B331" s="158"/>
    </row>
    <row r="332" spans="1:2" x14ac:dyDescent="0.2">
      <c r="A332" s="146" t="s">
        <v>548</v>
      </c>
      <c r="B332" s="157">
        <f>B333+B336</f>
        <v>16000</v>
      </c>
    </row>
    <row r="333" spans="1:2" x14ac:dyDescent="0.2">
      <c r="A333" s="151" t="s">
        <v>189</v>
      </c>
      <c r="B333" s="160">
        <f>B334+B335</f>
        <v>16340</v>
      </c>
    </row>
    <row r="334" spans="1:2" x14ac:dyDescent="0.2">
      <c r="A334" s="147" t="s">
        <v>203</v>
      </c>
      <c r="B334" s="159">
        <v>16475</v>
      </c>
    </row>
    <row r="335" spans="1:2" x14ac:dyDescent="0.2">
      <c r="A335" s="149" t="s">
        <v>367</v>
      </c>
      <c r="B335" s="158">
        <v>-135</v>
      </c>
    </row>
    <row r="336" spans="1:2" x14ac:dyDescent="0.2">
      <c r="A336" s="146" t="s">
        <v>186</v>
      </c>
      <c r="B336" s="157">
        <f>B337+B338</f>
        <v>-340</v>
      </c>
    </row>
    <row r="337" spans="1:2" x14ac:dyDescent="0.2">
      <c r="A337" s="147" t="s">
        <v>187</v>
      </c>
      <c r="B337" s="159">
        <v>-270</v>
      </c>
    </row>
    <row r="338" spans="1:2" x14ac:dyDescent="0.2">
      <c r="A338" s="147" t="s">
        <v>188</v>
      </c>
      <c r="B338" s="159">
        <v>-70</v>
      </c>
    </row>
    <row r="339" spans="1:2" x14ac:dyDescent="0.2">
      <c r="A339" s="147"/>
      <c r="B339" s="159"/>
    </row>
    <row r="340" spans="1:2" x14ac:dyDescent="0.2">
      <c r="A340" s="146" t="s">
        <v>549</v>
      </c>
      <c r="B340" s="157">
        <f>B341+B346</f>
        <v>2200</v>
      </c>
    </row>
    <row r="341" spans="1:2" x14ac:dyDescent="0.2">
      <c r="A341" s="146" t="s">
        <v>218</v>
      </c>
      <c r="B341" s="157">
        <f>B342+B343+B344+B345</f>
        <v>2450</v>
      </c>
    </row>
    <row r="342" spans="1:2" x14ac:dyDescent="0.2">
      <c r="A342" s="282" t="s">
        <v>220</v>
      </c>
      <c r="B342" s="306">
        <v>300</v>
      </c>
    </row>
    <row r="343" spans="1:2" x14ac:dyDescent="0.2">
      <c r="A343" s="149" t="s">
        <v>192</v>
      </c>
      <c r="B343" s="158">
        <v>-300</v>
      </c>
    </row>
    <row r="344" spans="1:2" x14ac:dyDescent="0.2">
      <c r="A344" s="282" t="s">
        <v>221</v>
      </c>
      <c r="B344" s="306">
        <v>700</v>
      </c>
    </row>
    <row r="345" spans="1:2" x14ac:dyDescent="0.2">
      <c r="A345" s="282" t="s">
        <v>368</v>
      </c>
      <c r="B345" s="306">
        <v>1750</v>
      </c>
    </row>
    <row r="346" spans="1:2" x14ac:dyDescent="0.2">
      <c r="A346" s="146" t="s">
        <v>196</v>
      </c>
      <c r="B346" s="157">
        <f>B347</f>
        <v>-250</v>
      </c>
    </row>
    <row r="347" spans="1:2" x14ac:dyDescent="0.2">
      <c r="A347" s="149" t="s">
        <v>202</v>
      </c>
      <c r="B347" s="158">
        <v>-250</v>
      </c>
    </row>
    <row r="348" spans="1:2" x14ac:dyDescent="0.2">
      <c r="A348" s="147"/>
      <c r="B348" s="159"/>
    </row>
    <row r="349" spans="1:2" x14ac:dyDescent="0.2">
      <c r="A349" s="146"/>
      <c r="B349" s="157"/>
    </row>
    <row r="350" spans="1:2" x14ac:dyDescent="0.2">
      <c r="A350" s="148" t="s">
        <v>550</v>
      </c>
      <c r="B350" s="156">
        <f>B352</f>
        <v>2510</v>
      </c>
    </row>
    <row r="351" spans="1:2" x14ac:dyDescent="0.2">
      <c r="A351" s="150"/>
      <c r="B351" s="162"/>
    </row>
    <row r="352" spans="1:2" x14ac:dyDescent="0.2">
      <c r="A352" s="146" t="s">
        <v>551</v>
      </c>
      <c r="B352" s="157">
        <f>+B353+B355+B357</f>
        <v>2510</v>
      </c>
    </row>
    <row r="353" spans="1:2" x14ac:dyDescent="0.2">
      <c r="A353" s="146" t="s">
        <v>186</v>
      </c>
      <c r="B353" s="157">
        <f>SUM(B354:B354)</f>
        <v>-2300</v>
      </c>
    </row>
    <row r="354" spans="1:2" x14ac:dyDescent="0.2">
      <c r="A354" s="147" t="s">
        <v>187</v>
      </c>
      <c r="B354" s="159">
        <v>-2300</v>
      </c>
    </row>
    <row r="355" spans="1:2" x14ac:dyDescent="0.2">
      <c r="A355" s="151" t="s">
        <v>189</v>
      </c>
      <c r="B355" s="160">
        <f>SUM(B356:B356)</f>
        <v>1500</v>
      </c>
    </row>
    <row r="356" spans="1:2" x14ac:dyDescent="0.2">
      <c r="A356" s="147" t="s">
        <v>1</v>
      </c>
      <c r="B356" s="159">
        <v>1500</v>
      </c>
    </row>
    <row r="357" spans="1:2" x14ac:dyDescent="0.2">
      <c r="A357" s="146" t="s">
        <v>211</v>
      </c>
      <c r="B357" s="157">
        <f>SUM(B358:B359)</f>
        <v>3310</v>
      </c>
    </row>
    <row r="358" spans="1:2" x14ac:dyDescent="0.2">
      <c r="A358" s="149" t="s">
        <v>223</v>
      </c>
      <c r="B358" s="158">
        <v>-1320</v>
      </c>
    </row>
    <row r="359" spans="1:2" x14ac:dyDescent="0.2">
      <c r="A359" s="149" t="s">
        <v>212</v>
      </c>
      <c r="B359" s="158">
        <v>4630</v>
      </c>
    </row>
    <row r="360" spans="1:2" x14ac:dyDescent="0.2">
      <c r="A360" s="147"/>
      <c r="B360" s="159"/>
    </row>
    <row r="361" spans="1:2" x14ac:dyDescent="0.2">
      <c r="A361" s="148" t="s">
        <v>552</v>
      </c>
      <c r="B361" s="156">
        <f>B363+B368+B377</f>
        <v>31335</v>
      </c>
    </row>
    <row r="362" spans="1:2" x14ac:dyDescent="0.2">
      <c r="A362" s="150"/>
      <c r="B362" s="162"/>
    </row>
    <row r="363" spans="1:2" x14ac:dyDescent="0.2">
      <c r="A363" s="146" t="s">
        <v>553</v>
      </c>
      <c r="B363" s="157">
        <f>+B364</f>
        <v>19500</v>
      </c>
    </row>
    <row r="364" spans="1:2" x14ac:dyDescent="0.2">
      <c r="A364" s="146" t="s">
        <v>186</v>
      </c>
      <c r="B364" s="157">
        <f>SUM(B365:B366)</f>
        <v>19500</v>
      </c>
    </row>
    <row r="365" spans="1:2" x14ac:dyDescent="0.2">
      <c r="A365" s="147" t="s">
        <v>187</v>
      </c>
      <c r="B365" s="159">
        <v>13100</v>
      </c>
    </row>
    <row r="366" spans="1:2" x14ac:dyDescent="0.2">
      <c r="A366" s="147" t="s">
        <v>188</v>
      </c>
      <c r="B366" s="159">
        <v>6400</v>
      </c>
    </row>
    <row r="367" spans="1:2" x14ac:dyDescent="0.2">
      <c r="A367" s="149"/>
      <c r="B367" s="158"/>
    </row>
    <row r="368" spans="1:2" x14ac:dyDescent="0.2">
      <c r="A368" s="155" t="s">
        <v>554</v>
      </c>
      <c r="B368" s="157">
        <f>B369+B374</f>
        <v>8735</v>
      </c>
    </row>
    <row r="369" spans="1:2" x14ac:dyDescent="0.2">
      <c r="A369" s="146" t="s">
        <v>195</v>
      </c>
      <c r="B369" s="157">
        <f>SUM(B370:B373)</f>
        <v>8300</v>
      </c>
    </row>
    <row r="370" spans="1:2" x14ac:dyDescent="0.2">
      <c r="A370" s="149" t="s">
        <v>209</v>
      </c>
      <c r="B370" s="158">
        <v>1000</v>
      </c>
    </row>
    <row r="371" spans="1:2" x14ac:dyDescent="0.2">
      <c r="A371" s="149" t="s">
        <v>203</v>
      </c>
      <c r="B371" s="158">
        <v>800</v>
      </c>
    </row>
    <row r="372" spans="1:2" x14ac:dyDescent="0.2">
      <c r="A372" s="149" t="s">
        <v>207</v>
      </c>
      <c r="B372" s="158">
        <v>5500</v>
      </c>
    </row>
    <row r="373" spans="1:2" x14ac:dyDescent="0.2">
      <c r="A373" s="149" t="s">
        <v>200</v>
      </c>
      <c r="B373" s="158">
        <v>1000</v>
      </c>
    </row>
    <row r="374" spans="1:2" x14ac:dyDescent="0.2">
      <c r="A374" s="146" t="s">
        <v>186</v>
      </c>
      <c r="B374" s="157">
        <f>SUM(B375:B375)</f>
        <v>435</v>
      </c>
    </row>
    <row r="375" spans="1:2" x14ac:dyDescent="0.2">
      <c r="A375" s="147" t="s">
        <v>188</v>
      </c>
      <c r="B375" s="159">
        <v>435</v>
      </c>
    </row>
    <row r="376" spans="1:2" x14ac:dyDescent="0.2">
      <c r="A376" s="146"/>
      <c r="B376" s="157"/>
    </row>
    <row r="377" spans="1:2" x14ac:dyDescent="0.2">
      <c r="A377" s="146" t="s">
        <v>555</v>
      </c>
      <c r="B377" s="157">
        <f>B378+B382+B385</f>
        <v>3100</v>
      </c>
    </row>
    <row r="378" spans="1:2" x14ac:dyDescent="0.2">
      <c r="A378" s="146" t="s">
        <v>218</v>
      </c>
      <c r="B378" s="157">
        <f>SUM(B379:B381)</f>
        <v>-850</v>
      </c>
    </row>
    <row r="379" spans="1:2" x14ac:dyDescent="0.2">
      <c r="A379" s="149" t="s">
        <v>369</v>
      </c>
      <c r="B379" s="158">
        <v>-460</v>
      </c>
    </row>
    <row r="380" spans="1:2" x14ac:dyDescent="0.2">
      <c r="A380" s="149" t="s">
        <v>219</v>
      </c>
      <c r="B380" s="158">
        <v>1610</v>
      </c>
    </row>
    <row r="381" spans="1:2" x14ac:dyDescent="0.2">
      <c r="A381" s="149" t="s">
        <v>192</v>
      </c>
      <c r="B381" s="158">
        <v>-2000</v>
      </c>
    </row>
    <row r="382" spans="1:2" x14ac:dyDescent="0.2">
      <c r="A382" s="146" t="s">
        <v>215</v>
      </c>
      <c r="B382" s="157">
        <f>SUM(B383:B384)</f>
        <v>4250</v>
      </c>
    </row>
    <row r="383" spans="1:2" x14ac:dyDescent="0.2">
      <c r="A383" s="149" t="s">
        <v>216</v>
      </c>
      <c r="B383" s="158">
        <v>1680</v>
      </c>
    </row>
    <row r="384" spans="1:2" x14ac:dyDescent="0.2">
      <c r="A384" s="147" t="s">
        <v>188</v>
      </c>
      <c r="B384" s="159">
        <v>2570</v>
      </c>
    </row>
    <row r="385" spans="1:2" x14ac:dyDescent="0.2">
      <c r="A385" s="146" t="s">
        <v>186</v>
      </c>
      <c r="B385" s="157">
        <f>SUM(B386:B387)</f>
        <v>-300</v>
      </c>
    </row>
    <row r="386" spans="1:2" x14ac:dyDescent="0.2">
      <c r="A386" s="147" t="s">
        <v>187</v>
      </c>
      <c r="B386" s="159">
        <v>-50</v>
      </c>
    </row>
    <row r="387" spans="1:2" x14ac:dyDescent="0.2">
      <c r="A387" s="147" t="s">
        <v>188</v>
      </c>
      <c r="B387" s="159">
        <v>-250</v>
      </c>
    </row>
    <row r="388" spans="1:2" x14ac:dyDescent="0.2">
      <c r="A388" s="149"/>
      <c r="B388" s="158"/>
    </row>
    <row r="389" spans="1:2" x14ac:dyDescent="0.2">
      <c r="A389" s="148" t="s">
        <v>556</v>
      </c>
      <c r="B389" s="156">
        <f>B391+B399</f>
        <v>6550</v>
      </c>
    </row>
    <row r="390" spans="1:2" x14ac:dyDescent="0.2">
      <c r="A390" s="150"/>
      <c r="B390" s="162"/>
    </row>
    <row r="391" spans="1:2" x14ac:dyDescent="0.2">
      <c r="A391" s="146" t="s">
        <v>557</v>
      </c>
      <c r="B391" s="157">
        <f>+B392+B394+B396</f>
        <v>5000</v>
      </c>
    </row>
    <row r="392" spans="1:2" x14ac:dyDescent="0.2">
      <c r="A392" s="146" t="s">
        <v>186</v>
      </c>
      <c r="B392" s="157">
        <f>SUM(B393:B393)</f>
        <v>800</v>
      </c>
    </row>
    <row r="393" spans="1:2" x14ac:dyDescent="0.2">
      <c r="A393" s="147" t="s">
        <v>187</v>
      </c>
      <c r="B393" s="159">
        <v>800</v>
      </c>
    </row>
    <row r="394" spans="1:2" x14ac:dyDescent="0.2">
      <c r="A394" s="146" t="s">
        <v>211</v>
      </c>
      <c r="B394" s="157">
        <f>B395</f>
        <v>300</v>
      </c>
    </row>
    <row r="395" spans="1:2" x14ac:dyDescent="0.2">
      <c r="A395" s="149" t="s">
        <v>223</v>
      </c>
      <c r="B395" s="158">
        <v>300</v>
      </c>
    </row>
    <row r="396" spans="1:2" x14ac:dyDescent="0.2">
      <c r="A396" s="151" t="s">
        <v>189</v>
      </c>
      <c r="B396" s="160">
        <f>SUM(B397:B397)</f>
        <v>3900</v>
      </c>
    </row>
    <row r="397" spans="1:2" x14ac:dyDescent="0.2">
      <c r="A397" s="147" t="s">
        <v>1</v>
      </c>
      <c r="B397" s="159">
        <v>3900</v>
      </c>
    </row>
    <row r="398" spans="1:2" x14ac:dyDescent="0.2">
      <c r="A398" s="146"/>
      <c r="B398" s="157"/>
    </row>
    <row r="399" spans="1:2" x14ac:dyDescent="0.2">
      <c r="A399" s="151" t="s">
        <v>558</v>
      </c>
      <c r="B399" s="160">
        <f>B400+B406</f>
        <v>1550</v>
      </c>
    </row>
    <row r="400" spans="1:2" x14ac:dyDescent="0.2">
      <c r="A400" s="146" t="s">
        <v>195</v>
      </c>
      <c r="B400" s="157">
        <f>SUM(B401:B405)</f>
        <v>1950</v>
      </c>
    </row>
    <row r="401" spans="1:2" x14ac:dyDescent="0.2">
      <c r="A401" s="149" t="s">
        <v>209</v>
      </c>
      <c r="B401" s="158">
        <v>1000</v>
      </c>
    </row>
    <row r="402" spans="1:2" x14ac:dyDescent="0.2">
      <c r="A402" s="149" t="s">
        <v>203</v>
      </c>
      <c r="B402" s="158">
        <v>-200</v>
      </c>
    </row>
    <row r="403" spans="1:2" x14ac:dyDescent="0.2">
      <c r="A403" s="149" t="s">
        <v>192</v>
      </c>
      <c r="B403" s="158">
        <v>450</v>
      </c>
    </row>
    <row r="404" spans="1:2" x14ac:dyDescent="0.2">
      <c r="A404" s="149" t="s">
        <v>207</v>
      </c>
      <c r="B404" s="158">
        <v>500</v>
      </c>
    </row>
    <row r="405" spans="1:2" x14ac:dyDescent="0.2">
      <c r="A405" s="149" t="s">
        <v>200</v>
      </c>
      <c r="B405" s="158">
        <v>200</v>
      </c>
    </row>
    <row r="406" spans="1:2" x14ac:dyDescent="0.2">
      <c r="A406" s="146" t="s">
        <v>218</v>
      </c>
      <c r="B406" s="157">
        <f>SUM(B407:B408)</f>
        <v>-400</v>
      </c>
    </row>
    <row r="407" spans="1:2" x14ac:dyDescent="0.2">
      <c r="A407" s="149" t="s">
        <v>2</v>
      </c>
      <c r="B407" s="158">
        <v>200</v>
      </c>
    </row>
    <row r="408" spans="1:2" x14ac:dyDescent="0.2">
      <c r="A408" s="149" t="s">
        <v>228</v>
      </c>
      <c r="B408" s="158">
        <v>-600</v>
      </c>
    </row>
    <row r="409" spans="1:2" x14ac:dyDescent="0.2">
      <c r="A409" s="146"/>
      <c r="B409" s="157"/>
    </row>
    <row r="410" spans="1:2" x14ac:dyDescent="0.2">
      <c r="A410" s="148" t="s">
        <v>559</v>
      </c>
      <c r="B410" s="156">
        <f>B412+B425</f>
        <v>-36890</v>
      </c>
    </row>
    <row r="411" spans="1:2" x14ac:dyDescent="0.2">
      <c r="A411" s="153"/>
      <c r="B411" s="161"/>
    </row>
    <row r="412" spans="1:2" x14ac:dyDescent="0.2">
      <c r="A412" s="146" t="s">
        <v>560</v>
      </c>
      <c r="B412" s="157">
        <f>B413+B415+B418+B422</f>
        <v>40910</v>
      </c>
    </row>
    <row r="413" spans="1:2" x14ac:dyDescent="0.2">
      <c r="A413" s="146" t="s">
        <v>215</v>
      </c>
      <c r="B413" s="157">
        <f>+B414</f>
        <v>-12000</v>
      </c>
    </row>
    <row r="414" spans="1:2" x14ac:dyDescent="0.2">
      <c r="A414" s="147" t="s">
        <v>188</v>
      </c>
      <c r="B414" s="159">
        <v>-12000</v>
      </c>
    </row>
    <row r="415" spans="1:2" x14ac:dyDescent="0.2">
      <c r="A415" s="146" t="s">
        <v>186</v>
      </c>
      <c r="B415" s="157">
        <f>B416+B417</f>
        <v>22600</v>
      </c>
    </row>
    <row r="416" spans="1:2" x14ac:dyDescent="0.2">
      <c r="A416" s="147" t="s">
        <v>187</v>
      </c>
      <c r="B416" s="159">
        <v>14600</v>
      </c>
    </row>
    <row r="417" spans="1:2" x14ac:dyDescent="0.2">
      <c r="A417" s="147" t="s">
        <v>188</v>
      </c>
      <c r="B417" s="159">
        <v>8000</v>
      </c>
    </row>
    <row r="418" spans="1:2" x14ac:dyDescent="0.2">
      <c r="A418" s="151" t="s">
        <v>211</v>
      </c>
      <c r="B418" s="160">
        <f>B419+B420+B421</f>
        <v>16310</v>
      </c>
    </row>
    <row r="419" spans="1:2" x14ac:dyDescent="0.2">
      <c r="A419" s="149" t="s">
        <v>223</v>
      </c>
      <c r="B419" s="158">
        <v>-13810</v>
      </c>
    </row>
    <row r="420" spans="1:2" x14ac:dyDescent="0.2">
      <c r="A420" s="149" t="s">
        <v>212</v>
      </c>
      <c r="B420" s="158">
        <v>29800</v>
      </c>
    </row>
    <row r="421" spans="1:2" x14ac:dyDescent="0.2">
      <c r="A421" s="154" t="s">
        <v>224</v>
      </c>
      <c r="B421" s="158">
        <v>320</v>
      </c>
    </row>
    <row r="422" spans="1:2" x14ac:dyDescent="0.2">
      <c r="A422" s="151" t="s">
        <v>189</v>
      </c>
      <c r="B422" s="160">
        <f>B423</f>
        <v>14000</v>
      </c>
    </row>
    <row r="423" spans="1:2" x14ac:dyDescent="0.2">
      <c r="A423" s="147" t="s">
        <v>1</v>
      </c>
      <c r="B423" s="159">
        <v>14000</v>
      </c>
    </row>
    <row r="424" spans="1:2" x14ac:dyDescent="0.2">
      <c r="A424" s="149"/>
      <c r="B424" s="158"/>
    </row>
    <row r="425" spans="1:2" x14ac:dyDescent="0.2">
      <c r="A425" s="146" t="s">
        <v>561</v>
      </c>
      <c r="B425" s="157">
        <f>B426</f>
        <v>-77800</v>
      </c>
    </row>
    <row r="426" spans="1:2" x14ac:dyDescent="0.2">
      <c r="A426" s="146" t="s">
        <v>195</v>
      </c>
      <c r="B426" s="157">
        <f>+B427</f>
        <v>-77800</v>
      </c>
    </row>
    <row r="427" spans="1:2" x14ac:dyDescent="0.2">
      <c r="A427" s="147" t="s">
        <v>203</v>
      </c>
      <c r="B427" s="159">
        <f>-63975-13825</f>
        <v>-77800</v>
      </c>
    </row>
    <row r="428" spans="1:2" x14ac:dyDescent="0.2">
      <c r="A428" s="147"/>
      <c r="B428" s="159"/>
    </row>
    <row r="429" spans="1:2" x14ac:dyDescent="0.2">
      <c r="A429" s="148" t="s">
        <v>68</v>
      </c>
      <c r="B429" s="156">
        <f>+B5+B11+B64+B120+B167+B207+B218+B228+B249+B260+B290+B309+B350+B361+B389+B410+B197+B214</f>
        <v>867220</v>
      </c>
    </row>
  </sheetData>
  <phoneticPr fontId="24" type="noConversion"/>
  <pageMargins left="1.1811023622047245" right="0.47244094488188981" top="0.47244094488188981" bottom="0.98425196850393704" header="0.51181102362204722" footer="0.51181102362204722"/>
  <pageSetup paperSize="9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7"/>
  <sheetViews>
    <sheetView showZeros="0" zoomScaleNormal="100" workbookViewId="0"/>
  </sheetViews>
  <sheetFormatPr defaultRowHeight="12.75" x14ac:dyDescent="0.2"/>
  <cols>
    <col min="1" max="1" width="54" customWidth="1"/>
    <col min="2" max="2" width="11.140625" bestFit="1" customWidth="1"/>
  </cols>
  <sheetData>
    <row r="1" spans="1:3" ht="15" x14ac:dyDescent="0.25">
      <c r="A1" s="62" t="s">
        <v>3</v>
      </c>
    </row>
    <row r="2" spans="1:3" s="103" customFormat="1" ht="12.75" customHeight="1" x14ac:dyDescent="0.25">
      <c r="A2" s="62"/>
    </row>
    <row r="3" spans="1:3" ht="12.75" customHeight="1" x14ac:dyDescent="0.2">
      <c r="A3" s="90"/>
      <c r="B3" s="46" t="s">
        <v>72</v>
      </c>
    </row>
    <row r="4" spans="1:3" ht="12.75" customHeight="1" x14ac:dyDescent="0.2">
      <c r="A4" s="90"/>
      <c r="B4" s="141"/>
      <c r="C4" s="100"/>
    </row>
    <row r="5" spans="1:3" x14ac:dyDescent="0.2">
      <c r="A5" s="307" t="s">
        <v>88</v>
      </c>
      <c r="B5" s="318">
        <f>+B6</f>
        <v>-30407</v>
      </c>
      <c r="C5" s="100"/>
    </row>
    <row r="6" spans="1:3" s="103" customFormat="1" x14ac:dyDescent="0.2">
      <c r="A6" s="332" t="s">
        <v>375</v>
      </c>
      <c r="B6" s="320">
        <f>+B7+B8</f>
        <v>-30407</v>
      </c>
      <c r="C6" s="100"/>
    </row>
    <row r="7" spans="1:3" s="103" customFormat="1" ht="24" x14ac:dyDescent="0.2">
      <c r="A7" s="331" t="s">
        <v>374</v>
      </c>
      <c r="B7" s="321">
        <v>-300000</v>
      </c>
      <c r="C7" s="100"/>
    </row>
    <row r="8" spans="1:3" s="103" customFormat="1" ht="24" x14ac:dyDescent="0.2">
      <c r="A8" s="347" t="s">
        <v>507</v>
      </c>
      <c r="B8" s="321">
        <v>269593</v>
      </c>
      <c r="C8" s="92"/>
    </row>
    <row r="9" spans="1:3" s="103" customFormat="1" x14ac:dyDescent="0.2">
      <c r="A9" s="308"/>
      <c r="B9" s="319"/>
      <c r="C9" s="91"/>
    </row>
    <row r="10" spans="1:3" s="103" customFormat="1" x14ac:dyDescent="0.2">
      <c r="A10" s="307" t="s">
        <v>244</v>
      </c>
      <c r="B10" s="322">
        <f>B11</f>
        <v>54214</v>
      </c>
    </row>
    <row r="11" spans="1:3" s="103" customFormat="1" x14ac:dyDescent="0.2">
      <c r="A11" s="332" t="s">
        <v>375</v>
      </c>
      <c r="B11" s="323">
        <f>B12</f>
        <v>54214</v>
      </c>
      <c r="C11" s="93"/>
    </row>
    <row r="12" spans="1:3" s="103" customFormat="1" x14ac:dyDescent="0.2">
      <c r="A12" s="309" t="s">
        <v>142</v>
      </c>
      <c r="B12" s="324">
        <f>B13+B14</f>
        <v>54214</v>
      </c>
      <c r="C12" s="93"/>
    </row>
    <row r="13" spans="1:3" s="103" customFormat="1" x14ac:dyDescent="0.2">
      <c r="A13" s="330" t="s">
        <v>370</v>
      </c>
      <c r="B13" s="325">
        <v>10825</v>
      </c>
      <c r="C13" s="100"/>
    </row>
    <row r="14" spans="1:3" s="103" customFormat="1" x14ac:dyDescent="0.2">
      <c r="A14" s="330" t="s">
        <v>371</v>
      </c>
      <c r="B14" s="325">
        <v>43389</v>
      </c>
      <c r="C14" s="117"/>
    </row>
    <row r="15" spans="1:3" x14ac:dyDescent="0.2">
      <c r="A15" s="308"/>
      <c r="B15" s="319"/>
    </row>
    <row r="16" spans="1:3" x14ac:dyDescent="0.2">
      <c r="A16" s="307" t="s">
        <v>5</v>
      </c>
      <c r="B16" s="326">
        <f>B17+B26</f>
        <v>33950</v>
      </c>
    </row>
    <row r="17" spans="1:2" x14ac:dyDescent="0.2">
      <c r="A17" s="333" t="s">
        <v>7</v>
      </c>
      <c r="B17" s="320">
        <f>B19+B22</f>
        <v>20200</v>
      </c>
    </row>
    <row r="18" spans="1:2" x14ac:dyDescent="0.2">
      <c r="A18" s="310"/>
      <c r="B18" s="319"/>
    </row>
    <row r="19" spans="1:2" x14ac:dyDescent="0.2">
      <c r="A19" s="311" t="s">
        <v>232</v>
      </c>
      <c r="B19" s="324">
        <f>B20</f>
        <v>7450</v>
      </c>
    </row>
    <row r="20" spans="1:2" ht="36" x14ac:dyDescent="0.2">
      <c r="A20" s="142" t="s">
        <v>372</v>
      </c>
      <c r="B20" s="324">
        <v>7450</v>
      </c>
    </row>
    <row r="21" spans="1:2" x14ac:dyDescent="0.2">
      <c r="A21" s="310"/>
      <c r="B21" s="319"/>
    </row>
    <row r="22" spans="1:2" x14ac:dyDescent="0.2">
      <c r="A22" s="311" t="s">
        <v>126</v>
      </c>
      <c r="B22" s="327">
        <f>SUM(B23:B24)</f>
        <v>12750</v>
      </c>
    </row>
    <row r="23" spans="1:2" ht="24" x14ac:dyDescent="0.2">
      <c r="A23" s="312" t="s">
        <v>508</v>
      </c>
      <c r="B23" s="321">
        <v>8500</v>
      </c>
    </row>
    <row r="24" spans="1:2" s="103" customFormat="1" x14ac:dyDescent="0.2">
      <c r="A24" s="312" t="s">
        <v>562</v>
      </c>
      <c r="B24" s="321">
        <v>4250</v>
      </c>
    </row>
    <row r="25" spans="1:2" x14ac:dyDescent="0.2">
      <c r="A25" s="313"/>
      <c r="B25" s="319"/>
    </row>
    <row r="26" spans="1:2" x14ac:dyDescent="0.2">
      <c r="A26" s="332" t="s">
        <v>4</v>
      </c>
      <c r="B26" s="320">
        <f>B28</f>
        <v>13750</v>
      </c>
    </row>
    <row r="27" spans="1:2" x14ac:dyDescent="0.2">
      <c r="A27" s="314"/>
      <c r="B27" s="319"/>
    </row>
    <row r="28" spans="1:2" x14ac:dyDescent="0.2">
      <c r="A28" s="315" t="s">
        <v>167</v>
      </c>
      <c r="B28" s="328">
        <f>B29</f>
        <v>13750</v>
      </c>
    </row>
    <row r="29" spans="1:2" ht="24" x14ac:dyDescent="0.2">
      <c r="A29" s="314" t="s">
        <v>373</v>
      </c>
      <c r="B29" s="329">
        <v>13750</v>
      </c>
    </row>
    <row r="30" spans="1:2" x14ac:dyDescent="0.2">
      <c r="A30" s="316"/>
      <c r="B30" s="319"/>
    </row>
    <row r="31" spans="1:2" x14ac:dyDescent="0.2">
      <c r="A31" s="317" t="s">
        <v>6</v>
      </c>
      <c r="B31" s="326">
        <f>B5+B16+B10</f>
        <v>57757</v>
      </c>
    </row>
    <row r="32" spans="1:2" x14ac:dyDescent="0.2">
      <c r="A32" s="50"/>
    </row>
    <row r="33" spans="1:1" x14ac:dyDescent="0.2">
      <c r="A33" s="50"/>
    </row>
    <row r="34" spans="1:1" x14ac:dyDescent="0.2">
      <c r="A34" s="50"/>
    </row>
    <row r="35" spans="1:1" x14ac:dyDescent="0.2">
      <c r="A35" s="50"/>
    </row>
    <row r="36" spans="1:1" x14ac:dyDescent="0.2">
      <c r="A36" s="38" t="s">
        <v>570</v>
      </c>
    </row>
    <row r="37" spans="1:1" x14ac:dyDescent="0.2">
      <c r="A37" s="20" t="s">
        <v>111</v>
      </c>
    </row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737"/>
  <sheetViews>
    <sheetView zoomScaleNormal="100" zoomScaleSheetLayoutView="85" workbookViewId="0"/>
  </sheetViews>
  <sheetFormatPr defaultColWidth="9.140625" defaultRowHeight="12.75" x14ac:dyDescent="0.2"/>
  <cols>
    <col min="1" max="1" width="71" style="63" customWidth="1"/>
    <col min="2" max="2" width="13.85546875" style="70" customWidth="1"/>
    <col min="3" max="16384" width="9.140625" style="7"/>
  </cols>
  <sheetData>
    <row r="1" spans="1:2" x14ac:dyDescent="0.2">
      <c r="A1" s="294"/>
      <c r="B1" s="294" t="s">
        <v>355</v>
      </c>
    </row>
    <row r="2" spans="1:2" x14ac:dyDescent="0.2">
      <c r="A2" s="294"/>
      <c r="B2" s="294" t="s">
        <v>354</v>
      </c>
    </row>
    <row r="3" spans="1:2" x14ac:dyDescent="0.2">
      <c r="A3" s="295"/>
      <c r="B3" s="295" t="s">
        <v>353</v>
      </c>
    </row>
    <row r="4" spans="1:2" x14ac:dyDescent="0.2">
      <c r="A4" s="16"/>
      <c r="B4" s="295" t="s">
        <v>133</v>
      </c>
    </row>
    <row r="5" spans="1:2" x14ac:dyDescent="0.2">
      <c r="A5" s="137"/>
      <c r="B5" s="138"/>
    </row>
    <row r="7" spans="1:2" ht="15" x14ac:dyDescent="0.25">
      <c r="A7" s="69" t="s">
        <v>134</v>
      </c>
    </row>
    <row r="8" spans="1:2" x14ac:dyDescent="0.2">
      <c r="B8" s="136"/>
    </row>
    <row r="9" spans="1:2" x14ac:dyDescent="0.2">
      <c r="A9" s="5"/>
      <c r="B9" s="279" t="s">
        <v>72</v>
      </c>
    </row>
    <row r="10" spans="1:2" x14ac:dyDescent="0.2">
      <c r="A10" s="5"/>
      <c r="B10" s="296"/>
    </row>
    <row r="11" spans="1:2" x14ac:dyDescent="0.2">
      <c r="A11" s="175"/>
      <c r="B11" s="60"/>
    </row>
    <row r="12" spans="1:2" ht="15.75" x14ac:dyDescent="0.2">
      <c r="A12" s="510" t="s">
        <v>479</v>
      </c>
      <c r="B12" s="60"/>
    </row>
    <row r="13" spans="1:2" x14ac:dyDescent="0.2">
      <c r="A13" s="511"/>
      <c r="B13" s="60"/>
    </row>
    <row r="14" spans="1:2" x14ac:dyDescent="0.2">
      <c r="A14" s="511" t="s">
        <v>135</v>
      </c>
      <c r="B14" s="60">
        <f>B18</f>
        <v>-5022</v>
      </c>
    </row>
    <row r="15" spans="1:2" x14ac:dyDescent="0.2">
      <c r="A15" s="182" t="s">
        <v>136</v>
      </c>
      <c r="B15" s="60">
        <f>B16</f>
        <v>-5022</v>
      </c>
    </row>
    <row r="16" spans="1:2" x14ac:dyDescent="0.2">
      <c r="A16" s="181" t="s">
        <v>480</v>
      </c>
      <c r="B16" s="25">
        <f>B14</f>
        <v>-5022</v>
      </c>
    </row>
    <row r="17" spans="1:2" x14ac:dyDescent="0.2">
      <c r="A17" s="512"/>
      <c r="B17" s="60"/>
    </row>
    <row r="18" spans="1:2" x14ac:dyDescent="0.2">
      <c r="A18" s="513" t="s">
        <v>479</v>
      </c>
      <c r="B18" s="397">
        <v>-5022</v>
      </c>
    </row>
    <row r="19" spans="1:2" x14ac:dyDescent="0.2">
      <c r="A19" s="514" t="s">
        <v>140</v>
      </c>
      <c r="B19" s="394">
        <v>-3768</v>
      </c>
    </row>
    <row r="20" spans="1:2" x14ac:dyDescent="0.2">
      <c r="A20" s="514"/>
      <c r="B20" s="394"/>
    </row>
    <row r="21" spans="1:2" x14ac:dyDescent="0.2">
      <c r="A21" s="514"/>
      <c r="B21" s="394"/>
    </row>
    <row r="22" spans="1:2" ht="15.75" x14ac:dyDescent="0.2">
      <c r="A22" s="214" t="s">
        <v>127</v>
      </c>
      <c r="B22" s="432"/>
    </row>
    <row r="23" spans="1:2" x14ac:dyDescent="0.2">
      <c r="A23" s="194"/>
      <c r="B23" s="432"/>
    </row>
    <row r="24" spans="1:2" x14ac:dyDescent="0.2">
      <c r="A24" s="180" t="s">
        <v>135</v>
      </c>
      <c r="B24" s="60">
        <f>B25</f>
        <v>5000</v>
      </c>
    </row>
    <row r="25" spans="1:2" x14ac:dyDescent="0.2">
      <c r="A25" s="193" t="s">
        <v>136</v>
      </c>
      <c r="B25" s="60">
        <f>B26</f>
        <v>5000</v>
      </c>
    </row>
    <row r="26" spans="1:2" x14ac:dyDescent="0.2">
      <c r="A26" s="183" t="s">
        <v>137</v>
      </c>
      <c r="B26" s="25">
        <f>'2.2 OMATULUD'!B5</f>
        <v>5000</v>
      </c>
    </row>
    <row r="27" spans="1:2" x14ac:dyDescent="0.2">
      <c r="A27" s="194"/>
      <c r="B27" s="107"/>
    </row>
    <row r="28" spans="1:2" x14ac:dyDescent="0.2">
      <c r="A28" s="175" t="s">
        <v>141</v>
      </c>
      <c r="B28" s="60">
        <v>5000</v>
      </c>
    </row>
    <row r="29" spans="1:2" x14ac:dyDescent="0.2">
      <c r="A29" s="175"/>
      <c r="B29" s="60"/>
    </row>
    <row r="30" spans="1:2" x14ac:dyDescent="0.2">
      <c r="A30" s="348"/>
      <c r="B30" s="107"/>
    </row>
    <row r="31" spans="1:2" ht="15.75" x14ac:dyDescent="0.2">
      <c r="A31" s="349" t="s">
        <v>142</v>
      </c>
      <c r="B31" s="107"/>
    </row>
    <row r="32" spans="1:2" x14ac:dyDescent="0.2">
      <c r="A32" s="350"/>
      <c r="B32" s="107"/>
    </row>
    <row r="33" spans="1:2" x14ac:dyDescent="0.2">
      <c r="A33" s="350" t="s">
        <v>135</v>
      </c>
      <c r="B33" s="387">
        <f>B38+B68</f>
        <v>418992</v>
      </c>
    </row>
    <row r="34" spans="1:2" x14ac:dyDescent="0.2">
      <c r="A34" s="351" t="s">
        <v>136</v>
      </c>
      <c r="B34" s="389">
        <f>SUM(B35:B36)</f>
        <v>418992</v>
      </c>
    </row>
    <row r="35" spans="1:2" x14ac:dyDescent="0.2">
      <c r="A35" s="352" t="s">
        <v>137</v>
      </c>
      <c r="B35" s="388">
        <f>'2.2 OMATULUD'!B11</f>
        <v>-242450</v>
      </c>
    </row>
    <row r="36" spans="1:2" x14ac:dyDescent="0.2">
      <c r="A36" s="353" t="s">
        <v>138</v>
      </c>
      <c r="B36" s="388">
        <f>B33-B35</f>
        <v>661442</v>
      </c>
    </row>
    <row r="37" spans="1:2" x14ac:dyDescent="0.2">
      <c r="A37" s="354"/>
      <c r="B37" s="107"/>
    </row>
    <row r="38" spans="1:2" ht="15" x14ac:dyDescent="0.2">
      <c r="A38" s="355" t="s">
        <v>143</v>
      </c>
      <c r="B38" s="391">
        <f>B39+B46+B55+B58+B61</f>
        <v>424470</v>
      </c>
    </row>
    <row r="39" spans="1:2" x14ac:dyDescent="0.2">
      <c r="A39" s="356" t="s">
        <v>237</v>
      </c>
      <c r="B39" s="392">
        <f>10000+7680+190+365000+15500</f>
        <v>398370</v>
      </c>
    </row>
    <row r="40" spans="1:2" x14ac:dyDescent="0.2">
      <c r="A40" s="357" t="s">
        <v>140</v>
      </c>
      <c r="B40" s="290">
        <v>202109</v>
      </c>
    </row>
    <row r="41" spans="1:2" x14ac:dyDescent="0.2">
      <c r="A41" s="358"/>
      <c r="B41" s="107"/>
    </row>
    <row r="42" spans="1:2" x14ac:dyDescent="0.2">
      <c r="A42" s="433" t="s">
        <v>517</v>
      </c>
      <c r="B42" s="107"/>
    </row>
    <row r="43" spans="1:2" x14ac:dyDescent="0.2">
      <c r="A43" s="174" t="s">
        <v>516</v>
      </c>
      <c r="B43" s="107"/>
    </row>
    <row r="44" spans="1:2" ht="33.75" x14ac:dyDescent="0.2">
      <c r="A44" s="174" t="s">
        <v>522</v>
      </c>
      <c r="B44" s="107"/>
    </row>
    <row r="45" spans="1:2" x14ac:dyDescent="0.2">
      <c r="A45" s="359"/>
      <c r="B45" s="107"/>
    </row>
    <row r="46" spans="1:2" x14ac:dyDescent="0.2">
      <c r="A46" s="356" t="s">
        <v>238</v>
      </c>
      <c r="B46" s="393">
        <f>-338627+217560+805+90520</f>
        <v>-29742</v>
      </c>
    </row>
    <row r="47" spans="1:2" x14ac:dyDescent="0.2">
      <c r="A47" s="357" t="s">
        <v>140</v>
      </c>
      <c r="B47" s="394">
        <v>191880</v>
      </c>
    </row>
    <row r="48" spans="1:2" x14ac:dyDescent="0.2">
      <c r="A48" s="360" t="s">
        <v>418</v>
      </c>
      <c r="B48" s="394">
        <v>-68532</v>
      </c>
    </row>
    <row r="49" spans="1:2" x14ac:dyDescent="0.2">
      <c r="A49" s="360"/>
      <c r="B49" s="394"/>
    </row>
    <row r="50" spans="1:2" x14ac:dyDescent="0.2">
      <c r="A50" s="433" t="s">
        <v>490</v>
      </c>
      <c r="B50" s="394"/>
    </row>
    <row r="51" spans="1:2" ht="25.5" customHeight="1" x14ac:dyDescent="0.2">
      <c r="A51" s="434" t="s">
        <v>509</v>
      </c>
      <c r="B51" s="394"/>
    </row>
    <row r="52" spans="1:2" ht="13.5" customHeight="1" x14ac:dyDescent="0.2">
      <c r="A52" s="434"/>
      <c r="B52" s="394"/>
    </row>
    <row r="53" spans="1:2" ht="45" x14ac:dyDescent="0.2">
      <c r="A53" s="434" t="s">
        <v>510</v>
      </c>
      <c r="B53" s="107"/>
    </row>
    <row r="54" spans="1:2" x14ac:dyDescent="0.2">
      <c r="A54" s="361"/>
      <c r="B54" s="107"/>
    </row>
    <row r="55" spans="1:2" x14ac:dyDescent="0.2">
      <c r="A55" s="356" t="s">
        <v>239</v>
      </c>
      <c r="B55" s="393">
        <v>-5000</v>
      </c>
    </row>
    <row r="56" spans="1:2" x14ac:dyDescent="0.2">
      <c r="A56" s="357" t="s">
        <v>140</v>
      </c>
      <c r="B56" s="394">
        <v>10310</v>
      </c>
    </row>
    <row r="57" spans="1:2" x14ac:dyDescent="0.2">
      <c r="A57" s="362"/>
      <c r="B57" s="395"/>
    </row>
    <row r="58" spans="1:2" x14ac:dyDescent="0.2">
      <c r="A58" s="356" t="s">
        <v>240</v>
      </c>
      <c r="B58" s="393">
        <f>63470+12</f>
        <v>63482</v>
      </c>
    </row>
    <row r="59" spans="1:2" x14ac:dyDescent="0.2">
      <c r="A59" s="357" t="s">
        <v>140</v>
      </c>
      <c r="B59" s="394">
        <v>8680</v>
      </c>
    </row>
    <row r="60" spans="1:2" x14ac:dyDescent="0.2">
      <c r="A60" s="362"/>
      <c r="B60" s="107"/>
    </row>
    <row r="61" spans="1:2" x14ac:dyDescent="0.2">
      <c r="A61" s="356" t="s">
        <v>145</v>
      </c>
      <c r="B61" s="393">
        <f>B65</f>
        <v>-2640</v>
      </c>
    </row>
    <row r="62" spans="1:2" x14ac:dyDescent="0.2">
      <c r="A62" s="357" t="s">
        <v>140</v>
      </c>
      <c r="B62" s="394">
        <f>B66</f>
        <v>-2955</v>
      </c>
    </row>
    <row r="63" spans="1:2" x14ac:dyDescent="0.2">
      <c r="A63" s="357"/>
      <c r="B63" s="394"/>
    </row>
    <row r="64" spans="1:2" x14ac:dyDescent="0.2">
      <c r="A64" s="363" t="s">
        <v>144</v>
      </c>
      <c r="B64" s="393"/>
    </row>
    <row r="65" spans="1:2" x14ac:dyDescent="0.2">
      <c r="A65" s="364" t="s">
        <v>60</v>
      </c>
      <c r="B65" s="396">
        <v>-2640</v>
      </c>
    </row>
    <row r="66" spans="1:2" x14ac:dyDescent="0.2">
      <c r="A66" s="365" t="s">
        <v>140</v>
      </c>
      <c r="B66" s="394">
        <v>-2955</v>
      </c>
    </row>
    <row r="67" spans="1:2" x14ac:dyDescent="0.2">
      <c r="A67" s="366"/>
      <c r="B67" s="107"/>
    </row>
    <row r="68" spans="1:2" x14ac:dyDescent="0.2">
      <c r="A68" s="350" t="s">
        <v>139</v>
      </c>
      <c r="B68" s="387">
        <f>B70</f>
        <v>-5478</v>
      </c>
    </row>
    <row r="69" spans="1:2" x14ac:dyDescent="0.2">
      <c r="A69" s="350"/>
      <c r="B69" s="107"/>
    </row>
    <row r="70" spans="1:2" x14ac:dyDescent="0.2">
      <c r="A70" s="367" t="s">
        <v>253</v>
      </c>
      <c r="B70" s="397">
        <f>-5478</f>
        <v>-5478</v>
      </c>
    </row>
    <row r="71" spans="1:2" x14ac:dyDescent="0.2">
      <c r="A71" s="368" t="s">
        <v>140</v>
      </c>
      <c r="B71" s="394">
        <f>-4095+800</f>
        <v>-3295</v>
      </c>
    </row>
    <row r="72" spans="1:2" x14ac:dyDescent="0.2">
      <c r="A72" s="369"/>
      <c r="B72" s="107"/>
    </row>
    <row r="73" spans="1:2" x14ac:dyDescent="0.2">
      <c r="A73" s="370"/>
      <c r="B73" s="107"/>
    </row>
    <row r="74" spans="1:2" ht="15.75" x14ac:dyDescent="0.2">
      <c r="A74" s="178" t="s">
        <v>267</v>
      </c>
      <c r="B74" s="107"/>
    </row>
    <row r="75" spans="1:2" ht="15" x14ac:dyDescent="0.2">
      <c r="A75" s="179"/>
      <c r="B75" s="107"/>
    </row>
    <row r="76" spans="1:2" x14ac:dyDescent="0.2">
      <c r="A76" s="180" t="s">
        <v>135</v>
      </c>
      <c r="B76" s="289">
        <f>B81+B95</f>
        <v>-171264</v>
      </c>
    </row>
    <row r="77" spans="1:2" x14ac:dyDescent="0.2">
      <c r="A77" s="182" t="s">
        <v>136</v>
      </c>
      <c r="B77" s="398">
        <f>SUM(B78:B79)</f>
        <v>-171264</v>
      </c>
    </row>
    <row r="78" spans="1:2" x14ac:dyDescent="0.2">
      <c r="A78" s="183" t="s">
        <v>137</v>
      </c>
      <c r="B78" s="390">
        <f>'2.2 OMATULUD'!B64</f>
        <v>65500</v>
      </c>
    </row>
    <row r="79" spans="1:2" x14ac:dyDescent="0.2">
      <c r="A79" s="166" t="s">
        <v>138</v>
      </c>
      <c r="B79" s="390">
        <f>B76-B78</f>
        <v>-236764</v>
      </c>
    </row>
    <row r="80" spans="1:2" x14ac:dyDescent="0.2">
      <c r="A80" s="166"/>
      <c r="B80" s="390"/>
    </row>
    <row r="81" spans="1:2" ht="15" x14ac:dyDescent="0.2">
      <c r="A81" s="184" t="s">
        <v>148</v>
      </c>
      <c r="B81" s="399">
        <f>B82+B84+B87+B91+B93+B89</f>
        <v>-132700</v>
      </c>
    </row>
    <row r="82" spans="1:2" x14ac:dyDescent="0.2">
      <c r="A82" s="175" t="s">
        <v>285</v>
      </c>
      <c r="B82" s="293">
        <v>1500</v>
      </c>
    </row>
    <row r="83" spans="1:2" x14ac:dyDescent="0.2">
      <c r="A83" s="359"/>
      <c r="B83" s="400"/>
    </row>
    <row r="84" spans="1:2" x14ac:dyDescent="0.2">
      <c r="A84" s="175" t="s">
        <v>284</v>
      </c>
      <c r="B84" s="293">
        <v>3000</v>
      </c>
    </row>
    <row r="85" spans="1:2" x14ac:dyDescent="0.2">
      <c r="A85" s="176" t="s">
        <v>140</v>
      </c>
      <c r="B85" s="290">
        <v>2200</v>
      </c>
    </row>
    <row r="86" spans="1:2" x14ac:dyDescent="0.2">
      <c r="A86" s="359"/>
      <c r="B86" s="400"/>
    </row>
    <row r="87" spans="1:2" x14ac:dyDescent="0.2">
      <c r="A87" s="175" t="s">
        <v>283</v>
      </c>
      <c r="B87" s="293">
        <v>9400</v>
      </c>
    </row>
    <row r="88" spans="1:2" x14ac:dyDescent="0.2">
      <c r="A88" s="176"/>
      <c r="B88" s="290"/>
    </row>
    <row r="89" spans="1:2" x14ac:dyDescent="0.2">
      <c r="A89" s="175" t="s">
        <v>331</v>
      </c>
      <c r="B89" s="293">
        <v>4000</v>
      </c>
    </row>
    <row r="90" spans="1:2" x14ac:dyDescent="0.2">
      <c r="A90" s="371"/>
      <c r="B90" s="401"/>
    </row>
    <row r="91" spans="1:2" x14ac:dyDescent="0.2">
      <c r="A91" s="175" t="s">
        <v>282</v>
      </c>
      <c r="B91" s="293">
        <f>-130000-45600</f>
        <v>-175600</v>
      </c>
    </row>
    <row r="92" spans="1:2" x14ac:dyDescent="0.2">
      <c r="A92" s="176"/>
      <c r="B92" s="290"/>
    </row>
    <row r="93" spans="1:2" x14ac:dyDescent="0.2">
      <c r="A93" s="175" t="s">
        <v>286</v>
      </c>
      <c r="B93" s="293">
        <f>21000+4000</f>
        <v>25000</v>
      </c>
    </row>
    <row r="94" spans="1:2" x14ac:dyDescent="0.2">
      <c r="A94" s="372"/>
      <c r="B94" s="402"/>
    </row>
    <row r="95" spans="1:2" x14ac:dyDescent="0.2">
      <c r="A95" s="180" t="s">
        <v>139</v>
      </c>
      <c r="B95" s="289">
        <f>B97+B100+B107</f>
        <v>-38564</v>
      </c>
    </row>
    <row r="96" spans="1:2" x14ac:dyDescent="0.2">
      <c r="A96" s="180"/>
      <c r="B96" s="289"/>
    </row>
    <row r="97" spans="1:2" x14ac:dyDescent="0.2">
      <c r="A97" s="187" t="s">
        <v>347</v>
      </c>
      <c r="B97" s="286">
        <f>30000-30000-20000-1564-9600</f>
        <v>-31164</v>
      </c>
    </row>
    <row r="98" spans="1:2" x14ac:dyDescent="0.2">
      <c r="A98" s="164" t="s">
        <v>140</v>
      </c>
      <c r="B98" s="290">
        <v>-1169</v>
      </c>
    </row>
    <row r="99" spans="1:2" x14ac:dyDescent="0.2">
      <c r="A99" s="373"/>
      <c r="B99" s="403"/>
    </row>
    <row r="100" spans="1:2" x14ac:dyDescent="0.2">
      <c r="A100" s="187" t="s">
        <v>229</v>
      </c>
      <c r="B100" s="286">
        <f>-8000+3000+7000</f>
        <v>2000</v>
      </c>
    </row>
    <row r="101" spans="1:2" x14ac:dyDescent="0.2">
      <c r="A101" s="164" t="s">
        <v>149</v>
      </c>
      <c r="B101" s="290"/>
    </row>
    <row r="102" spans="1:2" x14ac:dyDescent="0.2">
      <c r="A102" s="186" t="s">
        <v>419</v>
      </c>
      <c r="B102" s="292">
        <v>-8000</v>
      </c>
    </row>
    <row r="103" spans="1:2" x14ac:dyDescent="0.2">
      <c r="A103" s="186" t="s">
        <v>420</v>
      </c>
      <c r="B103" s="292">
        <v>3000</v>
      </c>
    </row>
    <row r="104" spans="1:2" x14ac:dyDescent="0.2">
      <c r="A104" s="186"/>
      <c r="B104" s="292"/>
    </row>
    <row r="105" spans="1:2" ht="22.5" x14ac:dyDescent="0.2">
      <c r="A105" s="188" t="s">
        <v>521</v>
      </c>
      <c r="B105" s="286"/>
    </row>
    <row r="106" spans="1:2" x14ac:dyDescent="0.2">
      <c r="A106" s="188"/>
      <c r="B106" s="286"/>
    </row>
    <row r="107" spans="1:2" x14ac:dyDescent="0.2">
      <c r="A107" s="287" t="s">
        <v>421</v>
      </c>
      <c r="B107" s="288">
        <v>-9400</v>
      </c>
    </row>
    <row r="108" spans="1:2" x14ac:dyDescent="0.2">
      <c r="A108" s="370"/>
      <c r="B108" s="107"/>
    </row>
    <row r="109" spans="1:2" x14ac:dyDescent="0.2">
      <c r="A109" s="369"/>
      <c r="B109" s="107"/>
    </row>
    <row r="110" spans="1:2" ht="15.75" x14ac:dyDescent="0.2">
      <c r="A110" s="178" t="s">
        <v>150</v>
      </c>
      <c r="B110" s="107"/>
    </row>
    <row r="111" spans="1:2" x14ac:dyDescent="0.2">
      <c r="A111" s="180"/>
      <c r="B111" s="107"/>
    </row>
    <row r="112" spans="1:2" x14ac:dyDescent="0.2">
      <c r="A112" s="180" t="s">
        <v>135</v>
      </c>
      <c r="B112" s="289">
        <f>B118+B151+B158</f>
        <v>42583</v>
      </c>
    </row>
    <row r="113" spans="1:2" x14ac:dyDescent="0.2">
      <c r="A113" s="181" t="s">
        <v>147</v>
      </c>
      <c r="B113" s="390">
        <v>17210</v>
      </c>
    </row>
    <row r="114" spans="1:2" x14ac:dyDescent="0.2">
      <c r="A114" s="193" t="s">
        <v>136</v>
      </c>
      <c r="B114" s="398">
        <f>SUM(B115:B116)</f>
        <v>42583</v>
      </c>
    </row>
    <row r="115" spans="1:2" x14ac:dyDescent="0.2">
      <c r="A115" s="183" t="s">
        <v>137</v>
      </c>
      <c r="B115" s="390">
        <f>'2.2 OMATULUD'!B120</f>
        <v>27921</v>
      </c>
    </row>
    <row r="116" spans="1:2" x14ac:dyDescent="0.2">
      <c r="A116" s="166" t="s">
        <v>138</v>
      </c>
      <c r="B116" s="390">
        <f>B112-B115</f>
        <v>14662</v>
      </c>
    </row>
    <row r="117" spans="1:2" x14ac:dyDescent="0.2">
      <c r="A117" s="194"/>
      <c r="B117" s="107"/>
    </row>
    <row r="118" spans="1:2" ht="15" x14ac:dyDescent="0.2">
      <c r="A118" s="184" t="s">
        <v>151</v>
      </c>
      <c r="B118" s="399">
        <f>B119</f>
        <v>60521</v>
      </c>
    </row>
    <row r="119" spans="1:2" x14ac:dyDescent="0.2">
      <c r="A119" s="175" t="s">
        <v>152</v>
      </c>
      <c r="B119" s="293">
        <f>B123+B126+B133+B140</f>
        <v>60521</v>
      </c>
    </row>
    <row r="120" spans="1:2" x14ac:dyDescent="0.2">
      <c r="A120" s="176" t="s">
        <v>140</v>
      </c>
      <c r="B120" s="290">
        <f>B127+B134+B141</f>
        <v>-8665</v>
      </c>
    </row>
    <row r="121" spans="1:2" x14ac:dyDescent="0.2">
      <c r="A121" s="176"/>
      <c r="B121" s="107"/>
    </row>
    <row r="122" spans="1:2" x14ac:dyDescent="0.2">
      <c r="A122" s="191" t="s">
        <v>144</v>
      </c>
      <c r="B122" s="107"/>
    </row>
    <row r="123" spans="1:2" x14ac:dyDescent="0.2">
      <c r="A123" s="192" t="s">
        <v>291</v>
      </c>
      <c r="B123" s="276">
        <f>665+10597</f>
        <v>11262</v>
      </c>
    </row>
    <row r="124" spans="1:2" x14ac:dyDescent="0.2">
      <c r="A124" s="176"/>
      <c r="B124" s="107"/>
    </row>
    <row r="125" spans="1:2" x14ac:dyDescent="0.2">
      <c r="A125" s="191" t="s">
        <v>144</v>
      </c>
      <c r="B125" s="107"/>
    </row>
    <row r="126" spans="1:2" ht="24" x14ac:dyDescent="0.2">
      <c r="A126" s="192" t="s">
        <v>292</v>
      </c>
      <c r="B126" s="276">
        <f>38600+166+112+55-12674</f>
        <v>26259</v>
      </c>
    </row>
    <row r="127" spans="1:2" x14ac:dyDescent="0.2">
      <c r="A127" s="185" t="s">
        <v>140</v>
      </c>
      <c r="B127" s="290">
        <f>-6900-3000</f>
        <v>-9900</v>
      </c>
    </row>
    <row r="128" spans="1:2" x14ac:dyDescent="0.2">
      <c r="A128" s="185"/>
      <c r="B128" s="290"/>
    </row>
    <row r="129" spans="1:2" x14ac:dyDescent="0.2">
      <c r="A129" s="529" t="s">
        <v>468</v>
      </c>
      <c r="B129" s="530"/>
    </row>
    <row r="130" spans="1:2" x14ac:dyDescent="0.2">
      <c r="A130" s="198" t="s">
        <v>499</v>
      </c>
      <c r="B130" s="531"/>
    </row>
    <row r="131" spans="1:2" x14ac:dyDescent="0.2">
      <c r="A131" s="185"/>
      <c r="B131" s="107"/>
    </row>
    <row r="132" spans="1:2" x14ac:dyDescent="0.2">
      <c r="A132" s="191" t="s">
        <v>144</v>
      </c>
      <c r="B132" s="107"/>
    </row>
    <row r="133" spans="1:2" x14ac:dyDescent="0.2">
      <c r="A133" s="192" t="s">
        <v>491</v>
      </c>
      <c r="B133" s="407">
        <f>5000+18000</f>
        <v>23000</v>
      </c>
    </row>
    <row r="134" spans="1:2" x14ac:dyDescent="0.2">
      <c r="A134" s="185" t="s">
        <v>140</v>
      </c>
      <c r="B134" s="290">
        <f>5600-4800</f>
        <v>800</v>
      </c>
    </row>
    <row r="135" spans="1:2" x14ac:dyDescent="0.2">
      <c r="A135" s="532"/>
      <c r="B135" s="533"/>
    </row>
    <row r="136" spans="1:2" x14ac:dyDescent="0.2">
      <c r="A136" s="529" t="s">
        <v>468</v>
      </c>
      <c r="B136" s="530"/>
    </row>
    <row r="137" spans="1:2" x14ac:dyDescent="0.2">
      <c r="A137" s="198" t="s">
        <v>500</v>
      </c>
      <c r="B137" s="531"/>
    </row>
    <row r="138" spans="1:2" x14ac:dyDescent="0.2">
      <c r="A138" s="198"/>
      <c r="B138" s="531"/>
    </row>
    <row r="139" spans="1:2" x14ac:dyDescent="0.2">
      <c r="A139" s="191" t="s">
        <v>144</v>
      </c>
      <c r="B139" s="407"/>
    </row>
    <row r="140" spans="1:2" x14ac:dyDescent="0.2">
      <c r="A140" s="192" t="s">
        <v>506</v>
      </c>
      <c r="B140" s="407">
        <v>0</v>
      </c>
    </row>
    <row r="141" spans="1:2" x14ac:dyDescent="0.2">
      <c r="A141" s="185" t="s">
        <v>140</v>
      </c>
      <c r="B141" s="290">
        <v>435</v>
      </c>
    </row>
    <row r="142" spans="1:2" x14ac:dyDescent="0.2">
      <c r="A142" s="185"/>
      <c r="B142" s="290"/>
    </row>
    <row r="143" spans="1:2" x14ac:dyDescent="0.2">
      <c r="A143" s="175" t="s">
        <v>501</v>
      </c>
      <c r="B143" s="293">
        <f>B146</f>
        <v>0</v>
      </c>
    </row>
    <row r="144" spans="1:2" x14ac:dyDescent="0.2">
      <c r="A144" s="175"/>
      <c r="B144" s="293"/>
    </row>
    <row r="145" spans="1:2" x14ac:dyDescent="0.2">
      <c r="A145" s="191" t="s">
        <v>144</v>
      </c>
      <c r="B145" s="293"/>
    </row>
    <row r="146" spans="1:2" x14ac:dyDescent="0.2">
      <c r="A146" s="192" t="s">
        <v>502</v>
      </c>
      <c r="B146" s="276">
        <v>0</v>
      </c>
    </row>
    <row r="147" spans="1:2" x14ac:dyDescent="0.2">
      <c r="A147" s="532"/>
      <c r="B147" s="533"/>
    </row>
    <row r="148" spans="1:2" x14ac:dyDescent="0.2">
      <c r="A148" s="529" t="s">
        <v>468</v>
      </c>
      <c r="B148" s="530"/>
    </row>
    <row r="149" spans="1:2" ht="22.5" x14ac:dyDescent="0.2">
      <c r="A149" s="198" t="s">
        <v>503</v>
      </c>
      <c r="B149" s="531"/>
    </row>
    <row r="150" spans="1:2" x14ac:dyDescent="0.2">
      <c r="A150" s="192"/>
      <c r="B150" s="107"/>
    </row>
    <row r="151" spans="1:2" ht="15" x14ac:dyDescent="0.2">
      <c r="A151" s="184" t="s">
        <v>153</v>
      </c>
      <c r="B151" s="399">
        <f>B152</f>
        <v>4803</v>
      </c>
    </row>
    <row r="152" spans="1:2" x14ac:dyDescent="0.2">
      <c r="A152" s="175" t="s">
        <v>154</v>
      </c>
      <c r="B152" s="293">
        <f>B155</f>
        <v>4803</v>
      </c>
    </row>
    <row r="153" spans="1:2" x14ac:dyDescent="0.2">
      <c r="A153" s="198"/>
      <c r="B153" s="107"/>
    </row>
    <row r="154" spans="1:2" x14ac:dyDescent="0.2">
      <c r="A154" s="191" t="s">
        <v>144</v>
      </c>
      <c r="B154" s="107"/>
    </row>
    <row r="155" spans="1:2" x14ac:dyDescent="0.2">
      <c r="A155" s="192" t="s">
        <v>422</v>
      </c>
      <c r="B155" s="276">
        <f>5440-637</f>
        <v>4803</v>
      </c>
    </row>
    <row r="156" spans="1:2" x14ac:dyDescent="0.2">
      <c r="A156" s="185" t="s">
        <v>140</v>
      </c>
      <c r="B156" s="290">
        <v>-478</v>
      </c>
    </row>
    <row r="157" spans="1:2" x14ac:dyDescent="0.2">
      <c r="A157" s="192"/>
      <c r="B157" s="107"/>
    </row>
    <row r="158" spans="1:2" x14ac:dyDescent="0.2">
      <c r="A158" s="86" t="s">
        <v>139</v>
      </c>
      <c r="B158" s="293">
        <f>SUM(B160+B163+B168)</f>
        <v>-22741</v>
      </c>
    </row>
    <row r="159" spans="1:2" x14ac:dyDescent="0.2">
      <c r="A159" s="194"/>
      <c r="B159" s="107"/>
    </row>
    <row r="160" spans="1:2" x14ac:dyDescent="0.2">
      <c r="A160" s="213" t="s">
        <v>155</v>
      </c>
      <c r="B160" s="407">
        <f>1330-18000+148-779</f>
        <v>-17301</v>
      </c>
    </row>
    <row r="161" spans="1:2" x14ac:dyDescent="0.2">
      <c r="A161" s="164" t="s">
        <v>140</v>
      </c>
      <c r="B161" s="290">
        <v>-585</v>
      </c>
    </row>
    <row r="162" spans="1:2" x14ac:dyDescent="0.2">
      <c r="A162" s="194"/>
      <c r="B162" s="107"/>
    </row>
    <row r="163" spans="1:2" x14ac:dyDescent="0.2">
      <c r="A163" s="213" t="s">
        <v>156</v>
      </c>
      <c r="B163" s="407">
        <f>SUM(B164:B166)</f>
        <v>0</v>
      </c>
    </row>
    <row r="164" spans="1:2" x14ac:dyDescent="0.2">
      <c r="A164" s="374" t="s">
        <v>466</v>
      </c>
      <c r="B164" s="408">
        <v>6800</v>
      </c>
    </row>
    <row r="165" spans="1:2" x14ac:dyDescent="0.2">
      <c r="A165" s="217" t="s">
        <v>251</v>
      </c>
      <c r="B165" s="408">
        <v>-13000</v>
      </c>
    </row>
    <row r="166" spans="1:2" x14ac:dyDescent="0.2">
      <c r="A166" s="217" t="s">
        <v>423</v>
      </c>
      <c r="B166" s="408">
        <v>6200</v>
      </c>
    </row>
    <row r="167" spans="1:2" x14ac:dyDescent="0.2">
      <c r="A167" s="194"/>
      <c r="B167" s="107"/>
    </row>
    <row r="168" spans="1:2" x14ac:dyDescent="0.2">
      <c r="A168" s="213" t="s">
        <v>424</v>
      </c>
      <c r="B168" s="107">
        <f>SUM(B170+B171+B173+B174)</f>
        <v>-5440</v>
      </c>
    </row>
    <row r="169" spans="1:2" x14ac:dyDescent="0.2">
      <c r="A169" s="164" t="s">
        <v>140</v>
      </c>
      <c r="B169" s="290">
        <f>SUM(B172)</f>
        <v>-13</v>
      </c>
    </row>
    <row r="170" spans="1:2" x14ac:dyDescent="0.2">
      <c r="A170" s="165" t="s">
        <v>425</v>
      </c>
      <c r="B170" s="406">
        <v>720</v>
      </c>
    </row>
    <row r="171" spans="1:2" x14ac:dyDescent="0.2">
      <c r="A171" s="165" t="s">
        <v>426</v>
      </c>
      <c r="B171" s="406">
        <v>-440</v>
      </c>
    </row>
    <row r="172" spans="1:2" x14ac:dyDescent="0.2">
      <c r="A172" s="218" t="s">
        <v>140</v>
      </c>
      <c r="B172" s="406">
        <v>-13</v>
      </c>
    </row>
    <row r="173" spans="1:2" x14ac:dyDescent="0.2">
      <c r="A173" s="165" t="s">
        <v>245</v>
      </c>
      <c r="B173" s="406">
        <v>-5000</v>
      </c>
    </row>
    <row r="174" spans="1:2" x14ac:dyDescent="0.2">
      <c r="A174" s="176" t="s">
        <v>339</v>
      </c>
      <c r="B174" s="290">
        <f>SUM(B175:B175)</f>
        <v>-720</v>
      </c>
    </row>
    <row r="175" spans="1:2" x14ac:dyDescent="0.2">
      <c r="A175" s="190" t="s">
        <v>465</v>
      </c>
      <c r="B175" s="405">
        <v>-720</v>
      </c>
    </row>
    <row r="176" spans="1:2" x14ac:dyDescent="0.2">
      <c r="A176" s="376"/>
      <c r="B176" s="107"/>
    </row>
    <row r="177" spans="1:2" x14ac:dyDescent="0.2">
      <c r="A177" s="376"/>
      <c r="B177" s="107"/>
    </row>
    <row r="178" spans="1:2" ht="15.75" x14ac:dyDescent="0.2">
      <c r="A178" s="178" t="s">
        <v>130</v>
      </c>
      <c r="B178" s="107"/>
    </row>
    <row r="179" spans="1:2" x14ac:dyDescent="0.2">
      <c r="A179" s="377"/>
      <c r="B179" s="107"/>
    </row>
    <row r="180" spans="1:2" x14ac:dyDescent="0.2">
      <c r="A180" s="180" t="s">
        <v>135</v>
      </c>
      <c r="B180" s="289">
        <f>B185+B226</f>
        <v>810903</v>
      </c>
    </row>
    <row r="181" spans="1:2" x14ac:dyDescent="0.2">
      <c r="A181" s="193" t="s">
        <v>136</v>
      </c>
      <c r="B181" s="398">
        <f>B182+B183</f>
        <v>810903</v>
      </c>
    </row>
    <row r="182" spans="1:2" x14ac:dyDescent="0.2">
      <c r="A182" s="183" t="s">
        <v>137</v>
      </c>
      <c r="B182" s="6">
        <f>'2.2 OMATULUD'!B167-81720</f>
        <v>831203</v>
      </c>
    </row>
    <row r="183" spans="1:2" x14ac:dyDescent="0.2">
      <c r="A183" s="166" t="s">
        <v>138</v>
      </c>
      <c r="B183" s="6">
        <f>B180-B182</f>
        <v>-20300</v>
      </c>
    </row>
    <row r="184" spans="1:2" x14ac:dyDescent="0.2">
      <c r="A184" s="194"/>
      <c r="B184" s="409"/>
    </row>
    <row r="185" spans="1:2" ht="15" x14ac:dyDescent="0.2">
      <c r="A185" s="184" t="s">
        <v>157</v>
      </c>
      <c r="B185" s="399">
        <f>B186+B201+B208+B216</f>
        <v>22174</v>
      </c>
    </row>
    <row r="186" spans="1:2" x14ac:dyDescent="0.2">
      <c r="A186" s="175" t="s">
        <v>158</v>
      </c>
      <c r="B186" s="293">
        <f>B190+B194+B198</f>
        <v>19498</v>
      </c>
    </row>
    <row r="187" spans="1:2" x14ac:dyDescent="0.2">
      <c r="A187" s="176" t="s">
        <v>140</v>
      </c>
      <c r="B187" s="410">
        <f>B191+B195+B199</f>
        <v>3666</v>
      </c>
    </row>
    <row r="188" spans="1:2" x14ac:dyDescent="0.2">
      <c r="A188" s="196"/>
      <c r="B188" s="407"/>
    </row>
    <row r="189" spans="1:2" x14ac:dyDescent="0.2">
      <c r="A189" s="191" t="s">
        <v>144</v>
      </c>
      <c r="B189" s="407"/>
    </row>
    <row r="190" spans="1:2" x14ac:dyDescent="0.2">
      <c r="A190" s="192" t="s">
        <v>61</v>
      </c>
      <c r="B190" s="407">
        <v>0</v>
      </c>
    </row>
    <row r="191" spans="1:2" x14ac:dyDescent="0.2">
      <c r="A191" s="185" t="s">
        <v>140</v>
      </c>
      <c r="B191" s="410">
        <v>-2835</v>
      </c>
    </row>
    <row r="192" spans="1:2" x14ac:dyDescent="0.2">
      <c r="A192" s="194"/>
      <c r="B192" s="407"/>
    </row>
    <row r="193" spans="1:2" x14ac:dyDescent="0.2">
      <c r="A193" s="191" t="s">
        <v>144</v>
      </c>
      <c r="B193" s="407"/>
    </row>
    <row r="194" spans="1:2" ht="24" x14ac:dyDescent="0.2">
      <c r="A194" s="192" t="s">
        <v>427</v>
      </c>
      <c r="B194" s="407">
        <v>18826</v>
      </c>
    </row>
    <row r="195" spans="1:2" x14ac:dyDescent="0.2">
      <c r="A195" s="185" t="s">
        <v>140</v>
      </c>
      <c r="B195" s="410">
        <v>6000</v>
      </c>
    </row>
    <row r="196" spans="1:2" x14ac:dyDescent="0.2">
      <c r="A196" s="196"/>
      <c r="B196" s="407"/>
    </row>
    <row r="197" spans="1:2" x14ac:dyDescent="0.2">
      <c r="A197" s="191" t="s">
        <v>144</v>
      </c>
      <c r="B197" s="407"/>
    </row>
    <row r="198" spans="1:2" x14ac:dyDescent="0.2">
      <c r="A198" s="192" t="s">
        <v>287</v>
      </c>
      <c r="B198" s="407">
        <v>672</v>
      </c>
    </row>
    <row r="199" spans="1:2" x14ac:dyDescent="0.2">
      <c r="A199" s="185" t="s">
        <v>140</v>
      </c>
      <c r="B199" s="410">
        <v>501</v>
      </c>
    </row>
    <row r="200" spans="1:2" x14ac:dyDescent="0.2">
      <c r="A200" s="197"/>
      <c r="B200" s="407"/>
    </row>
    <row r="201" spans="1:2" x14ac:dyDescent="0.2">
      <c r="A201" s="175" t="s">
        <v>159</v>
      </c>
      <c r="B201" s="293">
        <f>B203+B206</f>
        <v>-23800</v>
      </c>
    </row>
    <row r="202" spans="1:2" x14ac:dyDescent="0.2">
      <c r="A202" s="191" t="s">
        <v>144</v>
      </c>
      <c r="B202" s="407"/>
    </row>
    <row r="203" spans="1:2" x14ac:dyDescent="0.2">
      <c r="A203" s="192" t="s">
        <v>288</v>
      </c>
      <c r="B203" s="407">
        <v>-33143</v>
      </c>
    </row>
    <row r="204" spans="1:2" x14ac:dyDescent="0.2">
      <c r="A204" s="195"/>
      <c r="B204" s="407"/>
    </row>
    <row r="205" spans="1:2" x14ac:dyDescent="0.2">
      <c r="A205" s="191" t="s">
        <v>144</v>
      </c>
      <c r="B205" s="407"/>
    </row>
    <row r="206" spans="1:2" x14ac:dyDescent="0.2">
      <c r="A206" s="192" t="s">
        <v>428</v>
      </c>
      <c r="B206" s="407">
        <v>9343</v>
      </c>
    </row>
    <row r="207" spans="1:2" x14ac:dyDescent="0.2">
      <c r="A207" s="195"/>
      <c r="B207" s="407"/>
    </row>
    <row r="208" spans="1:2" x14ac:dyDescent="0.2">
      <c r="A208" s="175" t="s">
        <v>160</v>
      </c>
      <c r="B208" s="293">
        <f>B211+B214</f>
        <v>9800</v>
      </c>
    </row>
    <row r="209" spans="1:2" x14ac:dyDescent="0.2">
      <c r="A209" s="86"/>
      <c r="B209" s="407"/>
    </row>
    <row r="210" spans="1:2" x14ac:dyDescent="0.2">
      <c r="A210" s="191" t="s">
        <v>144</v>
      </c>
      <c r="B210" s="407"/>
    </row>
    <row r="211" spans="1:2" x14ac:dyDescent="0.2">
      <c r="A211" s="192" t="s">
        <v>62</v>
      </c>
      <c r="B211" s="407">
        <v>4800</v>
      </c>
    </row>
    <row r="212" spans="1:2" x14ac:dyDescent="0.2">
      <c r="A212" s="199"/>
      <c r="B212" s="407"/>
    </row>
    <row r="213" spans="1:2" x14ac:dyDescent="0.2">
      <c r="A213" s="191" t="s">
        <v>144</v>
      </c>
      <c r="B213" s="407"/>
    </row>
    <row r="214" spans="1:2" x14ac:dyDescent="0.2">
      <c r="A214" s="192" t="s">
        <v>63</v>
      </c>
      <c r="B214" s="407">
        <v>5000</v>
      </c>
    </row>
    <row r="215" spans="1:2" x14ac:dyDescent="0.2">
      <c r="A215" s="196"/>
      <c r="B215" s="407"/>
    </row>
    <row r="216" spans="1:2" x14ac:dyDescent="0.2">
      <c r="A216" s="177" t="s">
        <v>161</v>
      </c>
      <c r="B216" s="293">
        <f>B220+B223</f>
        <v>16676</v>
      </c>
    </row>
    <row r="217" spans="1:2" x14ac:dyDescent="0.2">
      <c r="A217" s="176" t="s">
        <v>140</v>
      </c>
      <c r="B217" s="410">
        <f>B224</f>
        <v>2000</v>
      </c>
    </row>
    <row r="218" spans="1:2" x14ac:dyDescent="0.2">
      <c r="A218" s="201"/>
      <c r="B218" s="407"/>
    </row>
    <row r="219" spans="1:2" x14ac:dyDescent="0.2">
      <c r="A219" s="191" t="s">
        <v>144</v>
      </c>
      <c r="B219" s="407"/>
    </row>
    <row r="220" spans="1:2" x14ac:dyDescent="0.2">
      <c r="A220" s="192" t="s">
        <v>429</v>
      </c>
      <c r="B220" s="407">
        <v>14000</v>
      </c>
    </row>
    <row r="221" spans="1:2" x14ac:dyDescent="0.2">
      <c r="A221" s="202"/>
      <c r="B221" s="407"/>
    </row>
    <row r="222" spans="1:2" x14ac:dyDescent="0.2">
      <c r="A222" s="191" t="s">
        <v>144</v>
      </c>
      <c r="B222" s="407"/>
    </row>
    <row r="223" spans="1:2" x14ac:dyDescent="0.2">
      <c r="A223" s="192" t="s">
        <v>289</v>
      </c>
      <c r="B223" s="407">
        <v>2676</v>
      </c>
    </row>
    <row r="224" spans="1:2" x14ac:dyDescent="0.2">
      <c r="A224" s="185" t="s">
        <v>140</v>
      </c>
      <c r="B224" s="410">
        <v>2000</v>
      </c>
    </row>
    <row r="225" spans="1:2" x14ac:dyDescent="0.2">
      <c r="A225" s="202"/>
      <c r="B225" s="407"/>
    </row>
    <row r="226" spans="1:2" x14ac:dyDescent="0.2">
      <c r="A226" s="86" t="s">
        <v>139</v>
      </c>
      <c r="B226" s="293">
        <f>B228+B246</f>
        <v>788729</v>
      </c>
    </row>
    <row r="227" spans="1:2" x14ac:dyDescent="0.2">
      <c r="A227" s="203"/>
      <c r="B227" s="293"/>
    </row>
    <row r="228" spans="1:2" x14ac:dyDescent="0.2">
      <c r="A228" s="204" t="s">
        <v>519</v>
      </c>
      <c r="B228" s="411">
        <f>B230+B232+B235</f>
        <v>13770</v>
      </c>
    </row>
    <row r="229" spans="1:2" x14ac:dyDescent="0.2">
      <c r="A229" s="203"/>
      <c r="B229" s="407"/>
    </row>
    <row r="230" spans="1:2" x14ac:dyDescent="0.2">
      <c r="A230" s="205" t="s">
        <v>162</v>
      </c>
      <c r="B230" s="407">
        <v>-554</v>
      </c>
    </row>
    <row r="231" spans="1:2" x14ac:dyDescent="0.2">
      <c r="A231" s="194"/>
      <c r="B231" s="407"/>
    </row>
    <row r="232" spans="1:2" x14ac:dyDescent="0.2">
      <c r="A232" s="205" t="s">
        <v>290</v>
      </c>
      <c r="B232" s="407">
        <v>14324</v>
      </c>
    </row>
    <row r="233" spans="1:2" x14ac:dyDescent="0.2">
      <c r="A233" s="164" t="s">
        <v>140</v>
      </c>
      <c r="B233" s="410">
        <v>5000</v>
      </c>
    </row>
    <row r="234" spans="1:2" x14ac:dyDescent="0.2">
      <c r="A234" s="164"/>
      <c r="B234" s="407"/>
    </row>
    <row r="235" spans="1:2" x14ac:dyDescent="0.2">
      <c r="A235" s="205" t="s">
        <v>348</v>
      </c>
      <c r="B235" s="407">
        <f>B237+B243</f>
        <v>0</v>
      </c>
    </row>
    <row r="236" spans="1:2" x14ac:dyDescent="0.2">
      <c r="A236" s="205"/>
      <c r="B236" s="407"/>
    </row>
    <row r="237" spans="1:2" x14ac:dyDescent="0.2">
      <c r="A237" s="291" t="s">
        <v>430</v>
      </c>
      <c r="B237" s="407">
        <f>B238+B239+B241+B240</f>
        <v>-5000</v>
      </c>
    </row>
    <row r="238" spans="1:2" x14ac:dyDescent="0.2">
      <c r="A238" s="186" t="s">
        <v>431</v>
      </c>
      <c r="B238" s="409">
        <f>-46920-60000</f>
        <v>-106920</v>
      </c>
    </row>
    <row r="239" spans="1:2" x14ac:dyDescent="0.2">
      <c r="A239" s="375" t="s">
        <v>432</v>
      </c>
      <c r="B239" s="409">
        <v>40000</v>
      </c>
    </row>
    <row r="240" spans="1:2" x14ac:dyDescent="0.2">
      <c r="A240" s="375" t="s">
        <v>433</v>
      </c>
      <c r="B240" s="409">
        <v>60000</v>
      </c>
    </row>
    <row r="241" spans="1:2" x14ac:dyDescent="0.2">
      <c r="A241" s="186" t="s">
        <v>434</v>
      </c>
      <c r="B241" s="409">
        <v>1920</v>
      </c>
    </row>
    <row r="242" spans="1:2" x14ac:dyDescent="0.2">
      <c r="A242" s="186"/>
      <c r="B242" s="407"/>
    </row>
    <row r="243" spans="1:2" x14ac:dyDescent="0.2">
      <c r="A243" s="291" t="s">
        <v>349</v>
      </c>
      <c r="B243" s="407">
        <f>B244</f>
        <v>5000</v>
      </c>
    </row>
    <row r="244" spans="1:2" x14ac:dyDescent="0.2">
      <c r="A244" s="186" t="s">
        <v>435</v>
      </c>
      <c r="B244" s="409">
        <v>5000</v>
      </c>
    </row>
    <row r="245" spans="1:2" x14ac:dyDescent="0.2">
      <c r="A245" s="206"/>
      <c r="B245" s="407"/>
    </row>
    <row r="246" spans="1:2" x14ac:dyDescent="0.2">
      <c r="A246" s="207" t="s">
        <v>520</v>
      </c>
      <c r="B246" s="413">
        <f>B248+B251+B256+B254</f>
        <v>774959</v>
      </c>
    </row>
    <row r="247" spans="1:2" x14ac:dyDescent="0.2">
      <c r="A247" s="207"/>
      <c r="B247" s="407"/>
    </row>
    <row r="248" spans="1:2" x14ac:dyDescent="0.2">
      <c r="A248" s="205" t="s">
        <v>436</v>
      </c>
      <c r="B248" s="407">
        <f>876979-20300-81720</f>
        <v>774959</v>
      </c>
    </row>
    <row r="249" spans="1:2" x14ac:dyDescent="0.2">
      <c r="A249" s="164" t="s">
        <v>140</v>
      </c>
      <c r="B249" s="410">
        <f>636134-331255</f>
        <v>304879</v>
      </c>
    </row>
    <row r="250" spans="1:2" x14ac:dyDescent="0.2">
      <c r="A250" s="207"/>
      <c r="B250" s="407"/>
    </row>
    <row r="251" spans="1:2" x14ac:dyDescent="0.2">
      <c r="A251" s="205" t="s">
        <v>163</v>
      </c>
      <c r="B251" s="407">
        <f>B252</f>
        <v>18450</v>
      </c>
    </row>
    <row r="252" spans="1:2" x14ac:dyDescent="0.2">
      <c r="A252" s="203" t="s">
        <v>464</v>
      </c>
      <c r="B252" s="412">
        <v>18450</v>
      </c>
    </row>
    <row r="253" spans="1:2" x14ac:dyDescent="0.2">
      <c r="A253" s="203"/>
      <c r="B253" s="412"/>
    </row>
    <row r="254" spans="1:2" x14ac:dyDescent="0.2">
      <c r="A254" s="205" t="s">
        <v>478</v>
      </c>
      <c r="B254" s="407">
        <v>-25360</v>
      </c>
    </row>
    <row r="255" spans="1:2" x14ac:dyDescent="0.2">
      <c r="A255" s="209"/>
      <c r="B255" s="407"/>
    </row>
    <row r="256" spans="1:2" x14ac:dyDescent="0.2">
      <c r="A256" s="379" t="s">
        <v>437</v>
      </c>
      <c r="B256" s="407">
        <v>6910</v>
      </c>
    </row>
    <row r="257" spans="1:2" x14ac:dyDescent="0.2">
      <c r="A257" s="380"/>
      <c r="B257" s="407"/>
    </row>
    <row r="258" spans="1:2" x14ac:dyDescent="0.2">
      <c r="A258" s="380"/>
      <c r="B258" s="107"/>
    </row>
    <row r="259" spans="1:2" ht="15.75" x14ac:dyDescent="0.2">
      <c r="A259" s="219" t="s">
        <v>128</v>
      </c>
      <c r="B259" s="107"/>
    </row>
    <row r="260" spans="1:2" x14ac:dyDescent="0.2">
      <c r="A260" s="220"/>
      <c r="B260" s="107"/>
    </row>
    <row r="261" spans="1:2" x14ac:dyDescent="0.2">
      <c r="A261" s="220" t="s">
        <v>135</v>
      </c>
      <c r="B261" s="414">
        <f>B266</f>
        <v>29440</v>
      </c>
    </row>
    <row r="262" spans="1:2" x14ac:dyDescent="0.2">
      <c r="A262" s="221" t="s">
        <v>136</v>
      </c>
      <c r="B262" s="416">
        <f>B263+B264</f>
        <v>29440</v>
      </c>
    </row>
    <row r="263" spans="1:2" x14ac:dyDescent="0.2">
      <c r="A263" s="222" t="s">
        <v>137</v>
      </c>
      <c r="B263" s="415">
        <f>'2.2 OMATULUD'!B197</f>
        <v>21375</v>
      </c>
    </row>
    <row r="264" spans="1:2" x14ac:dyDescent="0.2">
      <c r="A264" s="223" t="s">
        <v>138</v>
      </c>
      <c r="B264" s="415">
        <f>B261-B263</f>
        <v>8065</v>
      </c>
    </row>
    <row r="265" spans="1:2" x14ac:dyDescent="0.2">
      <c r="A265" s="225"/>
      <c r="B265" s="418"/>
    </row>
    <row r="266" spans="1:2" x14ac:dyDescent="0.2">
      <c r="A266" s="220" t="s">
        <v>139</v>
      </c>
      <c r="B266" s="414">
        <f>B271+B275+B268</f>
        <v>29440</v>
      </c>
    </row>
    <row r="267" spans="1:2" x14ac:dyDescent="0.2">
      <c r="A267" s="220"/>
      <c r="B267" s="414"/>
    </row>
    <row r="268" spans="1:2" x14ac:dyDescent="0.2">
      <c r="A268" s="515" t="s">
        <v>128</v>
      </c>
      <c r="B268" s="407">
        <v>-2935</v>
      </c>
    </row>
    <row r="269" spans="1:2" x14ac:dyDescent="0.2">
      <c r="A269" s="216" t="s">
        <v>140</v>
      </c>
      <c r="B269" s="410">
        <v>-2202</v>
      </c>
    </row>
    <row r="270" spans="1:2" x14ac:dyDescent="0.2">
      <c r="A270" s="220"/>
      <c r="B270" s="414"/>
    </row>
    <row r="271" spans="1:2" x14ac:dyDescent="0.2">
      <c r="A271" s="209" t="s">
        <v>438</v>
      </c>
      <c r="B271" s="419">
        <f>B272+B273</f>
        <v>33300</v>
      </c>
    </row>
    <row r="272" spans="1:2" x14ac:dyDescent="0.2">
      <c r="A272" s="378" t="s">
        <v>439</v>
      </c>
      <c r="B272" s="420">
        <v>26300</v>
      </c>
    </row>
    <row r="273" spans="1:2" x14ac:dyDescent="0.2">
      <c r="A273" s="206" t="s">
        <v>440</v>
      </c>
      <c r="B273" s="405">
        <v>7000</v>
      </c>
    </row>
    <row r="274" spans="1:2" x14ac:dyDescent="0.2">
      <c r="A274" s="226"/>
      <c r="B274" s="421"/>
    </row>
    <row r="275" spans="1:2" x14ac:dyDescent="0.2">
      <c r="A275" s="187" t="s">
        <v>181</v>
      </c>
      <c r="B275" s="286">
        <v>-925</v>
      </c>
    </row>
    <row r="276" spans="1:2" x14ac:dyDescent="0.2">
      <c r="A276" s="370"/>
      <c r="B276" s="107"/>
    </row>
    <row r="277" spans="1:2" x14ac:dyDescent="0.2">
      <c r="A277" s="370"/>
      <c r="B277" s="107"/>
    </row>
    <row r="278" spans="1:2" ht="15.75" x14ac:dyDescent="0.2">
      <c r="A278" s="214" t="s">
        <v>232</v>
      </c>
      <c r="B278" s="107"/>
    </row>
    <row r="279" spans="1:2" x14ac:dyDescent="0.2">
      <c r="A279" s="381"/>
      <c r="B279" s="107"/>
    </row>
    <row r="280" spans="1:2" x14ac:dyDescent="0.2">
      <c r="A280" s="180" t="s">
        <v>135</v>
      </c>
      <c r="B280" s="293">
        <f>B286+B304</f>
        <v>171650</v>
      </c>
    </row>
    <row r="281" spans="1:2" x14ac:dyDescent="0.2">
      <c r="A281" s="193" t="s">
        <v>136</v>
      </c>
      <c r="B281" s="293">
        <f>B282+B283+B284</f>
        <v>171650</v>
      </c>
    </row>
    <row r="282" spans="1:2" x14ac:dyDescent="0.2">
      <c r="A282" s="183" t="s">
        <v>137</v>
      </c>
      <c r="B282" s="6">
        <f>'2.2 OMATULUD'!B207</f>
        <v>82200</v>
      </c>
    </row>
    <row r="283" spans="1:2" x14ac:dyDescent="0.2">
      <c r="A283" s="166" t="s">
        <v>124</v>
      </c>
      <c r="B283" s="6">
        <f>B321</f>
        <v>7450</v>
      </c>
    </row>
    <row r="284" spans="1:2" x14ac:dyDescent="0.2">
      <c r="A284" s="166" t="s">
        <v>138</v>
      </c>
      <c r="B284" s="390">
        <f>B280-B282-B283</f>
        <v>82000</v>
      </c>
    </row>
    <row r="285" spans="1:2" x14ac:dyDescent="0.2">
      <c r="A285" s="194"/>
      <c r="B285" s="409"/>
    </row>
    <row r="286" spans="1:2" ht="15" x14ac:dyDescent="0.2">
      <c r="A286" s="179" t="s">
        <v>164</v>
      </c>
      <c r="B286" s="399">
        <f>B287+B296</f>
        <v>68885</v>
      </c>
    </row>
    <row r="287" spans="1:2" x14ac:dyDescent="0.2">
      <c r="A287" s="210" t="s">
        <v>165</v>
      </c>
      <c r="B287" s="293">
        <f>B290+B293</f>
        <v>-13315</v>
      </c>
    </row>
    <row r="288" spans="1:2" x14ac:dyDescent="0.2">
      <c r="A288" s="176" t="s">
        <v>140</v>
      </c>
      <c r="B288" s="410">
        <f>B294</f>
        <v>-9100</v>
      </c>
    </row>
    <row r="289" spans="1:2" x14ac:dyDescent="0.2">
      <c r="A289" s="191" t="s">
        <v>144</v>
      </c>
      <c r="B289" s="407"/>
    </row>
    <row r="290" spans="1:2" x14ac:dyDescent="0.2">
      <c r="A290" s="192" t="s">
        <v>441</v>
      </c>
      <c r="B290" s="407">
        <v>-1315</v>
      </c>
    </row>
    <row r="291" spans="1:2" x14ac:dyDescent="0.2">
      <c r="A291" s="176"/>
      <c r="B291" s="407"/>
    </row>
    <row r="292" spans="1:2" x14ac:dyDescent="0.2">
      <c r="A292" s="191" t="s">
        <v>144</v>
      </c>
      <c r="B292" s="407"/>
    </row>
    <row r="293" spans="1:2" x14ac:dyDescent="0.2">
      <c r="A293" s="192" t="s">
        <v>442</v>
      </c>
      <c r="B293" s="407">
        <v>-12000</v>
      </c>
    </row>
    <row r="294" spans="1:2" x14ac:dyDescent="0.2">
      <c r="A294" s="185" t="s">
        <v>140</v>
      </c>
      <c r="B294" s="410">
        <v>-9100</v>
      </c>
    </row>
    <row r="295" spans="1:2" x14ac:dyDescent="0.2">
      <c r="A295" s="7"/>
      <c r="B295" s="407"/>
    </row>
    <row r="296" spans="1:2" x14ac:dyDescent="0.2">
      <c r="A296" s="210" t="s">
        <v>443</v>
      </c>
      <c r="B296" s="293">
        <f>B299+B302</f>
        <v>82200</v>
      </c>
    </row>
    <row r="297" spans="1:2" x14ac:dyDescent="0.2">
      <c r="A297" s="165"/>
      <c r="B297" s="407"/>
    </row>
    <row r="298" spans="1:2" x14ac:dyDescent="0.2">
      <c r="A298" s="191" t="s">
        <v>144</v>
      </c>
      <c r="B298" s="407"/>
    </row>
    <row r="299" spans="1:2" x14ac:dyDescent="0.2">
      <c r="A299" s="192" t="s">
        <v>444</v>
      </c>
      <c r="B299" s="407">
        <v>78700</v>
      </c>
    </row>
    <row r="300" spans="1:2" x14ac:dyDescent="0.2">
      <c r="A300" s="176"/>
      <c r="B300" s="407"/>
    </row>
    <row r="301" spans="1:2" x14ac:dyDescent="0.2">
      <c r="A301" s="191" t="s">
        <v>144</v>
      </c>
      <c r="B301" s="407"/>
    </row>
    <row r="302" spans="1:2" x14ac:dyDescent="0.2">
      <c r="A302" s="192" t="s">
        <v>445</v>
      </c>
      <c r="B302" s="407">
        <v>3500</v>
      </c>
    </row>
    <row r="303" spans="1:2" x14ac:dyDescent="0.2">
      <c r="A303" s="198"/>
      <c r="B303" s="407"/>
    </row>
    <row r="304" spans="1:2" x14ac:dyDescent="0.2">
      <c r="A304" s="180" t="s">
        <v>139</v>
      </c>
      <c r="B304" s="293">
        <f>B309+B313+B318+B306+B316</f>
        <v>102765</v>
      </c>
    </row>
    <row r="305" spans="1:2" x14ac:dyDescent="0.2">
      <c r="A305" s="180"/>
      <c r="B305" s="293"/>
    </row>
    <row r="306" spans="1:2" x14ac:dyDescent="0.2">
      <c r="A306" s="205" t="s">
        <v>483</v>
      </c>
      <c r="B306" s="407">
        <v>-2500</v>
      </c>
    </row>
    <row r="307" spans="1:2" x14ac:dyDescent="0.2">
      <c r="A307" s="164" t="s">
        <v>140</v>
      </c>
      <c r="B307" s="410">
        <v>-1876</v>
      </c>
    </row>
    <row r="308" spans="1:2" x14ac:dyDescent="0.2">
      <c r="A308" s="164"/>
      <c r="B308" s="407"/>
    </row>
    <row r="309" spans="1:2" x14ac:dyDescent="0.2">
      <c r="A309" s="187" t="s">
        <v>446</v>
      </c>
      <c r="B309" s="407">
        <f>B310+B311</f>
        <v>0</v>
      </c>
    </row>
    <row r="310" spans="1:2" x14ac:dyDescent="0.2">
      <c r="A310" s="211" t="s">
        <v>447</v>
      </c>
      <c r="B310" s="409">
        <v>-10000</v>
      </c>
    </row>
    <row r="311" spans="1:2" x14ac:dyDescent="0.2">
      <c r="A311" s="211" t="s">
        <v>448</v>
      </c>
      <c r="B311" s="409">
        <v>10000</v>
      </c>
    </row>
    <row r="312" spans="1:2" x14ac:dyDescent="0.2">
      <c r="A312" s="211"/>
      <c r="B312" s="407"/>
    </row>
    <row r="313" spans="1:2" x14ac:dyDescent="0.2">
      <c r="A313" s="205" t="s">
        <v>449</v>
      </c>
      <c r="B313" s="407">
        <v>12000</v>
      </c>
    </row>
    <row r="314" spans="1:2" x14ac:dyDescent="0.2">
      <c r="A314" s="164" t="s">
        <v>140</v>
      </c>
      <c r="B314" s="410">
        <v>9100</v>
      </c>
    </row>
    <row r="315" spans="1:2" x14ac:dyDescent="0.2">
      <c r="A315" s="164"/>
      <c r="B315" s="410"/>
    </row>
    <row r="316" spans="1:2" x14ac:dyDescent="0.2">
      <c r="A316" s="205" t="s">
        <v>563</v>
      </c>
      <c r="B316" s="407">
        <v>84500</v>
      </c>
    </row>
    <row r="317" spans="1:2" x14ac:dyDescent="0.2">
      <c r="A317" s="187"/>
      <c r="B317" s="407"/>
    </row>
    <row r="318" spans="1:2" ht="25.5" x14ac:dyDescent="0.2">
      <c r="A318" s="209" t="s">
        <v>512</v>
      </c>
      <c r="B318" s="407">
        <v>8765</v>
      </c>
    </row>
    <row r="319" spans="1:2" x14ac:dyDescent="0.2">
      <c r="A319" s="164" t="s">
        <v>140</v>
      </c>
      <c r="B319" s="410">
        <v>2930</v>
      </c>
    </row>
    <row r="320" spans="1:2" x14ac:dyDescent="0.2">
      <c r="A320" s="164"/>
      <c r="B320" s="410"/>
    </row>
    <row r="321" spans="1:2" x14ac:dyDescent="0.2">
      <c r="A321" s="165" t="s">
        <v>146</v>
      </c>
      <c r="B321" s="410">
        <v>7450</v>
      </c>
    </row>
    <row r="322" spans="1:2" x14ac:dyDescent="0.2">
      <c r="A322" s="165"/>
      <c r="B322" s="290"/>
    </row>
    <row r="323" spans="1:2" x14ac:dyDescent="0.2">
      <c r="A323" s="382"/>
      <c r="B323" s="107"/>
    </row>
    <row r="324" spans="1:2" ht="15.75" x14ac:dyDescent="0.2">
      <c r="A324" s="178" t="s">
        <v>126</v>
      </c>
      <c r="B324" s="107"/>
    </row>
    <row r="325" spans="1:2" x14ac:dyDescent="0.2">
      <c r="A325" s="382"/>
      <c r="B325" s="107"/>
    </row>
    <row r="326" spans="1:2" x14ac:dyDescent="0.2">
      <c r="A326" s="180" t="s">
        <v>135</v>
      </c>
      <c r="B326" s="289">
        <f>SUM(B337,B332)</f>
        <v>6749</v>
      </c>
    </row>
    <row r="327" spans="1:2" x14ac:dyDescent="0.2">
      <c r="A327" s="193" t="s">
        <v>136</v>
      </c>
      <c r="B327" s="398">
        <f>SUM(B328:B330)</f>
        <v>6749</v>
      </c>
    </row>
    <row r="328" spans="1:2" x14ac:dyDescent="0.2">
      <c r="A328" s="183" t="s">
        <v>137</v>
      </c>
      <c r="B328" s="390">
        <f>'2.2 OMATULUD'!B214</f>
        <v>-4250</v>
      </c>
    </row>
    <row r="329" spans="1:2" x14ac:dyDescent="0.2">
      <c r="A329" s="166" t="s">
        <v>124</v>
      </c>
      <c r="B329" s="390">
        <f>B345+B349</f>
        <v>12750</v>
      </c>
    </row>
    <row r="330" spans="1:2" x14ac:dyDescent="0.2">
      <c r="A330" s="166" t="s">
        <v>138</v>
      </c>
      <c r="B330" s="390">
        <f>B326-B329-B328</f>
        <v>-1751</v>
      </c>
    </row>
    <row r="331" spans="1:2" x14ac:dyDescent="0.2">
      <c r="A331" s="166"/>
      <c r="B331" s="390"/>
    </row>
    <row r="332" spans="1:2" ht="15" x14ac:dyDescent="0.2">
      <c r="A332" s="179" t="s">
        <v>564</v>
      </c>
      <c r="B332" s="422">
        <f>B333</f>
        <v>-4250</v>
      </c>
    </row>
    <row r="333" spans="1:2" x14ac:dyDescent="0.2">
      <c r="A333" s="175" t="s">
        <v>565</v>
      </c>
      <c r="B333" s="293">
        <f>B335</f>
        <v>-4250</v>
      </c>
    </row>
    <row r="334" spans="1:2" x14ac:dyDescent="0.2">
      <c r="A334" s="191" t="s">
        <v>144</v>
      </c>
      <c r="B334" s="293"/>
    </row>
    <row r="335" spans="1:2" x14ac:dyDescent="0.2">
      <c r="A335" s="192" t="s">
        <v>566</v>
      </c>
      <c r="B335" s="276">
        <v>-4250</v>
      </c>
    </row>
    <row r="336" spans="1:2" x14ac:dyDescent="0.2">
      <c r="A336" s="228"/>
      <c r="B336" s="276"/>
    </row>
    <row r="337" spans="1:2" x14ac:dyDescent="0.2">
      <c r="A337" s="180" t="s">
        <v>139</v>
      </c>
      <c r="B337" s="289">
        <f>SUM(B342,B339,B347)</f>
        <v>10999</v>
      </c>
    </row>
    <row r="338" spans="1:2" x14ac:dyDescent="0.2">
      <c r="A338" s="180"/>
      <c r="B338" s="289"/>
    </row>
    <row r="339" spans="1:2" x14ac:dyDescent="0.2">
      <c r="A339" s="187" t="s">
        <v>126</v>
      </c>
      <c r="B339" s="419">
        <v>-4001</v>
      </c>
    </row>
    <row r="340" spans="1:2" x14ac:dyDescent="0.2">
      <c r="A340" s="164" t="s">
        <v>140</v>
      </c>
      <c r="B340" s="290">
        <v>-3002</v>
      </c>
    </row>
    <row r="341" spans="1:2" x14ac:dyDescent="0.2">
      <c r="A341" s="165"/>
      <c r="B341" s="406"/>
    </row>
    <row r="342" spans="1:2" ht="25.5" x14ac:dyDescent="0.2">
      <c r="A342" s="209" t="s">
        <v>511</v>
      </c>
      <c r="B342" s="419">
        <v>10000</v>
      </c>
    </row>
    <row r="343" spans="1:2" x14ac:dyDescent="0.2">
      <c r="A343" s="164" t="s">
        <v>140</v>
      </c>
      <c r="B343" s="290">
        <v>6300</v>
      </c>
    </row>
    <row r="344" spans="1:2" x14ac:dyDescent="0.2">
      <c r="A344" s="230"/>
      <c r="B344" s="420"/>
    </row>
    <row r="345" spans="1:2" x14ac:dyDescent="0.2">
      <c r="A345" s="165" t="s">
        <v>146</v>
      </c>
      <c r="B345" s="406">
        <v>8500</v>
      </c>
    </row>
    <row r="346" spans="1:2" x14ac:dyDescent="0.2">
      <c r="A346" s="165"/>
      <c r="B346" s="406"/>
    </row>
    <row r="347" spans="1:2" x14ac:dyDescent="0.2">
      <c r="A347" s="209" t="s">
        <v>567</v>
      </c>
      <c r="B347" s="419">
        <v>5000</v>
      </c>
    </row>
    <row r="348" spans="1:2" x14ac:dyDescent="0.2">
      <c r="A348" s="230"/>
      <c r="B348" s="420"/>
    </row>
    <row r="349" spans="1:2" x14ac:dyDescent="0.2">
      <c r="A349" s="165" t="s">
        <v>146</v>
      </c>
      <c r="B349" s="406">
        <v>4250</v>
      </c>
    </row>
    <row r="350" spans="1:2" x14ac:dyDescent="0.2">
      <c r="A350" s="380"/>
      <c r="B350" s="423"/>
    </row>
    <row r="351" spans="1:2" x14ac:dyDescent="0.2">
      <c r="A351" s="205"/>
      <c r="B351" s="423"/>
    </row>
    <row r="352" spans="1:2" ht="15.75" x14ac:dyDescent="0.2">
      <c r="A352" s="178" t="s">
        <v>167</v>
      </c>
      <c r="B352" s="241"/>
    </row>
    <row r="353" spans="1:2" x14ac:dyDescent="0.2">
      <c r="A353" s="180"/>
      <c r="B353" s="289"/>
    </row>
    <row r="354" spans="1:2" x14ac:dyDescent="0.2">
      <c r="A354" s="180" t="s">
        <v>135</v>
      </c>
      <c r="B354" s="289">
        <f>SUM(B359,B369)</f>
        <v>1244623</v>
      </c>
    </row>
    <row r="355" spans="1:2" x14ac:dyDescent="0.2">
      <c r="A355" s="193" t="s">
        <v>136</v>
      </c>
      <c r="B355" s="398">
        <f>SUM(B356:B357)</f>
        <v>1244623</v>
      </c>
    </row>
    <row r="356" spans="1:2" x14ac:dyDescent="0.2">
      <c r="A356" s="183" t="s">
        <v>137</v>
      </c>
      <c r="B356" s="390">
        <f>'2.2 OMATULUD'!B218</f>
        <v>44623</v>
      </c>
    </row>
    <row r="357" spans="1:2" x14ac:dyDescent="0.2">
      <c r="A357" s="166" t="s">
        <v>138</v>
      </c>
      <c r="B357" s="390">
        <f>B354-B356</f>
        <v>1200000</v>
      </c>
    </row>
    <row r="358" spans="1:2" x14ac:dyDescent="0.2">
      <c r="A358" s="227"/>
      <c r="B358" s="390"/>
    </row>
    <row r="359" spans="1:2" ht="15" x14ac:dyDescent="0.2">
      <c r="A359" s="179" t="s">
        <v>248</v>
      </c>
      <c r="B359" s="422">
        <f>SUM(B360)</f>
        <v>1204623</v>
      </c>
    </row>
    <row r="360" spans="1:2" x14ac:dyDescent="0.2">
      <c r="A360" s="175" t="s">
        <v>249</v>
      </c>
      <c r="B360" s="293">
        <f>SUM(B362,B365)</f>
        <v>1204623</v>
      </c>
    </row>
    <row r="361" spans="1:2" x14ac:dyDescent="0.2">
      <c r="A361" s="191" t="s">
        <v>144</v>
      </c>
      <c r="B361" s="293"/>
    </row>
    <row r="362" spans="1:2" x14ac:dyDescent="0.2">
      <c r="A362" s="192" t="s">
        <v>168</v>
      </c>
      <c r="B362" s="276">
        <v>1200000</v>
      </c>
    </row>
    <row r="363" spans="1:2" x14ac:dyDescent="0.2">
      <c r="A363" s="196"/>
      <c r="B363" s="276"/>
    </row>
    <row r="364" spans="1:2" x14ac:dyDescent="0.2">
      <c r="A364" s="191" t="s">
        <v>144</v>
      </c>
      <c r="B364" s="293"/>
    </row>
    <row r="365" spans="1:2" x14ac:dyDescent="0.2">
      <c r="A365" s="192" t="s">
        <v>169</v>
      </c>
      <c r="B365" s="276">
        <v>4623</v>
      </c>
    </row>
    <row r="366" spans="1:2" x14ac:dyDescent="0.2">
      <c r="A366" s="224"/>
      <c r="B366" s="417"/>
    </row>
    <row r="367" spans="1:2" x14ac:dyDescent="0.2">
      <c r="A367" s="188" t="s">
        <v>250</v>
      </c>
      <c r="B367" s="405"/>
    </row>
    <row r="368" spans="1:2" x14ac:dyDescent="0.2">
      <c r="A368" s="188"/>
      <c r="B368" s="405"/>
    </row>
    <row r="369" spans="1:2" ht="15" x14ac:dyDescent="0.2">
      <c r="A369" s="179" t="s">
        <v>171</v>
      </c>
      <c r="B369" s="422">
        <f>SUM(B370)</f>
        <v>40000</v>
      </c>
    </row>
    <row r="370" spans="1:2" x14ac:dyDescent="0.2">
      <c r="A370" s="175" t="s">
        <v>172</v>
      </c>
      <c r="B370" s="293">
        <f>B373</f>
        <v>40000</v>
      </c>
    </row>
    <row r="371" spans="1:2" x14ac:dyDescent="0.2">
      <c r="A371" s="176" t="s">
        <v>140</v>
      </c>
      <c r="B371" s="290">
        <f>B374</f>
        <v>15000</v>
      </c>
    </row>
    <row r="372" spans="1:2" x14ac:dyDescent="0.2">
      <c r="A372" s="191" t="s">
        <v>144</v>
      </c>
      <c r="B372" s="293"/>
    </row>
    <row r="373" spans="1:2" x14ac:dyDescent="0.2">
      <c r="A373" s="192" t="s">
        <v>450</v>
      </c>
      <c r="B373" s="276">
        <v>40000</v>
      </c>
    </row>
    <row r="374" spans="1:2" x14ac:dyDescent="0.2">
      <c r="A374" s="185" t="s">
        <v>140</v>
      </c>
      <c r="B374" s="290">
        <v>15000</v>
      </c>
    </row>
    <row r="375" spans="1:2" x14ac:dyDescent="0.2">
      <c r="A375" s="189"/>
      <c r="B375" s="404"/>
    </row>
    <row r="376" spans="1:2" x14ac:dyDescent="0.2">
      <c r="A376" s="209" t="s">
        <v>451</v>
      </c>
      <c r="B376" s="419">
        <f>B377+B378</f>
        <v>0</v>
      </c>
    </row>
    <row r="377" spans="1:2" x14ac:dyDescent="0.2">
      <c r="A377" s="186" t="s">
        <v>452</v>
      </c>
      <c r="B377" s="292">
        <v>-1017</v>
      </c>
    </row>
    <row r="378" spans="1:2" x14ac:dyDescent="0.2">
      <c r="A378" s="186" t="s">
        <v>453</v>
      </c>
      <c r="B378" s="292">
        <v>1017</v>
      </c>
    </row>
    <row r="379" spans="1:2" x14ac:dyDescent="0.2">
      <c r="A379" s="205"/>
      <c r="B379" s="423"/>
    </row>
    <row r="380" spans="1:2" x14ac:dyDescent="0.2">
      <c r="A380" s="188" t="s">
        <v>504</v>
      </c>
      <c r="B380" s="424"/>
    </row>
    <row r="381" spans="1:2" x14ac:dyDescent="0.2">
      <c r="A381" s="188"/>
      <c r="B381" s="424"/>
    </row>
    <row r="382" spans="1:2" x14ac:dyDescent="0.2">
      <c r="A382" s="188"/>
      <c r="B382" s="424"/>
    </row>
    <row r="383" spans="1:2" ht="15.75" x14ac:dyDescent="0.2">
      <c r="A383" s="178" t="s">
        <v>170</v>
      </c>
      <c r="B383" s="241"/>
    </row>
    <row r="384" spans="1:2" x14ac:dyDescent="0.2">
      <c r="A384" s="180"/>
      <c r="B384" s="289"/>
    </row>
    <row r="385" spans="1:2" x14ac:dyDescent="0.2">
      <c r="A385" s="180" t="s">
        <v>135</v>
      </c>
      <c r="B385" s="289">
        <f>SUM(B390,B404,B408)</f>
        <v>-469647</v>
      </c>
    </row>
    <row r="386" spans="1:2" x14ac:dyDescent="0.2">
      <c r="A386" s="193" t="s">
        <v>136</v>
      </c>
      <c r="B386" s="398">
        <f>SUM(B387:B388)</f>
        <v>-469647</v>
      </c>
    </row>
    <row r="387" spans="1:2" x14ac:dyDescent="0.2">
      <c r="A387" s="183" t="s">
        <v>137</v>
      </c>
      <c r="B387" s="390">
        <f>'2.2 OMATULUD'!B228</f>
        <v>-130900</v>
      </c>
    </row>
    <row r="388" spans="1:2" x14ac:dyDescent="0.2">
      <c r="A388" s="166" t="s">
        <v>138</v>
      </c>
      <c r="B388" s="390">
        <f>B385-B387</f>
        <v>-338747</v>
      </c>
    </row>
    <row r="389" spans="1:2" x14ac:dyDescent="0.2">
      <c r="A389" s="227"/>
      <c r="B389" s="407"/>
    </row>
    <row r="390" spans="1:2" ht="15" x14ac:dyDescent="0.2">
      <c r="A390" s="231" t="s">
        <v>171</v>
      </c>
      <c r="B390" s="425">
        <f>SUM(B392,B397)</f>
        <v>-480900</v>
      </c>
    </row>
    <row r="391" spans="1:2" x14ac:dyDescent="0.2">
      <c r="A391" s="200"/>
      <c r="B391" s="407"/>
    </row>
    <row r="392" spans="1:2" x14ac:dyDescent="0.2">
      <c r="A392" s="175" t="s">
        <v>66</v>
      </c>
      <c r="B392" s="293">
        <f>B394</f>
        <v>33000</v>
      </c>
    </row>
    <row r="393" spans="1:2" x14ac:dyDescent="0.2">
      <c r="A393" s="191" t="s">
        <v>144</v>
      </c>
      <c r="B393" s="407"/>
    </row>
    <row r="394" spans="1:2" x14ac:dyDescent="0.2">
      <c r="A394" s="192" t="s">
        <v>293</v>
      </c>
      <c r="B394" s="407">
        <v>33000</v>
      </c>
    </row>
    <row r="395" spans="1:2" x14ac:dyDescent="0.2">
      <c r="A395" s="185" t="s">
        <v>140</v>
      </c>
      <c r="B395" s="6">
        <v>5000</v>
      </c>
    </row>
    <row r="396" spans="1:2" x14ac:dyDescent="0.2">
      <c r="A396" s="228"/>
      <c r="B396" s="407"/>
    </row>
    <row r="397" spans="1:2" x14ac:dyDescent="0.2">
      <c r="A397" s="175" t="s">
        <v>67</v>
      </c>
      <c r="B397" s="293">
        <f>B399+B402</f>
        <v>-513900</v>
      </c>
    </row>
    <row r="398" spans="1:2" x14ac:dyDescent="0.2">
      <c r="A398" s="191" t="s">
        <v>144</v>
      </c>
      <c r="B398" s="407"/>
    </row>
    <row r="399" spans="1:2" x14ac:dyDescent="0.2">
      <c r="A399" s="192" t="s">
        <v>294</v>
      </c>
      <c r="B399" s="407">
        <v>-500000</v>
      </c>
    </row>
    <row r="400" spans="1:2" x14ac:dyDescent="0.2">
      <c r="A400" s="283"/>
      <c r="B400" s="407"/>
    </row>
    <row r="401" spans="1:2" x14ac:dyDescent="0.2">
      <c r="A401" s="191" t="s">
        <v>144</v>
      </c>
      <c r="B401" s="407"/>
    </row>
    <row r="402" spans="1:2" x14ac:dyDescent="0.2">
      <c r="A402" s="192" t="s">
        <v>235</v>
      </c>
      <c r="B402" s="407">
        <v>-13900</v>
      </c>
    </row>
    <row r="403" spans="1:2" x14ac:dyDescent="0.2">
      <c r="A403" s="283"/>
      <c r="B403" s="407"/>
    </row>
    <row r="404" spans="1:2" ht="15" x14ac:dyDescent="0.2">
      <c r="A404" s="184" t="s">
        <v>148</v>
      </c>
      <c r="B404" s="399">
        <f>SUM(B405)</f>
        <v>17260</v>
      </c>
    </row>
    <row r="405" spans="1:2" x14ac:dyDescent="0.2">
      <c r="A405" s="175" t="s">
        <v>295</v>
      </c>
      <c r="B405" s="407">
        <v>17260</v>
      </c>
    </row>
    <row r="406" spans="1:2" x14ac:dyDescent="0.2">
      <c r="A406" s="176" t="s">
        <v>140</v>
      </c>
      <c r="B406" s="410">
        <v>12900</v>
      </c>
    </row>
    <row r="407" spans="1:2" x14ac:dyDescent="0.2">
      <c r="A407" s="229"/>
      <c r="B407" s="407"/>
    </row>
    <row r="408" spans="1:2" x14ac:dyDescent="0.2">
      <c r="A408" s="180" t="s">
        <v>139</v>
      </c>
      <c r="B408" s="289">
        <f>B413+B410</f>
        <v>-6007</v>
      </c>
    </row>
    <row r="409" spans="1:2" x14ac:dyDescent="0.2">
      <c r="A409" s="180"/>
      <c r="B409" s="289"/>
    </row>
    <row r="410" spans="1:2" x14ac:dyDescent="0.2">
      <c r="A410" s="187" t="s">
        <v>481</v>
      </c>
      <c r="B410" s="419">
        <v>-3007</v>
      </c>
    </row>
    <row r="411" spans="1:2" x14ac:dyDescent="0.2">
      <c r="A411" s="164" t="s">
        <v>140</v>
      </c>
      <c r="B411" s="290">
        <v>-2256</v>
      </c>
    </row>
    <row r="412" spans="1:2" x14ac:dyDescent="0.2">
      <c r="A412" s="283"/>
      <c r="B412" s="407"/>
    </row>
    <row r="413" spans="1:2" x14ac:dyDescent="0.2">
      <c r="A413" s="209" t="s">
        <v>176</v>
      </c>
      <c r="B413" s="407">
        <v>-3000</v>
      </c>
    </row>
    <row r="414" spans="1:2" x14ac:dyDescent="0.2">
      <c r="A414" s="203" t="s">
        <v>467</v>
      </c>
      <c r="B414" s="407"/>
    </row>
    <row r="415" spans="1:2" x14ac:dyDescent="0.2">
      <c r="A415" s="203"/>
      <c r="B415" s="407"/>
    </row>
    <row r="416" spans="1:2" x14ac:dyDescent="0.2">
      <c r="A416" s="203"/>
      <c r="B416" s="407"/>
    </row>
    <row r="417" spans="1:2" ht="15.75" x14ac:dyDescent="0.2">
      <c r="A417" s="214" t="s">
        <v>482</v>
      </c>
      <c r="B417" s="407"/>
    </row>
    <row r="418" spans="1:2" x14ac:dyDescent="0.2">
      <c r="A418" s="194"/>
      <c r="B418" s="407"/>
    </row>
    <row r="419" spans="1:2" x14ac:dyDescent="0.2">
      <c r="A419" s="180" t="s">
        <v>135</v>
      </c>
      <c r="B419" s="289">
        <f>B423+B426</f>
        <v>-36174</v>
      </c>
    </row>
    <row r="420" spans="1:2" x14ac:dyDescent="0.2">
      <c r="A420" s="193" t="s">
        <v>136</v>
      </c>
      <c r="B420" s="398">
        <f>B421</f>
        <v>-36174</v>
      </c>
    </row>
    <row r="421" spans="1:2" x14ac:dyDescent="0.2">
      <c r="A421" s="183" t="s">
        <v>480</v>
      </c>
      <c r="B421" s="390">
        <f>B419</f>
        <v>-36174</v>
      </c>
    </row>
    <row r="422" spans="1:2" x14ac:dyDescent="0.2">
      <c r="A422" s="183"/>
      <c r="B422" s="407"/>
    </row>
    <row r="423" spans="1:2" x14ac:dyDescent="0.2">
      <c r="A423" s="205" t="s">
        <v>482</v>
      </c>
      <c r="B423" s="407">
        <v>-8788</v>
      </c>
    </row>
    <row r="424" spans="1:2" x14ac:dyDescent="0.2">
      <c r="A424" s="164" t="s">
        <v>140</v>
      </c>
      <c r="B424" s="407">
        <v>-6593</v>
      </c>
    </row>
    <row r="425" spans="1:2" x14ac:dyDescent="0.2">
      <c r="A425" s="164"/>
      <c r="B425" s="407"/>
    </row>
    <row r="426" spans="1:2" x14ac:dyDescent="0.2">
      <c r="A426" s="205" t="s">
        <v>485</v>
      </c>
      <c r="B426" s="407">
        <v>-27386</v>
      </c>
    </row>
    <row r="427" spans="1:2" x14ac:dyDescent="0.2">
      <c r="A427" s="203"/>
      <c r="B427" s="407"/>
    </row>
    <row r="428" spans="1:2" x14ac:dyDescent="0.2">
      <c r="A428" s="203"/>
      <c r="B428" s="407"/>
    </row>
    <row r="429" spans="1:2" ht="15.75" x14ac:dyDescent="0.2">
      <c r="A429" s="178" t="s">
        <v>129</v>
      </c>
      <c r="B429" s="407"/>
    </row>
    <row r="430" spans="1:2" x14ac:dyDescent="0.2">
      <c r="A430" s="180"/>
      <c r="B430" s="407"/>
    </row>
    <row r="431" spans="1:2" x14ac:dyDescent="0.2">
      <c r="A431" s="180" t="s">
        <v>135</v>
      </c>
      <c r="B431" s="289">
        <f>SUM(B435)</f>
        <v>-19668</v>
      </c>
    </row>
    <row r="432" spans="1:2" x14ac:dyDescent="0.2">
      <c r="A432" s="193" t="s">
        <v>136</v>
      </c>
      <c r="B432" s="398">
        <f>SUM(B433)</f>
        <v>-19668</v>
      </c>
    </row>
    <row r="433" spans="1:2" x14ac:dyDescent="0.2">
      <c r="A433" s="183" t="s">
        <v>480</v>
      </c>
      <c r="B433" s="390">
        <f>B431</f>
        <v>-19668</v>
      </c>
    </row>
    <row r="434" spans="1:2" x14ac:dyDescent="0.2">
      <c r="A434" s="194"/>
      <c r="B434" s="407"/>
    </row>
    <row r="435" spans="1:2" x14ac:dyDescent="0.2">
      <c r="A435" s="209" t="s">
        <v>129</v>
      </c>
      <c r="B435" s="419">
        <v>-19668</v>
      </c>
    </row>
    <row r="436" spans="1:2" x14ac:dyDescent="0.2">
      <c r="A436" s="164" t="s">
        <v>140</v>
      </c>
      <c r="B436" s="290">
        <v>-14755</v>
      </c>
    </row>
    <row r="437" spans="1:2" x14ac:dyDescent="0.2">
      <c r="A437" s="164"/>
      <c r="B437" s="107"/>
    </row>
    <row r="438" spans="1:2" x14ac:dyDescent="0.2">
      <c r="A438" s="373"/>
      <c r="B438" s="107"/>
    </row>
    <row r="439" spans="1:2" ht="15.75" x14ac:dyDescent="0.2">
      <c r="A439" s="178" t="s">
        <v>173</v>
      </c>
      <c r="B439" s="107"/>
    </row>
    <row r="440" spans="1:2" x14ac:dyDescent="0.2">
      <c r="A440" s="194"/>
      <c r="B440" s="107"/>
    </row>
    <row r="441" spans="1:2" x14ac:dyDescent="0.2">
      <c r="A441" s="180" t="s">
        <v>135</v>
      </c>
      <c r="B441" s="60">
        <f>B446</f>
        <v>14511</v>
      </c>
    </row>
    <row r="442" spans="1:2" x14ac:dyDescent="0.2">
      <c r="A442" s="193" t="s">
        <v>136</v>
      </c>
      <c r="B442" s="60">
        <f>B443+B444</f>
        <v>14511</v>
      </c>
    </row>
    <row r="443" spans="1:2" x14ac:dyDescent="0.2">
      <c r="A443" s="183" t="s">
        <v>137</v>
      </c>
      <c r="B443" s="107">
        <f>'2.2 OMATULUD'!B249</f>
        <v>18000</v>
      </c>
    </row>
    <row r="444" spans="1:2" x14ac:dyDescent="0.2">
      <c r="A444" s="166" t="s">
        <v>138</v>
      </c>
      <c r="B444" s="390">
        <f>B441-B443</f>
        <v>-3489</v>
      </c>
    </row>
    <row r="445" spans="1:2" x14ac:dyDescent="0.2">
      <c r="A445" s="215"/>
      <c r="B445" s="107"/>
    </row>
    <row r="446" spans="1:2" x14ac:dyDescent="0.2">
      <c r="A446" s="226" t="s">
        <v>139</v>
      </c>
      <c r="B446" s="421">
        <f>B451+B453+B448</f>
        <v>14511</v>
      </c>
    </row>
    <row r="447" spans="1:2" x14ac:dyDescent="0.2">
      <c r="A447" s="226"/>
      <c r="B447" s="421"/>
    </row>
    <row r="448" spans="1:2" x14ac:dyDescent="0.2">
      <c r="A448" s="205" t="s">
        <v>175</v>
      </c>
      <c r="B448" s="509">
        <v>-3489</v>
      </c>
    </row>
    <row r="449" spans="1:2" x14ac:dyDescent="0.2">
      <c r="A449" s="164" t="s">
        <v>140</v>
      </c>
      <c r="B449" s="290">
        <v>-2618</v>
      </c>
    </row>
    <row r="450" spans="1:2" x14ac:dyDescent="0.2">
      <c r="A450" s="205"/>
      <c r="B450" s="284"/>
    </row>
    <row r="451" spans="1:2" x14ac:dyDescent="0.2">
      <c r="A451" s="237" t="s">
        <v>261</v>
      </c>
      <c r="B451" s="285">
        <v>3000</v>
      </c>
    </row>
    <row r="452" spans="1:2" x14ac:dyDescent="0.2">
      <c r="A452" s="213"/>
      <c r="B452" s="407"/>
    </row>
    <row r="453" spans="1:2" x14ac:dyDescent="0.2">
      <c r="A453" s="209" t="s">
        <v>176</v>
      </c>
      <c r="B453" s="419">
        <v>15000</v>
      </c>
    </row>
    <row r="454" spans="1:2" x14ac:dyDescent="0.2">
      <c r="A454" s="194"/>
      <c r="B454" s="107"/>
    </row>
    <row r="455" spans="1:2" x14ac:dyDescent="0.2">
      <c r="A455" s="194"/>
      <c r="B455" s="107"/>
    </row>
    <row r="456" spans="1:2" ht="15.75" x14ac:dyDescent="0.2">
      <c r="A456" s="178" t="s">
        <v>177</v>
      </c>
      <c r="B456" s="107"/>
    </row>
    <row r="457" spans="1:2" x14ac:dyDescent="0.2">
      <c r="A457" s="194"/>
      <c r="B457" s="107"/>
    </row>
    <row r="458" spans="1:2" x14ac:dyDescent="0.2">
      <c r="A458" s="180" t="s">
        <v>135</v>
      </c>
      <c r="B458" s="289">
        <f>B473+B486+B489+B464+B468</f>
        <v>52257</v>
      </c>
    </row>
    <row r="459" spans="1:2" x14ac:dyDescent="0.2">
      <c r="A459" s="181" t="s">
        <v>147</v>
      </c>
      <c r="B459" s="390">
        <v>165000</v>
      </c>
    </row>
    <row r="460" spans="1:2" x14ac:dyDescent="0.2">
      <c r="A460" s="193" t="s">
        <v>136</v>
      </c>
      <c r="B460" s="398">
        <f>B461+B462</f>
        <v>52257</v>
      </c>
    </row>
    <row r="461" spans="1:2" x14ac:dyDescent="0.2">
      <c r="A461" s="183" t="s">
        <v>137</v>
      </c>
      <c r="B461" s="390">
        <f>'2.2 OMATULUD'!B260</f>
        <v>18430</v>
      </c>
    </row>
    <row r="462" spans="1:2" x14ac:dyDescent="0.2">
      <c r="A462" s="166" t="s">
        <v>138</v>
      </c>
      <c r="B462" s="390">
        <f>B458-B461</f>
        <v>33827</v>
      </c>
    </row>
    <row r="463" spans="1:2" x14ac:dyDescent="0.2">
      <c r="A463" s="166"/>
      <c r="B463" s="390"/>
    </row>
    <row r="464" spans="1:2" ht="15" x14ac:dyDescent="0.2">
      <c r="A464" s="232" t="s">
        <v>148</v>
      </c>
      <c r="B464" s="426">
        <f>B465</f>
        <v>9000</v>
      </c>
    </row>
    <row r="465" spans="1:2" x14ac:dyDescent="0.2">
      <c r="A465" s="175" t="s">
        <v>296</v>
      </c>
      <c r="B465" s="293">
        <v>9000</v>
      </c>
    </row>
    <row r="466" spans="1:2" x14ac:dyDescent="0.2">
      <c r="A466" s="176" t="s">
        <v>140</v>
      </c>
      <c r="B466" s="290">
        <v>2350</v>
      </c>
    </row>
    <row r="467" spans="1:2" x14ac:dyDescent="0.2">
      <c r="A467" s="174"/>
      <c r="B467" s="427"/>
    </row>
    <row r="468" spans="1:2" ht="15" x14ac:dyDescent="0.2">
      <c r="A468" s="232" t="s">
        <v>153</v>
      </c>
      <c r="B468" s="426">
        <f>B469</f>
        <v>-4000</v>
      </c>
    </row>
    <row r="469" spans="1:2" x14ac:dyDescent="0.2">
      <c r="A469" s="234" t="s">
        <v>154</v>
      </c>
      <c r="B469" s="414">
        <f>B471</f>
        <v>-4000</v>
      </c>
    </row>
    <row r="470" spans="1:2" x14ac:dyDescent="0.2">
      <c r="A470" s="235" t="s">
        <v>144</v>
      </c>
      <c r="B470" s="289"/>
    </row>
    <row r="471" spans="1:2" x14ac:dyDescent="0.2">
      <c r="A471" s="236" t="s">
        <v>454</v>
      </c>
      <c r="B471" s="284">
        <f>-670-700-2630</f>
        <v>-4000</v>
      </c>
    </row>
    <row r="472" spans="1:2" x14ac:dyDescent="0.2">
      <c r="A472" s="238"/>
      <c r="B472" s="290"/>
    </row>
    <row r="473" spans="1:2" ht="15" x14ac:dyDescent="0.2">
      <c r="A473" s="232" t="s">
        <v>157</v>
      </c>
      <c r="B473" s="426">
        <f>B474</f>
        <v>-8000</v>
      </c>
    </row>
    <row r="474" spans="1:2" x14ac:dyDescent="0.2">
      <c r="A474" s="234" t="s">
        <v>174</v>
      </c>
      <c r="B474" s="414">
        <f>B476+B480</f>
        <v>-8000</v>
      </c>
    </row>
    <row r="475" spans="1:2" x14ac:dyDescent="0.2">
      <c r="A475" s="235" t="s">
        <v>144</v>
      </c>
      <c r="B475" s="289"/>
    </row>
    <row r="476" spans="1:2" x14ac:dyDescent="0.2">
      <c r="A476" s="236" t="s">
        <v>297</v>
      </c>
      <c r="B476" s="284">
        <v>7600</v>
      </c>
    </row>
    <row r="477" spans="1:2" x14ac:dyDescent="0.2">
      <c r="A477" s="185" t="s">
        <v>140</v>
      </c>
      <c r="B477" s="290">
        <v>850</v>
      </c>
    </row>
    <row r="478" spans="1:2" x14ac:dyDescent="0.2">
      <c r="A478" s="186"/>
      <c r="B478" s="292"/>
    </row>
    <row r="479" spans="1:2" x14ac:dyDescent="0.2">
      <c r="A479" s="235" t="s">
        <v>144</v>
      </c>
      <c r="B479" s="289"/>
    </row>
    <row r="480" spans="1:2" x14ac:dyDescent="0.2">
      <c r="A480" s="236" t="s">
        <v>298</v>
      </c>
      <c r="B480" s="284">
        <v>-15600</v>
      </c>
    </row>
    <row r="481" spans="1:2" x14ac:dyDescent="0.2">
      <c r="A481" s="185" t="s">
        <v>140</v>
      </c>
      <c r="B481" s="290">
        <v>-11630</v>
      </c>
    </row>
    <row r="482" spans="1:2" x14ac:dyDescent="0.2">
      <c r="A482" s="185"/>
      <c r="B482" s="290"/>
    </row>
    <row r="483" spans="1:2" x14ac:dyDescent="0.2">
      <c r="A483" s="522" t="s">
        <v>340</v>
      </c>
      <c r="B483" s="290"/>
    </row>
    <row r="484" spans="1:2" x14ac:dyDescent="0.2">
      <c r="A484" s="195" t="s">
        <v>455</v>
      </c>
      <c r="B484" s="290"/>
    </row>
    <row r="485" spans="1:2" x14ac:dyDescent="0.2">
      <c r="A485" s="195"/>
      <c r="B485" s="277"/>
    </row>
    <row r="486" spans="1:2" ht="15" x14ac:dyDescent="0.2">
      <c r="A486" s="232" t="s">
        <v>171</v>
      </c>
      <c r="B486" s="426">
        <f>B487</f>
        <v>15000</v>
      </c>
    </row>
    <row r="487" spans="1:2" x14ac:dyDescent="0.2">
      <c r="A487" s="175" t="s">
        <v>172</v>
      </c>
      <c r="B487" s="293">
        <v>15000</v>
      </c>
    </row>
    <row r="488" spans="1:2" x14ac:dyDescent="0.2">
      <c r="A488" s="215"/>
      <c r="B488" s="428"/>
    </row>
    <row r="489" spans="1:2" x14ac:dyDescent="0.2">
      <c r="A489" s="226" t="s">
        <v>139</v>
      </c>
      <c r="B489" s="421">
        <f>B491+B494+B497+B499+B501+B509+B503+B506</f>
        <v>40257</v>
      </c>
    </row>
    <row r="490" spans="1:2" x14ac:dyDescent="0.2">
      <c r="A490" s="226"/>
      <c r="B490" s="421"/>
    </row>
    <row r="491" spans="1:2" x14ac:dyDescent="0.2">
      <c r="A491" s="205" t="s">
        <v>175</v>
      </c>
      <c r="B491" s="284">
        <f>-1173</f>
        <v>-1173</v>
      </c>
    </row>
    <row r="492" spans="1:2" x14ac:dyDescent="0.2">
      <c r="A492" s="164" t="s">
        <v>140</v>
      </c>
      <c r="B492" s="290">
        <v>-880</v>
      </c>
    </row>
    <row r="493" spans="1:2" x14ac:dyDescent="0.2">
      <c r="A493" s="212"/>
      <c r="B493" s="390"/>
    </row>
    <row r="494" spans="1:2" x14ac:dyDescent="0.2">
      <c r="A494" s="237" t="s">
        <v>261</v>
      </c>
      <c r="B494" s="285">
        <f>6000+35000</f>
        <v>41000</v>
      </c>
    </row>
    <row r="495" spans="1:2" x14ac:dyDescent="0.2">
      <c r="A495" s="556" t="s">
        <v>525</v>
      </c>
      <c r="B495" s="555">
        <v>6000</v>
      </c>
    </row>
    <row r="496" spans="1:2" x14ac:dyDescent="0.2">
      <c r="A496" s="212"/>
      <c r="B496" s="390"/>
    </row>
    <row r="497" spans="1:2" x14ac:dyDescent="0.2">
      <c r="A497" s="209" t="s">
        <v>176</v>
      </c>
      <c r="B497" s="419">
        <v>12000</v>
      </c>
    </row>
    <row r="498" spans="1:2" x14ac:dyDescent="0.2">
      <c r="A498" s="209"/>
      <c r="B498" s="419"/>
    </row>
    <row r="499" spans="1:2" x14ac:dyDescent="0.2">
      <c r="A499" s="187" t="s">
        <v>180</v>
      </c>
      <c r="B499" s="286">
        <v>-3500</v>
      </c>
    </row>
    <row r="500" spans="1:2" x14ac:dyDescent="0.2">
      <c r="A500" s="215"/>
      <c r="B500" s="428"/>
    </row>
    <row r="501" spans="1:2" x14ac:dyDescent="0.2">
      <c r="A501" s="187" t="s">
        <v>181</v>
      </c>
      <c r="B501" s="286">
        <v>15000</v>
      </c>
    </row>
    <row r="502" spans="1:2" x14ac:dyDescent="0.2">
      <c r="A502" s="209"/>
      <c r="B502" s="419"/>
    </row>
    <row r="503" spans="1:2" x14ac:dyDescent="0.2">
      <c r="A503" s="209" t="s">
        <v>456</v>
      </c>
      <c r="B503" s="419">
        <v>-9000</v>
      </c>
    </row>
    <row r="504" spans="1:2" x14ac:dyDescent="0.2">
      <c r="A504" s="216" t="s">
        <v>140</v>
      </c>
      <c r="B504" s="406">
        <v>900</v>
      </c>
    </row>
    <row r="505" spans="1:2" x14ac:dyDescent="0.2">
      <c r="A505" s="199"/>
      <c r="B505" s="429"/>
    </row>
    <row r="506" spans="1:2" x14ac:dyDescent="0.2">
      <c r="A506" s="209" t="s">
        <v>457</v>
      </c>
      <c r="B506" s="419">
        <v>-6000</v>
      </c>
    </row>
    <row r="507" spans="1:2" x14ac:dyDescent="0.2">
      <c r="A507" s="216" t="s">
        <v>140</v>
      </c>
      <c r="B507" s="406">
        <v>-1950</v>
      </c>
    </row>
    <row r="508" spans="1:2" x14ac:dyDescent="0.2">
      <c r="A508" s="212"/>
      <c r="B508" s="390"/>
    </row>
    <row r="509" spans="1:2" x14ac:dyDescent="0.2">
      <c r="A509" s="187" t="s">
        <v>31</v>
      </c>
      <c r="B509" s="286">
        <v>-8070</v>
      </c>
    </row>
    <row r="510" spans="1:2" x14ac:dyDescent="0.2">
      <c r="A510" s="194"/>
      <c r="B510" s="107"/>
    </row>
    <row r="511" spans="1:2" x14ac:dyDescent="0.2">
      <c r="A511" s="194"/>
      <c r="B511" s="107"/>
    </row>
    <row r="512" spans="1:2" ht="15.75" x14ac:dyDescent="0.2">
      <c r="A512" s="178" t="s">
        <v>182</v>
      </c>
      <c r="B512" s="107"/>
    </row>
    <row r="513" spans="1:2" x14ac:dyDescent="0.2">
      <c r="A513" s="194"/>
      <c r="B513" s="107"/>
    </row>
    <row r="514" spans="1:2" x14ac:dyDescent="0.2">
      <c r="A514" s="180" t="s">
        <v>135</v>
      </c>
      <c r="B514" s="289">
        <f>B525+B533+B520</f>
        <v>8643</v>
      </c>
    </row>
    <row r="515" spans="1:2" x14ac:dyDescent="0.2">
      <c r="A515" s="181" t="s">
        <v>147</v>
      </c>
      <c r="B515" s="390">
        <v>-12000</v>
      </c>
    </row>
    <row r="516" spans="1:2" x14ac:dyDescent="0.2">
      <c r="A516" s="193" t="s">
        <v>136</v>
      </c>
      <c r="B516" s="398">
        <f>B517+B518</f>
        <v>8643</v>
      </c>
    </row>
    <row r="517" spans="1:2" x14ac:dyDescent="0.2">
      <c r="A517" s="183" t="s">
        <v>137</v>
      </c>
      <c r="B517" s="390">
        <f>'2.2 OMATULUD'!B290</f>
        <v>11163</v>
      </c>
    </row>
    <row r="518" spans="1:2" x14ac:dyDescent="0.2">
      <c r="A518" s="166" t="s">
        <v>138</v>
      </c>
      <c r="B518" s="6">
        <f>B514-B517</f>
        <v>-2520</v>
      </c>
    </row>
    <row r="519" spans="1:2" x14ac:dyDescent="0.2">
      <c r="A519" s="166"/>
      <c r="B519" s="390"/>
    </row>
    <row r="520" spans="1:2" ht="15" x14ac:dyDescent="0.2">
      <c r="A520" s="383" t="s">
        <v>153</v>
      </c>
      <c r="B520" s="430">
        <f>B521</f>
        <v>-337</v>
      </c>
    </row>
    <row r="521" spans="1:2" x14ac:dyDescent="0.2">
      <c r="A521" s="384" t="s">
        <v>154</v>
      </c>
      <c r="B521" s="431">
        <f>B523</f>
        <v>-337</v>
      </c>
    </row>
    <row r="522" spans="1:2" x14ac:dyDescent="0.2">
      <c r="A522" s="385" t="s">
        <v>144</v>
      </c>
      <c r="B522" s="431"/>
    </row>
    <row r="523" spans="1:2" x14ac:dyDescent="0.2">
      <c r="A523" s="192" t="s">
        <v>458</v>
      </c>
      <c r="B523" s="276">
        <v>-337</v>
      </c>
    </row>
    <row r="524" spans="1:2" x14ac:dyDescent="0.2">
      <c r="A524" s="166"/>
      <c r="B524" s="107"/>
    </row>
    <row r="525" spans="1:2" ht="15" x14ac:dyDescent="0.2">
      <c r="A525" s="232" t="s">
        <v>157</v>
      </c>
      <c r="B525" s="426">
        <f>B526</f>
        <v>2450</v>
      </c>
    </row>
    <row r="526" spans="1:2" x14ac:dyDescent="0.2">
      <c r="A526" s="234" t="s">
        <v>174</v>
      </c>
      <c r="B526" s="414">
        <f>B528+B531</f>
        <v>2450</v>
      </c>
    </row>
    <row r="527" spans="1:2" x14ac:dyDescent="0.2">
      <c r="A527" s="235" t="s">
        <v>144</v>
      </c>
      <c r="B527" s="289"/>
    </row>
    <row r="528" spans="1:2" x14ac:dyDescent="0.2">
      <c r="A528" s="236" t="s">
        <v>459</v>
      </c>
      <c r="B528" s="284">
        <v>1000</v>
      </c>
    </row>
    <row r="529" spans="1:2" x14ac:dyDescent="0.2">
      <c r="A529" s="186"/>
      <c r="B529" s="292"/>
    </row>
    <row r="530" spans="1:2" x14ac:dyDescent="0.2">
      <c r="A530" s="235" t="s">
        <v>144</v>
      </c>
      <c r="B530" s="289"/>
    </row>
    <row r="531" spans="1:2" x14ac:dyDescent="0.2">
      <c r="A531" s="236" t="s">
        <v>460</v>
      </c>
      <c r="B531" s="284">
        <v>1450</v>
      </c>
    </row>
    <row r="532" spans="1:2" x14ac:dyDescent="0.2">
      <c r="A532" s="166"/>
      <c r="B532" s="107"/>
    </row>
    <row r="533" spans="1:2" x14ac:dyDescent="0.2">
      <c r="A533" s="226" t="s">
        <v>139</v>
      </c>
      <c r="B533" s="421">
        <f>B535+B538+B542+B540</f>
        <v>6530</v>
      </c>
    </row>
    <row r="534" spans="1:2" x14ac:dyDescent="0.2">
      <c r="A534" s="226"/>
      <c r="B534" s="107"/>
    </row>
    <row r="535" spans="1:2" x14ac:dyDescent="0.2">
      <c r="A535" s="205" t="s">
        <v>175</v>
      </c>
      <c r="B535" s="284">
        <f>6435+2000-2520</f>
        <v>5915</v>
      </c>
    </row>
    <row r="536" spans="1:2" x14ac:dyDescent="0.2">
      <c r="A536" s="164" t="s">
        <v>140</v>
      </c>
      <c r="B536" s="290">
        <v>-1891</v>
      </c>
    </row>
    <row r="537" spans="1:2" x14ac:dyDescent="0.2">
      <c r="A537" s="213"/>
      <c r="B537" s="407"/>
    </row>
    <row r="538" spans="1:2" x14ac:dyDescent="0.2">
      <c r="A538" s="209" t="s">
        <v>176</v>
      </c>
      <c r="B538" s="419">
        <v>1900</v>
      </c>
    </row>
    <row r="539" spans="1:2" x14ac:dyDescent="0.2">
      <c r="A539" s="215"/>
      <c r="B539" s="428"/>
    </row>
    <row r="540" spans="1:2" x14ac:dyDescent="0.2">
      <c r="A540" s="187" t="s">
        <v>181</v>
      </c>
      <c r="B540" s="286">
        <v>715</v>
      </c>
    </row>
    <row r="541" spans="1:2" x14ac:dyDescent="0.2">
      <c r="A541" s="165"/>
      <c r="B541" s="406"/>
    </row>
    <row r="542" spans="1:2" x14ac:dyDescent="0.2">
      <c r="A542" s="187" t="s">
        <v>31</v>
      </c>
      <c r="B542" s="286">
        <v>-2000</v>
      </c>
    </row>
    <row r="543" spans="1:2" x14ac:dyDescent="0.2">
      <c r="A543" s="215"/>
      <c r="B543" s="107"/>
    </row>
    <row r="544" spans="1:2" x14ac:dyDescent="0.2">
      <c r="A544" s="194"/>
      <c r="B544" s="107"/>
    </row>
    <row r="545" spans="1:2" ht="15.75" x14ac:dyDescent="0.2">
      <c r="A545" s="178" t="s">
        <v>183</v>
      </c>
      <c r="B545" s="107"/>
    </row>
    <row r="546" spans="1:2" x14ac:dyDescent="0.2">
      <c r="A546" s="194"/>
      <c r="B546" s="107"/>
    </row>
    <row r="547" spans="1:2" x14ac:dyDescent="0.2">
      <c r="A547" s="180" t="s">
        <v>135</v>
      </c>
      <c r="B547" s="293">
        <f>B552+B555+B561+B566+B572+B575</f>
        <v>29435</v>
      </c>
    </row>
    <row r="548" spans="1:2" x14ac:dyDescent="0.2">
      <c r="A548" s="193" t="s">
        <v>136</v>
      </c>
      <c r="B548" s="293">
        <f>B549+B550</f>
        <v>29435</v>
      </c>
    </row>
    <row r="549" spans="1:2" x14ac:dyDescent="0.2">
      <c r="A549" s="183" t="s">
        <v>137</v>
      </c>
      <c r="B549" s="6">
        <f>'2.2 OMATULUD'!B309</f>
        <v>34180</v>
      </c>
    </row>
    <row r="550" spans="1:2" x14ac:dyDescent="0.2">
      <c r="A550" s="166" t="s">
        <v>138</v>
      </c>
      <c r="B550" s="6">
        <f>B547-B549</f>
        <v>-4745</v>
      </c>
    </row>
    <row r="551" spans="1:2" x14ac:dyDescent="0.2">
      <c r="A551" s="166"/>
      <c r="B551" s="407"/>
    </row>
    <row r="552" spans="1:2" ht="15" x14ac:dyDescent="0.2">
      <c r="A552" s="232" t="s">
        <v>148</v>
      </c>
      <c r="B552" s="399">
        <f>B553</f>
        <v>4800</v>
      </c>
    </row>
    <row r="553" spans="1:2" x14ac:dyDescent="0.2">
      <c r="A553" s="175" t="s">
        <v>299</v>
      </c>
      <c r="B553" s="293">
        <v>4800</v>
      </c>
    </row>
    <row r="554" spans="1:2" x14ac:dyDescent="0.2">
      <c r="A554" s="174"/>
      <c r="B554" s="407"/>
    </row>
    <row r="555" spans="1:2" ht="15" x14ac:dyDescent="0.2">
      <c r="A555" s="239" t="s">
        <v>153</v>
      </c>
      <c r="B555" s="399">
        <f>B556</f>
        <v>7365</v>
      </c>
    </row>
    <row r="556" spans="1:2" x14ac:dyDescent="0.2">
      <c r="A556" s="177" t="s">
        <v>154</v>
      </c>
      <c r="B556" s="293">
        <f>B558</f>
        <v>7365</v>
      </c>
    </row>
    <row r="557" spans="1:2" x14ac:dyDescent="0.2">
      <c r="A557" s="233" t="s">
        <v>144</v>
      </c>
      <c r="B557" s="407"/>
    </row>
    <row r="558" spans="1:2" x14ac:dyDescent="0.2">
      <c r="A558" s="192" t="s">
        <v>300</v>
      </c>
      <c r="B558" s="407">
        <v>7365</v>
      </c>
    </row>
    <row r="559" spans="1:2" x14ac:dyDescent="0.2">
      <c r="A559" s="218" t="s">
        <v>140</v>
      </c>
      <c r="B559" s="410">
        <v>1020</v>
      </c>
    </row>
    <row r="560" spans="1:2" x14ac:dyDescent="0.2">
      <c r="A560" s="174"/>
      <c r="B560" s="407"/>
    </row>
    <row r="561" spans="1:2" ht="15" x14ac:dyDescent="0.2">
      <c r="A561" s="184" t="s">
        <v>151</v>
      </c>
      <c r="B561" s="399">
        <f>B562</f>
        <v>10910</v>
      </c>
    </row>
    <row r="562" spans="1:2" x14ac:dyDescent="0.2">
      <c r="A562" s="175" t="s">
        <v>152</v>
      </c>
      <c r="B562" s="293">
        <f>B564</f>
        <v>10910</v>
      </c>
    </row>
    <row r="563" spans="1:2" x14ac:dyDescent="0.2">
      <c r="A563" s="191" t="s">
        <v>144</v>
      </c>
      <c r="B563" s="407"/>
    </row>
    <row r="564" spans="1:2" x14ac:dyDescent="0.2">
      <c r="A564" s="192" t="s">
        <v>301</v>
      </c>
      <c r="B564" s="407">
        <v>10910</v>
      </c>
    </row>
    <row r="565" spans="1:2" x14ac:dyDescent="0.2">
      <c r="A565" s="186"/>
      <c r="B565" s="407"/>
    </row>
    <row r="566" spans="1:2" ht="15" x14ac:dyDescent="0.2">
      <c r="A566" s="232" t="s">
        <v>157</v>
      </c>
      <c r="B566" s="399">
        <f>B568</f>
        <v>2200</v>
      </c>
    </row>
    <row r="567" spans="1:2" ht="15" x14ac:dyDescent="0.2">
      <c r="A567" s="232"/>
      <c r="B567" s="293"/>
    </row>
    <row r="568" spans="1:2" x14ac:dyDescent="0.2">
      <c r="A568" s="210" t="s">
        <v>160</v>
      </c>
      <c r="B568" s="293">
        <f>B570</f>
        <v>2200</v>
      </c>
    </row>
    <row r="569" spans="1:2" x14ac:dyDescent="0.2">
      <c r="A569" s="235" t="s">
        <v>144</v>
      </c>
      <c r="B569" s="407"/>
    </row>
    <row r="570" spans="1:2" x14ac:dyDescent="0.2">
      <c r="A570" s="236" t="s">
        <v>302</v>
      </c>
      <c r="B570" s="407">
        <v>2200</v>
      </c>
    </row>
    <row r="571" spans="1:2" x14ac:dyDescent="0.2">
      <c r="A571" s="192"/>
      <c r="B571" s="407"/>
    </row>
    <row r="572" spans="1:2" ht="15" x14ac:dyDescent="0.2">
      <c r="A572" s="232" t="s">
        <v>171</v>
      </c>
      <c r="B572" s="399">
        <f>B573</f>
        <v>10905</v>
      </c>
    </row>
    <row r="573" spans="1:2" x14ac:dyDescent="0.2">
      <c r="A573" s="175" t="s">
        <v>172</v>
      </c>
      <c r="B573" s="293">
        <v>10905</v>
      </c>
    </row>
    <row r="574" spans="1:2" x14ac:dyDescent="0.2">
      <c r="A574" s="240"/>
      <c r="B574" s="407"/>
    </row>
    <row r="575" spans="1:2" x14ac:dyDescent="0.2">
      <c r="A575" s="226" t="s">
        <v>139</v>
      </c>
      <c r="B575" s="293">
        <f>B580+B582+B584+B577</f>
        <v>-6745</v>
      </c>
    </row>
    <row r="576" spans="1:2" x14ac:dyDescent="0.2">
      <c r="A576" s="226"/>
      <c r="B576" s="107"/>
    </row>
    <row r="577" spans="1:2" x14ac:dyDescent="0.2">
      <c r="A577" s="205" t="s">
        <v>175</v>
      </c>
      <c r="B577" s="284">
        <v>-6245</v>
      </c>
    </row>
    <row r="578" spans="1:2" x14ac:dyDescent="0.2">
      <c r="A578" s="164" t="s">
        <v>140</v>
      </c>
      <c r="B578" s="290">
        <v>-4685</v>
      </c>
    </row>
    <row r="579" spans="1:2" x14ac:dyDescent="0.2">
      <c r="A579" s="213"/>
      <c r="B579" s="407"/>
    </row>
    <row r="580" spans="1:2" x14ac:dyDescent="0.2">
      <c r="A580" s="237" t="s">
        <v>261</v>
      </c>
      <c r="B580" s="407">
        <v>8000</v>
      </c>
    </row>
    <row r="581" spans="1:2" x14ac:dyDescent="0.2">
      <c r="A581" s="213"/>
      <c r="B581" s="407"/>
    </row>
    <row r="582" spans="1:2" x14ac:dyDescent="0.2">
      <c r="A582" s="237" t="s">
        <v>36</v>
      </c>
      <c r="B582" s="407">
        <v>1500</v>
      </c>
    </row>
    <row r="583" spans="1:2" x14ac:dyDescent="0.2">
      <c r="A583" s="212"/>
      <c r="B583" s="407"/>
    </row>
    <row r="584" spans="1:2" x14ac:dyDescent="0.2">
      <c r="A584" s="187" t="s">
        <v>31</v>
      </c>
      <c r="B584" s="407">
        <v>-10000</v>
      </c>
    </row>
    <row r="585" spans="1:2" x14ac:dyDescent="0.2">
      <c r="A585" s="194"/>
      <c r="B585" s="107"/>
    </row>
    <row r="586" spans="1:2" x14ac:dyDescent="0.2">
      <c r="A586" s="194"/>
      <c r="B586" s="107"/>
    </row>
    <row r="587" spans="1:2" ht="15.75" x14ac:dyDescent="0.2">
      <c r="A587" s="178" t="s">
        <v>32</v>
      </c>
      <c r="B587" s="107"/>
    </row>
    <row r="588" spans="1:2" x14ac:dyDescent="0.2">
      <c r="A588" s="194"/>
      <c r="B588" s="107"/>
    </row>
    <row r="589" spans="1:2" x14ac:dyDescent="0.2">
      <c r="A589" s="180" t="s">
        <v>135</v>
      </c>
      <c r="B589" s="289">
        <f>B594+B597</f>
        <v>-902</v>
      </c>
    </row>
    <row r="590" spans="1:2" x14ac:dyDescent="0.2">
      <c r="A590" s="193" t="s">
        <v>136</v>
      </c>
      <c r="B590" s="398">
        <f>B591+B592</f>
        <v>-902</v>
      </c>
    </row>
    <row r="591" spans="1:2" x14ac:dyDescent="0.2">
      <c r="A591" s="183" t="s">
        <v>137</v>
      </c>
      <c r="B591" s="390">
        <f>'2.2 OMATULUD'!B350</f>
        <v>2510</v>
      </c>
    </row>
    <row r="592" spans="1:2" x14ac:dyDescent="0.2">
      <c r="A592" s="166" t="s">
        <v>138</v>
      </c>
      <c r="B592" s="390">
        <f>B589-B591</f>
        <v>-3412</v>
      </c>
    </row>
    <row r="593" spans="1:2" x14ac:dyDescent="0.2">
      <c r="A593" s="196"/>
      <c r="B593" s="276"/>
    </row>
    <row r="594" spans="1:2" ht="15" x14ac:dyDescent="0.2">
      <c r="A594" s="232" t="s">
        <v>171</v>
      </c>
      <c r="B594" s="426">
        <f>B595</f>
        <v>2510</v>
      </c>
    </row>
    <row r="595" spans="1:2" x14ac:dyDescent="0.2">
      <c r="A595" s="175" t="s">
        <v>172</v>
      </c>
      <c r="B595" s="293">
        <v>2510</v>
      </c>
    </row>
    <row r="596" spans="1:2" x14ac:dyDescent="0.2">
      <c r="A596" s="166"/>
      <c r="B596" s="390"/>
    </row>
    <row r="597" spans="1:2" x14ac:dyDescent="0.2">
      <c r="A597" s="226" t="s">
        <v>139</v>
      </c>
      <c r="B597" s="421">
        <f>B602+B604+B606+B599</f>
        <v>-3412</v>
      </c>
    </row>
    <row r="598" spans="1:2" x14ac:dyDescent="0.2">
      <c r="A598" s="226"/>
      <c r="B598" s="107"/>
    </row>
    <row r="599" spans="1:2" x14ac:dyDescent="0.2">
      <c r="A599" s="205" t="s">
        <v>175</v>
      </c>
      <c r="B599" s="284">
        <v>-3412</v>
      </c>
    </row>
    <row r="600" spans="1:2" x14ac:dyDescent="0.2">
      <c r="A600" s="164" t="s">
        <v>140</v>
      </c>
      <c r="B600" s="290">
        <v>-2560</v>
      </c>
    </row>
    <row r="601" spans="1:2" x14ac:dyDescent="0.2">
      <c r="A601" s="187"/>
      <c r="B601" s="286"/>
    </row>
    <row r="602" spans="1:2" x14ac:dyDescent="0.2">
      <c r="A602" s="237" t="s">
        <v>261</v>
      </c>
      <c r="B602" s="285">
        <v>3000</v>
      </c>
    </row>
    <row r="603" spans="1:2" x14ac:dyDescent="0.2">
      <c r="A603" s="212"/>
      <c r="B603" s="390"/>
    </row>
    <row r="604" spans="1:2" x14ac:dyDescent="0.2">
      <c r="A604" s="209" t="s">
        <v>176</v>
      </c>
      <c r="B604" s="419">
        <v>3870</v>
      </c>
    </row>
    <row r="605" spans="1:2" x14ac:dyDescent="0.2">
      <c r="A605" s="209"/>
      <c r="B605" s="407"/>
    </row>
    <row r="606" spans="1:2" x14ac:dyDescent="0.2">
      <c r="A606" s="187" t="s">
        <v>31</v>
      </c>
      <c r="B606" s="286">
        <v>-6870</v>
      </c>
    </row>
    <row r="607" spans="1:2" x14ac:dyDescent="0.2">
      <c r="A607" s="194"/>
      <c r="B607" s="407"/>
    </row>
    <row r="608" spans="1:2" ht="15.75" x14ac:dyDescent="0.2">
      <c r="A608" s="194"/>
      <c r="B608" s="241"/>
    </row>
    <row r="609" spans="1:2" ht="15.75" x14ac:dyDescent="0.2">
      <c r="A609" s="178" t="s">
        <v>33</v>
      </c>
      <c r="B609" s="407"/>
    </row>
    <row r="610" spans="1:2" x14ac:dyDescent="0.2">
      <c r="A610" s="194"/>
      <c r="B610" s="407"/>
    </row>
    <row r="611" spans="1:2" x14ac:dyDescent="0.2">
      <c r="A611" s="180" t="s">
        <v>135</v>
      </c>
      <c r="B611" s="289">
        <f>B616+B624+B637+B619</f>
        <v>33343</v>
      </c>
    </row>
    <row r="612" spans="1:2" x14ac:dyDescent="0.2">
      <c r="A612" s="193" t="s">
        <v>136</v>
      </c>
      <c r="B612" s="398">
        <f>B613+B614</f>
        <v>33343</v>
      </c>
    </row>
    <row r="613" spans="1:2" x14ac:dyDescent="0.2">
      <c r="A613" s="183" t="s">
        <v>137</v>
      </c>
      <c r="B613" s="390">
        <f>'2.2 OMATULUD'!B361</f>
        <v>31335</v>
      </c>
    </row>
    <row r="614" spans="1:2" x14ac:dyDescent="0.2">
      <c r="A614" s="166" t="s">
        <v>138</v>
      </c>
      <c r="B614" s="390">
        <f>B611-B613</f>
        <v>2008</v>
      </c>
    </row>
    <row r="615" spans="1:2" x14ac:dyDescent="0.2">
      <c r="A615" s="166"/>
      <c r="B615" s="390"/>
    </row>
    <row r="616" spans="1:2" ht="15" x14ac:dyDescent="0.2">
      <c r="A616" s="232" t="s">
        <v>148</v>
      </c>
      <c r="B616" s="426">
        <f>B617</f>
        <v>8735</v>
      </c>
    </row>
    <row r="617" spans="1:2" x14ac:dyDescent="0.2">
      <c r="A617" s="175" t="s">
        <v>303</v>
      </c>
      <c r="B617" s="293">
        <v>8735</v>
      </c>
    </row>
    <row r="618" spans="1:2" x14ac:dyDescent="0.2">
      <c r="A618" s="174"/>
      <c r="B618" s="427"/>
    </row>
    <row r="619" spans="1:2" ht="15" x14ac:dyDescent="0.2">
      <c r="A619" s="232" t="s">
        <v>153</v>
      </c>
      <c r="B619" s="426">
        <f>B620</f>
        <v>2600</v>
      </c>
    </row>
    <row r="620" spans="1:2" x14ac:dyDescent="0.2">
      <c r="A620" s="175" t="s">
        <v>154</v>
      </c>
      <c r="B620" s="293">
        <f>B622</f>
        <v>2600</v>
      </c>
    </row>
    <row r="621" spans="1:2" x14ac:dyDescent="0.2">
      <c r="A621" s="235" t="s">
        <v>144</v>
      </c>
      <c r="B621" s="107"/>
    </row>
    <row r="622" spans="1:2" x14ac:dyDescent="0.2">
      <c r="A622" s="236" t="s">
        <v>304</v>
      </c>
      <c r="B622" s="284">
        <v>2600</v>
      </c>
    </row>
    <row r="623" spans="1:2" x14ac:dyDescent="0.2">
      <c r="A623" s="186"/>
      <c r="B623" s="107"/>
    </row>
    <row r="624" spans="1:2" ht="15" x14ac:dyDescent="0.2">
      <c r="A624" s="232" t="s">
        <v>157</v>
      </c>
      <c r="B624" s="426">
        <f>B626+B630</f>
        <v>16570</v>
      </c>
    </row>
    <row r="625" spans="1:2" x14ac:dyDescent="0.2">
      <c r="A625" s="164"/>
      <c r="B625" s="107"/>
    </row>
    <row r="626" spans="1:2" x14ac:dyDescent="0.2">
      <c r="A626" s="210" t="s">
        <v>160</v>
      </c>
      <c r="B626" s="289">
        <f>B628</f>
        <v>1000</v>
      </c>
    </row>
    <row r="627" spans="1:2" x14ac:dyDescent="0.2">
      <c r="A627" s="235" t="s">
        <v>144</v>
      </c>
      <c r="B627" s="107"/>
    </row>
    <row r="628" spans="1:2" x14ac:dyDescent="0.2">
      <c r="A628" s="236" t="s">
        <v>305</v>
      </c>
      <c r="B628" s="284">
        <v>1000</v>
      </c>
    </row>
    <row r="629" spans="1:2" x14ac:dyDescent="0.2">
      <c r="A629" s="186"/>
      <c r="B629" s="292"/>
    </row>
    <row r="630" spans="1:2" x14ac:dyDescent="0.2">
      <c r="A630" s="234" t="s">
        <v>174</v>
      </c>
      <c r="B630" s="414">
        <f>B632+B635</f>
        <v>15570</v>
      </c>
    </row>
    <row r="631" spans="1:2" x14ac:dyDescent="0.2">
      <c r="A631" s="235" t="s">
        <v>144</v>
      </c>
      <c r="B631" s="289"/>
    </row>
    <row r="632" spans="1:2" x14ac:dyDescent="0.2">
      <c r="A632" s="236" t="s">
        <v>461</v>
      </c>
      <c r="B632" s="284">
        <v>12470</v>
      </c>
    </row>
    <row r="633" spans="1:2" x14ac:dyDescent="0.2">
      <c r="A633" s="212"/>
      <c r="B633" s="390"/>
    </row>
    <row r="634" spans="1:2" x14ac:dyDescent="0.2">
      <c r="A634" s="235" t="s">
        <v>144</v>
      </c>
      <c r="B634" s="289"/>
    </row>
    <row r="635" spans="1:2" x14ac:dyDescent="0.2">
      <c r="A635" s="236" t="s">
        <v>306</v>
      </c>
      <c r="B635" s="284">
        <v>3100</v>
      </c>
    </row>
    <row r="636" spans="1:2" x14ac:dyDescent="0.2">
      <c r="A636" s="166"/>
      <c r="B636" s="390"/>
    </row>
    <row r="637" spans="1:2" x14ac:dyDescent="0.2">
      <c r="A637" s="226" t="s">
        <v>139</v>
      </c>
      <c r="B637" s="421">
        <f>B639++B642+B644</f>
        <v>5438</v>
      </c>
    </row>
    <row r="638" spans="1:2" x14ac:dyDescent="0.2">
      <c r="A638" s="226"/>
      <c r="B638" s="421"/>
    </row>
    <row r="639" spans="1:2" x14ac:dyDescent="0.2">
      <c r="A639" s="205" t="s">
        <v>175</v>
      </c>
      <c r="B639" s="284">
        <f>-9720-1592</f>
        <v>-11312</v>
      </c>
    </row>
    <row r="640" spans="1:2" x14ac:dyDescent="0.2">
      <c r="A640" s="164" t="s">
        <v>140</v>
      </c>
      <c r="B640" s="290">
        <v>-1195</v>
      </c>
    </row>
    <row r="641" spans="1:2" x14ac:dyDescent="0.2">
      <c r="A641" s="209"/>
      <c r="B641" s="419"/>
    </row>
    <row r="642" spans="1:2" x14ac:dyDescent="0.2">
      <c r="A642" s="187" t="s">
        <v>180</v>
      </c>
      <c r="B642" s="286">
        <v>650</v>
      </c>
    </row>
    <row r="643" spans="1:2" x14ac:dyDescent="0.2">
      <c r="A643" s="215"/>
      <c r="B643" s="428"/>
    </row>
    <row r="644" spans="1:2" x14ac:dyDescent="0.2">
      <c r="A644" s="187" t="s">
        <v>181</v>
      </c>
      <c r="B644" s="286">
        <v>16100</v>
      </c>
    </row>
    <row r="645" spans="1:2" x14ac:dyDescent="0.2">
      <c r="A645" s="187"/>
      <c r="B645" s="289"/>
    </row>
    <row r="646" spans="1:2" x14ac:dyDescent="0.2">
      <c r="A646" s="187"/>
      <c r="B646" s="107"/>
    </row>
    <row r="647" spans="1:2" ht="15.75" x14ac:dyDescent="0.2">
      <c r="A647" s="178" t="s">
        <v>34</v>
      </c>
      <c r="B647" s="107"/>
    </row>
    <row r="648" spans="1:2" x14ac:dyDescent="0.2">
      <c r="A648" s="194"/>
      <c r="B648" s="107"/>
    </row>
    <row r="649" spans="1:2" x14ac:dyDescent="0.2">
      <c r="A649" s="289" t="s">
        <v>135</v>
      </c>
      <c r="B649" s="289">
        <f>B654+B657+B662</f>
        <v>3206</v>
      </c>
    </row>
    <row r="650" spans="1:2" x14ac:dyDescent="0.2">
      <c r="A650" s="193" t="s">
        <v>136</v>
      </c>
      <c r="B650" s="398">
        <f>B651+B652</f>
        <v>3206</v>
      </c>
    </row>
    <row r="651" spans="1:2" x14ac:dyDescent="0.2">
      <c r="A651" s="183" t="s">
        <v>137</v>
      </c>
      <c r="B651" s="107">
        <f>'2.2 OMATULUD'!B389</f>
        <v>6550</v>
      </c>
    </row>
    <row r="652" spans="1:2" x14ac:dyDescent="0.2">
      <c r="A652" s="166" t="s">
        <v>138</v>
      </c>
      <c r="B652" s="390">
        <f>B649-B651</f>
        <v>-3344</v>
      </c>
    </row>
    <row r="653" spans="1:2" x14ac:dyDescent="0.2">
      <c r="A653" s="166"/>
      <c r="B653" s="107"/>
    </row>
    <row r="654" spans="1:2" ht="15" x14ac:dyDescent="0.2">
      <c r="A654" s="232" t="s">
        <v>148</v>
      </c>
      <c r="B654" s="426">
        <f>B655</f>
        <v>1950</v>
      </c>
    </row>
    <row r="655" spans="1:2" x14ac:dyDescent="0.2">
      <c r="A655" s="175" t="s">
        <v>307</v>
      </c>
      <c r="B655" s="107">
        <v>1950</v>
      </c>
    </row>
    <row r="656" spans="1:2" x14ac:dyDescent="0.2">
      <c r="A656" s="166"/>
      <c r="B656" s="107"/>
    </row>
    <row r="657" spans="1:2" ht="15" x14ac:dyDescent="0.2">
      <c r="A657" s="232" t="s">
        <v>157</v>
      </c>
      <c r="B657" s="426">
        <f>B658</f>
        <v>-400</v>
      </c>
    </row>
    <row r="658" spans="1:2" x14ac:dyDescent="0.2">
      <c r="A658" s="234" t="s">
        <v>174</v>
      </c>
      <c r="B658" s="414">
        <f>B660</f>
        <v>-400</v>
      </c>
    </row>
    <row r="659" spans="1:2" x14ac:dyDescent="0.2">
      <c r="A659" s="235" t="s">
        <v>144</v>
      </c>
      <c r="B659" s="107"/>
    </row>
    <row r="660" spans="1:2" x14ac:dyDescent="0.2">
      <c r="A660" s="236" t="s">
        <v>308</v>
      </c>
      <c r="B660" s="107">
        <v>-400</v>
      </c>
    </row>
    <row r="661" spans="1:2" x14ac:dyDescent="0.2">
      <c r="A661" s="215"/>
      <c r="B661" s="107"/>
    </row>
    <row r="662" spans="1:2" x14ac:dyDescent="0.2">
      <c r="A662" s="226" t="s">
        <v>139</v>
      </c>
      <c r="B662" s="421">
        <f>B664+B667+B671+B675+B669+B673</f>
        <v>1656</v>
      </c>
    </row>
    <row r="663" spans="1:2" x14ac:dyDescent="0.2">
      <c r="A663" s="226"/>
      <c r="B663" s="107"/>
    </row>
    <row r="664" spans="1:2" x14ac:dyDescent="0.2">
      <c r="A664" s="205" t="s">
        <v>175</v>
      </c>
      <c r="B664" s="284">
        <f>600-3344</f>
        <v>-2744</v>
      </c>
    </row>
    <row r="665" spans="1:2" x14ac:dyDescent="0.2">
      <c r="A665" s="164" t="s">
        <v>140</v>
      </c>
      <c r="B665" s="290">
        <v>-2509</v>
      </c>
    </row>
    <row r="666" spans="1:2" x14ac:dyDescent="0.2">
      <c r="A666" s="208"/>
      <c r="B666" s="107"/>
    </row>
    <row r="667" spans="1:2" x14ac:dyDescent="0.2">
      <c r="A667" s="237" t="s">
        <v>261</v>
      </c>
      <c r="B667" s="270">
        <v>1000</v>
      </c>
    </row>
    <row r="668" spans="1:2" x14ac:dyDescent="0.2">
      <c r="A668" s="237"/>
      <c r="B668" s="107"/>
    </row>
    <row r="669" spans="1:2" x14ac:dyDescent="0.2">
      <c r="A669" s="237" t="s">
        <v>36</v>
      </c>
      <c r="B669" s="107">
        <v>900</v>
      </c>
    </row>
    <row r="670" spans="1:2" x14ac:dyDescent="0.2">
      <c r="A670" s="213"/>
      <c r="B670" s="107"/>
    </row>
    <row r="671" spans="1:2" x14ac:dyDescent="0.2">
      <c r="A671" s="209" t="s">
        <v>176</v>
      </c>
      <c r="B671" s="107">
        <v>7000</v>
      </c>
    </row>
    <row r="672" spans="1:2" x14ac:dyDescent="0.2">
      <c r="A672" s="209"/>
      <c r="B672" s="107"/>
    </row>
    <row r="673" spans="1:2" x14ac:dyDescent="0.2">
      <c r="A673" s="237" t="s">
        <v>234</v>
      </c>
      <c r="B673" s="107">
        <v>3000</v>
      </c>
    </row>
    <row r="674" spans="1:2" x14ac:dyDescent="0.2">
      <c r="A674" s="212"/>
      <c r="B674" s="107"/>
    </row>
    <row r="675" spans="1:2" x14ac:dyDescent="0.2">
      <c r="A675" s="187" t="s">
        <v>31</v>
      </c>
      <c r="B675" s="107">
        <v>-7500</v>
      </c>
    </row>
    <row r="676" spans="1:2" x14ac:dyDescent="0.2">
      <c r="A676" s="194"/>
      <c r="B676" s="107"/>
    </row>
    <row r="677" spans="1:2" x14ac:dyDescent="0.2">
      <c r="A677" s="194"/>
      <c r="B677" s="107"/>
    </row>
    <row r="678" spans="1:2" ht="15.75" x14ac:dyDescent="0.2">
      <c r="A678" s="178" t="s">
        <v>35</v>
      </c>
      <c r="B678" s="107"/>
    </row>
    <row r="679" spans="1:2" x14ac:dyDescent="0.2">
      <c r="A679" s="194"/>
      <c r="B679" s="107"/>
    </row>
    <row r="680" spans="1:2" x14ac:dyDescent="0.2">
      <c r="A680" s="180" t="s">
        <v>135</v>
      </c>
      <c r="B680" s="60">
        <f>B685+B689+B698</f>
        <v>-54157</v>
      </c>
    </row>
    <row r="681" spans="1:2" x14ac:dyDescent="0.2">
      <c r="A681" s="193" t="s">
        <v>136</v>
      </c>
      <c r="B681" s="60">
        <f>B682+B683</f>
        <v>-54157</v>
      </c>
    </row>
    <row r="682" spans="1:2" x14ac:dyDescent="0.2">
      <c r="A682" s="183" t="s">
        <v>137</v>
      </c>
      <c r="B682" s="25">
        <f>'2.2 OMATULUD'!B410</f>
        <v>-36890</v>
      </c>
    </row>
    <row r="683" spans="1:2" x14ac:dyDescent="0.2">
      <c r="A683" s="166" t="s">
        <v>138</v>
      </c>
      <c r="B683" s="25">
        <f>B680-B682</f>
        <v>-17267</v>
      </c>
    </row>
    <row r="684" spans="1:2" x14ac:dyDescent="0.2">
      <c r="A684" s="166"/>
      <c r="B684" s="107"/>
    </row>
    <row r="685" spans="1:2" ht="15" x14ac:dyDescent="0.2">
      <c r="A685" s="232" t="s">
        <v>148</v>
      </c>
      <c r="B685" s="399">
        <f>B686</f>
        <v>-63975</v>
      </c>
    </row>
    <row r="686" spans="1:2" x14ac:dyDescent="0.2">
      <c r="A686" s="175" t="s">
        <v>309</v>
      </c>
      <c r="B686" s="293">
        <v>-63975</v>
      </c>
    </row>
    <row r="687" spans="1:2" x14ac:dyDescent="0.2">
      <c r="A687" s="176" t="s">
        <v>140</v>
      </c>
      <c r="B687" s="410">
        <v>-23613</v>
      </c>
    </row>
    <row r="688" spans="1:2" x14ac:dyDescent="0.2">
      <c r="A688" s="166"/>
      <c r="B688" s="407"/>
    </row>
    <row r="689" spans="1:13" ht="15" x14ac:dyDescent="0.2">
      <c r="A689" s="232" t="s">
        <v>157</v>
      </c>
      <c r="B689" s="399">
        <f>B690</f>
        <v>-20811</v>
      </c>
    </row>
    <row r="690" spans="1:13" x14ac:dyDescent="0.2">
      <c r="A690" s="234" t="s">
        <v>174</v>
      </c>
      <c r="B690" s="293">
        <f>B692+B695</f>
        <v>-20811</v>
      </c>
    </row>
    <row r="691" spans="1:13" x14ac:dyDescent="0.2">
      <c r="A691" s="235" t="s">
        <v>144</v>
      </c>
      <c r="B691" s="407"/>
    </row>
    <row r="692" spans="1:13" x14ac:dyDescent="0.2">
      <c r="A692" s="236" t="s">
        <v>310</v>
      </c>
      <c r="B692" s="407">
        <v>5400</v>
      </c>
    </row>
    <row r="693" spans="1:13" x14ac:dyDescent="0.2">
      <c r="A693" s="236"/>
      <c r="B693" s="407"/>
    </row>
    <row r="694" spans="1:13" x14ac:dyDescent="0.2">
      <c r="A694" s="235" t="s">
        <v>144</v>
      </c>
      <c r="B694" s="407"/>
    </row>
    <row r="695" spans="1:13" x14ac:dyDescent="0.2">
      <c r="A695" s="554" t="s">
        <v>523</v>
      </c>
      <c r="B695" s="407">
        <v>-26211</v>
      </c>
    </row>
    <row r="696" spans="1:13" x14ac:dyDescent="0.2">
      <c r="A696" s="218" t="s">
        <v>140</v>
      </c>
      <c r="B696" s="290">
        <v>-19590</v>
      </c>
    </row>
    <row r="697" spans="1:13" x14ac:dyDescent="0.2">
      <c r="A697" s="218"/>
      <c r="B697" s="407"/>
    </row>
    <row r="698" spans="1:13" x14ac:dyDescent="0.2">
      <c r="A698" s="226" t="s">
        <v>139</v>
      </c>
      <c r="B698" s="293">
        <f>B700+B703+B707+B709+B705+B711</f>
        <v>30629</v>
      </c>
    </row>
    <row r="699" spans="1:13" x14ac:dyDescent="0.2">
      <c r="A699" s="226"/>
      <c r="B699" s="407"/>
    </row>
    <row r="700" spans="1:13" x14ac:dyDescent="0.2">
      <c r="A700" s="205" t="s">
        <v>175</v>
      </c>
      <c r="B700" s="407">
        <f>4710-4881</f>
        <v>-171</v>
      </c>
      <c r="M700" s="7" t="s">
        <v>571</v>
      </c>
    </row>
    <row r="701" spans="1:13" x14ac:dyDescent="0.2">
      <c r="A701" s="164" t="s">
        <v>140</v>
      </c>
      <c r="B701" s="290">
        <v>-3662</v>
      </c>
    </row>
    <row r="702" spans="1:13" x14ac:dyDescent="0.2">
      <c r="A702" s="212"/>
      <c r="B702" s="407"/>
    </row>
    <row r="703" spans="1:13" x14ac:dyDescent="0.2">
      <c r="A703" s="237" t="s">
        <v>261</v>
      </c>
      <c r="B703" s="407">
        <v>3000</v>
      </c>
    </row>
    <row r="704" spans="1:13" x14ac:dyDescent="0.2">
      <c r="A704" s="237"/>
      <c r="B704" s="285"/>
    </row>
    <row r="705" spans="1:2" x14ac:dyDescent="0.2">
      <c r="A705" s="237" t="s">
        <v>36</v>
      </c>
      <c r="B705" s="285">
        <v>5872</v>
      </c>
    </row>
    <row r="706" spans="1:2" x14ac:dyDescent="0.2">
      <c r="A706" s="209"/>
      <c r="B706" s="407"/>
    </row>
    <row r="707" spans="1:2" x14ac:dyDescent="0.2">
      <c r="A707" s="187" t="s">
        <v>180</v>
      </c>
      <c r="B707" s="407">
        <v>-11000</v>
      </c>
    </row>
    <row r="708" spans="1:2" x14ac:dyDescent="0.2">
      <c r="A708" s="215"/>
      <c r="B708" s="407"/>
    </row>
    <row r="709" spans="1:2" x14ac:dyDescent="0.2">
      <c r="A709" s="187" t="s">
        <v>181</v>
      </c>
      <c r="B709" s="407">
        <v>38800</v>
      </c>
    </row>
    <row r="710" spans="1:2" x14ac:dyDescent="0.2">
      <c r="A710" s="212"/>
      <c r="B710" s="390"/>
    </row>
    <row r="711" spans="1:2" x14ac:dyDescent="0.2">
      <c r="A711" s="187" t="s">
        <v>31</v>
      </c>
      <c r="B711" s="286">
        <v>-5872</v>
      </c>
    </row>
    <row r="712" spans="1:2" x14ac:dyDescent="0.2">
      <c r="A712" s="382"/>
      <c r="B712" s="407"/>
    </row>
    <row r="713" spans="1:2" x14ac:dyDescent="0.2">
      <c r="A713" s="386"/>
      <c r="B713" s="407"/>
    </row>
    <row r="714" spans="1:2" x14ac:dyDescent="0.2">
      <c r="A714" s="386"/>
      <c r="B714" s="407"/>
    </row>
    <row r="715" spans="1:2" ht="15.75" x14ac:dyDescent="0.2">
      <c r="A715" s="178" t="s">
        <v>37</v>
      </c>
      <c r="B715" s="107"/>
    </row>
    <row r="716" spans="1:2" x14ac:dyDescent="0.2">
      <c r="A716" s="169"/>
      <c r="B716" s="517"/>
    </row>
    <row r="717" spans="1:2" x14ac:dyDescent="0.2">
      <c r="A717" s="518" t="s">
        <v>242</v>
      </c>
      <c r="B717" s="517">
        <f>B718+B719</f>
        <v>-773057</v>
      </c>
    </row>
    <row r="718" spans="1:2" x14ac:dyDescent="0.2">
      <c r="A718" s="169" t="s">
        <v>38</v>
      </c>
      <c r="B718" s="517">
        <f>-365000-107748+26211-310520</f>
        <v>-757057</v>
      </c>
    </row>
    <row r="719" spans="1:2" x14ac:dyDescent="0.2">
      <c r="A719" s="169" t="s">
        <v>462</v>
      </c>
      <c r="B719" s="517">
        <f>SUM(B720:B721)</f>
        <v>-16000</v>
      </c>
    </row>
    <row r="720" spans="1:2" x14ac:dyDescent="0.2">
      <c r="A720" s="519" t="s">
        <v>463</v>
      </c>
      <c r="B720" s="407">
        <f>-15250-750</f>
        <v>-16000</v>
      </c>
    </row>
    <row r="721" spans="1:3" ht="22.5" x14ac:dyDescent="0.2">
      <c r="A721" s="520" t="s">
        <v>241</v>
      </c>
      <c r="B721" s="521"/>
    </row>
    <row r="722" spans="1:3" x14ac:dyDescent="0.2">
      <c r="A722" s="169"/>
      <c r="B722" s="266"/>
    </row>
    <row r="723" spans="1:3" x14ac:dyDescent="0.2">
      <c r="A723" s="86"/>
      <c r="B723" s="268"/>
    </row>
    <row r="724" spans="1:3" ht="15.75" x14ac:dyDescent="0.2">
      <c r="A724" s="87" t="s">
        <v>71</v>
      </c>
      <c r="B724" s="271">
        <f ca="1">SUMIF($A$14:$B$721,A680,$B$14:$B$721)+B717</f>
        <v>1341444</v>
      </c>
      <c r="C724" s="107"/>
    </row>
    <row r="725" spans="1:3" x14ac:dyDescent="0.2">
      <c r="C725" s="107"/>
    </row>
    <row r="726" spans="1:3" x14ac:dyDescent="0.2">
      <c r="A726" s="71" t="s">
        <v>147</v>
      </c>
      <c r="B726" s="269">
        <f ca="1">SUMIF($A$14:$B$721,A726,$B$14:$B$721)</f>
        <v>170210</v>
      </c>
      <c r="C726" s="107"/>
    </row>
    <row r="727" spans="1:3" x14ac:dyDescent="0.2">
      <c r="B727" s="272"/>
      <c r="C727" s="107"/>
    </row>
    <row r="728" spans="1:3" ht="15.75" x14ac:dyDescent="0.25">
      <c r="A728" s="72" t="s">
        <v>136</v>
      </c>
      <c r="B728" s="271">
        <f ca="1">SUMIF($A$14:$B$721,A681,$B$14:$B$721)+B717</f>
        <v>1341444</v>
      </c>
      <c r="C728" s="107"/>
    </row>
    <row r="729" spans="1:3" x14ac:dyDescent="0.2">
      <c r="A729" s="73" t="s">
        <v>137</v>
      </c>
      <c r="B729" s="267">
        <f ca="1">SUMIF($A$14:$B$721,A729,$B$14:$B$721)</f>
        <v>785500</v>
      </c>
      <c r="C729" s="107"/>
    </row>
    <row r="730" spans="1:3" x14ac:dyDescent="0.2">
      <c r="A730" s="74" t="s">
        <v>124</v>
      </c>
      <c r="B730" s="267">
        <f ca="1">SUMIF($A$14:$B$721,A730,$B$14:$B$721)</f>
        <v>20200</v>
      </c>
      <c r="C730" s="107"/>
    </row>
    <row r="731" spans="1:3" x14ac:dyDescent="0.2">
      <c r="A731" s="74" t="s">
        <v>138</v>
      </c>
      <c r="B731" s="267">
        <f ca="1">SUMIF($A$14:$B$721,A731,$B$14:$B$721)+B717+SUMIF($A$14:$B$721,A433,$B$14:$B$721)</f>
        <v>535744</v>
      </c>
      <c r="C731" s="107"/>
    </row>
    <row r="732" spans="1:3" x14ac:dyDescent="0.2">
      <c r="A732" s="74"/>
      <c r="B732" s="6"/>
    </row>
    <row r="733" spans="1:3" x14ac:dyDescent="0.2">
      <c r="A733" s="74"/>
      <c r="B733" s="118"/>
    </row>
    <row r="734" spans="1:3" x14ac:dyDescent="0.2">
      <c r="A734" s="74"/>
      <c r="B734" s="6"/>
    </row>
    <row r="735" spans="1:3" x14ac:dyDescent="0.2">
      <c r="A735" s="74"/>
      <c r="B735" s="6"/>
    </row>
    <row r="736" spans="1:3" x14ac:dyDescent="0.2">
      <c r="A736" s="38" t="s">
        <v>570</v>
      </c>
      <c r="B736" s="88"/>
    </row>
    <row r="737" spans="1:2" x14ac:dyDescent="0.2">
      <c r="A737" s="7" t="s">
        <v>111</v>
      </c>
      <c r="B737" s="89"/>
    </row>
  </sheetData>
  <phoneticPr fontId="24" type="noConversion"/>
  <pageMargins left="1.1811023622047245" right="0.47244094488188981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35"/>
  <sheetViews>
    <sheetView zoomScaleNormal="100" workbookViewId="0">
      <pane ySplit="9" topLeftCell="A10" activePane="bottomLeft" state="frozen"/>
      <selection activeCell="K70" sqref="K70"/>
      <selection pane="bottomLeft"/>
    </sheetView>
  </sheetViews>
  <sheetFormatPr defaultColWidth="9.140625" defaultRowHeight="12.75" x14ac:dyDescent="0.2"/>
  <cols>
    <col min="1" max="1" width="64" style="140" customWidth="1"/>
    <col min="2" max="2" width="7.5703125" style="139" customWidth="1"/>
    <col min="3" max="3" width="10.5703125" style="139" bestFit="1" customWidth="1"/>
    <col min="4" max="4" width="12" style="139" customWidth="1"/>
    <col min="5" max="16384" width="9.140625" style="139"/>
  </cols>
  <sheetData>
    <row r="1" spans="1:4" x14ac:dyDescent="0.2">
      <c r="A1" s="337"/>
      <c r="B1" s="337"/>
      <c r="C1" s="337"/>
      <c r="D1" s="337" t="s">
        <v>355</v>
      </c>
    </row>
    <row r="2" spans="1:4" x14ac:dyDescent="0.2">
      <c r="A2" s="337"/>
      <c r="B2" s="337"/>
      <c r="C2" s="337"/>
      <c r="D2" s="337" t="s">
        <v>354</v>
      </c>
    </row>
    <row r="3" spans="1:4" x14ac:dyDescent="0.2">
      <c r="A3" s="338"/>
      <c r="B3" s="338"/>
      <c r="C3" s="338"/>
      <c r="D3" s="338" t="s">
        <v>353</v>
      </c>
    </row>
    <row r="4" spans="1:4" x14ac:dyDescent="0.2">
      <c r="A4" s="139"/>
      <c r="D4" s="108" t="s">
        <v>254</v>
      </c>
    </row>
    <row r="6" spans="1:4" ht="15" x14ac:dyDescent="0.25">
      <c r="A6" s="109" t="s">
        <v>39</v>
      </c>
    </row>
    <row r="7" spans="1:4" ht="12.75" customHeight="1" x14ac:dyDescent="0.25">
      <c r="A7" s="109"/>
    </row>
    <row r="8" spans="1:4" x14ac:dyDescent="0.2">
      <c r="A8" s="110"/>
      <c r="D8" s="111" t="s">
        <v>72</v>
      </c>
    </row>
    <row r="9" spans="1:4" ht="25.5" x14ac:dyDescent="0.2">
      <c r="A9" s="170" t="s">
        <v>263</v>
      </c>
      <c r="B9" s="243" t="s">
        <v>269</v>
      </c>
      <c r="C9" s="243" t="s">
        <v>505</v>
      </c>
      <c r="D9" s="549">
        <v>2017</v>
      </c>
    </row>
    <row r="10" spans="1:4" x14ac:dyDescent="0.2">
      <c r="A10" s="435"/>
      <c r="B10" s="505"/>
      <c r="C10" s="505"/>
      <c r="D10" s="465"/>
    </row>
    <row r="11" spans="1:4" x14ac:dyDescent="0.2">
      <c r="A11" s="506" t="s">
        <v>270</v>
      </c>
      <c r="B11" s="507"/>
      <c r="C11" s="507"/>
      <c r="D11" s="508"/>
    </row>
    <row r="12" spans="1:4" x14ac:dyDescent="0.2">
      <c r="A12" s="437" t="s">
        <v>255</v>
      </c>
      <c r="B12" s="460" t="s">
        <v>185</v>
      </c>
      <c r="C12" s="466">
        <f>SUM(C13:C17)</f>
        <v>89036687</v>
      </c>
      <c r="D12" s="466">
        <f>D13+D15+D16+D17+D14</f>
        <v>-710387</v>
      </c>
    </row>
    <row r="13" spans="1:4" x14ac:dyDescent="0.2">
      <c r="A13" s="438" t="s">
        <v>178</v>
      </c>
      <c r="B13" s="248" t="s">
        <v>40</v>
      </c>
      <c r="C13" s="547">
        <f>C20</f>
        <v>80193441</v>
      </c>
      <c r="D13" s="249">
        <f>D20</f>
        <v>-829664</v>
      </c>
    </row>
    <row r="14" spans="1:4" x14ac:dyDescent="0.2">
      <c r="A14" s="438"/>
      <c r="B14" s="248" t="s">
        <v>498</v>
      </c>
      <c r="C14" s="547">
        <f t="shared" ref="C14:C17" si="0">C21</f>
        <v>104400</v>
      </c>
      <c r="D14" s="249">
        <f>D21</f>
        <v>81720</v>
      </c>
    </row>
    <row r="15" spans="1:4" x14ac:dyDescent="0.2">
      <c r="A15" s="252"/>
      <c r="B15" s="248" t="s">
        <v>41</v>
      </c>
      <c r="C15" s="547">
        <f>C22+C108</f>
        <v>4755724</v>
      </c>
      <c r="D15" s="249">
        <f>D22+D108</f>
        <v>269593</v>
      </c>
    </row>
    <row r="16" spans="1:4" x14ac:dyDescent="0.2">
      <c r="A16" s="252"/>
      <c r="B16" s="248" t="s">
        <v>246</v>
      </c>
      <c r="C16" s="547">
        <f t="shared" si="0"/>
        <v>16931</v>
      </c>
      <c r="D16" s="249">
        <f>D23</f>
        <v>-300000</v>
      </c>
    </row>
    <row r="17" spans="1:4" x14ac:dyDescent="0.2">
      <c r="A17" s="252"/>
      <c r="B17" s="248" t="s">
        <v>179</v>
      </c>
      <c r="C17" s="547">
        <f t="shared" si="0"/>
        <v>3966191</v>
      </c>
      <c r="D17" s="249">
        <f t="shared" ref="D17" si="1">D24</f>
        <v>67964</v>
      </c>
    </row>
    <row r="18" spans="1:4" x14ac:dyDescent="0.2">
      <c r="A18" s="253"/>
      <c r="B18" s="254"/>
      <c r="C18" s="254"/>
      <c r="D18" s="467"/>
    </row>
    <row r="19" spans="1:4" x14ac:dyDescent="0.2">
      <c r="A19" s="439" t="s">
        <v>260</v>
      </c>
      <c r="B19" s="491" t="s">
        <v>185</v>
      </c>
      <c r="C19" s="468">
        <f>SUM(C20:C24)</f>
        <v>88201562</v>
      </c>
      <c r="D19" s="468">
        <f>D20+D22+D23+D24+D21</f>
        <v>-1245512</v>
      </c>
    </row>
    <row r="20" spans="1:4" x14ac:dyDescent="0.2">
      <c r="A20" s="438" t="s">
        <v>178</v>
      </c>
      <c r="B20" s="248" t="s">
        <v>40</v>
      </c>
      <c r="C20" s="547">
        <f>C28+C54</f>
        <v>80193441</v>
      </c>
      <c r="D20" s="249">
        <f>D28+D54</f>
        <v>-829664</v>
      </c>
    </row>
    <row r="21" spans="1:4" x14ac:dyDescent="0.2">
      <c r="A21" s="438"/>
      <c r="B21" s="248" t="s">
        <v>498</v>
      </c>
      <c r="C21" s="547">
        <f>C55</f>
        <v>104400</v>
      </c>
      <c r="D21" s="249">
        <f>D88</f>
        <v>81720</v>
      </c>
    </row>
    <row r="22" spans="1:4" x14ac:dyDescent="0.2">
      <c r="A22" s="252"/>
      <c r="B22" s="248" t="s">
        <v>41</v>
      </c>
      <c r="C22" s="547">
        <f>C56</f>
        <v>3920599</v>
      </c>
      <c r="D22" s="249">
        <f>D56</f>
        <v>-265532</v>
      </c>
    </row>
    <row r="23" spans="1:4" x14ac:dyDescent="0.2">
      <c r="A23" s="252"/>
      <c r="B23" s="248" t="s">
        <v>246</v>
      </c>
      <c r="C23" s="547">
        <f>C57</f>
        <v>16931</v>
      </c>
      <c r="D23" s="249">
        <f>D57</f>
        <v>-300000</v>
      </c>
    </row>
    <row r="24" spans="1:4" x14ac:dyDescent="0.2">
      <c r="A24" s="252"/>
      <c r="B24" s="248" t="s">
        <v>179</v>
      </c>
      <c r="C24" s="547">
        <f>C29</f>
        <v>3966191</v>
      </c>
      <c r="D24" s="249">
        <f>D29</f>
        <v>67964</v>
      </c>
    </row>
    <row r="25" spans="1:4" x14ac:dyDescent="0.2">
      <c r="A25" s="171"/>
      <c r="B25" s="172"/>
      <c r="C25" s="172"/>
      <c r="D25" s="469"/>
    </row>
    <row r="26" spans="1:4" x14ac:dyDescent="0.2">
      <c r="A26" s="436" t="s">
        <v>256</v>
      </c>
      <c r="B26" s="490"/>
      <c r="C26" s="490"/>
      <c r="D26" s="486"/>
    </row>
    <row r="27" spans="1:4" x14ac:dyDescent="0.2">
      <c r="A27" s="439" t="s">
        <v>257</v>
      </c>
      <c r="B27" s="491" t="s">
        <v>185</v>
      </c>
      <c r="C27" s="536">
        <f>C28+C29</f>
        <v>6694843</v>
      </c>
      <c r="D27" s="468">
        <f>D28+D29</f>
        <v>650029</v>
      </c>
    </row>
    <row r="28" spans="1:4" x14ac:dyDescent="0.2">
      <c r="A28" s="438" t="s">
        <v>178</v>
      </c>
      <c r="B28" s="492" t="s">
        <v>40</v>
      </c>
      <c r="C28" s="537">
        <f>C31+C46</f>
        <v>2728652</v>
      </c>
      <c r="D28" s="470">
        <f>D31+D46</f>
        <v>582065</v>
      </c>
    </row>
    <row r="29" spans="1:4" x14ac:dyDescent="0.2">
      <c r="A29" s="440"/>
      <c r="B29" s="493" t="s">
        <v>179</v>
      </c>
      <c r="C29" s="471">
        <f>C32+C47</f>
        <v>3966191</v>
      </c>
      <c r="D29" s="471">
        <f>D32+D47</f>
        <v>67964</v>
      </c>
    </row>
    <row r="30" spans="1:4" x14ac:dyDescent="0.2">
      <c r="A30" s="441" t="s">
        <v>271</v>
      </c>
      <c r="B30" s="494" t="s">
        <v>185</v>
      </c>
      <c r="C30" s="472">
        <f>C31+C32</f>
        <v>6194843</v>
      </c>
      <c r="D30" s="472">
        <f>D31+D32</f>
        <v>622529</v>
      </c>
    </row>
    <row r="31" spans="1:4" x14ac:dyDescent="0.2">
      <c r="A31" s="442" t="s">
        <v>178</v>
      </c>
      <c r="B31" s="495" t="s">
        <v>40</v>
      </c>
      <c r="C31" s="535">
        <f>C34+C37+C40+C43</f>
        <v>2478652</v>
      </c>
      <c r="D31" s="473">
        <f>D34+D37+D40+D43</f>
        <v>568315</v>
      </c>
    </row>
    <row r="32" spans="1:4" x14ac:dyDescent="0.2">
      <c r="A32" s="442"/>
      <c r="B32" s="495" t="s">
        <v>179</v>
      </c>
      <c r="C32" s="535">
        <f>C35+C38+C41+C44</f>
        <v>3716191</v>
      </c>
      <c r="D32" s="473">
        <f>D41+D44</f>
        <v>54214</v>
      </c>
    </row>
    <row r="33" spans="1:4" x14ac:dyDescent="0.2">
      <c r="A33" s="443" t="s">
        <v>469</v>
      </c>
      <c r="B33" s="496" t="s">
        <v>185</v>
      </c>
      <c r="C33" s="535">
        <f>C34+C35</f>
        <v>2880674</v>
      </c>
      <c r="D33" s="473">
        <f>D34</f>
        <v>88710</v>
      </c>
    </row>
    <row r="34" spans="1:4" x14ac:dyDescent="0.2">
      <c r="A34" s="447"/>
      <c r="B34" s="497" t="s">
        <v>40</v>
      </c>
      <c r="C34" s="535">
        <f>666964+88710</f>
        <v>755674</v>
      </c>
      <c r="D34" s="473">
        <v>88710</v>
      </c>
    </row>
    <row r="35" spans="1:4" x14ac:dyDescent="0.2">
      <c r="A35" s="448"/>
      <c r="B35" s="497" t="s">
        <v>179</v>
      </c>
      <c r="C35" s="535">
        <v>2125000</v>
      </c>
      <c r="D35" s="535">
        <v>0</v>
      </c>
    </row>
    <row r="36" spans="1:4" x14ac:dyDescent="0.2">
      <c r="A36" s="445" t="s">
        <v>470</v>
      </c>
      <c r="B36" s="496" t="s">
        <v>185</v>
      </c>
      <c r="C36" s="535">
        <f>C37+C38</f>
        <v>994169</v>
      </c>
      <c r="D36" s="473">
        <f>D37</f>
        <v>79605</v>
      </c>
    </row>
    <row r="37" spans="1:4" x14ac:dyDescent="0.2">
      <c r="A37" s="447"/>
      <c r="B37" s="497" t="s">
        <v>40</v>
      </c>
      <c r="C37" s="535">
        <f>192064+75000+4605</f>
        <v>271669</v>
      </c>
      <c r="D37" s="473">
        <f>75000+4605</f>
        <v>79605</v>
      </c>
    </row>
    <row r="38" spans="1:4" x14ac:dyDescent="0.2">
      <c r="A38" s="448"/>
      <c r="B38" s="497" t="s">
        <v>179</v>
      </c>
      <c r="C38" s="535">
        <v>722500</v>
      </c>
      <c r="D38" s="535">
        <v>0</v>
      </c>
    </row>
    <row r="39" spans="1:4" x14ac:dyDescent="0.2">
      <c r="A39" s="446" t="s">
        <v>370</v>
      </c>
      <c r="B39" s="496" t="s">
        <v>185</v>
      </c>
      <c r="C39" s="535">
        <f>C40+C41</f>
        <v>1320000</v>
      </c>
      <c r="D39" s="473">
        <f>D40+D41</f>
        <v>210825</v>
      </c>
    </row>
    <row r="40" spans="1:4" x14ac:dyDescent="0.2">
      <c r="A40" s="447"/>
      <c r="B40" s="497" t="s">
        <v>40</v>
      </c>
      <c r="C40" s="535">
        <v>885197</v>
      </c>
      <c r="D40" s="473">
        <v>200000</v>
      </c>
    </row>
    <row r="41" spans="1:4" x14ac:dyDescent="0.2">
      <c r="A41" s="448"/>
      <c r="B41" s="497" t="s">
        <v>179</v>
      </c>
      <c r="C41" s="535">
        <v>434803</v>
      </c>
      <c r="D41" s="535">
        <v>10825</v>
      </c>
    </row>
    <row r="42" spans="1:4" x14ac:dyDescent="0.2">
      <c r="A42" s="446" t="s">
        <v>471</v>
      </c>
      <c r="B42" s="496" t="s">
        <v>185</v>
      </c>
      <c r="C42" s="535">
        <f>C43+C44</f>
        <v>1000000</v>
      </c>
      <c r="D42" s="473">
        <f>D43+D44</f>
        <v>243389</v>
      </c>
    </row>
    <row r="43" spans="1:4" x14ac:dyDescent="0.2">
      <c r="A43" s="447"/>
      <c r="B43" s="497" t="s">
        <v>40</v>
      </c>
      <c r="C43" s="535">
        <v>566112</v>
      </c>
      <c r="D43" s="473">
        <v>200000</v>
      </c>
    </row>
    <row r="44" spans="1:4" x14ac:dyDescent="0.2">
      <c r="A44" s="448"/>
      <c r="B44" s="497" t="s">
        <v>179</v>
      </c>
      <c r="C44" s="535">
        <v>433888</v>
      </c>
      <c r="D44" s="535">
        <v>43389</v>
      </c>
    </row>
    <row r="45" spans="1:4" x14ac:dyDescent="0.2">
      <c r="A45" s="441" t="s">
        <v>333</v>
      </c>
      <c r="B45" s="499" t="s">
        <v>185</v>
      </c>
      <c r="C45" s="472">
        <f>C46+C47</f>
        <v>500000</v>
      </c>
      <c r="D45" s="472">
        <f>D46+D47</f>
        <v>27500</v>
      </c>
    </row>
    <row r="46" spans="1:4" x14ac:dyDescent="0.2">
      <c r="A46" s="444" t="s">
        <v>178</v>
      </c>
      <c r="B46" s="492" t="s">
        <v>40</v>
      </c>
      <c r="C46" s="476">
        <f t="shared" ref="C46:C47" si="2">C49</f>
        <v>250000</v>
      </c>
      <c r="D46" s="476">
        <f t="shared" ref="D46:D47" si="3">D49</f>
        <v>13750</v>
      </c>
    </row>
    <row r="47" spans="1:4" x14ac:dyDescent="0.2">
      <c r="A47" s="449"/>
      <c r="B47" s="492" t="s">
        <v>179</v>
      </c>
      <c r="C47" s="476">
        <f t="shared" si="2"/>
        <v>250000</v>
      </c>
      <c r="D47" s="476">
        <f t="shared" si="3"/>
        <v>13750</v>
      </c>
    </row>
    <row r="48" spans="1:4" ht="25.5" x14ac:dyDescent="0.2">
      <c r="A48" s="443" t="s">
        <v>373</v>
      </c>
      <c r="B48" s="493" t="s">
        <v>185</v>
      </c>
      <c r="C48" s="477">
        <f>C49+C50</f>
        <v>500000</v>
      </c>
      <c r="D48" s="477">
        <f>D49+D50</f>
        <v>27500</v>
      </c>
    </row>
    <row r="49" spans="1:4" x14ac:dyDescent="0.2">
      <c r="A49" s="444" t="s">
        <v>178</v>
      </c>
      <c r="B49" s="493" t="s">
        <v>40</v>
      </c>
      <c r="C49" s="477">
        <v>250000</v>
      </c>
      <c r="D49" s="477">
        <v>13750</v>
      </c>
    </row>
    <row r="50" spans="1:4" x14ac:dyDescent="0.2">
      <c r="A50" s="553"/>
      <c r="B50" s="492" t="s">
        <v>179</v>
      </c>
      <c r="C50" s="476">
        <v>250000</v>
      </c>
      <c r="D50" s="476">
        <v>13750</v>
      </c>
    </row>
    <row r="51" spans="1:4" x14ac:dyDescent="0.2">
      <c r="A51" s="458" t="s">
        <v>475</v>
      </c>
      <c r="B51" s="551"/>
      <c r="C51" s="552"/>
      <c r="D51" s="552">
        <v>5605</v>
      </c>
    </row>
    <row r="52" spans="1:4" x14ac:dyDescent="0.2">
      <c r="A52" s="436" t="s">
        <v>258</v>
      </c>
      <c r="B52" s="490"/>
      <c r="C52" s="490"/>
      <c r="D52" s="486"/>
    </row>
    <row r="53" spans="1:4" x14ac:dyDescent="0.2">
      <c r="A53" s="437" t="s">
        <v>274</v>
      </c>
      <c r="B53" s="460" t="s">
        <v>185</v>
      </c>
      <c r="C53" s="466">
        <f>C54+C57+C56+C55</f>
        <v>81506719</v>
      </c>
      <c r="D53" s="466">
        <f>D54+D57+D56+D55</f>
        <v>-1895541</v>
      </c>
    </row>
    <row r="54" spans="1:4" x14ac:dyDescent="0.2">
      <c r="A54" s="438" t="s">
        <v>178</v>
      </c>
      <c r="B54" s="492" t="s">
        <v>40</v>
      </c>
      <c r="C54" s="476">
        <f>C59+C67+C85+C91+C99</f>
        <v>77464789</v>
      </c>
      <c r="D54" s="476">
        <f>D59+D67+D85+D91+D99</f>
        <v>-1411729</v>
      </c>
    </row>
    <row r="55" spans="1:4" x14ac:dyDescent="0.2">
      <c r="A55" s="438"/>
      <c r="B55" s="492" t="s">
        <v>498</v>
      </c>
      <c r="C55" s="476">
        <f>C89</f>
        <v>104400</v>
      </c>
      <c r="D55" s="476">
        <f>D89</f>
        <v>81720</v>
      </c>
    </row>
    <row r="56" spans="1:4" x14ac:dyDescent="0.2">
      <c r="A56" s="438"/>
      <c r="B56" s="492" t="s">
        <v>41</v>
      </c>
      <c r="C56" s="476">
        <f>C92+C100+C68</f>
        <v>3920599</v>
      </c>
      <c r="D56" s="476">
        <f>D92</f>
        <v>-265532</v>
      </c>
    </row>
    <row r="57" spans="1:4" x14ac:dyDescent="0.2">
      <c r="A57" s="438"/>
      <c r="B57" s="539" t="s">
        <v>246</v>
      </c>
      <c r="C57" s="540">
        <f>C69</f>
        <v>16931</v>
      </c>
      <c r="D57" s="540">
        <f>D69</f>
        <v>-300000</v>
      </c>
    </row>
    <row r="58" spans="1:4" x14ac:dyDescent="0.2">
      <c r="A58" s="441" t="s">
        <v>271</v>
      </c>
      <c r="B58" s="494" t="s">
        <v>185</v>
      </c>
      <c r="C58" s="472">
        <f>C59</f>
        <v>40465295</v>
      </c>
      <c r="D58" s="472">
        <f>D59</f>
        <v>-568315</v>
      </c>
    </row>
    <row r="59" spans="1:4" x14ac:dyDescent="0.2">
      <c r="A59" s="452"/>
      <c r="B59" s="250" t="s">
        <v>40</v>
      </c>
      <c r="C59" s="474">
        <f>C61+C63</f>
        <v>40465295</v>
      </c>
      <c r="D59" s="474">
        <f>D61+D63</f>
        <v>-568315</v>
      </c>
    </row>
    <row r="60" spans="1:4" x14ac:dyDescent="0.2">
      <c r="A60" s="453" t="s">
        <v>275</v>
      </c>
      <c r="B60" s="251" t="s">
        <v>185</v>
      </c>
      <c r="C60" s="479">
        <f>C61</f>
        <v>29653410</v>
      </c>
      <c r="D60" s="479">
        <v>0</v>
      </c>
    </row>
    <row r="61" spans="1:4" x14ac:dyDescent="0.2">
      <c r="A61" s="452" t="s">
        <v>178</v>
      </c>
      <c r="B61" s="250" t="s">
        <v>40</v>
      </c>
      <c r="C61" s="474">
        <f>28309250+1344160</f>
        <v>29653410</v>
      </c>
      <c r="D61" s="474">
        <v>0</v>
      </c>
    </row>
    <row r="62" spans="1:4" x14ac:dyDescent="0.2">
      <c r="A62" s="550" t="s">
        <v>524</v>
      </c>
      <c r="B62" s="501" t="s">
        <v>40</v>
      </c>
      <c r="C62" s="480">
        <v>1344160</v>
      </c>
      <c r="D62" s="480">
        <v>0</v>
      </c>
    </row>
    <row r="63" spans="1:4" x14ac:dyDescent="0.2">
      <c r="A63" s="455" t="s">
        <v>276</v>
      </c>
      <c r="B63" s="502" t="s">
        <v>40</v>
      </c>
      <c r="C63" s="538">
        <f>11380200-400000-163710-4605</f>
        <v>10811885</v>
      </c>
      <c r="D63" s="481">
        <f>-563710-4605</f>
        <v>-568315</v>
      </c>
    </row>
    <row r="64" spans="1:4" x14ac:dyDescent="0.2">
      <c r="A64" s="523" t="s">
        <v>492</v>
      </c>
      <c r="B64" s="500"/>
      <c r="C64" s="482"/>
      <c r="D64" s="482"/>
    </row>
    <row r="65" spans="1:4" x14ac:dyDescent="0.2">
      <c r="A65" s="454" t="s">
        <v>513</v>
      </c>
      <c r="B65" s="501"/>
      <c r="C65" s="482"/>
      <c r="D65" s="482"/>
    </row>
    <row r="66" spans="1:4" x14ac:dyDescent="0.2">
      <c r="A66" s="441" t="s">
        <v>272</v>
      </c>
      <c r="B66" s="499" t="s">
        <v>185</v>
      </c>
      <c r="C66" s="472">
        <f>C67+C68+C69</f>
        <v>5220484</v>
      </c>
      <c r="D66" s="472">
        <f>D67+D69</f>
        <v>68586</v>
      </c>
    </row>
    <row r="67" spans="1:4" x14ac:dyDescent="0.2">
      <c r="A67" s="456" t="s">
        <v>178</v>
      </c>
      <c r="B67" s="250" t="s">
        <v>40</v>
      </c>
      <c r="C67" s="474">
        <f>C71+C74+C77+C79+C80+C81+C82+C83+C84+C78</f>
        <v>4788936</v>
      </c>
      <c r="D67" s="474">
        <f>D71+D74+D77+D79+D80+D81+D82+D83+D84+D78</f>
        <v>368586</v>
      </c>
    </row>
    <row r="68" spans="1:4" x14ac:dyDescent="0.2">
      <c r="A68" s="456"/>
      <c r="B68" s="250" t="s">
        <v>41</v>
      </c>
      <c r="C68" s="474">
        <f>C75+C72</f>
        <v>414617</v>
      </c>
      <c r="D68" s="541">
        <v>0</v>
      </c>
    </row>
    <row r="69" spans="1:4" x14ac:dyDescent="0.2">
      <c r="A69" s="456"/>
      <c r="B69" s="250" t="s">
        <v>246</v>
      </c>
      <c r="C69" s="474">
        <f>C76</f>
        <v>16931</v>
      </c>
      <c r="D69" s="475">
        <f>D76</f>
        <v>-300000</v>
      </c>
    </row>
    <row r="70" spans="1:4" x14ac:dyDescent="0.2">
      <c r="A70" s="443" t="s">
        <v>277</v>
      </c>
      <c r="B70" s="496" t="s">
        <v>185</v>
      </c>
      <c r="C70" s="474">
        <f>C71+C72</f>
        <v>626217</v>
      </c>
      <c r="D70" s="474">
        <f>D71</f>
        <v>6000</v>
      </c>
    </row>
    <row r="71" spans="1:4" x14ac:dyDescent="0.2">
      <c r="A71" s="456" t="s">
        <v>178</v>
      </c>
      <c r="B71" s="496" t="s">
        <v>40</v>
      </c>
      <c r="C71" s="474">
        <f>255600+6000</f>
        <v>261600</v>
      </c>
      <c r="D71" s="474">
        <v>6000</v>
      </c>
    </row>
    <row r="72" spans="1:4" x14ac:dyDescent="0.2">
      <c r="A72" s="456"/>
      <c r="B72" s="496" t="s">
        <v>41</v>
      </c>
      <c r="C72" s="474">
        <f>364617</f>
        <v>364617</v>
      </c>
      <c r="D72" s="541">
        <v>0</v>
      </c>
    </row>
    <row r="73" spans="1:4" x14ac:dyDescent="0.2">
      <c r="A73" s="443" t="s">
        <v>268</v>
      </c>
      <c r="B73" s="496" t="s">
        <v>185</v>
      </c>
      <c r="C73" s="474">
        <f>C74+C75+C76</f>
        <v>2729981</v>
      </c>
      <c r="D73" s="475">
        <f>D74+D76</f>
        <v>-234400</v>
      </c>
    </row>
    <row r="74" spans="1:4" x14ac:dyDescent="0.2">
      <c r="A74" s="456" t="s">
        <v>178</v>
      </c>
      <c r="B74" s="496" t="s">
        <v>40</v>
      </c>
      <c r="C74" s="541">
        <f>2597450+65600</f>
        <v>2663050</v>
      </c>
      <c r="D74" s="475">
        <v>65600</v>
      </c>
    </row>
    <row r="75" spans="1:4" x14ac:dyDescent="0.2">
      <c r="A75" s="456"/>
      <c r="B75" s="496" t="s">
        <v>41</v>
      </c>
      <c r="C75" s="541">
        <v>50000</v>
      </c>
      <c r="D75" s="541">
        <v>0</v>
      </c>
    </row>
    <row r="76" spans="1:4" x14ac:dyDescent="0.2">
      <c r="A76" s="456"/>
      <c r="B76" s="496" t="s">
        <v>246</v>
      </c>
      <c r="C76" s="541">
        <f>316931-300000</f>
        <v>16931</v>
      </c>
      <c r="D76" s="475">
        <v>-300000</v>
      </c>
    </row>
    <row r="77" spans="1:4" x14ac:dyDescent="0.2">
      <c r="A77" s="443" t="s">
        <v>278</v>
      </c>
      <c r="B77" s="496" t="s">
        <v>40</v>
      </c>
      <c r="C77" s="541">
        <f>900000+16000</f>
        <v>916000</v>
      </c>
      <c r="D77" s="474">
        <f>6000+10000</f>
        <v>16000</v>
      </c>
    </row>
    <row r="78" spans="1:4" x14ac:dyDescent="0.2">
      <c r="A78" s="443" t="s">
        <v>568</v>
      </c>
      <c r="B78" s="250" t="s">
        <v>40</v>
      </c>
      <c r="C78" s="474">
        <v>100000</v>
      </c>
      <c r="D78" s="474">
        <v>100000</v>
      </c>
    </row>
    <row r="79" spans="1:4" x14ac:dyDescent="0.2">
      <c r="A79" s="443" t="s">
        <v>484</v>
      </c>
      <c r="B79" s="516" t="s">
        <v>40</v>
      </c>
      <c r="C79" s="542">
        <v>187386</v>
      </c>
      <c r="D79" s="475">
        <v>27386</v>
      </c>
    </row>
    <row r="80" spans="1:4" x14ac:dyDescent="0.2">
      <c r="A80" s="443" t="s">
        <v>332</v>
      </c>
      <c r="B80" s="496" t="s">
        <v>40</v>
      </c>
      <c r="C80" s="542">
        <v>157900</v>
      </c>
      <c r="D80" s="475">
        <v>-17000</v>
      </c>
    </row>
    <row r="81" spans="1:4" x14ac:dyDescent="0.2">
      <c r="A81" s="449" t="s">
        <v>472</v>
      </c>
      <c r="B81" s="498" t="s">
        <v>40</v>
      </c>
      <c r="C81" s="542">
        <v>79000</v>
      </c>
      <c r="D81" s="475">
        <v>17000</v>
      </c>
    </row>
    <row r="82" spans="1:4" x14ac:dyDescent="0.2">
      <c r="A82" s="449" t="s">
        <v>351</v>
      </c>
      <c r="B82" s="498" t="s">
        <v>40</v>
      </c>
      <c r="C82" s="541">
        <f>6000-6000</f>
        <v>0</v>
      </c>
      <c r="D82" s="475">
        <v>-6000</v>
      </c>
    </row>
    <row r="83" spans="1:4" x14ac:dyDescent="0.2">
      <c r="A83" s="457" t="s">
        <v>473</v>
      </c>
      <c r="B83" s="496" t="s">
        <v>40</v>
      </c>
      <c r="C83" s="541">
        <v>130000</v>
      </c>
      <c r="D83" s="475">
        <v>130000</v>
      </c>
    </row>
    <row r="84" spans="1:4" x14ac:dyDescent="0.2">
      <c r="A84" s="443" t="s">
        <v>474</v>
      </c>
      <c r="B84" s="496" t="s">
        <v>40</v>
      </c>
      <c r="C84" s="541">
        <f>264400+29600</f>
        <v>294000</v>
      </c>
      <c r="D84" s="475">
        <f>39600-10000</f>
        <v>29600</v>
      </c>
    </row>
    <row r="85" spans="1:4" x14ac:dyDescent="0.2">
      <c r="A85" s="451" t="s">
        <v>279</v>
      </c>
      <c r="B85" s="499" t="s">
        <v>185</v>
      </c>
      <c r="C85" s="548">
        <f>C86</f>
        <v>9268655</v>
      </c>
      <c r="D85" s="478">
        <f>D86</f>
        <v>0</v>
      </c>
    </row>
    <row r="86" spans="1:4" x14ac:dyDescent="0.2">
      <c r="A86" s="443" t="s">
        <v>341</v>
      </c>
      <c r="B86" s="496" t="s">
        <v>40</v>
      </c>
      <c r="C86" s="475">
        <v>9268655</v>
      </c>
      <c r="D86" s="474">
        <v>0</v>
      </c>
    </row>
    <row r="87" spans="1:4" x14ac:dyDescent="0.2">
      <c r="A87" s="458" t="s">
        <v>475</v>
      </c>
      <c r="B87" s="496"/>
      <c r="C87" s="496"/>
      <c r="D87" s="483">
        <v>2417</v>
      </c>
    </row>
    <row r="88" spans="1:4" x14ac:dyDescent="0.2">
      <c r="A88" s="525" t="s">
        <v>496</v>
      </c>
      <c r="B88" s="526" t="s">
        <v>185</v>
      </c>
      <c r="C88" s="478">
        <f>C89</f>
        <v>104400</v>
      </c>
      <c r="D88" s="478">
        <f>D89</f>
        <v>81720</v>
      </c>
    </row>
    <row r="89" spans="1:4" x14ac:dyDescent="0.2">
      <c r="A89" s="527" t="s">
        <v>497</v>
      </c>
      <c r="B89" s="528" t="s">
        <v>498</v>
      </c>
      <c r="C89" s="475">
        <f>22680+81720</f>
        <v>104400</v>
      </c>
      <c r="D89" s="475">
        <v>81720</v>
      </c>
    </row>
    <row r="90" spans="1:4" x14ac:dyDescent="0.2">
      <c r="A90" s="451" t="s">
        <v>280</v>
      </c>
      <c r="B90" s="499" t="s">
        <v>185</v>
      </c>
      <c r="C90" s="544">
        <f>C91+C92</f>
        <v>556316</v>
      </c>
      <c r="D90" s="478">
        <f>D91+D92</f>
        <v>-277532</v>
      </c>
    </row>
    <row r="91" spans="1:4" x14ac:dyDescent="0.2">
      <c r="A91" s="456" t="s">
        <v>178</v>
      </c>
      <c r="B91" s="250" t="s">
        <v>40</v>
      </c>
      <c r="C91" s="474">
        <f>C93+C95+C96+C97</f>
        <v>441848</v>
      </c>
      <c r="D91" s="474">
        <f>D93+D95+D96+D97</f>
        <v>-12000</v>
      </c>
    </row>
    <row r="92" spans="1:4" x14ac:dyDescent="0.2">
      <c r="A92" s="456"/>
      <c r="B92" s="250" t="s">
        <v>41</v>
      </c>
      <c r="C92" s="474">
        <f>C94</f>
        <v>114468</v>
      </c>
      <c r="D92" s="474">
        <f>D94</f>
        <v>-265532</v>
      </c>
    </row>
    <row r="93" spans="1:4" x14ac:dyDescent="0.2">
      <c r="A93" s="443" t="s">
        <v>487</v>
      </c>
      <c r="B93" s="496" t="s">
        <v>40</v>
      </c>
      <c r="C93" s="542">
        <v>239000</v>
      </c>
      <c r="D93" s="474">
        <v>53750</v>
      </c>
    </row>
    <row r="94" spans="1:4" ht="25.5" x14ac:dyDescent="0.2">
      <c r="A94" s="449" t="s">
        <v>514</v>
      </c>
      <c r="B94" s="496" t="s">
        <v>41</v>
      </c>
      <c r="C94" s="542">
        <v>114468</v>
      </c>
      <c r="D94" s="475">
        <v>-265532</v>
      </c>
    </row>
    <row r="95" spans="1:4" x14ac:dyDescent="0.2">
      <c r="A95" s="449" t="s">
        <v>476</v>
      </c>
      <c r="B95" s="498" t="s">
        <v>40</v>
      </c>
      <c r="C95" s="542">
        <v>202848</v>
      </c>
      <c r="D95" s="475">
        <v>3000</v>
      </c>
    </row>
    <row r="96" spans="1:4" x14ac:dyDescent="0.2">
      <c r="A96" s="449" t="s">
        <v>486</v>
      </c>
      <c r="B96" s="498" t="s">
        <v>40</v>
      </c>
      <c r="C96" s="542"/>
      <c r="D96" s="475">
        <v>-53750</v>
      </c>
    </row>
    <row r="97" spans="1:4" x14ac:dyDescent="0.2">
      <c r="A97" s="557" t="s">
        <v>569</v>
      </c>
      <c r="B97" s="558" t="s">
        <v>40</v>
      </c>
      <c r="C97" s="559">
        <v>0</v>
      </c>
      <c r="D97" s="559">
        <v>-15000</v>
      </c>
    </row>
    <row r="98" spans="1:4" x14ac:dyDescent="0.2">
      <c r="A98" s="451" t="s">
        <v>273</v>
      </c>
      <c r="B98" s="499" t="s">
        <v>185</v>
      </c>
      <c r="C98" s="544">
        <f>C99+C100</f>
        <v>25891569</v>
      </c>
      <c r="D98" s="478">
        <v>-1200000</v>
      </c>
    </row>
    <row r="99" spans="1:4" x14ac:dyDescent="0.2">
      <c r="A99" s="450" t="s">
        <v>178</v>
      </c>
      <c r="B99" s="496" t="s">
        <v>40</v>
      </c>
      <c r="C99" s="542">
        <f>C102</f>
        <v>22500055</v>
      </c>
      <c r="D99" s="475">
        <f>D102</f>
        <v>-1200000</v>
      </c>
    </row>
    <row r="100" spans="1:4" x14ac:dyDescent="0.2">
      <c r="A100" s="450"/>
      <c r="B100" s="496" t="s">
        <v>41</v>
      </c>
      <c r="C100" s="542">
        <f>C103</f>
        <v>3391514</v>
      </c>
      <c r="D100" s="542"/>
    </row>
    <row r="101" spans="1:4" x14ac:dyDescent="0.2">
      <c r="A101" s="443" t="s">
        <v>281</v>
      </c>
      <c r="B101" s="496" t="s">
        <v>185</v>
      </c>
      <c r="C101" s="542">
        <f>C102+C103</f>
        <v>25891569</v>
      </c>
      <c r="D101" s="475">
        <f>D102</f>
        <v>-1200000</v>
      </c>
    </row>
    <row r="102" spans="1:4" x14ac:dyDescent="0.2">
      <c r="A102" s="452" t="s">
        <v>178</v>
      </c>
      <c r="B102" s="496" t="s">
        <v>40</v>
      </c>
      <c r="C102" s="542">
        <v>22500055</v>
      </c>
      <c r="D102" s="475">
        <f>D104</f>
        <v>-1200000</v>
      </c>
    </row>
    <row r="103" spans="1:4" x14ac:dyDescent="0.2">
      <c r="A103" s="543"/>
      <c r="B103" s="496" t="s">
        <v>41</v>
      </c>
      <c r="C103" s="542">
        <v>3391514</v>
      </c>
      <c r="D103" s="542"/>
    </row>
    <row r="104" spans="1:4" ht="22.5" x14ac:dyDescent="0.2">
      <c r="A104" s="459" t="s">
        <v>477</v>
      </c>
      <c r="B104" s="496"/>
      <c r="C104" s="496"/>
      <c r="D104" s="480">
        <v>-1200000</v>
      </c>
    </row>
    <row r="105" spans="1:4" x14ac:dyDescent="0.2">
      <c r="A105" s="436" t="s">
        <v>264</v>
      </c>
      <c r="B105" s="490"/>
      <c r="C105" s="490"/>
      <c r="D105" s="486"/>
    </row>
    <row r="106" spans="1:4" x14ac:dyDescent="0.2">
      <c r="A106" s="460" t="s">
        <v>259</v>
      </c>
      <c r="B106" s="460" t="s">
        <v>185</v>
      </c>
      <c r="C106" s="466">
        <f>+C107</f>
        <v>835125</v>
      </c>
      <c r="D106" s="466">
        <f>+D107</f>
        <v>535125</v>
      </c>
    </row>
    <row r="107" spans="1:4" x14ac:dyDescent="0.2">
      <c r="A107" s="451" t="s">
        <v>280</v>
      </c>
      <c r="B107" s="499" t="s">
        <v>185</v>
      </c>
      <c r="C107" s="545">
        <f>SUM(C108)</f>
        <v>835125</v>
      </c>
      <c r="D107" s="485">
        <f>SUM(D108)</f>
        <v>535125</v>
      </c>
    </row>
    <row r="108" spans="1:4" ht="25.5" x14ac:dyDescent="0.2">
      <c r="A108" s="449" t="s">
        <v>507</v>
      </c>
      <c r="B108" s="498" t="s">
        <v>41</v>
      </c>
      <c r="C108" s="546">
        <v>835125</v>
      </c>
      <c r="D108" s="484">
        <f>265532+269593</f>
        <v>535125</v>
      </c>
    </row>
    <row r="109" spans="1:4" x14ac:dyDescent="0.2">
      <c r="A109" s="436" t="s">
        <v>494</v>
      </c>
      <c r="B109" s="490"/>
      <c r="C109" s="490"/>
      <c r="D109" s="486"/>
    </row>
    <row r="110" spans="1:4" x14ac:dyDescent="0.2">
      <c r="A110" s="439" t="s">
        <v>342</v>
      </c>
      <c r="B110" s="503" t="s">
        <v>185</v>
      </c>
      <c r="C110" s="503"/>
      <c r="D110" s="468">
        <f>D111</f>
        <v>-609208</v>
      </c>
    </row>
    <row r="111" spans="1:4" x14ac:dyDescent="0.2">
      <c r="A111" s="461" t="s">
        <v>343</v>
      </c>
      <c r="B111" s="484" t="s">
        <v>185</v>
      </c>
      <c r="C111" s="484"/>
      <c r="D111" s="484">
        <f>D112+D113</f>
        <v>-609208</v>
      </c>
    </row>
    <row r="112" spans="1:4" x14ac:dyDescent="0.2">
      <c r="A112" s="462" t="s">
        <v>344</v>
      </c>
      <c r="B112" s="487" t="s">
        <v>40</v>
      </c>
      <c r="C112" s="487"/>
      <c r="D112" s="487">
        <v>-364208</v>
      </c>
    </row>
    <row r="113" spans="1:4" x14ac:dyDescent="0.2">
      <c r="A113" s="524" t="s">
        <v>345</v>
      </c>
      <c r="B113" s="487" t="s">
        <v>40</v>
      </c>
      <c r="C113" s="487"/>
      <c r="D113" s="487">
        <v>-245000</v>
      </c>
    </row>
    <row r="114" spans="1:4" x14ac:dyDescent="0.2">
      <c r="A114" s="463" t="s">
        <v>346</v>
      </c>
      <c r="B114" s="488" t="s">
        <v>185</v>
      </c>
      <c r="C114" s="488"/>
      <c r="D114" s="488">
        <f>D115+D118+D117+D119+D116</f>
        <v>-1319595</v>
      </c>
    </row>
    <row r="115" spans="1:4" x14ac:dyDescent="0.2">
      <c r="A115" s="464" t="s">
        <v>178</v>
      </c>
      <c r="B115" s="504" t="s">
        <v>40</v>
      </c>
      <c r="C115" s="534"/>
      <c r="D115" s="489">
        <f>D13+D110</f>
        <v>-1438872</v>
      </c>
    </row>
    <row r="116" spans="1:4" x14ac:dyDescent="0.2">
      <c r="A116" s="464"/>
      <c r="B116" s="504" t="s">
        <v>498</v>
      </c>
      <c r="C116" s="534"/>
      <c r="D116" s="489">
        <f>D14</f>
        <v>81720</v>
      </c>
    </row>
    <row r="117" spans="1:4" x14ac:dyDescent="0.2">
      <c r="A117" s="464"/>
      <c r="B117" s="504" t="s">
        <v>41</v>
      </c>
      <c r="C117" s="534"/>
      <c r="D117" s="489">
        <f>D15</f>
        <v>269593</v>
      </c>
    </row>
    <row r="118" spans="1:4" x14ac:dyDescent="0.2">
      <c r="A118" s="464"/>
      <c r="B118" s="504" t="s">
        <v>246</v>
      </c>
      <c r="C118" s="534"/>
      <c r="D118" s="489">
        <f>D16</f>
        <v>-300000</v>
      </c>
    </row>
    <row r="119" spans="1:4" x14ac:dyDescent="0.2">
      <c r="A119" s="461"/>
      <c r="B119" s="504" t="s">
        <v>179</v>
      </c>
      <c r="C119" s="534"/>
      <c r="D119" s="489">
        <f>D17</f>
        <v>67964</v>
      </c>
    </row>
    <row r="121" spans="1:4" x14ac:dyDescent="0.2">
      <c r="A121" s="119" t="s">
        <v>266</v>
      </c>
      <c r="B121" s="173"/>
      <c r="C121" s="173"/>
      <c r="D121" s="129"/>
    </row>
    <row r="122" spans="1:4" x14ac:dyDescent="0.2">
      <c r="A122" s="120" t="s">
        <v>233</v>
      </c>
      <c r="B122" s="173"/>
      <c r="C122" s="173"/>
      <c r="D122" s="129"/>
    </row>
    <row r="123" spans="1:4" x14ac:dyDescent="0.2">
      <c r="A123" s="120" t="s">
        <v>518</v>
      </c>
      <c r="B123" s="173"/>
      <c r="C123" s="173"/>
      <c r="D123" s="129"/>
    </row>
    <row r="124" spans="1:4" x14ac:dyDescent="0.2">
      <c r="A124" s="119" t="s">
        <v>230</v>
      </c>
      <c r="B124" s="173"/>
      <c r="C124" s="173"/>
      <c r="D124" s="129"/>
    </row>
    <row r="125" spans="1:4" x14ac:dyDescent="0.2">
      <c r="A125" s="119" t="s">
        <v>352</v>
      </c>
      <c r="B125" s="173"/>
      <c r="C125" s="173"/>
      <c r="D125" s="129"/>
    </row>
    <row r="126" spans="1:4" x14ac:dyDescent="0.2">
      <c r="A126" s="119" t="s">
        <v>231</v>
      </c>
      <c r="B126" s="173"/>
      <c r="C126" s="173"/>
      <c r="D126" s="129"/>
    </row>
    <row r="127" spans="1:4" ht="36.75" customHeight="1" x14ac:dyDescent="0.2">
      <c r="A127" s="562" t="s">
        <v>495</v>
      </c>
      <c r="B127" s="562"/>
      <c r="C127" s="562"/>
      <c r="D127" s="562"/>
    </row>
    <row r="128" spans="1:4" ht="39.75" customHeight="1" x14ac:dyDescent="0.2">
      <c r="A128" s="563" t="s">
        <v>515</v>
      </c>
      <c r="B128" s="563"/>
      <c r="C128" s="563"/>
      <c r="D128" s="563"/>
    </row>
    <row r="129" spans="1:4" ht="28.5" customHeight="1" x14ac:dyDescent="0.2">
      <c r="A129" s="561" t="s">
        <v>493</v>
      </c>
      <c r="B129" s="561"/>
      <c r="C129" s="561"/>
      <c r="D129" s="561"/>
    </row>
    <row r="130" spans="1:4" x14ac:dyDescent="0.2">
      <c r="A130" s="74"/>
    </row>
    <row r="131" spans="1:4" x14ac:dyDescent="0.2">
      <c r="A131" s="74"/>
    </row>
    <row r="132" spans="1:4" x14ac:dyDescent="0.2">
      <c r="A132" s="74"/>
    </row>
    <row r="133" spans="1:4" x14ac:dyDescent="0.2">
      <c r="A133" s="74"/>
    </row>
    <row r="134" spans="1:4" x14ac:dyDescent="0.2">
      <c r="A134" s="38" t="s">
        <v>570</v>
      </c>
    </row>
    <row r="135" spans="1:4" x14ac:dyDescent="0.2">
      <c r="A135" s="7" t="s">
        <v>111</v>
      </c>
    </row>
  </sheetData>
  <mergeCells count="3">
    <mergeCell ref="A129:D129"/>
    <mergeCell ref="A127:D127"/>
    <mergeCell ref="A128:D128"/>
  </mergeCells>
  <pageMargins left="0.98425196850393704" right="0.47244094488188981" top="0.47244094488188981" bottom="0.98425196850393704" header="0.23622047244094491" footer="0.19685039370078741"/>
  <pageSetup paperSize="9" scale="90" orientation="portrait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30"/>
  <sheetViews>
    <sheetView showZeros="0" zoomScaleNormal="100" workbookViewId="0"/>
  </sheetViews>
  <sheetFormatPr defaultRowHeight="12.75" x14ac:dyDescent="0.2"/>
  <cols>
    <col min="1" max="1" width="61" bestFit="1" customWidth="1"/>
    <col min="2" max="2" width="12.28515625" style="79" customWidth="1"/>
    <col min="3" max="3" width="10.140625" bestFit="1" customWidth="1"/>
  </cols>
  <sheetData>
    <row r="1" spans="1:2" x14ac:dyDescent="0.2">
      <c r="A1" s="337"/>
      <c r="B1" s="337" t="s">
        <v>355</v>
      </c>
    </row>
    <row r="2" spans="1:2" x14ac:dyDescent="0.2">
      <c r="A2" s="337"/>
      <c r="B2" s="337" t="s">
        <v>354</v>
      </c>
    </row>
    <row r="3" spans="1:2" x14ac:dyDescent="0.2">
      <c r="A3" s="338"/>
      <c r="B3" s="338" t="s">
        <v>353</v>
      </c>
    </row>
    <row r="4" spans="1:2" x14ac:dyDescent="0.2">
      <c r="B4" s="14" t="s">
        <v>42</v>
      </c>
    </row>
    <row r="7" spans="1:2" ht="15" x14ac:dyDescent="0.25">
      <c r="A7" s="45" t="s">
        <v>59</v>
      </c>
    </row>
    <row r="8" spans="1:2" s="103" customFormat="1" ht="12.75" customHeight="1" x14ac:dyDescent="0.25">
      <c r="A8" s="45"/>
      <c r="B8" s="79"/>
    </row>
    <row r="9" spans="1:2" x14ac:dyDescent="0.2">
      <c r="B9" s="3" t="s">
        <v>72</v>
      </c>
    </row>
    <row r="10" spans="1:2" x14ac:dyDescent="0.2">
      <c r="A10" s="81"/>
      <c r="B10" s="168"/>
    </row>
    <row r="11" spans="1:2" x14ac:dyDescent="0.2">
      <c r="A11" s="80" t="s">
        <v>107</v>
      </c>
      <c r="B11" s="167">
        <f>B13</f>
        <v>-245000</v>
      </c>
    </row>
    <row r="12" spans="1:2" x14ac:dyDescent="0.2">
      <c r="A12" s="83"/>
      <c r="B12" s="168"/>
    </row>
    <row r="13" spans="1:2" x14ac:dyDescent="0.2">
      <c r="A13" s="84" t="s">
        <v>142</v>
      </c>
      <c r="B13" s="168">
        <f>B14</f>
        <v>-245000</v>
      </c>
    </row>
    <row r="14" spans="1:2" x14ac:dyDescent="0.2">
      <c r="A14" s="83" t="s">
        <v>262</v>
      </c>
      <c r="B14" s="168">
        <v>-245000</v>
      </c>
    </row>
    <row r="15" spans="1:2" x14ac:dyDescent="0.2">
      <c r="A15" s="76"/>
      <c r="B15" s="85"/>
    </row>
    <row r="16" spans="1:2" x14ac:dyDescent="0.2">
      <c r="A16" s="76"/>
      <c r="B16" s="85"/>
    </row>
    <row r="17" spans="1:2" x14ac:dyDescent="0.2">
      <c r="A17" s="76"/>
      <c r="B17" s="85"/>
    </row>
    <row r="18" spans="1:2" x14ac:dyDescent="0.2">
      <c r="A18" s="76"/>
      <c r="B18" s="85"/>
    </row>
    <row r="19" spans="1:2" x14ac:dyDescent="0.2">
      <c r="A19" s="38" t="s">
        <v>570</v>
      </c>
    </row>
    <row r="20" spans="1:2" x14ac:dyDescent="0.2">
      <c r="A20" s="20" t="s">
        <v>111</v>
      </c>
    </row>
    <row r="30" spans="1:2" ht="15" customHeight="1" x14ac:dyDescent="0.2"/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1 KOONDEELARVE</vt:lpstr>
      <vt:lpstr>2 TULUDE KOOND</vt:lpstr>
      <vt:lpstr>2.1 LK TULUD</vt:lpstr>
      <vt:lpstr>Sheet2</vt:lpstr>
      <vt:lpstr>2.2 OMATULUD</vt:lpstr>
      <vt:lpstr>2.3 TOETUSED</vt:lpstr>
      <vt:lpstr>3 KULUD</vt:lpstr>
      <vt:lpstr>4 INVEST</vt:lpstr>
      <vt:lpstr>5 FIN.TEH</vt:lpstr>
      <vt:lpstr>6 RAHAKÄIVE</vt:lpstr>
      <vt:lpstr>7 LIIGENDUS</vt:lpstr>
      <vt:lpstr>'1 KOONDEELARVE'!Print_Titles</vt:lpstr>
      <vt:lpstr>'2 TULUDE KOOND'!Print_Titles</vt:lpstr>
      <vt:lpstr>'4 INVEST'!Print_Titles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2017-11-22T06:59:11Z</cp:lastPrinted>
  <dcterms:created xsi:type="dcterms:W3CDTF">2011-11-17T06:19:29Z</dcterms:created>
  <dcterms:modified xsi:type="dcterms:W3CDTF">2017-11-22T08:23:09Z</dcterms:modified>
</cp:coreProperties>
</file>