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65" windowWidth="14520" windowHeight="12210"/>
  </bookViews>
  <sheets>
    <sheet name="1 KOONDEELARVE" sheetId="5" r:id="rId1"/>
    <sheet name="2 TULUDE KOOND" sheetId="6" r:id="rId2"/>
    <sheet name="2.1 LK TULUD" sheetId="7" r:id="rId3"/>
    <sheet name="Sheet2" sheetId="15" state="hidden" r:id="rId4"/>
    <sheet name="2.2 OMATULUD" sheetId="4" r:id="rId5"/>
    <sheet name="2.3 TOETUSED" sheetId="12" r:id="rId6"/>
    <sheet name="3 KULUD" sheetId="8" r:id="rId7"/>
    <sheet name="4 INVEST" sheetId="16" r:id="rId8"/>
    <sheet name="5 FIN.TEH" sheetId="11" r:id="rId9"/>
    <sheet name="6 RAHAKÄIVE" sheetId="17" r:id="rId10"/>
    <sheet name="7 LIIGENDUS" sheetId="18" r:id="rId11"/>
  </sheets>
  <definedNames>
    <definedName name="_xlnm._FilterDatabase" localSheetId="0" hidden="1">'1 KOONDEELARVE'!$A$7:$A$50</definedName>
    <definedName name="_xlnm._FilterDatabase" localSheetId="4" hidden="1">'2.2 OMATULUD'!$A$3:$D$771</definedName>
    <definedName name="_xlnm._FilterDatabase" localSheetId="5" hidden="1">'2.3 TOETUSED'!$A$4:$B$92</definedName>
    <definedName name="_xlnm._FilterDatabase" localSheetId="6" hidden="1">'3 KULUD'!$A$3:$D$1511</definedName>
    <definedName name="OLE_LINK1" localSheetId="6">'3 KULUD'!#REF!</definedName>
    <definedName name="_xlnm.Print_Titles" localSheetId="0">'1 KOONDEELARVE'!$3:$3</definedName>
    <definedName name="_xlnm.Print_Titles" localSheetId="1">'2 TULUDE KOOND'!$4:$4</definedName>
    <definedName name="_xlnm.Print_Titles" localSheetId="4">'2.2 OMATULUD'!$3:$3</definedName>
    <definedName name="_xlnm.Print_Titles" localSheetId="6">'3 KULUD'!$3:$3</definedName>
    <definedName name="_xlnm.Print_Titles" localSheetId="7">'4 INVEST'!#REF!</definedName>
  </definedNames>
  <calcPr calcId="145621"/>
</workbook>
</file>

<file path=xl/calcChain.xml><?xml version="1.0" encoding="utf-8"?>
<calcChain xmlns="http://schemas.openxmlformats.org/spreadsheetml/2006/main">
  <c r="C51" i="5" l="1"/>
  <c r="C41" i="5"/>
  <c r="C29" i="5"/>
  <c r="C1489" i="8"/>
  <c r="C33" i="8"/>
  <c r="C481" i="8"/>
  <c r="C1472" i="8"/>
  <c r="C1471" i="8"/>
  <c r="C191" i="8"/>
  <c r="C168" i="8"/>
  <c r="C155" i="8"/>
  <c r="C90" i="7"/>
  <c r="C1266" i="8"/>
  <c r="C408" i="8"/>
  <c r="C413" i="8"/>
  <c r="C1409" i="8"/>
  <c r="C1408" i="8" s="1"/>
  <c r="C316" i="8"/>
  <c r="C696" i="8"/>
  <c r="C54" i="7"/>
  <c r="C12" i="7"/>
  <c r="C13" i="7"/>
  <c r="C731" i="8"/>
  <c r="D169" i="16"/>
  <c r="D168" i="16"/>
  <c r="D166" i="16"/>
  <c r="D163" i="16"/>
  <c r="D159" i="16"/>
  <c r="C159" i="16"/>
  <c r="D157" i="16"/>
  <c r="D156" i="16" s="1"/>
  <c r="C157" i="16"/>
  <c r="D152" i="16"/>
  <c r="C152" i="16"/>
  <c r="D150" i="16"/>
  <c r="C150" i="16"/>
  <c r="D132" i="16"/>
  <c r="C132" i="16"/>
  <c r="D131" i="16"/>
  <c r="C131" i="16"/>
  <c r="D130" i="16"/>
  <c r="D129" i="16" s="1"/>
  <c r="C130" i="16"/>
  <c r="C129" i="16" s="1"/>
  <c r="D124" i="16"/>
  <c r="C124" i="16"/>
  <c r="D121" i="16"/>
  <c r="C121" i="16"/>
  <c r="D119" i="16"/>
  <c r="C119" i="16"/>
  <c r="C104" i="16"/>
  <c r="D98" i="16"/>
  <c r="C98" i="16"/>
  <c r="D97" i="16"/>
  <c r="C97" i="16"/>
  <c r="C68" i="16" s="1"/>
  <c r="C10" i="16" s="1"/>
  <c r="D96" i="16"/>
  <c r="C96" i="16"/>
  <c r="D95" i="16"/>
  <c r="C95" i="16"/>
  <c r="D82" i="16"/>
  <c r="D73" i="16"/>
  <c r="D72" i="16"/>
  <c r="C72" i="16"/>
  <c r="D71" i="16"/>
  <c r="C71" i="16"/>
  <c r="D70" i="16"/>
  <c r="D69" i="16" s="1"/>
  <c r="C70" i="16"/>
  <c r="C69" i="16" s="1"/>
  <c r="D61" i="16"/>
  <c r="C61" i="16"/>
  <c r="D57" i="16"/>
  <c r="C57" i="16"/>
  <c r="D53" i="16"/>
  <c r="C53" i="16"/>
  <c r="D52" i="16"/>
  <c r="D48" i="16" s="1"/>
  <c r="C52" i="16"/>
  <c r="D51" i="16"/>
  <c r="C51" i="16"/>
  <c r="C47" i="16" s="1"/>
  <c r="C16" i="16" s="1"/>
  <c r="C9" i="16" s="1"/>
  <c r="D50" i="16"/>
  <c r="D49" i="16" s="1"/>
  <c r="C50" i="16"/>
  <c r="C48" i="16"/>
  <c r="D47" i="16"/>
  <c r="D16" i="16" s="1"/>
  <c r="D9" i="16" s="1"/>
  <c r="D175" i="16" s="1"/>
  <c r="C46" i="16"/>
  <c r="D42" i="16"/>
  <c r="C42" i="16"/>
  <c r="D39" i="16"/>
  <c r="C39" i="16"/>
  <c r="D38" i="16"/>
  <c r="C38" i="16"/>
  <c r="D37" i="16"/>
  <c r="C37" i="16"/>
  <c r="C36" i="16" s="1"/>
  <c r="D36" i="16"/>
  <c r="D33" i="16"/>
  <c r="C33" i="16"/>
  <c r="D32" i="16"/>
  <c r="C32" i="16"/>
  <c r="D31" i="16"/>
  <c r="C31" i="16"/>
  <c r="C30" i="16" s="1"/>
  <c r="D30" i="16"/>
  <c r="D27" i="16"/>
  <c r="C27" i="16"/>
  <c r="D26" i="16"/>
  <c r="C26" i="16"/>
  <c r="D25" i="16"/>
  <c r="C25" i="16"/>
  <c r="C24" i="16" s="1"/>
  <c r="D24" i="16"/>
  <c r="D21" i="16"/>
  <c r="C21" i="16"/>
  <c r="D20" i="16"/>
  <c r="C20" i="16"/>
  <c r="D19" i="16"/>
  <c r="C19" i="16"/>
  <c r="C18" i="16" s="1"/>
  <c r="D18" i="16"/>
  <c r="D17" i="16" l="1"/>
  <c r="D11" i="16" s="1"/>
  <c r="D177" i="16" s="1"/>
  <c r="C45" i="16"/>
  <c r="D46" i="16"/>
  <c r="D45" i="16" s="1"/>
  <c r="C17" i="16"/>
  <c r="C11" i="16" s="1"/>
  <c r="C49" i="16"/>
  <c r="D68" i="16"/>
  <c r="D10" i="16" s="1"/>
  <c r="D176" i="16" s="1"/>
  <c r="C156" i="16"/>
  <c r="D171" i="16"/>
  <c r="C15" i="16"/>
  <c r="C67" i="16"/>
  <c r="C66" i="16" s="1"/>
  <c r="D15" i="16"/>
  <c r="D67" i="16"/>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94" i="7"/>
  <c r="D93" i="7"/>
  <c r="D92" i="7"/>
  <c r="D91" i="7"/>
  <c r="D90" i="7"/>
  <c r="D89" i="7"/>
  <c r="D88" i="7"/>
  <c r="D86" i="7"/>
  <c r="D84" i="7"/>
  <c r="D83"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2" i="7"/>
  <c r="D51" i="7"/>
  <c r="D50" i="7"/>
  <c r="D49" i="7"/>
  <c r="D48" i="7"/>
  <c r="D47" i="7"/>
  <c r="D46" i="7"/>
  <c r="D45" i="7"/>
  <c r="D44"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66" i="16" l="1"/>
  <c r="C14" i="16"/>
  <c r="C8" i="16"/>
  <c r="C7" i="16" s="1"/>
  <c r="D14" i="16"/>
  <c r="D8" i="16"/>
  <c r="D174" i="16" l="1"/>
  <c r="D173" i="16" s="1"/>
  <c r="D7" i="16"/>
  <c r="D41" i="18"/>
  <c r="D40" i="18"/>
  <c r="D38" i="18"/>
  <c r="D37" i="18"/>
  <c r="D35" i="18"/>
  <c r="D32" i="18"/>
  <c r="D30" i="18"/>
  <c r="D29" i="18"/>
  <c r="D28" i="18"/>
  <c r="D26" i="18"/>
  <c r="D25" i="18"/>
  <c r="D24" i="18"/>
  <c r="D23" i="18"/>
  <c r="D21" i="18"/>
  <c r="D18" i="18"/>
  <c r="D16" i="18"/>
  <c r="D15" i="18"/>
  <c r="D14" i="18"/>
  <c r="D12" i="18"/>
  <c r="D9" i="18"/>
  <c r="D8" i="18"/>
  <c r="D7" i="18"/>
  <c r="D6" i="18"/>
  <c r="D66" i="5" l="1"/>
  <c r="D65" i="5"/>
  <c r="D63" i="5"/>
  <c r="D61" i="5"/>
  <c r="D56" i="5"/>
  <c r="D55" i="5"/>
  <c r="D54" i="5"/>
  <c r="D52" i="5"/>
  <c r="D48" i="5"/>
  <c r="D47" i="5"/>
  <c r="D46" i="5"/>
  <c r="D45" i="5"/>
  <c r="D40" i="5"/>
  <c r="D39" i="5"/>
  <c r="D38" i="5"/>
  <c r="D37" i="5"/>
  <c r="D36" i="5"/>
  <c r="D34" i="5"/>
  <c r="D32" i="5"/>
  <c r="D30" i="5"/>
  <c r="D22" i="5"/>
  <c r="D4" i="18" l="1"/>
  <c r="C66" i="7" l="1"/>
  <c r="C73" i="7"/>
  <c r="C77" i="7"/>
  <c r="C7" i="7"/>
  <c r="C77" i="12"/>
  <c r="C75" i="12"/>
  <c r="C254" i="8"/>
  <c r="D254" i="8" s="1"/>
  <c r="C253" i="8"/>
  <c r="D253" i="8" s="1"/>
  <c r="D1511" i="8"/>
  <c r="D1510" i="8"/>
  <c r="D1509" i="8"/>
  <c r="D1508" i="8"/>
  <c r="D1498" i="8"/>
  <c r="D1496" i="8"/>
  <c r="D1495" i="8"/>
  <c r="D1493" i="8"/>
  <c r="D1492" i="8"/>
  <c r="D1491" i="8"/>
  <c r="D1489" i="8"/>
  <c r="D1487" i="8"/>
  <c r="D1485" i="8"/>
  <c r="D1484" i="8"/>
  <c r="D1483" i="8"/>
  <c r="D1482" i="8"/>
  <c r="D1481" i="8"/>
  <c r="D1479" i="8"/>
  <c r="D1478" i="8"/>
  <c r="D1477" i="8"/>
  <c r="D1476" i="8"/>
  <c r="D1475" i="8"/>
  <c r="D1474" i="8"/>
  <c r="D1473" i="8"/>
  <c r="D1472" i="8"/>
  <c r="D1471" i="8"/>
  <c r="D1470" i="8"/>
  <c r="D1469" i="8"/>
  <c r="D1468" i="8"/>
  <c r="D1467" i="8"/>
  <c r="D1464" i="8"/>
  <c r="D1462" i="8"/>
  <c r="D1461" i="8"/>
  <c r="D1460" i="8"/>
  <c r="D1459" i="8"/>
  <c r="D1458" i="8"/>
  <c r="D1457" i="8"/>
  <c r="D1456" i="8"/>
  <c r="D1455" i="8"/>
  <c r="D1454" i="8"/>
  <c r="D1453" i="8"/>
  <c r="D1452" i="8"/>
  <c r="D1451" i="8"/>
  <c r="D1450" i="8"/>
  <c r="D1449" i="8"/>
  <c r="D1448" i="8"/>
  <c r="D1447" i="8"/>
  <c r="D1446" i="8"/>
  <c r="D1445" i="8"/>
  <c r="D1444" i="8"/>
  <c r="D1443" i="8"/>
  <c r="D1442" i="8"/>
  <c r="D1441" i="8"/>
  <c r="D1440" i="8"/>
  <c r="D1439" i="8"/>
  <c r="D1438" i="8"/>
  <c r="D1437" i="8"/>
  <c r="D1436" i="8"/>
  <c r="D1434" i="8"/>
  <c r="D1433" i="8"/>
  <c r="D1432" i="8"/>
  <c r="D1431" i="8"/>
  <c r="D1429" i="8"/>
  <c r="D1428" i="8"/>
  <c r="D1427" i="8"/>
  <c r="D1426" i="8"/>
  <c r="D1425" i="8"/>
  <c r="D1424" i="8"/>
  <c r="D1423" i="8"/>
  <c r="D1422" i="8"/>
  <c r="D1421" i="8"/>
  <c r="D1420" i="8"/>
  <c r="D1419" i="8"/>
  <c r="D1418" i="8"/>
  <c r="D1417" i="8"/>
  <c r="D1416" i="8"/>
  <c r="D1413" i="8"/>
  <c r="D1412" i="8"/>
  <c r="D1411" i="8"/>
  <c r="D1410" i="8"/>
  <c r="D1407" i="8"/>
  <c r="D1402" i="8"/>
  <c r="D1400" i="8"/>
  <c r="D1399" i="8"/>
  <c r="D1398" i="8"/>
  <c r="D1397" i="8"/>
  <c r="D1396" i="8"/>
  <c r="D1395" i="8"/>
  <c r="D1394" i="8"/>
  <c r="D1393" i="8"/>
  <c r="D1392" i="8"/>
  <c r="D1391" i="8"/>
  <c r="D1390" i="8"/>
  <c r="D1389" i="8"/>
  <c r="D1388" i="8"/>
  <c r="D1387" i="8"/>
  <c r="D1386" i="8"/>
  <c r="D1385" i="8"/>
  <c r="D1384" i="8"/>
  <c r="D1383" i="8"/>
  <c r="D1382" i="8"/>
  <c r="D1381" i="8"/>
  <c r="D1380" i="8"/>
  <c r="D1378" i="8"/>
  <c r="D1377" i="8"/>
  <c r="D1376" i="8"/>
  <c r="D1375" i="8"/>
  <c r="D1374" i="8"/>
  <c r="D1372" i="8"/>
  <c r="D1371" i="8"/>
  <c r="D1370" i="8"/>
  <c r="D1369" i="8"/>
  <c r="D1368" i="8"/>
  <c r="D1367" i="8"/>
  <c r="D1366" i="8"/>
  <c r="D1365" i="8"/>
  <c r="D1364" i="8"/>
  <c r="D1363" i="8"/>
  <c r="D1362" i="8"/>
  <c r="D1359" i="8"/>
  <c r="D1358" i="8"/>
  <c r="D1357" i="8"/>
  <c r="D1356" i="8"/>
  <c r="D1353" i="8"/>
  <c r="D1349" i="8"/>
  <c r="D1347" i="8"/>
  <c r="D1346" i="8"/>
  <c r="D1345" i="8"/>
  <c r="D1344" i="8"/>
  <c r="D1343" i="8"/>
  <c r="D1342" i="8"/>
  <c r="D1341" i="8"/>
  <c r="D1340" i="8"/>
  <c r="D1339" i="8"/>
  <c r="D1338" i="8"/>
  <c r="D1337" i="8"/>
  <c r="D1336" i="8"/>
  <c r="D1335" i="8"/>
  <c r="D1334" i="8"/>
  <c r="D1331" i="8"/>
  <c r="D1329" i="8"/>
  <c r="D1328" i="8"/>
  <c r="D1326" i="8"/>
  <c r="D1325" i="8"/>
  <c r="D1324" i="8"/>
  <c r="D1323" i="8"/>
  <c r="D1322" i="8"/>
  <c r="D1321" i="8"/>
  <c r="D1320" i="8"/>
  <c r="D1319" i="8"/>
  <c r="D1318" i="8"/>
  <c r="D1317" i="8"/>
  <c r="D1316" i="8"/>
  <c r="D1315" i="8"/>
  <c r="D1314" i="8"/>
  <c r="D1313" i="8"/>
  <c r="D1312" i="8"/>
  <c r="D1310" i="8"/>
  <c r="D1309" i="8"/>
  <c r="D1308" i="8"/>
  <c r="D1307" i="8"/>
  <c r="D1305" i="8"/>
  <c r="D1304" i="8"/>
  <c r="D1303" i="8"/>
  <c r="D1302" i="8"/>
  <c r="D1300" i="8"/>
  <c r="D1298" i="8"/>
  <c r="D1297" i="8"/>
  <c r="D1296" i="8"/>
  <c r="D1295" i="8"/>
  <c r="D1292" i="8"/>
  <c r="D1288" i="8"/>
  <c r="D1286" i="8"/>
  <c r="D1285" i="8"/>
  <c r="D1284" i="8"/>
  <c r="D1283" i="8"/>
  <c r="D1282" i="8"/>
  <c r="D1281" i="8"/>
  <c r="D1280" i="8"/>
  <c r="D1279" i="8"/>
  <c r="D1278" i="8"/>
  <c r="D1277" i="8"/>
  <c r="D1276" i="8"/>
  <c r="D1275" i="8"/>
  <c r="D1273" i="8"/>
  <c r="D1271" i="8"/>
  <c r="D1270" i="8"/>
  <c r="D1269" i="8"/>
  <c r="D1268" i="8"/>
  <c r="D1267" i="8"/>
  <c r="D1266" i="8"/>
  <c r="D1265" i="8"/>
  <c r="D1263" i="8"/>
  <c r="D1262" i="8"/>
  <c r="D1260" i="8"/>
  <c r="D1259" i="8"/>
  <c r="D1258" i="8"/>
  <c r="D1257" i="8"/>
  <c r="D1255" i="8"/>
  <c r="D1254" i="8"/>
  <c r="D1253" i="8"/>
  <c r="D1252" i="8"/>
  <c r="D1251" i="8"/>
  <c r="D1250" i="8"/>
  <c r="D1247" i="8"/>
  <c r="D1246" i="8"/>
  <c r="D1245" i="8"/>
  <c r="D1244" i="8"/>
  <c r="D1243" i="8"/>
  <c r="D1240" i="8"/>
  <c r="D1236" i="8"/>
  <c r="D1234" i="8"/>
  <c r="D1233" i="8"/>
  <c r="D1232" i="8"/>
  <c r="D1231" i="8"/>
  <c r="D1230" i="8"/>
  <c r="D1229" i="8"/>
  <c r="D1228" i="8"/>
  <c r="D1227" i="8"/>
  <c r="D1226" i="8"/>
  <c r="D1225" i="8"/>
  <c r="D1224" i="8"/>
  <c r="D1223" i="8"/>
  <c r="D1222" i="8"/>
  <c r="D1221" i="8"/>
  <c r="D1220" i="8"/>
  <c r="D1219" i="8"/>
  <c r="D1218" i="8"/>
  <c r="D1217" i="8"/>
  <c r="D1216" i="8"/>
  <c r="D1215" i="8"/>
  <c r="D1214" i="8"/>
  <c r="D1212" i="8"/>
  <c r="D1211" i="8"/>
  <c r="D1210" i="8"/>
  <c r="D1209" i="8"/>
  <c r="D1208" i="8"/>
  <c r="D1207" i="8"/>
  <c r="D1204" i="8"/>
  <c r="D1203" i="8"/>
  <c r="D1201" i="8"/>
  <c r="D1200" i="8"/>
  <c r="D1199" i="8"/>
  <c r="D1198" i="8"/>
  <c r="D1197" i="8"/>
  <c r="D1196" i="8"/>
  <c r="D1195" i="8"/>
  <c r="D1194" i="8"/>
  <c r="D1193" i="8"/>
  <c r="D1192" i="8"/>
  <c r="D1191" i="8"/>
  <c r="D1188" i="8"/>
  <c r="D1187" i="8"/>
  <c r="D1186" i="8"/>
  <c r="D1185" i="8"/>
  <c r="D1182" i="8"/>
  <c r="D1178" i="8"/>
  <c r="D1176" i="8"/>
  <c r="D1175" i="8"/>
  <c r="D1174" i="8"/>
  <c r="D1173" i="8"/>
  <c r="D1172" i="8"/>
  <c r="D1171" i="8"/>
  <c r="D1170" i="8"/>
  <c r="D1169" i="8"/>
  <c r="D1168" i="8"/>
  <c r="D1167" i="8"/>
  <c r="D1166" i="8"/>
  <c r="D1165" i="8"/>
  <c r="D1164" i="8"/>
  <c r="D1163" i="8"/>
  <c r="D1162" i="8"/>
  <c r="D1161" i="8"/>
  <c r="D1160" i="8"/>
  <c r="D1159" i="8"/>
  <c r="D1158" i="8"/>
  <c r="D1156" i="8"/>
  <c r="D1155" i="8"/>
  <c r="D1154" i="8"/>
  <c r="D1153" i="8"/>
  <c r="D1151" i="8"/>
  <c r="D1150" i="8"/>
  <c r="D1148" i="8"/>
  <c r="D1147" i="8"/>
  <c r="D1146" i="8"/>
  <c r="D1145" i="8"/>
  <c r="D1144" i="8"/>
  <c r="D1143" i="8"/>
  <c r="D1142" i="8"/>
  <c r="D1141" i="8"/>
  <c r="D1140" i="8"/>
  <c r="D1139" i="8"/>
  <c r="D1138" i="8"/>
  <c r="D1135" i="8"/>
  <c r="D1130" i="8"/>
  <c r="D1128" i="8"/>
  <c r="D1127" i="8"/>
  <c r="D1126" i="8"/>
  <c r="D1125" i="8"/>
  <c r="D1124" i="8"/>
  <c r="D1123" i="8"/>
  <c r="D1122" i="8"/>
  <c r="D1121" i="8"/>
  <c r="D1119" i="8"/>
  <c r="D1118" i="8"/>
  <c r="D1117" i="8"/>
  <c r="D1116" i="8"/>
  <c r="D1115" i="8"/>
  <c r="D1114" i="8"/>
  <c r="D1113" i="8"/>
  <c r="D1112" i="8"/>
  <c r="D1111" i="8"/>
  <c r="D1109" i="8"/>
  <c r="D1108" i="8"/>
  <c r="D1107" i="8"/>
  <c r="D1106" i="8"/>
  <c r="D1105" i="8"/>
  <c r="D1104" i="8"/>
  <c r="D1101" i="8"/>
  <c r="D1100" i="8"/>
  <c r="D1099" i="8"/>
  <c r="D1098" i="8"/>
  <c r="D1096" i="8"/>
  <c r="D1095" i="8"/>
  <c r="D1094" i="8"/>
  <c r="D1093" i="8"/>
  <c r="D1092" i="8"/>
  <c r="D1090" i="8"/>
  <c r="D1089" i="8"/>
  <c r="D1088" i="8"/>
  <c r="D1087" i="8"/>
  <c r="D1086" i="8"/>
  <c r="D1085" i="8"/>
  <c r="D1084" i="8"/>
  <c r="D1083" i="8"/>
  <c r="D1082" i="8"/>
  <c r="D1081" i="8"/>
  <c r="D1080" i="8"/>
  <c r="D1077" i="8"/>
  <c r="D1073" i="8"/>
  <c r="D1071" i="8"/>
  <c r="D1070" i="8"/>
  <c r="D1069" i="8"/>
  <c r="D1068" i="8"/>
  <c r="D1067" i="8"/>
  <c r="D1066" i="8"/>
  <c r="D1065" i="8"/>
  <c r="D1064" i="8"/>
  <c r="D1063" i="8"/>
  <c r="D1062" i="8"/>
  <c r="D1061" i="8"/>
  <c r="D1060" i="8"/>
  <c r="D1059" i="8"/>
  <c r="D1058" i="8"/>
  <c r="D1057" i="8"/>
  <c r="D1056" i="8"/>
  <c r="D1055" i="8"/>
  <c r="D1054" i="8"/>
  <c r="D1053" i="8"/>
  <c r="D1052" i="8"/>
  <c r="D1051" i="8"/>
  <c r="D1050" i="8"/>
  <c r="D1049" i="8"/>
  <c r="D1048" i="8"/>
  <c r="D1047" i="8"/>
  <c r="D1045" i="8"/>
  <c r="D1044" i="8"/>
  <c r="D1043" i="8"/>
  <c r="D1042" i="8"/>
  <c r="D1040" i="8"/>
  <c r="D1039" i="8"/>
  <c r="D1038" i="8"/>
  <c r="D1037" i="8"/>
  <c r="D1036" i="8"/>
  <c r="D1035" i="8"/>
  <c r="D1034" i="8"/>
  <c r="D1033" i="8"/>
  <c r="D1032" i="8"/>
  <c r="D1031" i="8"/>
  <c r="D1030" i="8"/>
  <c r="D1027" i="8"/>
  <c r="D1026" i="8"/>
  <c r="D1025" i="8"/>
  <c r="D1024" i="8"/>
  <c r="D1021" i="8"/>
  <c r="D1016" i="8"/>
  <c r="D1014" i="8"/>
  <c r="D1013" i="8"/>
  <c r="D1012" i="8"/>
  <c r="D1011" i="8"/>
  <c r="D1007" i="8"/>
  <c r="D1004" i="8"/>
  <c r="D1002" i="8"/>
  <c r="D1001" i="8"/>
  <c r="D1000" i="8"/>
  <c r="D999" i="8"/>
  <c r="D998" i="8"/>
  <c r="D997" i="8"/>
  <c r="D996" i="8"/>
  <c r="D995" i="8"/>
  <c r="D994" i="8"/>
  <c r="D993" i="8"/>
  <c r="D992" i="8"/>
  <c r="D991" i="8"/>
  <c r="D990" i="8"/>
  <c r="D989" i="8"/>
  <c r="D988" i="8"/>
  <c r="D987" i="8"/>
  <c r="D986" i="8"/>
  <c r="D985" i="8"/>
  <c r="D984" i="8"/>
  <c r="D983" i="8"/>
  <c r="D982" i="8"/>
  <c r="D981" i="8"/>
  <c r="D980" i="8"/>
  <c r="D977" i="8"/>
  <c r="D975" i="8"/>
  <c r="D974" i="8"/>
  <c r="D973" i="8"/>
  <c r="D972" i="8"/>
  <c r="D970" i="8"/>
  <c r="D965" i="8"/>
  <c r="D963" i="8"/>
  <c r="D962" i="8"/>
  <c r="D961" i="8"/>
  <c r="D960" i="8"/>
  <c r="D959" i="8"/>
  <c r="D958" i="8"/>
  <c r="D957" i="8"/>
  <c r="D956" i="8"/>
  <c r="D955" i="8"/>
  <c r="D954" i="8"/>
  <c r="D953" i="8"/>
  <c r="D952" i="8"/>
  <c r="D951" i="8"/>
  <c r="D950" i="8"/>
  <c r="D949" i="8"/>
  <c r="D948" i="8"/>
  <c r="D947" i="8"/>
  <c r="D946" i="8"/>
  <c r="D945" i="8"/>
  <c r="D944" i="8"/>
  <c r="D943" i="8"/>
  <c r="D942" i="8"/>
  <c r="D941" i="8"/>
  <c r="D940" i="8"/>
  <c r="D939" i="8"/>
  <c r="D938" i="8"/>
  <c r="D937" i="8"/>
  <c r="D936" i="8"/>
  <c r="D935" i="8"/>
  <c r="D934" i="8"/>
  <c r="D933" i="8"/>
  <c r="D932" i="8"/>
  <c r="D931" i="8"/>
  <c r="D930" i="8"/>
  <c r="D929" i="8"/>
  <c r="D928" i="8"/>
  <c r="D927" i="8"/>
  <c r="D926" i="8"/>
  <c r="D925" i="8"/>
  <c r="D924" i="8"/>
  <c r="D923" i="8"/>
  <c r="D922" i="8"/>
  <c r="D920" i="8"/>
  <c r="D919" i="8"/>
  <c r="D917" i="8"/>
  <c r="D916" i="8"/>
  <c r="D915" i="8"/>
  <c r="D914" i="8"/>
  <c r="D912" i="8"/>
  <c r="D911" i="8"/>
  <c r="D909" i="8"/>
  <c r="D907" i="8"/>
  <c r="D906" i="8"/>
  <c r="D905" i="8"/>
  <c r="D904" i="8"/>
  <c r="D903" i="8"/>
  <c r="D902" i="8"/>
  <c r="D899" i="8"/>
  <c r="D894" i="8"/>
  <c r="D892" i="8"/>
  <c r="D891" i="8"/>
  <c r="D890" i="8"/>
  <c r="D889" i="8"/>
  <c r="D888" i="8"/>
  <c r="D887" i="8"/>
  <c r="D886" i="8"/>
  <c r="D885" i="8"/>
  <c r="D884" i="8"/>
  <c r="D883" i="8"/>
  <c r="D881" i="8"/>
  <c r="D880" i="8"/>
  <c r="D879" i="8"/>
  <c r="D878" i="8"/>
  <c r="D877" i="8"/>
  <c r="D876" i="8"/>
  <c r="D875" i="8"/>
  <c r="D874" i="8"/>
  <c r="D873" i="8"/>
  <c r="D872" i="8"/>
  <c r="D871" i="8"/>
  <c r="D870" i="8"/>
  <c r="D869" i="8"/>
  <c r="D868" i="8"/>
  <c r="D867" i="8"/>
  <c r="D866" i="8"/>
  <c r="D865" i="8"/>
  <c r="D864" i="8"/>
  <c r="D863" i="8"/>
  <c r="D862" i="8"/>
  <c r="D861" i="8"/>
  <c r="D860" i="8"/>
  <c r="D859" i="8"/>
  <c r="D857" i="8"/>
  <c r="D856" i="8"/>
  <c r="D855" i="8"/>
  <c r="D854" i="8"/>
  <c r="D852" i="8"/>
  <c r="D851" i="8"/>
  <c r="D848" i="8"/>
  <c r="D846" i="8"/>
  <c r="D845" i="8"/>
  <c r="D844" i="8"/>
  <c r="D843" i="8"/>
  <c r="D841" i="8"/>
  <c r="D840" i="8"/>
  <c r="D839" i="8"/>
  <c r="D838" i="8"/>
  <c r="D835" i="8"/>
  <c r="D831" i="8"/>
  <c r="D829" i="8"/>
  <c r="D828" i="8"/>
  <c r="D827" i="8"/>
  <c r="D826" i="8"/>
  <c r="D825" i="8"/>
  <c r="D824" i="8"/>
  <c r="D823" i="8"/>
  <c r="D822" i="8"/>
  <c r="D821" i="8"/>
  <c r="D820" i="8"/>
  <c r="D819" i="8"/>
  <c r="D818" i="8"/>
  <c r="D817" i="8"/>
  <c r="D816" i="8"/>
  <c r="D815" i="8"/>
  <c r="D814" i="8"/>
  <c r="D813" i="8"/>
  <c r="D811" i="8"/>
  <c r="D810" i="8"/>
  <c r="D809" i="8"/>
  <c r="D807" i="8"/>
  <c r="D806" i="8"/>
  <c r="D805" i="8"/>
  <c r="D804" i="8"/>
  <c r="D803" i="8"/>
  <c r="D802" i="8"/>
  <c r="D800" i="8"/>
  <c r="D799" i="8"/>
  <c r="D798" i="8"/>
  <c r="D797" i="8"/>
  <c r="D795" i="8"/>
  <c r="D794" i="8"/>
  <c r="D793" i="8"/>
  <c r="D792" i="8"/>
  <c r="D791" i="8"/>
  <c r="D790" i="8"/>
  <c r="D789" i="8"/>
  <c r="D788" i="8"/>
  <c r="D787" i="8"/>
  <c r="D786" i="8"/>
  <c r="D784" i="8"/>
  <c r="D783" i="8"/>
  <c r="D782" i="8"/>
  <c r="D781" i="8"/>
  <c r="D779" i="8"/>
  <c r="D776" i="8"/>
  <c r="D771" i="8"/>
  <c r="D769" i="8"/>
  <c r="D768" i="8"/>
  <c r="D767" i="8"/>
  <c r="D766" i="8"/>
  <c r="D765" i="8"/>
  <c r="D764" i="8"/>
  <c r="D763" i="8"/>
  <c r="D762" i="8"/>
  <c r="D761" i="8"/>
  <c r="D760" i="8"/>
  <c r="D759" i="8"/>
  <c r="D758" i="8"/>
  <c r="D757" i="8"/>
  <c r="D756" i="8"/>
  <c r="D755" i="8"/>
  <c r="D754" i="8"/>
  <c r="D753" i="8"/>
  <c r="D752" i="8"/>
  <c r="D750" i="8"/>
  <c r="D749" i="8"/>
  <c r="D748" i="8"/>
  <c r="D747" i="8"/>
  <c r="D746" i="8"/>
  <c r="D743" i="8"/>
  <c r="D742" i="8"/>
  <c r="D741" i="8"/>
  <c r="D740" i="8"/>
  <c r="D737" i="8"/>
  <c r="D736" i="8"/>
  <c r="D734" i="8"/>
  <c r="D733" i="8"/>
  <c r="D732" i="8"/>
  <c r="D731" i="8"/>
  <c r="D730" i="8"/>
  <c r="D728" i="8"/>
  <c r="D727" i="8"/>
  <c r="D725" i="8"/>
  <c r="D722" i="8"/>
  <c r="D721" i="8"/>
  <c r="D720" i="8"/>
  <c r="D719" i="8"/>
  <c r="D718" i="8"/>
  <c r="D717" i="8"/>
  <c r="D716" i="8"/>
  <c r="D715" i="8"/>
  <c r="D714" i="8"/>
  <c r="D713" i="8"/>
  <c r="D712" i="8"/>
  <c r="D711" i="8"/>
  <c r="D710" i="8"/>
  <c r="D709" i="8"/>
  <c r="D708" i="8"/>
  <c r="D707" i="8"/>
  <c r="D706" i="8"/>
  <c r="D705" i="8"/>
  <c r="D704" i="8"/>
  <c r="D703" i="8"/>
  <c r="D702" i="8"/>
  <c r="D701" i="8"/>
  <c r="D698" i="8"/>
  <c r="D697" i="8"/>
  <c r="D696" i="8"/>
  <c r="D695" i="8"/>
  <c r="D694" i="8"/>
  <c r="D693" i="8"/>
  <c r="D692" i="8"/>
  <c r="D691" i="8"/>
  <c r="D690" i="8"/>
  <c r="D688" i="8"/>
  <c r="D687" i="8"/>
  <c r="D686" i="8"/>
  <c r="D685" i="8"/>
  <c r="D684" i="8"/>
  <c r="D680" i="8"/>
  <c r="D675" i="8"/>
  <c r="D673" i="8"/>
  <c r="D672" i="8"/>
  <c r="D671" i="8"/>
  <c r="D670" i="8"/>
  <c r="D669" i="8"/>
  <c r="D668" i="8"/>
  <c r="D667" i="8"/>
  <c r="D666" i="8"/>
  <c r="D665" i="8"/>
  <c r="D664" i="8"/>
  <c r="D663" i="8"/>
  <c r="D662" i="8"/>
  <c r="D661" i="8"/>
  <c r="D660" i="8"/>
  <c r="D659" i="8"/>
  <c r="D658" i="8"/>
  <c r="D657" i="8"/>
  <c r="D655" i="8"/>
  <c r="D654" i="8"/>
  <c r="D652" i="8"/>
  <c r="D651" i="8"/>
  <c r="D650" i="8"/>
  <c r="D649" i="8"/>
  <c r="D648" i="8"/>
  <c r="D647" i="8"/>
  <c r="D645" i="8"/>
  <c r="D644" i="8"/>
  <c r="D643" i="8"/>
  <c r="D642" i="8"/>
  <c r="D641" i="8"/>
  <c r="D640" i="8"/>
  <c r="D637" i="8"/>
  <c r="D632" i="8"/>
  <c r="D630" i="8"/>
  <c r="D629" i="8"/>
  <c r="D628" i="8"/>
  <c r="D627" i="8"/>
  <c r="D626" i="8"/>
  <c r="D625" i="8"/>
  <c r="D624" i="8"/>
  <c r="D623" i="8"/>
  <c r="D622" i="8"/>
  <c r="D621" i="8"/>
  <c r="D620" i="8"/>
  <c r="D619" i="8"/>
  <c r="D618" i="8"/>
  <c r="D617" i="8"/>
  <c r="D616" i="8"/>
  <c r="D615" i="8"/>
  <c r="D614" i="8"/>
  <c r="D613" i="8"/>
  <c r="D612" i="8"/>
  <c r="D611" i="8"/>
  <c r="D610" i="8"/>
  <c r="D607" i="8"/>
  <c r="D606" i="8"/>
  <c r="D605" i="8"/>
  <c r="D604" i="8"/>
  <c r="D602" i="8"/>
  <c r="D601" i="8"/>
  <c r="D600" i="8"/>
  <c r="D599" i="8"/>
  <c r="D598" i="8"/>
  <c r="D596" i="8"/>
  <c r="D594" i="8"/>
  <c r="D593" i="8"/>
  <c r="D592" i="8"/>
  <c r="D591" i="8"/>
  <c r="D590" i="8"/>
  <c r="D589" i="8"/>
  <c r="D588" i="8"/>
  <c r="D587" i="8"/>
  <c r="D586" i="8"/>
  <c r="D585" i="8"/>
  <c r="D584" i="8"/>
  <c r="D583" i="8"/>
  <c r="D581" i="8"/>
  <c r="D580" i="8"/>
  <c r="D579" i="8"/>
  <c r="D578" i="8"/>
  <c r="D577" i="8"/>
  <c r="D576" i="8"/>
  <c r="D575" i="8"/>
  <c r="D574" i="8"/>
  <c r="D573" i="8"/>
  <c r="D572" i="8"/>
  <c r="D571" i="8"/>
  <c r="D570" i="8"/>
  <c r="D569" i="8"/>
  <c r="D568" i="8"/>
  <c r="D567" i="8"/>
  <c r="D565" i="8"/>
  <c r="D563" i="8"/>
  <c r="D561" i="8"/>
  <c r="D560" i="8"/>
  <c r="D559" i="8"/>
  <c r="D558" i="8"/>
  <c r="D555" i="8"/>
  <c r="D554" i="8"/>
  <c r="D553" i="8"/>
  <c r="D552" i="8"/>
  <c r="D551" i="8"/>
  <c r="D550" i="8"/>
  <c r="D549" i="8"/>
  <c r="D548" i="8"/>
  <c r="D547" i="8"/>
  <c r="D546" i="8"/>
  <c r="D544" i="8"/>
  <c r="D542" i="8"/>
  <c r="D541" i="8"/>
  <c r="D540" i="8"/>
  <c r="D537" i="8"/>
  <c r="D536" i="8"/>
  <c r="D535" i="8"/>
  <c r="D534" i="8"/>
  <c r="D533" i="8"/>
  <c r="D532" i="8"/>
  <c r="D530" i="8"/>
  <c r="D528" i="8"/>
  <c r="D526" i="8"/>
  <c r="D525" i="8"/>
  <c r="D524" i="8"/>
  <c r="D523" i="8"/>
  <c r="D522" i="8"/>
  <c r="D521" i="8"/>
  <c r="D520" i="8"/>
  <c r="D519" i="8"/>
  <c r="D518" i="8"/>
  <c r="D517" i="8"/>
  <c r="D516" i="8"/>
  <c r="D515" i="8"/>
  <c r="D514" i="8"/>
  <c r="D512" i="8"/>
  <c r="D511" i="8"/>
  <c r="D510" i="8"/>
  <c r="D509" i="8"/>
  <c r="D508" i="8"/>
  <c r="D507" i="8"/>
  <c r="D506" i="8"/>
  <c r="D504" i="8"/>
  <c r="D503" i="8"/>
  <c r="D502" i="8"/>
  <c r="D501" i="8"/>
  <c r="D500" i="8"/>
  <c r="D499" i="8"/>
  <c r="D498" i="8"/>
  <c r="D497" i="8"/>
  <c r="D496" i="8"/>
  <c r="D495" i="8"/>
  <c r="D494" i="8"/>
  <c r="D493" i="8"/>
  <c r="D492" i="8"/>
  <c r="D491" i="8"/>
  <c r="D490" i="8"/>
  <c r="D489" i="8"/>
  <c r="D488" i="8"/>
  <c r="D487" i="8"/>
  <c r="D486" i="8"/>
  <c r="D485" i="8"/>
  <c r="D484" i="8"/>
  <c r="D483" i="8"/>
  <c r="D482" i="8"/>
  <c r="D480" i="8"/>
  <c r="D479" i="8"/>
  <c r="D478" i="8"/>
  <c r="D477" i="8"/>
  <c r="D476" i="8"/>
  <c r="D475" i="8"/>
  <c r="D474" i="8"/>
  <c r="D473" i="8"/>
  <c r="D472" i="8"/>
  <c r="D471" i="8"/>
  <c r="D470" i="8"/>
  <c r="D469" i="8"/>
  <c r="D466" i="8"/>
  <c r="D465" i="8"/>
  <c r="D464" i="8"/>
  <c r="D463" i="8"/>
  <c r="D462" i="8"/>
  <c r="D461" i="8"/>
  <c r="D460" i="8"/>
  <c r="D457" i="8"/>
  <c r="D456" i="8"/>
  <c r="D454" i="8"/>
  <c r="D453" i="8"/>
  <c r="D452" i="8"/>
  <c r="D451" i="8"/>
  <c r="D450" i="8"/>
  <c r="D449" i="8"/>
  <c r="D447" i="8"/>
  <c r="D446" i="8"/>
  <c r="D445" i="8"/>
  <c r="D444" i="8"/>
  <c r="D443" i="8"/>
  <c r="D442" i="8"/>
  <c r="D441" i="8"/>
  <c r="D440" i="8"/>
  <c r="D439" i="8"/>
  <c r="D438" i="8"/>
  <c r="D437" i="8"/>
  <c r="D436" i="8"/>
  <c r="D435" i="8"/>
  <c r="D434" i="8"/>
  <c r="D433" i="8"/>
  <c r="D432" i="8"/>
  <c r="D428" i="8"/>
  <c r="D422" i="8"/>
  <c r="D420" i="8"/>
  <c r="D419" i="8"/>
  <c r="D418" i="8"/>
  <c r="D417" i="8"/>
  <c r="D416" i="8"/>
  <c r="D415" i="8"/>
  <c r="D414" i="8"/>
  <c r="D413" i="8"/>
  <c r="D411" i="8"/>
  <c r="D410" i="8"/>
  <c r="D409" i="8"/>
  <c r="D407" i="8"/>
  <c r="D406" i="8"/>
  <c r="D405" i="8"/>
  <c r="D404" i="8"/>
  <c r="D403" i="8"/>
  <c r="D402" i="8"/>
  <c r="D401" i="8"/>
  <c r="D400" i="8"/>
  <c r="D399" i="8"/>
  <c r="D397" i="8"/>
  <c r="D396" i="8"/>
  <c r="D395" i="8"/>
  <c r="D394" i="8"/>
  <c r="D393" i="8"/>
  <c r="D392" i="8"/>
  <c r="D391" i="8"/>
  <c r="D389" i="8"/>
  <c r="D388" i="8"/>
  <c r="D387" i="8"/>
  <c r="D386" i="8"/>
  <c r="D385" i="8"/>
  <c r="D384" i="8"/>
  <c r="D383" i="8"/>
  <c r="D382" i="8"/>
  <c r="D381" i="8"/>
  <c r="D377" i="8"/>
  <c r="D376" i="8"/>
  <c r="D375" i="8"/>
  <c r="D374" i="8"/>
  <c r="D372" i="8"/>
  <c r="D371" i="8"/>
  <c r="D370" i="8"/>
  <c r="D369" i="8"/>
  <c r="D368" i="8"/>
  <c r="D367" i="8"/>
  <c r="D366" i="8"/>
  <c r="D365" i="8"/>
  <c r="D364" i="8"/>
  <c r="D363" i="8"/>
  <c r="D362" i="8"/>
  <c r="D361" i="8"/>
  <c r="D360" i="8"/>
  <c r="D359" i="8"/>
  <c r="D358" i="8"/>
  <c r="D357" i="8"/>
  <c r="D356" i="8"/>
  <c r="D352" i="8"/>
  <c r="D348" i="8"/>
  <c r="D346" i="8"/>
  <c r="D345" i="8"/>
  <c r="D344" i="8"/>
  <c r="D343" i="8"/>
  <c r="D342" i="8"/>
  <c r="D341" i="8"/>
  <c r="D340" i="8"/>
  <c r="D339" i="8"/>
  <c r="D338" i="8"/>
  <c r="D337" i="8"/>
  <c r="D336" i="8"/>
  <c r="D335" i="8"/>
  <c r="D334" i="8"/>
  <c r="D333" i="8"/>
  <c r="D332" i="8"/>
  <c r="D331" i="8"/>
  <c r="D330" i="8"/>
  <c r="D328" i="8"/>
  <c r="D327" i="8"/>
  <c r="D326" i="8"/>
  <c r="D325" i="8"/>
  <c r="D324" i="8"/>
  <c r="D323" i="8"/>
  <c r="D321" i="8"/>
  <c r="D320" i="8"/>
  <c r="D319" i="8"/>
  <c r="D318" i="8"/>
  <c r="D317" i="8"/>
  <c r="D316" i="8"/>
  <c r="D315" i="8"/>
  <c r="D314" i="8"/>
  <c r="D313" i="8"/>
  <c r="D312" i="8"/>
  <c r="D311" i="8"/>
  <c r="D310" i="8"/>
  <c r="D309" i="8"/>
  <c r="D308" i="8"/>
  <c r="D306" i="8"/>
  <c r="D305" i="8"/>
  <c r="D303" i="8"/>
  <c r="D301" i="8"/>
  <c r="D300" i="8"/>
  <c r="D299" i="8"/>
  <c r="D298" i="8"/>
  <c r="D297" i="8"/>
  <c r="D296" i="8"/>
  <c r="D295" i="8"/>
  <c r="D294" i="8"/>
  <c r="D293" i="8"/>
  <c r="D292" i="8"/>
  <c r="D290" i="8"/>
  <c r="D289" i="8"/>
  <c r="D288" i="8"/>
  <c r="D287" i="8"/>
  <c r="D286" i="8"/>
  <c r="D284" i="8"/>
  <c r="D283" i="8"/>
  <c r="D282" i="8"/>
  <c r="D281" i="8"/>
  <c r="D280" i="8"/>
  <c r="D277" i="8"/>
  <c r="D276" i="8"/>
  <c r="D275" i="8"/>
  <c r="D274" i="8"/>
  <c r="D271" i="8"/>
  <c r="D270" i="8"/>
  <c r="D269" i="8"/>
  <c r="D268" i="8"/>
  <c r="D267" i="8"/>
  <c r="D264" i="8"/>
  <c r="D261" i="8"/>
  <c r="D260" i="8"/>
  <c r="D259" i="8"/>
  <c r="D258" i="8"/>
  <c r="D255" i="8"/>
  <c r="D252" i="8"/>
  <c r="D249" i="8"/>
  <c r="D248" i="8"/>
  <c r="D247" i="8"/>
  <c r="D246" i="8"/>
  <c r="D243" i="8"/>
  <c r="D242" i="8"/>
  <c r="D240" i="8"/>
  <c r="D236" i="8"/>
  <c r="D232"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2" i="8"/>
  <c r="D191" i="8"/>
  <c r="D190" i="8"/>
  <c r="D189" i="8"/>
  <c r="D188" i="8"/>
  <c r="D187" i="8"/>
  <c r="D186" i="8"/>
  <c r="D184" i="8"/>
  <c r="D182" i="8"/>
  <c r="D181" i="8"/>
  <c r="D180" i="8"/>
  <c r="D179" i="8"/>
  <c r="D178" i="8"/>
  <c r="D177" i="8"/>
  <c r="D176" i="8"/>
  <c r="D175" i="8"/>
  <c r="D174" i="8"/>
  <c r="D173" i="8"/>
  <c r="D170" i="8"/>
  <c r="D169" i="8"/>
  <c r="D167" i="8"/>
  <c r="D164" i="8"/>
  <c r="D161" i="8"/>
  <c r="D158" i="8"/>
  <c r="D157" i="8"/>
  <c r="D156" i="8"/>
  <c r="D154" i="8"/>
  <c r="D151" i="8"/>
  <c r="D150" i="8"/>
  <c r="D149" i="8"/>
  <c r="D148" i="8"/>
  <c r="D144" i="8"/>
  <c r="D138" i="8"/>
  <c r="D136" i="8"/>
  <c r="D135" i="8"/>
  <c r="D134" i="8"/>
  <c r="D133" i="8"/>
  <c r="D132" i="8"/>
  <c r="D130" i="8"/>
  <c r="D126" i="8"/>
  <c r="D124" i="8"/>
  <c r="D123" i="8"/>
  <c r="D122" i="8"/>
  <c r="D121" i="8"/>
  <c r="D120" i="8"/>
  <c r="D118" i="8"/>
  <c r="D114"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69" i="8"/>
  <c r="D68" i="8"/>
  <c r="D67" i="8"/>
  <c r="D66" i="8"/>
  <c r="D65" i="8"/>
  <c r="D63" i="8"/>
  <c r="D62" i="8"/>
  <c r="D61" i="8"/>
  <c r="D60" i="8"/>
  <c r="D59" i="8"/>
  <c r="D58" i="8"/>
  <c r="D57" i="8"/>
  <c r="D56" i="8"/>
  <c r="D55" i="8"/>
  <c r="D54" i="8"/>
  <c r="D53" i="8"/>
  <c r="D52" i="8"/>
  <c r="D49" i="8"/>
  <c r="D48" i="8"/>
  <c r="D47" i="8"/>
  <c r="D46" i="8"/>
  <c r="D44" i="8"/>
  <c r="D43" i="8"/>
  <c r="D42" i="8"/>
  <c r="D41" i="8"/>
  <c r="D40" i="8"/>
  <c r="D39" i="8"/>
  <c r="D38" i="8"/>
  <c r="D37" i="8"/>
  <c r="D36" i="8"/>
  <c r="D34" i="8"/>
  <c r="D32" i="8"/>
  <c r="D27" i="8"/>
  <c r="D25" i="8"/>
  <c r="D24" i="8"/>
  <c r="D23" i="8"/>
  <c r="D22" i="8"/>
  <c r="D21" i="8"/>
  <c r="D20" i="8"/>
  <c r="D19" i="8"/>
  <c r="D18" i="8"/>
  <c r="D17" i="8"/>
  <c r="D16" i="8"/>
  <c r="D15" i="8"/>
  <c r="D14" i="8"/>
  <c r="D13" i="8"/>
  <c r="D12" i="8"/>
  <c r="D11" i="8"/>
  <c r="D7" i="8"/>
  <c r="C566" i="8"/>
  <c r="D155" i="8" l="1"/>
  <c r="C163" i="8"/>
  <c r="D163" i="8" s="1"/>
  <c r="C162" i="8"/>
  <c r="D162" i="8" s="1"/>
  <c r="D168" i="8"/>
  <c r="C193" i="8"/>
  <c r="C307" i="8"/>
  <c r="C322" i="8"/>
  <c r="D408" i="8"/>
  <c r="C448" i="8"/>
  <c r="D448" i="8" s="1"/>
  <c r="C735" i="8"/>
  <c r="C738" i="8"/>
  <c r="C918" i="8"/>
  <c r="D918" i="8" s="1"/>
  <c r="C1120" i="8"/>
  <c r="C1373" i="8"/>
  <c r="C1430" i="8"/>
  <c r="C1463" i="8"/>
  <c r="D1463" i="8" s="1"/>
  <c r="C1490" i="8"/>
  <c r="D1490" i="8" s="1"/>
  <c r="C119" i="8"/>
  <c r="D119" i="8" s="1"/>
  <c r="C64" i="8"/>
  <c r="D64" i="8" s="1"/>
  <c r="C51" i="8"/>
  <c r="D51" i="8" s="1"/>
  <c r="C50" i="8"/>
  <c r="D50" i="8" s="1"/>
  <c r="D1120" i="8" l="1"/>
  <c r="C1097" i="8"/>
  <c r="C50" i="4" l="1"/>
  <c r="C131" i="8" l="1"/>
  <c r="D131" i="8" s="1"/>
  <c r="C60" i="4" l="1"/>
  <c r="C1488" i="8" l="1"/>
  <c r="C1486" i="8" s="1"/>
  <c r="C6" i="12" l="1"/>
  <c r="C9" i="7" l="1"/>
  <c r="C6" i="7"/>
  <c r="C5" i="7" l="1"/>
  <c r="C1332" i="8"/>
  <c r="C664" i="4"/>
  <c r="D667" i="4"/>
  <c r="C263" i="8" l="1"/>
  <c r="C85" i="7" l="1"/>
  <c r="D85" i="7" s="1"/>
  <c r="C65" i="7"/>
  <c r="D523" i="4" l="1"/>
  <c r="C521" i="4"/>
  <c r="C913" i="8" l="1"/>
  <c r="C900" i="8"/>
  <c r="C858" i="8"/>
  <c r="C837" i="8"/>
  <c r="C808" i="8"/>
  <c r="C801" i="8"/>
  <c r="C778" i="8"/>
  <c r="C21" i="12"/>
  <c r="C20" i="12" s="1"/>
  <c r="E53" i="6" s="1"/>
  <c r="C471" i="4"/>
  <c r="C470" i="4" s="1"/>
  <c r="C460" i="4"/>
  <c r="C456" i="4"/>
  <c r="C853" i="8" l="1"/>
  <c r="C777" i="8"/>
  <c r="C836" i="8"/>
  <c r="C796" i="8"/>
  <c r="C893" i="8"/>
  <c r="C454" i="4"/>
  <c r="C896" i="8" s="1"/>
  <c r="C770" i="8" l="1"/>
  <c r="C775" i="8" s="1"/>
  <c r="C830" i="8"/>
  <c r="C898" i="8"/>
  <c r="C634" i="4"/>
  <c r="C643" i="4"/>
  <c r="D650" i="4"/>
  <c r="C649" i="4"/>
  <c r="D649" i="4" s="1"/>
  <c r="D648" i="4"/>
  <c r="B643" i="4"/>
  <c r="D643" i="4" s="1"/>
  <c r="D637" i="4"/>
  <c r="D640" i="4"/>
  <c r="B637" i="4"/>
  <c r="C637" i="4"/>
  <c r="D632" i="4"/>
  <c r="D633" i="4"/>
  <c r="C632" i="4"/>
  <c r="C627" i="4"/>
  <c r="C626" i="4" s="1"/>
  <c r="C622" i="4"/>
  <c r="C618" i="4"/>
  <c r="C614" i="4"/>
  <c r="C610" i="4"/>
  <c r="C1264" i="8"/>
  <c r="C1249" i="8"/>
  <c r="C1242" i="8"/>
  <c r="C834" i="8" l="1"/>
  <c r="C832" i="8" s="1"/>
  <c r="C1248" i="8"/>
  <c r="C1241" i="8"/>
  <c r="C895" i="8"/>
  <c r="C772" i="8"/>
  <c r="B642" i="4"/>
  <c r="D642" i="4" s="1"/>
  <c r="C642" i="4"/>
  <c r="C609" i="4"/>
  <c r="C607" i="4" s="1"/>
  <c r="C1238" i="8" s="1"/>
  <c r="C196" i="4"/>
  <c r="C1235" i="8" l="1"/>
  <c r="C1239" i="8" l="1"/>
  <c r="C1237" i="8" s="1"/>
  <c r="C50" i="5"/>
  <c r="C58" i="5"/>
  <c r="C59" i="5"/>
  <c r="G7" i="6"/>
  <c r="G11" i="6"/>
  <c r="G16" i="6"/>
  <c r="G18" i="6"/>
  <c r="G24" i="6"/>
  <c r="G29" i="6"/>
  <c r="G32" i="6"/>
  <c r="G37" i="6"/>
  <c r="G41" i="6"/>
  <c r="G45" i="6"/>
  <c r="G47" i="6"/>
  <c r="G49" i="6"/>
  <c r="G54" i="6"/>
  <c r="E9" i="6"/>
  <c r="G9" i="6" s="1"/>
  <c r="E10" i="6"/>
  <c r="G10" i="6" s="1"/>
  <c r="E13" i="6"/>
  <c r="G13" i="6" s="1"/>
  <c r="E14" i="6"/>
  <c r="G14" i="6" s="1"/>
  <c r="E15" i="6"/>
  <c r="G15" i="6" s="1"/>
  <c r="E22" i="6"/>
  <c r="E19" i="6" s="1"/>
  <c r="E26" i="6"/>
  <c r="G26" i="6" s="1"/>
  <c r="E27" i="6"/>
  <c r="G27" i="6" s="1"/>
  <c r="E31" i="6"/>
  <c r="E30" i="6" s="1"/>
  <c r="G30" i="6" s="1"/>
  <c r="C13" i="5" s="1"/>
  <c r="E35" i="6"/>
  <c r="G35" i="6" s="1"/>
  <c r="E36" i="6"/>
  <c r="G36" i="6" s="1"/>
  <c r="C16" i="5" s="1"/>
  <c r="E43" i="6"/>
  <c r="G43" i="6" s="1"/>
  <c r="E44" i="6"/>
  <c r="G44" i="6" s="1"/>
  <c r="C1415" i="8"/>
  <c r="C1361" i="8"/>
  <c r="C1360" i="8" l="1"/>
  <c r="C1414" i="8"/>
  <c r="G31" i="6"/>
  <c r="C53" i="5"/>
  <c r="C49" i="5"/>
  <c r="E12" i="6"/>
  <c r="E42" i="6"/>
  <c r="G42" i="6" s="1"/>
  <c r="C17" i="5" s="1"/>
  <c r="E8" i="6"/>
  <c r="G8" i="6" s="1"/>
  <c r="C8" i="5" s="1"/>
  <c r="C1079" i="8"/>
  <c r="C1091" i="8"/>
  <c r="C518" i="4"/>
  <c r="C514" i="4" s="1"/>
  <c r="C524" i="4"/>
  <c r="C1078" i="8" l="1"/>
  <c r="E6" i="6"/>
  <c r="G6" i="6" s="1"/>
  <c r="G12" i="6"/>
  <c r="C9" i="5" s="1"/>
  <c r="C512" i="4"/>
  <c r="C1075" i="8" s="1"/>
  <c r="D321" i="4"/>
  <c r="D322" i="4"/>
  <c r="C1072" i="8" l="1"/>
  <c r="C239" i="4"/>
  <c r="D5" i="11"/>
  <c r="D6" i="11"/>
  <c r="D8" i="11"/>
  <c r="D9" i="11"/>
  <c r="D11" i="11"/>
  <c r="C82" i="7"/>
  <c r="D82" i="7" s="1"/>
  <c r="C56" i="7"/>
  <c r="C23" i="7"/>
  <c r="C22" i="7" s="1"/>
  <c r="C1405" i="8"/>
  <c r="D1405" i="8" s="1"/>
  <c r="E52" i="6"/>
  <c r="C72" i="12"/>
  <c r="C1076" i="8" l="1"/>
  <c r="C1074" i="8" s="1"/>
  <c r="E34" i="6"/>
  <c r="E17" i="6"/>
  <c r="G34" i="6" l="1"/>
  <c r="E33" i="6"/>
  <c r="G33" i="6" s="1"/>
  <c r="G17" i="6"/>
  <c r="C10" i="5" l="1"/>
  <c r="D601" i="4"/>
  <c r="D602" i="4"/>
  <c r="D603" i="4"/>
  <c r="D604" i="4"/>
  <c r="D605" i="4"/>
  <c r="C600" i="4"/>
  <c r="C599" i="4" s="1"/>
  <c r="C558" i="4" l="1"/>
  <c r="D599" i="4"/>
  <c r="C1180" i="8"/>
  <c r="D600" i="4"/>
  <c r="C1152" i="8" l="1"/>
  <c r="C1137" i="8"/>
  <c r="C553" i="4"/>
  <c r="C552" i="4" s="1"/>
  <c r="C546" i="4"/>
  <c r="C539" i="4"/>
  <c r="C1136" i="8" l="1"/>
  <c r="C1129" i="8" s="1"/>
  <c r="C538" i="4"/>
  <c r="C536" i="4" s="1"/>
  <c r="C1132" i="8" s="1"/>
  <c r="C1465" i="8"/>
  <c r="C1466" i="8"/>
  <c r="C1131" i="8" l="1"/>
  <c r="C1213" i="8" l="1"/>
  <c r="C1177" i="8" l="1"/>
  <c r="C1181" i="8" l="1"/>
  <c r="C1179" i="8"/>
  <c r="C1330" i="8"/>
  <c r="C1311" i="8"/>
  <c r="C1306" i="8"/>
  <c r="C1294" i="8"/>
  <c r="C1301" i="8"/>
  <c r="C690" i="4"/>
  <c r="C689" i="4" s="1"/>
  <c r="C658" i="4"/>
  <c r="C655" i="4"/>
  <c r="E40" i="6"/>
  <c r="G40" i="6" s="1"/>
  <c r="C15" i="5" s="1"/>
  <c r="C43" i="5" l="1"/>
  <c r="E39" i="6"/>
  <c r="C1293" i="8"/>
  <c r="C654" i="4"/>
  <c r="C652" i="4" s="1"/>
  <c r="C1290" i="8" s="1"/>
  <c r="C72" i="7"/>
  <c r="C1299" i="8"/>
  <c r="C1379" i="8"/>
  <c r="C1355" i="8"/>
  <c r="C719" i="4"/>
  <c r="C718" i="4" s="1"/>
  <c r="C714" i="4"/>
  <c r="C712" i="4"/>
  <c r="C707" i="4"/>
  <c r="C705" i="4"/>
  <c r="G39" i="6" l="1"/>
  <c r="C14" i="5" s="1"/>
  <c r="E38" i="6"/>
  <c r="G38" i="6" s="1"/>
  <c r="C1287" i="8"/>
  <c r="C1354" i="8"/>
  <c r="C702" i="4"/>
  <c r="C700" i="4" s="1"/>
  <c r="C1351" i="8" s="1"/>
  <c r="C6" i="4"/>
  <c r="C5" i="4" s="1"/>
  <c r="C1291" i="8" l="1"/>
  <c r="C1348" i="8"/>
  <c r="C1289" i="8"/>
  <c r="C9" i="8"/>
  <c r="C1505" i="8"/>
  <c r="D770" i="4"/>
  <c r="D769" i="4"/>
  <c r="D768" i="4"/>
  <c r="D767" i="4"/>
  <c r="D766" i="4"/>
  <c r="D763" i="4"/>
  <c r="D762" i="4"/>
  <c r="D759" i="4"/>
  <c r="D758" i="4"/>
  <c r="D757" i="4"/>
  <c r="D754" i="4"/>
  <c r="D753" i="4"/>
  <c r="D752" i="4"/>
  <c r="D750" i="4"/>
  <c r="D749" i="4"/>
  <c r="D748" i="4"/>
  <c r="D746" i="4"/>
  <c r="D745" i="4"/>
  <c r="D744" i="4"/>
  <c r="D742" i="4"/>
  <c r="D741" i="4"/>
  <c r="D740" i="4"/>
  <c r="D738" i="4"/>
  <c r="D735" i="4"/>
  <c r="D733" i="4"/>
  <c r="D732" i="4"/>
  <c r="D731" i="4"/>
  <c r="D730" i="4"/>
  <c r="D729" i="4"/>
  <c r="D727" i="4"/>
  <c r="D726" i="4"/>
  <c r="D723" i="4"/>
  <c r="D722" i="4"/>
  <c r="D721" i="4"/>
  <c r="D720" i="4"/>
  <c r="D717" i="4"/>
  <c r="D716" i="4"/>
  <c r="D715" i="4"/>
  <c r="D713" i="4"/>
  <c r="D711" i="4"/>
  <c r="D710" i="4"/>
  <c r="D709" i="4"/>
  <c r="D708" i="4"/>
  <c r="D706" i="4"/>
  <c r="D704" i="4"/>
  <c r="D701" i="4"/>
  <c r="D699" i="4"/>
  <c r="D698" i="4"/>
  <c r="D697" i="4"/>
  <c r="D695" i="4"/>
  <c r="D694" i="4"/>
  <c r="D692" i="4"/>
  <c r="D691" i="4"/>
  <c r="D688" i="4"/>
  <c r="D687" i="4"/>
  <c r="D686" i="4"/>
  <c r="D685" i="4"/>
  <c r="D682" i="4"/>
  <c r="D681" i="4"/>
  <c r="D680" i="4"/>
  <c r="D678" i="4"/>
  <c r="D677" i="4"/>
  <c r="D676" i="4"/>
  <c r="D675" i="4"/>
  <c r="D674" i="4"/>
  <c r="D671" i="4"/>
  <c r="D670" i="4"/>
  <c r="D669" i="4"/>
  <c r="D666" i="4"/>
  <c r="D665" i="4"/>
  <c r="D663" i="4"/>
  <c r="D661" i="4"/>
  <c r="D660" i="4"/>
  <c r="D659" i="4"/>
  <c r="D657" i="4"/>
  <c r="D656" i="4"/>
  <c r="D653" i="4"/>
  <c r="D651" i="4"/>
  <c r="D647" i="4"/>
  <c r="D646" i="4"/>
  <c r="D645" i="4"/>
  <c r="D644" i="4"/>
  <c r="D641" i="4"/>
  <c r="D639" i="4"/>
  <c r="D638" i="4"/>
  <c r="D636" i="4"/>
  <c r="D635" i="4"/>
  <c r="D631" i="4"/>
  <c r="D630" i="4"/>
  <c r="D629" i="4"/>
  <c r="D628" i="4"/>
  <c r="D625" i="4"/>
  <c r="D624" i="4"/>
  <c r="D623" i="4"/>
  <c r="D621" i="4"/>
  <c r="D620" i="4"/>
  <c r="D619" i="4"/>
  <c r="D617" i="4"/>
  <c r="D613" i="4"/>
  <c r="D612" i="4"/>
  <c r="D611" i="4"/>
  <c r="D608" i="4"/>
  <c r="D606" i="4"/>
  <c r="D597" i="4"/>
  <c r="D596" i="4"/>
  <c r="D595" i="4"/>
  <c r="D592" i="4"/>
  <c r="D591" i="4"/>
  <c r="D590" i="4"/>
  <c r="D588" i="4"/>
  <c r="D587" i="4"/>
  <c r="D586" i="4"/>
  <c r="D585" i="4"/>
  <c r="D582" i="4"/>
  <c r="D581" i="4"/>
  <c r="D580" i="4"/>
  <c r="D575" i="4"/>
  <c r="D574" i="4"/>
  <c r="D572" i="4"/>
  <c r="D571" i="4"/>
  <c r="D570" i="4"/>
  <c r="D568" i="4"/>
  <c r="D567" i="4"/>
  <c r="D566" i="4"/>
  <c r="D564" i="4"/>
  <c r="D563" i="4"/>
  <c r="D562" i="4"/>
  <c r="D559" i="4"/>
  <c r="D557" i="4"/>
  <c r="D556" i="4"/>
  <c r="D555" i="4"/>
  <c r="D551" i="4"/>
  <c r="D550" i="4"/>
  <c r="D547" i="4"/>
  <c r="D545" i="4"/>
  <c r="D544" i="4"/>
  <c r="D542" i="4"/>
  <c r="D541" i="4"/>
  <c r="D540" i="4"/>
  <c r="D537" i="4"/>
  <c r="D535" i="4"/>
  <c r="D534" i="4"/>
  <c r="D533" i="4"/>
  <c r="D532" i="4"/>
  <c r="D531" i="4"/>
  <c r="D530" i="4"/>
  <c r="D527" i="4"/>
  <c r="D520" i="4"/>
  <c r="D519" i="4"/>
  <c r="D517" i="4"/>
  <c r="D516" i="4"/>
  <c r="D513" i="4"/>
  <c r="D511" i="4"/>
  <c r="D510" i="4"/>
  <c r="D509" i="4"/>
  <c r="D508" i="4"/>
  <c r="D507" i="4"/>
  <c r="D506" i="4"/>
  <c r="D503" i="4"/>
  <c r="D502" i="4"/>
  <c r="D501" i="4"/>
  <c r="D499" i="4"/>
  <c r="D498" i="4"/>
  <c r="D497" i="4"/>
  <c r="D494" i="4"/>
  <c r="D493" i="4"/>
  <c r="D492" i="4"/>
  <c r="D490" i="4"/>
  <c r="D488" i="4"/>
  <c r="D487" i="4"/>
  <c r="D485" i="4"/>
  <c r="D484" i="4"/>
  <c r="D483" i="4"/>
  <c r="D480" i="4"/>
  <c r="D478" i="4"/>
  <c r="D474" i="4"/>
  <c r="D473" i="4"/>
  <c r="D472" i="4"/>
  <c r="D469" i="4"/>
  <c r="D468" i="4"/>
  <c r="D466" i="4"/>
  <c r="D463" i="4"/>
  <c r="D462" i="4"/>
  <c r="D461" i="4"/>
  <c r="D459" i="4"/>
  <c r="D458" i="4"/>
  <c r="D455" i="4"/>
  <c r="D453" i="4"/>
  <c r="D452" i="4"/>
  <c r="D451" i="4"/>
  <c r="D449" i="4"/>
  <c r="D446" i="4"/>
  <c r="D445" i="4"/>
  <c r="D443" i="4"/>
  <c r="D441" i="4"/>
  <c r="D440" i="4"/>
  <c r="D438" i="4"/>
  <c r="D435" i="4"/>
  <c r="D433" i="4"/>
  <c r="D432" i="4"/>
  <c r="D430" i="4"/>
  <c r="D429" i="4"/>
  <c r="D428" i="4"/>
  <c r="D426" i="4"/>
  <c r="D425" i="4"/>
  <c r="D421" i="4"/>
  <c r="D420" i="4"/>
  <c r="D418" i="4"/>
  <c r="D416" i="4"/>
  <c r="D415" i="4"/>
  <c r="D412" i="4"/>
  <c r="D411" i="4"/>
  <c r="D409" i="4"/>
  <c r="D408" i="4"/>
  <c r="D407" i="4"/>
  <c r="D404" i="4"/>
  <c r="D402" i="4"/>
  <c r="D401" i="4"/>
  <c r="D399" i="4"/>
  <c r="D397" i="4"/>
  <c r="D396" i="4"/>
  <c r="D395" i="4"/>
  <c r="D394" i="4"/>
  <c r="D391" i="4"/>
  <c r="D390" i="4"/>
  <c r="D389" i="4"/>
  <c r="D387" i="4"/>
  <c r="D384" i="4"/>
  <c r="D383" i="4"/>
  <c r="D382" i="4"/>
  <c r="D381" i="4"/>
  <c r="D380" i="4"/>
  <c r="D377" i="4"/>
  <c r="D376" i="4"/>
  <c r="D375" i="4"/>
  <c r="D373" i="4"/>
  <c r="D371" i="4"/>
  <c r="D370" i="4"/>
  <c r="D369" i="4"/>
  <c r="D366" i="4"/>
  <c r="D365" i="4"/>
  <c r="D362" i="4"/>
  <c r="D361" i="4"/>
  <c r="D358" i="4"/>
  <c r="D357" i="4"/>
  <c r="D356" i="4"/>
  <c r="D353" i="4"/>
  <c r="D349" i="4"/>
  <c r="D348" i="4"/>
  <c r="D345" i="4"/>
  <c r="D344" i="4"/>
  <c r="D343" i="4"/>
  <c r="D341" i="4"/>
  <c r="D340" i="4"/>
  <c r="D339" i="4"/>
  <c r="D336" i="4"/>
  <c r="D335" i="4"/>
  <c r="D334" i="4"/>
  <c r="D333" i="4"/>
  <c r="D330" i="4"/>
  <c r="D328" i="4"/>
  <c r="D327" i="4"/>
  <c r="D325" i="4"/>
  <c r="D324" i="4"/>
  <c r="D320" i="4"/>
  <c r="D317" i="4"/>
  <c r="D316" i="4"/>
  <c r="D314" i="4"/>
  <c r="D313" i="4"/>
  <c r="D311" i="4"/>
  <c r="D310" i="4"/>
  <c r="D307" i="4"/>
  <c r="D306" i="4"/>
  <c r="D304" i="4"/>
  <c r="D303" i="4"/>
  <c r="D302" i="4"/>
  <c r="D301" i="4"/>
  <c r="D300" i="4"/>
  <c r="D297" i="4"/>
  <c r="D296" i="4"/>
  <c r="D294" i="4"/>
  <c r="D293" i="4"/>
  <c r="D291" i="4"/>
  <c r="D290" i="4"/>
  <c r="D289" i="4"/>
  <c r="D286" i="4"/>
  <c r="D285" i="4"/>
  <c r="D283" i="4"/>
  <c r="D282" i="4"/>
  <c r="D280" i="4"/>
  <c r="D279" i="4"/>
  <c r="D278" i="4"/>
  <c r="D275" i="4"/>
  <c r="D274" i="4"/>
  <c r="D272" i="4"/>
  <c r="D271" i="4"/>
  <c r="D269" i="4"/>
  <c r="D268" i="4"/>
  <c r="D267" i="4"/>
  <c r="D264" i="4"/>
  <c r="D263" i="4"/>
  <c r="D261" i="4"/>
  <c r="D260" i="4"/>
  <c r="D257" i="4"/>
  <c r="D255" i="4"/>
  <c r="D254" i="4"/>
  <c r="D253" i="4"/>
  <c r="D251" i="4"/>
  <c r="D248" i="4"/>
  <c r="D245" i="4"/>
  <c r="D244" i="4"/>
  <c r="D243" i="4"/>
  <c r="D242" i="4"/>
  <c r="D241" i="4"/>
  <c r="D240" i="4"/>
  <c r="D237" i="4"/>
  <c r="D236" i="4"/>
  <c r="D234" i="4"/>
  <c r="D232" i="4"/>
  <c r="D230" i="4"/>
  <c r="D229" i="4"/>
  <c r="D228" i="4"/>
  <c r="D227" i="4"/>
  <c r="D224" i="4"/>
  <c r="D223" i="4"/>
  <c r="D221" i="4"/>
  <c r="D218" i="4"/>
  <c r="D217" i="4"/>
  <c r="D216" i="4"/>
  <c r="D212" i="4"/>
  <c r="D211" i="4"/>
  <c r="D210" i="4"/>
  <c r="D209" i="4"/>
  <c r="D207" i="4"/>
  <c r="D205" i="4"/>
  <c r="D203" i="4"/>
  <c r="D202" i="4"/>
  <c r="D201" i="4"/>
  <c r="D198" i="4"/>
  <c r="D197" i="4"/>
  <c r="D192" i="4"/>
  <c r="D190" i="4"/>
  <c r="D186" i="4"/>
  <c r="D185" i="4"/>
  <c r="D184" i="4"/>
  <c r="D183" i="4"/>
  <c r="D182" i="4"/>
  <c r="D179" i="4"/>
  <c r="D178" i="4"/>
  <c r="D177" i="4"/>
  <c r="D176" i="4"/>
  <c r="D175" i="4"/>
  <c r="D172" i="4"/>
  <c r="D171" i="4"/>
  <c r="D169" i="4"/>
  <c r="D168" i="4"/>
  <c r="D167" i="4"/>
  <c r="D164" i="4"/>
  <c r="D163" i="4"/>
  <c r="D162" i="4"/>
  <c r="D160" i="4"/>
  <c r="D159" i="4"/>
  <c r="D157" i="4"/>
  <c r="D154" i="4"/>
  <c r="D152" i="4"/>
  <c r="D151" i="4"/>
  <c r="D150" i="4"/>
  <c r="D148" i="4"/>
  <c r="D147" i="4"/>
  <c r="D146" i="4"/>
  <c r="D145" i="4"/>
  <c r="D142" i="4"/>
  <c r="D141" i="4"/>
  <c r="D140" i="4"/>
  <c r="D138" i="4"/>
  <c r="D137" i="4"/>
  <c r="D136" i="4"/>
  <c r="D133" i="4"/>
  <c r="D132" i="4"/>
  <c r="D131" i="4"/>
  <c r="D129" i="4"/>
  <c r="D128" i="4"/>
  <c r="D127" i="4"/>
  <c r="D126" i="4"/>
  <c r="D123" i="4"/>
  <c r="D122" i="4"/>
  <c r="D121" i="4"/>
  <c r="D119" i="4"/>
  <c r="D118" i="4"/>
  <c r="D117" i="4"/>
  <c r="D116" i="4"/>
  <c r="D113" i="4"/>
  <c r="D112" i="4"/>
  <c r="D111" i="4"/>
  <c r="D109" i="4"/>
  <c r="D107" i="4"/>
  <c r="D106" i="4"/>
  <c r="D104" i="4"/>
  <c r="D103" i="4"/>
  <c r="D100" i="4"/>
  <c r="D99" i="4"/>
  <c r="D97" i="4"/>
  <c r="D94" i="4"/>
  <c r="D93" i="4"/>
  <c r="D91" i="4"/>
  <c r="D90" i="4"/>
  <c r="D89" i="4"/>
  <c r="D86" i="4"/>
  <c r="D85" i="4"/>
  <c r="D83" i="4"/>
  <c r="D82" i="4"/>
  <c r="D81" i="4"/>
  <c r="D78" i="4"/>
  <c r="D77" i="4"/>
  <c r="D76" i="4"/>
  <c r="D75" i="4"/>
  <c r="D73" i="4"/>
  <c r="D70" i="4"/>
  <c r="D69" i="4"/>
  <c r="D68" i="4"/>
  <c r="D67" i="4"/>
  <c r="D65" i="4"/>
  <c r="D64" i="4"/>
  <c r="D63" i="4"/>
  <c r="D62" i="4"/>
  <c r="D61" i="4"/>
  <c r="D60" i="4"/>
  <c r="D59" i="4"/>
  <c r="D56" i="4"/>
  <c r="D55" i="4"/>
  <c r="D54" i="4"/>
  <c r="D52" i="4"/>
  <c r="D51" i="4"/>
  <c r="D50" i="4"/>
  <c r="D49" i="4"/>
  <c r="D46" i="4"/>
  <c r="D45" i="4"/>
  <c r="D43" i="4"/>
  <c r="D42" i="4"/>
  <c r="D40" i="4"/>
  <c r="D38" i="4"/>
  <c r="D36" i="4"/>
  <c r="D33" i="4"/>
  <c r="D31" i="4"/>
  <c r="D30" i="4"/>
  <c r="D29" i="4"/>
  <c r="D27" i="4"/>
  <c r="D24" i="4"/>
  <c r="D23" i="4"/>
  <c r="D22" i="4"/>
  <c r="D20" i="4"/>
  <c r="D17" i="4"/>
  <c r="D16" i="4"/>
  <c r="D15" i="4"/>
  <c r="D13" i="4"/>
  <c r="D12" i="4"/>
  <c r="D9" i="4"/>
  <c r="D8" i="4"/>
  <c r="D7" i="4"/>
  <c r="C1352" i="8" l="1"/>
  <c r="C25" i="5"/>
  <c r="C1350" i="8" l="1"/>
  <c r="C1435" i="8"/>
  <c r="C33" i="12"/>
  <c r="C1401" i="8" l="1"/>
  <c r="C4" i="12"/>
  <c r="C262" i="8"/>
  <c r="C241" i="8"/>
  <c r="D241" i="8" s="1"/>
  <c r="C291" i="8"/>
  <c r="C285" i="8"/>
  <c r="C279" i="8"/>
  <c r="C278" i="8"/>
  <c r="C273" i="8"/>
  <c r="C272" i="8"/>
  <c r="C257" i="8"/>
  <c r="C256" i="8"/>
  <c r="C251" i="8"/>
  <c r="C250" i="8"/>
  <c r="C245" i="8"/>
  <c r="C244" i="8"/>
  <c r="C239" i="8"/>
  <c r="C226" i="4"/>
  <c r="C225" i="4" s="1"/>
  <c r="C215" i="4"/>
  <c r="C219" i="4"/>
  <c r="C214" i="4"/>
  <c r="C188" i="4"/>
  <c r="C187" i="4" s="1"/>
  <c r="C181" i="4"/>
  <c r="C180" i="4" s="1"/>
  <c r="C166" i="4"/>
  <c r="C170" i="4"/>
  <c r="C156" i="4"/>
  <c r="D156" i="4" s="1"/>
  <c r="C161" i="4"/>
  <c r="C158" i="4"/>
  <c r="C1406" i="8" l="1"/>
  <c r="E51" i="6"/>
  <c r="C238" i="8"/>
  <c r="C302" i="8"/>
  <c r="C213" i="4"/>
  <c r="C238" i="4"/>
  <c r="C165" i="4"/>
  <c r="C155" i="4"/>
  <c r="C1029" i="8"/>
  <c r="B1029" i="8"/>
  <c r="D1029" i="8" s="1"/>
  <c r="C1403" i="8" l="1"/>
  <c r="C1028" i="8"/>
  <c r="C237" i="8"/>
  <c r="G51" i="6"/>
  <c r="E50" i="6"/>
  <c r="C153" i="4"/>
  <c r="C234" i="8" s="1"/>
  <c r="C231" i="8" l="1"/>
  <c r="C1015" i="8"/>
  <c r="C19" i="5"/>
  <c r="C425" i="8"/>
  <c r="C40" i="12"/>
  <c r="C25" i="12" s="1"/>
  <c r="C92" i="7"/>
  <c r="C235" i="8" l="1"/>
  <c r="C233" i="8"/>
  <c r="C24" i="12"/>
  <c r="F52" i="6"/>
  <c r="E46" i="6"/>
  <c r="C724" i="8"/>
  <c r="C723" i="8"/>
  <c r="C700" i="8"/>
  <c r="C699" i="8"/>
  <c r="C683" i="8"/>
  <c r="C682" i="8"/>
  <c r="C603" i="8"/>
  <c r="D603" i="8" s="1"/>
  <c r="C557" i="8"/>
  <c r="C545" i="8"/>
  <c r="C505" i="8"/>
  <c r="C468" i="8"/>
  <c r="C467" i="8"/>
  <c r="C459" i="8"/>
  <c r="C458" i="8"/>
  <c r="C431" i="8"/>
  <c r="C430" i="8"/>
  <c r="C419" i="4"/>
  <c r="C417" i="4"/>
  <c r="C414" i="4"/>
  <c r="C410" i="4"/>
  <c r="C406" i="4"/>
  <c r="C388" i="4"/>
  <c r="C386" i="4"/>
  <c r="C379" i="4"/>
  <c r="C378" i="4" s="1"/>
  <c r="C374" i="4"/>
  <c r="C372" i="4"/>
  <c r="C368" i="4"/>
  <c r="C363" i="4"/>
  <c r="C360" i="4"/>
  <c r="C355" i="4"/>
  <c r="C354" i="4" s="1"/>
  <c r="C350" i="4"/>
  <c r="C347" i="4"/>
  <c r="C342" i="4"/>
  <c r="C338" i="4"/>
  <c r="C332" i="4"/>
  <c r="C331" i="4" s="1"/>
  <c r="C556" i="8" l="1"/>
  <c r="C429" i="8"/>
  <c r="C681" i="8"/>
  <c r="C729" i="8"/>
  <c r="G52" i="6"/>
  <c r="C20" i="5" s="1"/>
  <c r="G46" i="6"/>
  <c r="C18" i="5" s="1"/>
  <c r="C595" i="8"/>
  <c r="C543" i="8"/>
  <c r="C413" i="4"/>
  <c r="C405" i="4"/>
  <c r="C385" i="4"/>
  <c r="C367" i="4"/>
  <c r="C359" i="4"/>
  <c r="C346" i="4"/>
  <c r="C337" i="4"/>
  <c r="C674" i="8" l="1"/>
  <c r="C531" i="8"/>
  <c r="C403" i="4"/>
  <c r="C390" i="8"/>
  <c r="C329" i="4"/>
  <c r="C677" i="8"/>
  <c r="C529" i="8" l="1"/>
  <c r="C421" i="8" s="1"/>
  <c r="C424" i="8"/>
  <c r="C679" i="8"/>
  <c r="C427" i="8" l="1"/>
  <c r="C676" i="8"/>
  <c r="C423" i="8" l="1"/>
  <c r="C10" i="11"/>
  <c r="C60" i="5" s="1"/>
  <c r="D13" i="11"/>
  <c r="C12" i="11"/>
  <c r="C142" i="8"/>
  <c r="C141" i="8"/>
  <c r="C172" i="8"/>
  <c r="C171" i="8"/>
  <c r="C166" i="8"/>
  <c r="C165" i="8"/>
  <c r="C160" i="8"/>
  <c r="C159" i="8"/>
  <c r="C153" i="8"/>
  <c r="C147" i="8"/>
  <c r="C14" i="12"/>
  <c r="C102" i="4"/>
  <c r="C53" i="4"/>
  <c r="C149" i="4"/>
  <c r="C144" i="4"/>
  <c r="C139" i="4"/>
  <c r="C135" i="4"/>
  <c r="C130" i="4"/>
  <c r="C125" i="4"/>
  <c r="C120" i="4"/>
  <c r="C115" i="4"/>
  <c r="C110" i="4"/>
  <c r="C108" i="4"/>
  <c r="C105" i="4"/>
  <c r="C98" i="4"/>
  <c r="C96" i="4"/>
  <c r="C92" i="4"/>
  <c r="C88" i="4"/>
  <c r="C84" i="4"/>
  <c r="C80" i="4"/>
  <c r="C74" i="4"/>
  <c r="C72" i="4"/>
  <c r="C66" i="4"/>
  <c r="C58" i="4"/>
  <c r="C48" i="4"/>
  <c r="C44" i="4"/>
  <c r="C41" i="4"/>
  <c r="C39" i="4"/>
  <c r="C37" i="4"/>
  <c r="C35" i="4"/>
  <c r="C53" i="7"/>
  <c r="D53" i="7" s="1"/>
  <c r="C43" i="7" l="1"/>
  <c r="E28" i="6"/>
  <c r="E25" i="6" s="1"/>
  <c r="E48" i="6" s="1"/>
  <c r="E55" i="6" s="1"/>
  <c r="C57" i="5"/>
  <c r="C152" i="8"/>
  <c r="C185" i="8"/>
  <c r="C47" i="4"/>
  <c r="C13" i="12"/>
  <c r="C146" i="8"/>
  <c r="C79" i="4"/>
  <c r="C95" i="4"/>
  <c r="C34" i="4"/>
  <c r="C143" i="4"/>
  <c r="C87" i="4"/>
  <c r="C57" i="4"/>
  <c r="C134" i="4"/>
  <c r="C124" i="4"/>
  <c r="C114" i="4"/>
  <c r="C101" i="4"/>
  <c r="C71" i="4"/>
  <c r="C95" i="7" l="1"/>
  <c r="D95" i="7" s="1"/>
  <c r="D43" i="7"/>
  <c r="C145" i="8"/>
  <c r="C12" i="12"/>
  <c r="C94" i="12" s="1"/>
  <c r="F53" i="6"/>
  <c r="C32" i="4"/>
  <c r="C137" i="8" l="1"/>
  <c r="G53" i="6"/>
  <c r="C21" i="5" s="1"/>
  <c r="F50" i="6"/>
  <c r="G50" i="6" s="1"/>
  <c r="C140" i="8"/>
  <c r="C143" i="8" l="1"/>
  <c r="C139" i="8" l="1"/>
  <c r="C355" i="8"/>
  <c r="C354" i="8"/>
  <c r="B354" i="8"/>
  <c r="C380" i="8"/>
  <c r="C379" i="8"/>
  <c r="C256" i="4"/>
  <c r="C350" i="8" s="1"/>
  <c r="D354" i="8" l="1"/>
  <c r="C378" i="8"/>
  <c r="C347" i="8"/>
  <c r="C353" i="8"/>
  <c r="C351" i="8" l="1"/>
  <c r="C125" i="8"/>
  <c r="C129" i="8" l="1"/>
  <c r="C349" i="8"/>
  <c r="C113" i="8"/>
  <c r="C21" i="4"/>
  <c r="C127" i="8" l="1"/>
  <c r="C18" i="4"/>
  <c r="C45" i="8"/>
  <c r="C6" i="8"/>
  <c r="C116" i="8" l="1"/>
  <c r="C771" i="4"/>
  <c r="C10" i="8"/>
  <c r="C117" i="8" l="1"/>
  <c r="C8" i="8"/>
  <c r="C115" i="8" l="1"/>
  <c r="C26" i="8"/>
  <c r="C31" i="8" l="1"/>
  <c r="C28" i="8" l="1"/>
  <c r="B426" i="8" l="1"/>
  <c r="D426" i="8" s="1"/>
  <c r="B582" i="8"/>
  <c r="D582" i="8" s="1"/>
  <c r="B41" i="12" l="1"/>
  <c r="B69" i="7" l="1"/>
  <c r="B322" i="8" l="1"/>
  <c r="D322" i="8" s="1"/>
  <c r="B70" i="8"/>
  <c r="D70" i="8" s="1"/>
  <c r="B780" i="8"/>
  <c r="D780" i="8" s="1"/>
  <c r="B785" i="8"/>
  <c r="D785" i="8" s="1"/>
  <c r="B1333" i="8"/>
  <c r="D1333" i="8" s="1"/>
  <c r="B1332" i="8"/>
  <c r="D1332" i="8" s="1"/>
  <c r="B979" i="8"/>
  <c r="D979" i="8" s="1"/>
  <c r="B978" i="8"/>
  <c r="D978" i="8" s="1"/>
  <c r="B1480" i="8"/>
  <c r="D1480" i="8" s="1"/>
  <c r="B66" i="7"/>
  <c r="B93" i="7"/>
  <c r="B14" i="7"/>
  <c r="B7" i="7"/>
  <c r="B1466" i="8" l="1"/>
  <c r="D1466" i="8" s="1"/>
  <c r="B17" i="12"/>
  <c r="B1272" i="8"/>
  <c r="D1272" i="8" s="1"/>
  <c r="B1102" i="8"/>
  <c r="D1102" i="8" s="1"/>
  <c r="B1110" i="8" l="1"/>
  <c r="D1110" i="8" s="1"/>
  <c r="B513" i="8" l="1"/>
  <c r="D513" i="8" s="1"/>
  <c r="B35" i="8"/>
  <c r="D35" i="8" s="1"/>
  <c r="B398" i="8"/>
  <c r="D398" i="8" s="1"/>
  <c r="B33" i="8"/>
  <c r="D33" i="8" s="1"/>
  <c r="B1103" i="8"/>
  <c r="D1103" i="8" s="1"/>
  <c r="B1256" i="8"/>
  <c r="D1256" i="8" s="1"/>
  <c r="B1274" i="8"/>
  <c r="D1274" i="8" s="1"/>
  <c r="B1157" i="8"/>
  <c r="D1157" i="8" s="1"/>
  <c r="B549" i="4"/>
  <c r="D549" i="4" s="1"/>
  <c r="B554" i="4" l="1"/>
  <c r="D554" i="4" s="1"/>
  <c r="B526" i="4" l="1"/>
  <c r="D526" i="4" s="1"/>
  <c r="B522" i="4"/>
  <c r="D522" i="4" s="1"/>
  <c r="D62" i="5" l="1"/>
  <c r="B1465" i="8" l="1"/>
  <c r="D1465" i="8" s="1"/>
  <c r="B266" i="8"/>
  <c r="D266" i="8" s="1"/>
  <c r="B265" i="8"/>
  <c r="D265" i="8" s="1"/>
  <c r="B329" i="8"/>
  <c r="D329" i="8" s="1"/>
  <c r="B739" i="8" l="1"/>
  <c r="D739" i="8" s="1"/>
  <c r="B735" i="8"/>
  <c r="D735" i="8" s="1"/>
  <c r="B745" i="8" l="1"/>
  <c r="D745" i="8" s="1"/>
  <c r="B468" i="8"/>
  <c r="D468" i="8" s="1"/>
  <c r="B557" i="8" l="1"/>
  <c r="D557" i="8" s="1"/>
  <c r="D51" i="5" l="1"/>
  <c r="B56" i="12" l="1"/>
  <c r="D29" i="5" l="1"/>
  <c r="D41" i="5" l="1"/>
  <c r="B858" i="8"/>
  <c r="D858" i="8" s="1"/>
  <c r="B1010" i="8"/>
  <c r="D1010" i="8" s="1"/>
  <c r="B1009" i="8"/>
  <c r="D1009" i="8" s="1"/>
  <c r="B908" i="8"/>
  <c r="D908" i="8" s="1"/>
  <c r="B901" i="8"/>
  <c r="D901" i="8" s="1"/>
  <c r="B882" i="8"/>
  <c r="D882" i="8" s="1"/>
  <c r="B850" i="8"/>
  <c r="D850" i="8" s="1"/>
  <c r="B847" i="8"/>
  <c r="D847" i="8" s="1"/>
  <c r="B842" i="8"/>
  <c r="D842" i="8" s="1"/>
  <c r="B744" i="8"/>
  <c r="D744" i="8" s="1"/>
  <c r="B726" i="8"/>
  <c r="D726" i="8" s="1"/>
  <c r="B689" i="8"/>
  <c r="D689" i="8" s="1"/>
  <c r="B656" i="8"/>
  <c r="D656" i="8" s="1"/>
  <c r="B609" i="8"/>
  <c r="D609" i="8" s="1"/>
  <c r="B564" i="8"/>
  <c r="D564" i="8" s="1"/>
  <c r="B562" i="8"/>
  <c r="D562" i="8" s="1"/>
  <c r="B539" i="8"/>
  <c r="D539" i="8" s="1"/>
  <c r="B538" i="8"/>
  <c r="D538" i="8" s="1"/>
  <c r="B527" i="8"/>
  <c r="D527" i="8" s="1"/>
  <c r="B481" i="8"/>
  <c r="D481" i="8" s="1"/>
  <c r="B455" i="8"/>
  <c r="D455" i="8" s="1"/>
  <c r="B653" i="8" l="1"/>
  <c r="D653" i="8" s="1"/>
  <c r="B1494" i="8"/>
  <c r="D1494" i="8" s="1"/>
  <c r="B5" i="12"/>
  <c r="B20" i="7"/>
  <c r="B70" i="7"/>
  <c r="B73" i="7"/>
  <c r="B10" i="12" l="1"/>
  <c r="B7" i="12"/>
  <c r="B751" i="8" l="1"/>
  <c r="D751" i="8" s="1"/>
  <c r="B307" i="8" l="1"/>
  <c r="D307" i="8" s="1"/>
  <c r="B14" i="12" l="1"/>
  <c r="B13" i="12" l="1"/>
  <c r="B304" i="8"/>
  <c r="D304" i="8" s="1"/>
  <c r="B921" i="8"/>
  <c r="D921" i="8" s="1"/>
  <c r="B774" i="8" l="1"/>
  <c r="D774" i="8" s="1"/>
  <c r="B1488" i="8"/>
  <c r="D1488" i="8" s="1"/>
  <c r="B1435" i="8"/>
  <c r="D1435" i="8" s="1"/>
  <c r="B1379" i="8"/>
  <c r="D1379" i="8" s="1"/>
  <c r="B1330" i="8"/>
  <c r="D1330" i="8" s="1"/>
  <c r="B1261" i="8"/>
  <c r="D1261" i="8" s="1"/>
  <c r="B1133" i="8"/>
  <c r="D1133" i="8" s="1"/>
  <c r="B1152" i="8"/>
  <c r="D1152" i="8" s="1"/>
  <c r="B1019" i="8"/>
  <c r="D1019" i="8" s="1"/>
  <c r="B1046" i="8"/>
  <c r="D1046" i="8" s="1"/>
  <c r="B976" i="8"/>
  <c r="D976" i="8" s="1"/>
  <c r="B897" i="8"/>
  <c r="D897" i="8" s="1"/>
  <c r="B913" i="8"/>
  <c r="D913" i="8" s="1"/>
  <c r="B853" i="8"/>
  <c r="D853" i="8" s="1"/>
  <c r="B812" i="8"/>
  <c r="D812" i="8" s="1"/>
  <c r="B801" i="8"/>
  <c r="D801" i="8" s="1"/>
  <c r="B683" i="8" l="1"/>
  <c r="D683" i="8" s="1"/>
  <c r="B682" i="8"/>
  <c r="D682" i="8" s="1"/>
  <c r="B699" i="8"/>
  <c r="D699" i="8" s="1"/>
  <c r="B678" i="8"/>
  <c r="D678" i="8" s="1"/>
  <c r="B738" i="8"/>
  <c r="D738" i="8" s="1"/>
  <c r="B635" i="8"/>
  <c r="D635" i="8" s="1"/>
  <c r="B646" i="8"/>
  <c r="D646" i="8" s="1"/>
  <c r="B608" i="8"/>
  <c r="D608" i="8" s="1"/>
  <c r="B566" i="8"/>
  <c r="D566" i="8" s="1"/>
  <c r="B545" i="8"/>
  <c r="D545" i="8" s="1"/>
  <c r="B729" i="8" l="1"/>
  <c r="D729" i="8" s="1"/>
  <c r="B291" i="8"/>
  <c r="D291" i="8" s="1"/>
  <c r="B302" i="8"/>
  <c r="D302" i="8" s="1"/>
  <c r="B279" i="8"/>
  <c r="D279" i="8" s="1"/>
  <c r="B278" i="8"/>
  <c r="D278" i="8" s="1"/>
  <c r="B273" i="8"/>
  <c r="D273" i="8" s="1"/>
  <c r="B272" i="8"/>
  <c r="D272" i="8" s="1"/>
  <c r="B263" i="8"/>
  <c r="D263" i="8" s="1"/>
  <c r="B262" i="8"/>
  <c r="D262" i="8" s="1"/>
  <c r="B257" i="8"/>
  <c r="D257" i="8" s="1"/>
  <c r="B256" i="8"/>
  <c r="D256" i="8" s="1"/>
  <c r="B251" i="8"/>
  <c r="D251" i="8" s="1"/>
  <c r="B250" i="8"/>
  <c r="D250" i="8" s="1"/>
  <c r="B245" i="8"/>
  <c r="D245" i="8" s="1"/>
  <c r="B244" i="8"/>
  <c r="D244" i="8" s="1"/>
  <c r="B239" i="8"/>
  <c r="D239" i="8" s="1"/>
  <c r="B238" i="8"/>
  <c r="D238" i="8" s="1"/>
  <c r="B141" i="8"/>
  <c r="D141" i="8" s="1"/>
  <c r="B142" i="8"/>
  <c r="D142" i="8" s="1"/>
  <c r="B193" i="8" l="1"/>
  <c r="D193" i="8" s="1"/>
  <c r="B30" i="8"/>
  <c r="D30" i="8" s="1"/>
  <c r="B45" i="8"/>
  <c r="D45" i="8" s="1"/>
  <c r="B185" i="8" l="1"/>
  <c r="D185" i="8" s="1"/>
  <c r="B1505" i="8"/>
  <c r="D1505" i="8" s="1"/>
  <c r="B1486" i="8"/>
  <c r="D1486" i="8" s="1"/>
  <c r="B1430" i="8"/>
  <c r="D1430" i="8" s="1"/>
  <c r="B1415" i="8"/>
  <c r="D1415" i="8" s="1"/>
  <c r="B1409" i="8"/>
  <c r="D1409" i="8" s="1"/>
  <c r="B1373" i="8"/>
  <c r="D1373" i="8" s="1"/>
  <c r="B1361" i="8"/>
  <c r="D1361" i="8" s="1"/>
  <c r="B1355" i="8"/>
  <c r="D1355" i="8" s="1"/>
  <c r="B1327" i="8"/>
  <c r="D1327" i="8" s="1"/>
  <c r="B1311" i="8"/>
  <c r="D1311" i="8" s="1"/>
  <c r="B1306" i="8"/>
  <c r="D1306" i="8" s="1"/>
  <c r="B1301" i="8"/>
  <c r="D1301" i="8" s="1"/>
  <c r="B1294" i="8"/>
  <c r="D1294" i="8" s="1"/>
  <c r="B1249" i="8"/>
  <c r="D1249" i="8" s="1"/>
  <c r="B1242" i="8"/>
  <c r="D1242" i="8" s="1"/>
  <c r="B1213" i="8"/>
  <c r="D1213" i="8" s="1"/>
  <c r="B1206" i="8"/>
  <c r="D1206" i="8" s="1"/>
  <c r="B1202" i="8"/>
  <c r="D1202" i="8" s="1"/>
  <c r="B1190" i="8"/>
  <c r="D1190" i="8" s="1"/>
  <c r="B1184" i="8"/>
  <c r="D1184" i="8" s="1"/>
  <c r="B1149" i="8"/>
  <c r="D1149" i="8" s="1"/>
  <c r="B1137" i="8"/>
  <c r="D1137" i="8" s="1"/>
  <c r="B1097" i="8"/>
  <c r="D1097" i="8" s="1"/>
  <c r="B1091" i="8"/>
  <c r="D1091" i="8" s="1"/>
  <c r="B1079" i="8"/>
  <c r="D1079" i="8" s="1"/>
  <c r="B1041" i="8"/>
  <c r="D1041" i="8" s="1"/>
  <c r="B1028" i="8"/>
  <c r="D1028" i="8" s="1"/>
  <c r="B1023" i="8"/>
  <c r="D1023" i="8" s="1"/>
  <c r="B1008" i="8"/>
  <c r="D1008" i="8" s="1"/>
  <c r="B971" i="8"/>
  <c r="D971" i="8" s="1"/>
  <c r="B968" i="8"/>
  <c r="D968" i="8" s="1"/>
  <c r="B910" i="8"/>
  <c r="D910" i="8" s="1"/>
  <c r="B900" i="8"/>
  <c r="D900" i="8" s="1"/>
  <c r="B849" i="8"/>
  <c r="D849" i="8" s="1"/>
  <c r="B837" i="8"/>
  <c r="D837" i="8" s="1"/>
  <c r="B808" i="8"/>
  <c r="D808" i="8" s="1"/>
  <c r="B778" i="8"/>
  <c r="D778" i="8" s="1"/>
  <c r="B724" i="8"/>
  <c r="D724" i="8" s="1"/>
  <c r="B723" i="8"/>
  <c r="D723" i="8" s="1"/>
  <c r="B700" i="8"/>
  <c r="D700" i="8" s="1"/>
  <c r="B639" i="8"/>
  <c r="D639" i="8" s="1"/>
  <c r="B597" i="8"/>
  <c r="D597" i="8" s="1"/>
  <c r="B556" i="8"/>
  <c r="D556" i="8" s="1"/>
  <c r="B505" i="8"/>
  <c r="D505" i="8" s="1"/>
  <c r="B467" i="8"/>
  <c r="D467" i="8" s="1"/>
  <c r="B459" i="8"/>
  <c r="D459" i="8" s="1"/>
  <c r="B458" i="8"/>
  <c r="D458" i="8" s="1"/>
  <c r="B430" i="8"/>
  <c r="D430" i="8" s="1"/>
  <c r="B431" i="8"/>
  <c r="D431" i="8" s="1"/>
  <c r="B425" i="8"/>
  <c r="D425" i="8" s="1"/>
  <c r="B390" i="8"/>
  <c r="D390" i="8" s="1"/>
  <c r="B380" i="8"/>
  <c r="D380" i="8" s="1"/>
  <c r="B379" i="8"/>
  <c r="D379" i="8" s="1"/>
  <c r="B373" i="8"/>
  <c r="D373" i="8" s="1"/>
  <c r="B355" i="8"/>
  <c r="D355" i="8" s="1"/>
  <c r="B183" i="8"/>
  <c r="D183" i="8" s="1"/>
  <c r="B172" i="8"/>
  <c r="D172" i="8" s="1"/>
  <c r="B166" i="8"/>
  <c r="D166" i="8" s="1"/>
  <c r="B165" i="8"/>
  <c r="D165" i="8" s="1"/>
  <c r="B160" i="8"/>
  <c r="D160" i="8" s="1"/>
  <c r="B159" i="8"/>
  <c r="D159" i="8" s="1"/>
  <c r="B153" i="8"/>
  <c r="D153" i="8" s="1"/>
  <c r="B152" i="8"/>
  <c r="D152" i="8" s="1"/>
  <c r="B146" i="8"/>
  <c r="D146" i="8" s="1"/>
  <c r="B147" i="8"/>
  <c r="D147" i="8" s="1"/>
  <c r="B125" i="8"/>
  <c r="D125" i="8" s="1"/>
  <c r="B113" i="8"/>
  <c r="D113" i="8" s="1"/>
  <c r="B6" i="8"/>
  <c r="D6" i="8" s="1"/>
  <c r="D50" i="5"/>
  <c r="D53" i="5" l="1"/>
  <c r="B595" i="8"/>
  <c r="D595" i="8" s="1"/>
  <c r="B796" i="8"/>
  <c r="B638" i="8"/>
  <c r="D638" i="8" s="1"/>
  <c r="B777" i="8"/>
  <c r="D777" i="8" s="1"/>
  <c r="B836" i="8"/>
  <c r="B1003" i="8"/>
  <c r="D1003" i="8" s="1"/>
  <c r="B1078" i="8"/>
  <c r="D1078" i="8" s="1"/>
  <c r="B1189" i="8"/>
  <c r="D1189" i="8" s="1"/>
  <c r="B1205" i="8"/>
  <c r="D1205" i="8" s="1"/>
  <c r="B1241" i="8"/>
  <c r="D1241" i="8" s="1"/>
  <c r="B1293" i="8"/>
  <c r="D1293" i="8" s="1"/>
  <c r="B1360" i="8"/>
  <c r="D1360" i="8" s="1"/>
  <c r="B1408" i="8"/>
  <c r="D1408" i="8" s="1"/>
  <c r="B1022" i="8"/>
  <c r="D1022" i="8" s="1"/>
  <c r="B1136" i="8"/>
  <c r="D1136" i="8" s="1"/>
  <c r="B1183" i="8"/>
  <c r="D1183" i="8" s="1"/>
  <c r="B1248" i="8"/>
  <c r="D1248" i="8" s="1"/>
  <c r="B1354" i="8"/>
  <c r="D1354" i="8" s="1"/>
  <c r="B1414" i="8"/>
  <c r="D1414" i="8" s="1"/>
  <c r="B171" i="8"/>
  <c r="D171" i="8" s="1"/>
  <c r="B378" i="8"/>
  <c r="D378" i="8" s="1"/>
  <c r="B353" i="8"/>
  <c r="D353" i="8" s="1"/>
  <c r="D49" i="5"/>
  <c r="B1264" i="8"/>
  <c r="D1264" i="8" s="1"/>
  <c r="B26" i="8"/>
  <c r="D26" i="8" s="1"/>
  <c r="B285" i="8"/>
  <c r="D285" i="8" s="1"/>
  <c r="B543" i="8"/>
  <c r="D543" i="8" s="1"/>
  <c r="B893" i="8"/>
  <c r="D893" i="8" s="1"/>
  <c r="B429" i="8"/>
  <c r="D429" i="8" s="1"/>
  <c r="B681" i="8"/>
  <c r="D681" i="8" s="1"/>
  <c r="B964" i="8"/>
  <c r="D964" i="8" s="1"/>
  <c r="B347" i="8"/>
  <c r="D347" i="8" s="1"/>
  <c r="B1299" i="8"/>
  <c r="D1299" i="8" s="1"/>
  <c r="B770" i="8" l="1"/>
  <c r="D770" i="8" s="1"/>
  <c r="D796" i="8"/>
  <c r="B830" i="8"/>
  <c r="D830" i="8" s="1"/>
  <c r="D836" i="8"/>
  <c r="B1072" i="8"/>
  <c r="D1072" i="8" s="1"/>
  <c r="B1177" i="8"/>
  <c r="D1177" i="8" s="1"/>
  <c r="B1348" i="8"/>
  <c r="D1348" i="8" s="1"/>
  <c r="B145" i="8"/>
  <c r="B631" i="8"/>
  <c r="D631" i="8" s="1"/>
  <c r="B1401" i="8"/>
  <c r="D1401" i="8" s="1"/>
  <c r="B1129" i="8"/>
  <c r="D1129" i="8" s="1"/>
  <c r="B1015" i="8"/>
  <c r="D1015" i="8" s="1"/>
  <c r="B1287" i="8"/>
  <c r="D1287" i="8" s="1"/>
  <c r="B1235" i="8"/>
  <c r="D1235" i="8" s="1"/>
  <c r="B1006" i="8"/>
  <c r="D1006" i="8" s="1"/>
  <c r="B237" i="8"/>
  <c r="D237" i="8" s="1"/>
  <c r="B531" i="8"/>
  <c r="D531" i="8" s="1"/>
  <c r="B674" i="8"/>
  <c r="D674" i="8" s="1"/>
  <c r="B137" i="8" l="1"/>
  <c r="D137" i="8" s="1"/>
  <c r="D145" i="8"/>
  <c r="B1005" i="8"/>
  <c r="D1005" i="8" s="1"/>
  <c r="B231" i="8"/>
  <c r="D231" i="8" s="1"/>
  <c r="B529" i="8"/>
  <c r="D529" i="8" s="1"/>
  <c r="C39" i="6"/>
  <c r="B37" i="6"/>
  <c r="H37" i="6" s="1"/>
  <c r="B90" i="12"/>
  <c r="B86" i="12"/>
  <c r="B83" i="12"/>
  <c r="B80" i="12"/>
  <c r="B77" i="12"/>
  <c r="B6" i="12"/>
  <c r="B77" i="7"/>
  <c r="B421" i="8" l="1"/>
  <c r="D421" i="8" s="1"/>
  <c r="B72" i="7"/>
  <c r="C40" i="6"/>
  <c r="B40" i="6" s="1"/>
  <c r="H40" i="6" s="1"/>
  <c r="B4" i="12"/>
  <c r="B39" i="6"/>
  <c r="H39" i="6" s="1"/>
  <c r="B75" i="12"/>
  <c r="D4" i="12" l="1"/>
  <c r="C52" i="6"/>
  <c r="C38" i="6"/>
  <c r="B38" i="6" s="1"/>
  <c r="H38" i="6" s="1"/>
  <c r="B65" i="7"/>
  <c r="B83" i="7"/>
  <c r="B92" i="7"/>
  <c r="B62" i="7"/>
  <c r="B54" i="7"/>
  <c r="B48" i="7"/>
  <c r="B45" i="7"/>
  <c r="B38" i="7"/>
  <c r="B40" i="7"/>
  <c r="B23" i="7"/>
  <c r="B16" i="7"/>
  <c r="B19" i="7"/>
  <c r="B13" i="7"/>
  <c r="B9" i="7"/>
  <c r="B6" i="7"/>
  <c r="B22" i="7" l="1"/>
  <c r="B82" i="7"/>
  <c r="B37" i="7"/>
  <c r="B53" i="7"/>
  <c r="B5" i="7"/>
  <c r="D5" i="7" s="1"/>
  <c r="B61" i="7"/>
  <c r="B12" i="7"/>
  <c r="B43" i="7"/>
  <c r="B69" i="12"/>
  <c r="B48" i="12"/>
  <c r="B40" i="12"/>
  <c r="B27" i="12"/>
  <c r="B66" i="12"/>
  <c r="B61" i="12"/>
  <c r="B53" i="12"/>
  <c r="B45" i="12"/>
  <c r="B37" i="12"/>
  <c r="B309" i="4"/>
  <c r="D309" i="4" s="1"/>
  <c r="B41" i="4"/>
  <c r="D41" i="4" s="1"/>
  <c r="B616" i="4"/>
  <c r="D616" i="4" s="1"/>
  <c r="B615" i="4"/>
  <c r="D615" i="4" s="1"/>
  <c r="B578" i="4"/>
  <c r="B525" i="4"/>
  <c r="D525" i="4" s="1"/>
  <c r="B424" i="4"/>
  <c r="B364" i="4"/>
  <c r="D364" i="4" s="1"/>
  <c r="B250" i="4"/>
  <c r="D250" i="4" s="1"/>
  <c r="B249" i="4"/>
  <c r="D249" i="4" s="1"/>
  <c r="B195" i="4"/>
  <c r="B193" i="4"/>
  <c r="D193" i="4" s="1"/>
  <c r="B191" i="4"/>
  <c r="D191" i="4" s="1"/>
  <c r="B189" i="4"/>
  <c r="D189" i="4" s="1"/>
  <c r="B765" i="4"/>
  <c r="B761" i="4"/>
  <c r="B756" i="4"/>
  <c r="B751" i="4"/>
  <c r="D751" i="4" s="1"/>
  <c r="B747" i="4"/>
  <c r="D747" i="4" s="1"/>
  <c r="B743" i="4"/>
  <c r="D743" i="4" s="1"/>
  <c r="B739" i="4"/>
  <c r="D739" i="4" s="1"/>
  <c r="B737" i="4"/>
  <c r="D737" i="4" s="1"/>
  <c r="B728" i="4"/>
  <c r="D728" i="4" s="1"/>
  <c r="B725" i="4"/>
  <c r="D725" i="4" s="1"/>
  <c r="B719" i="4"/>
  <c r="D719" i="4" s="1"/>
  <c r="B714" i="4"/>
  <c r="D714" i="4" s="1"/>
  <c r="B712" i="4"/>
  <c r="D712" i="4" s="1"/>
  <c r="B707" i="4"/>
  <c r="D707" i="4" s="1"/>
  <c r="B705" i="4"/>
  <c r="D705" i="4" s="1"/>
  <c r="B703" i="4"/>
  <c r="D703" i="4" s="1"/>
  <c r="B696" i="4"/>
  <c r="D696" i="4" s="1"/>
  <c r="B693" i="4"/>
  <c r="D693" i="4" s="1"/>
  <c r="B690" i="4"/>
  <c r="D690" i="4" s="1"/>
  <c r="B684" i="4"/>
  <c r="B679" i="4"/>
  <c r="D679" i="4" s="1"/>
  <c r="B673" i="4"/>
  <c r="D673" i="4" s="1"/>
  <c r="B668" i="4"/>
  <c r="D668" i="4" s="1"/>
  <c r="B664" i="4"/>
  <c r="D664" i="4" s="1"/>
  <c r="B662" i="4"/>
  <c r="D662" i="4" s="1"/>
  <c r="B658" i="4"/>
  <c r="D658" i="4" s="1"/>
  <c r="B655" i="4"/>
  <c r="D655" i="4" s="1"/>
  <c r="B634" i="4"/>
  <c r="D634" i="4" s="1"/>
  <c r="B627" i="4"/>
  <c r="D627" i="4" s="1"/>
  <c r="B622" i="4"/>
  <c r="D622" i="4" s="1"/>
  <c r="B618" i="4"/>
  <c r="D618" i="4" s="1"/>
  <c r="B610" i="4"/>
  <c r="D610" i="4" s="1"/>
  <c r="B594" i="4"/>
  <c r="B589" i="4"/>
  <c r="D589" i="4" s="1"/>
  <c r="B584" i="4"/>
  <c r="D584" i="4" s="1"/>
  <c r="B579" i="4"/>
  <c r="D579" i="4" s="1"/>
  <c r="B573" i="4"/>
  <c r="D573" i="4" s="1"/>
  <c r="B569" i="4"/>
  <c r="D569" i="4" s="1"/>
  <c r="B565" i="4"/>
  <c r="D565" i="4" s="1"/>
  <c r="B561" i="4"/>
  <c r="D561" i="4" s="1"/>
  <c r="B553" i="4"/>
  <c r="B548" i="4"/>
  <c r="D548" i="4" s="1"/>
  <c r="B546" i="4"/>
  <c r="D546" i="4" s="1"/>
  <c r="B543" i="4"/>
  <c r="D543" i="4" s="1"/>
  <c r="B539" i="4"/>
  <c r="D539" i="4" s="1"/>
  <c r="B529" i="4"/>
  <c r="B521" i="4"/>
  <c r="D521" i="4" s="1"/>
  <c r="B518" i="4"/>
  <c r="D518" i="4" s="1"/>
  <c r="B515" i="4"/>
  <c r="D515" i="4" s="1"/>
  <c r="B505" i="4"/>
  <c r="B500" i="4"/>
  <c r="D500" i="4" s="1"/>
  <c r="B496" i="4"/>
  <c r="D496" i="4" s="1"/>
  <c r="B491" i="4"/>
  <c r="D491" i="4" s="1"/>
  <c r="B489" i="4"/>
  <c r="D489" i="4" s="1"/>
  <c r="B486" i="4"/>
  <c r="D486" i="4" s="1"/>
  <c r="B482" i="4"/>
  <c r="D482" i="4" s="1"/>
  <c r="B477" i="4"/>
  <c r="B471" i="4"/>
  <c r="B467" i="4"/>
  <c r="D467" i="4" s="1"/>
  <c r="B465" i="4"/>
  <c r="D465" i="4" s="1"/>
  <c r="B460" i="4"/>
  <c r="D460" i="4" s="1"/>
  <c r="B457" i="4"/>
  <c r="D457" i="4" s="1"/>
  <c r="B450" i="4"/>
  <c r="D450" i="4" s="1"/>
  <c r="B448" i="4"/>
  <c r="D448" i="4" s="1"/>
  <c r="B444" i="4"/>
  <c r="D444" i="4" s="1"/>
  <c r="B442" i="4"/>
  <c r="D442" i="4" s="1"/>
  <c r="B439" i="4"/>
  <c r="D439" i="4" s="1"/>
  <c r="B437" i="4"/>
  <c r="D437" i="4" s="1"/>
  <c r="B431" i="4"/>
  <c r="D431" i="4" s="1"/>
  <c r="B427" i="4"/>
  <c r="D427" i="4" s="1"/>
  <c r="B419" i="4"/>
  <c r="D419" i="4" s="1"/>
  <c r="B417" i="4"/>
  <c r="D417" i="4" s="1"/>
  <c r="B414" i="4"/>
  <c r="D414" i="4" s="1"/>
  <c r="B410" i="4"/>
  <c r="D410" i="4" s="1"/>
  <c r="B406" i="4"/>
  <c r="D406" i="4" s="1"/>
  <c r="B400" i="4"/>
  <c r="D400" i="4" s="1"/>
  <c r="B398" i="4"/>
  <c r="D398" i="4" s="1"/>
  <c r="B393" i="4"/>
  <c r="D393" i="4" s="1"/>
  <c r="B388" i="4"/>
  <c r="D388" i="4" s="1"/>
  <c r="B386" i="4"/>
  <c r="D386" i="4" s="1"/>
  <c r="B379" i="4"/>
  <c r="D379" i="4" s="1"/>
  <c r="B374" i="4"/>
  <c r="D374" i="4" s="1"/>
  <c r="B372" i="4"/>
  <c r="D372" i="4" s="1"/>
  <c r="B368" i="4"/>
  <c r="D368" i="4" s="1"/>
  <c r="B360" i="4"/>
  <c r="D360" i="4" s="1"/>
  <c r="B355" i="4"/>
  <c r="D355" i="4" s="1"/>
  <c r="B352" i="4"/>
  <c r="D352" i="4" s="1"/>
  <c r="B351" i="4"/>
  <c r="D351" i="4" s="1"/>
  <c r="B347" i="4"/>
  <c r="D347" i="4" s="1"/>
  <c r="B342" i="4"/>
  <c r="D342" i="4" s="1"/>
  <c r="B338" i="4"/>
  <c r="D338" i="4" s="1"/>
  <c r="B332" i="4"/>
  <c r="D332" i="4" s="1"/>
  <c r="B326" i="4"/>
  <c r="D326" i="4" s="1"/>
  <c r="B323" i="4"/>
  <c r="D323" i="4" s="1"/>
  <c r="B319" i="4"/>
  <c r="D319" i="4" s="1"/>
  <c r="B262" i="4"/>
  <c r="D262" i="4" s="1"/>
  <c r="B259" i="4"/>
  <c r="D259" i="4" s="1"/>
  <c r="B315" i="4"/>
  <c r="D315" i="4" s="1"/>
  <c r="B312" i="4"/>
  <c r="D312" i="4" s="1"/>
  <c r="B305" i="4"/>
  <c r="D305" i="4" s="1"/>
  <c r="B299" i="4"/>
  <c r="D299" i="4" s="1"/>
  <c r="B295" i="4"/>
  <c r="D295" i="4" s="1"/>
  <c r="B292" i="4"/>
  <c r="D292" i="4" s="1"/>
  <c r="B288" i="4"/>
  <c r="D288" i="4" s="1"/>
  <c r="B284" i="4"/>
  <c r="D284" i="4" s="1"/>
  <c r="B281" i="4"/>
  <c r="D281" i="4" s="1"/>
  <c r="B277" i="4"/>
  <c r="D277" i="4" s="1"/>
  <c r="B273" i="4"/>
  <c r="D273" i="4" s="1"/>
  <c r="B270" i="4"/>
  <c r="D270" i="4" s="1"/>
  <c r="B266" i="4"/>
  <c r="D266" i="4" s="1"/>
  <c r="B252" i="4"/>
  <c r="D252" i="4" s="1"/>
  <c r="B239" i="4"/>
  <c r="B235" i="4"/>
  <c r="D235" i="4" s="1"/>
  <c r="B233" i="4"/>
  <c r="D233" i="4" s="1"/>
  <c r="B231" i="4"/>
  <c r="D231" i="4" s="1"/>
  <c r="B226" i="4"/>
  <c r="D226" i="4" s="1"/>
  <c r="B222" i="4"/>
  <c r="D222" i="4" s="1"/>
  <c r="B220" i="4"/>
  <c r="B215" i="4"/>
  <c r="B208" i="4"/>
  <c r="D208" i="4" s="1"/>
  <c r="B206" i="4"/>
  <c r="D206" i="4" s="1"/>
  <c r="B204" i="4"/>
  <c r="D204" i="4" s="1"/>
  <c r="B200" i="4"/>
  <c r="D200" i="4" s="1"/>
  <c r="B196" i="4"/>
  <c r="D196" i="4" s="1"/>
  <c r="B181" i="4"/>
  <c r="B174" i="4"/>
  <c r="B170" i="4"/>
  <c r="D170" i="4" s="1"/>
  <c r="B166" i="4"/>
  <c r="D166" i="4" s="1"/>
  <c r="B161" i="4"/>
  <c r="D161" i="4" s="1"/>
  <c r="B158" i="4"/>
  <c r="D158" i="4" s="1"/>
  <c r="B149" i="4"/>
  <c r="D149" i="4" s="1"/>
  <c r="B144" i="4"/>
  <c r="D144" i="4" s="1"/>
  <c r="B139" i="4"/>
  <c r="D139" i="4" s="1"/>
  <c r="B135" i="4"/>
  <c r="D135" i="4" s="1"/>
  <c r="B130" i="4"/>
  <c r="D130" i="4" s="1"/>
  <c r="B125" i="4"/>
  <c r="D125" i="4" s="1"/>
  <c r="B120" i="4"/>
  <c r="D120" i="4" s="1"/>
  <c r="B115" i="4"/>
  <c r="D115" i="4" s="1"/>
  <c r="B110" i="4"/>
  <c r="D110" i="4" s="1"/>
  <c r="B108" i="4"/>
  <c r="D108" i="4" s="1"/>
  <c r="B105" i="4"/>
  <c r="D105" i="4" s="1"/>
  <c r="B102" i="4"/>
  <c r="D102" i="4" s="1"/>
  <c r="B98" i="4"/>
  <c r="D98" i="4" s="1"/>
  <c r="B96" i="4"/>
  <c r="D96" i="4" s="1"/>
  <c r="B92" i="4"/>
  <c r="D92" i="4" s="1"/>
  <c r="B88" i="4"/>
  <c r="D88" i="4" s="1"/>
  <c r="B84" i="4"/>
  <c r="D84" i="4" s="1"/>
  <c r="B80" i="4"/>
  <c r="D80" i="4" s="1"/>
  <c r="B74" i="4"/>
  <c r="D74" i="4" s="1"/>
  <c r="B72" i="4"/>
  <c r="D72" i="4" s="1"/>
  <c r="B66" i="4"/>
  <c r="D66" i="4" s="1"/>
  <c r="B58" i="4"/>
  <c r="D58" i="4" s="1"/>
  <c r="B53" i="4"/>
  <c r="D53" i="4" s="1"/>
  <c r="B48" i="4"/>
  <c r="D48" i="4" s="1"/>
  <c r="B44" i="4"/>
  <c r="D44" i="4" s="1"/>
  <c r="B39" i="4"/>
  <c r="D39" i="4" s="1"/>
  <c r="B37" i="4"/>
  <c r="D37" i="4" s="1"/>
  <c r="B35" i="4"/>
  <c r="D35" i="4" s="1"/>
  <c r="B28" i="4"/>
  <c r="D28" i="4" s="1"/>
  <c r="B26" i="4"/>
  <c r="D26" i="4" s="1"/>
  <c r="B21" i="4"/>
  <c r="D21" i="4" s="1"/>
  <c r="B19" i="4"/>
  <c r="D19" i="4" s="1"/>
  <c r="B14" i="4"/>
  <c r="D14" i="4" s="1"/>
  <c r="B11" i="4"/>
  <c r="D11" i="4" s="1"/>
  <c r="B6" i="4"/>
  <c r="B5" i="4" l="1"/>
  <c r="D6" i="4"/>
  <c r="B180" i="4"/>
  <c r="D180" i="4" s="1"/>
  <c r="D181" i="4"/>
  <c r="B214" i="4"/>
  <c r="D214" i="4" s="1"/>
  <c r="D215" i="4"/>
  <c r="B476" i="4"/>
  <c r="D477" i="4"/>
  <c r="B552" i="4"/>
  <c r="D552" i="4" s="1"/>
  <c r="D553" i="4"/>
  <c r="B593" i="4"/>
  <c r="D593" i="4" s="1"/>
  <c r="D594" i="4"/>
  <c r="B755" i="4"/>
  <c r="D755" i="4" s="1"/>
  <c r="D756" i="4"/>
  <c r="B764" i="4"/>
  <c r="D764" i="4" s="1"/>
  <c r="D765" i="4"/>
  <c r="B194" i="4"/>
  <c r="D194" i="4" s="1"/>
  <c r="D195" i="4"/>
  <c r="D424" i="4"/>
  <c r="B577" i="4"/>
  <c r="D577" i="4" s="1"/>
  <c r="D578" i="4"/>
  <c r="B173" i="4"/>
  <c r="D173" i="4" s="1"/>
  <c r="D174" i="4"/>
  <c r="B219" i="4"/>
  <c r="D219" i="4" s="1"/>
  <c r="D220" i="4"/>
  <c r="B238" i="4"/>
  <c r="D238" i="4" s="1"/>
  <c r="D239" i="4"/>
  <c r="B470" i="4"/>
  <c r="D470" i="4" s="1"/>
  <c r="D471" i="4"/>
  <c r="B504" i="4"/>
  <c r="D504" i="4" s="1"/>
  <c r="D505" i="4"/>
  <c r="B528" i="4"/>
  <c r="D528" i="4" s="1"/>
  <c r="D529" i="4"/>
  <c r="B683" i="4"/>
  <c r="D683" i="4" s="1"/>
  <c r="D684" i="4"/>
  <c r="B760" i="4"/>
  <c r="D760" i="4" s="1"/>
  <c r="D761" i="4"/>
  <c r="B354" i="4"/>
  <c r="D354" i="4" s="1"/>
  <c r="B378" i="4"/>
  <c r="D378" i="4" s="1"/>
  <c r="B331" i="4"/>
  <c r="D331" i="4" s="1"/>
  <c r="B363" i="4"/>
  <c r="D363" i="4" s="1"/>
  <c r="B33" i="12"/>
  <c r="B52" i="12"/>
  <c r="B36" i="7"/>
  <c r="B95" i="7"/>
  <c r="B423" i="4"/>
  <c r="D423" i="4" s="1"/>
  <c r="B12" i="12"/>
  <c r="D53" i="6"/>
  <c r="B481" i="4"/>
  <c r="D481" i="4" s="1"/>
  <c r="B165" i="4"/>
  <c r="D165" i="4" s="1"/>
  <c r="B614" i="4"/>
  <c r="B350" i="4"/>
  <c r="D350" i="4" s="1"/>
  <c r="B672" i="4"/>
  <c r="D672" i="4" s="1"/>
  <c r="B447" i="4"/>
  <c r="D447" i="4" s="1"/>
  <c r="B247" i="4"/>
  <c r="B524" i="4"/>
  <c r="B10" i="4"/>
  <c r="B583" i="4"/>
  <c r="D583" i="4" s="1"/>
  <c r="B188" i="4"/>
  <c r="B155" i="4"/>
  <c r="D155" i="4" s="1"/>
  <c r="B318" i="4"/>
  <c r="D318" i="4" s="1"/>
  <c r="B367" i="4"/>
  <c r="D367" i="4" s="1"/>
  <c r="B718" i="4"/>
  <c r="D718" i="4" s="1"/>
  <c r="B57" i="4"/>
  <c r="D57" i="4" s="1"/>
  <c r="B95" i="4"/>
  <c r="D95" i="4" s="1"/>
  <c r="B495" i="4"/>
  <c r="D495" i="4" s="1"/>
  <c r="B18" i="4"/>
  <c r="D18" i="4" s="1"/>
  <c r="B143" i="4"/>
  <c r="D143" i="4" s="1"/>
  <c r="B225" i="4"/>
  <c r="D225" i="4" s="1"/>
  <c r="B265" i="4"/>
  <c r="D265" i="4" s="1"/>
  <c r="B308" i="4"/>
  <c r="D308" i="4" s="1"/>
  <c r="B87" i="4"/>
  <c r="D87" i="4" s="1"/>
  <c r="B114" i="4"/>
  <c r="D114" i="4" s="1"/>
  <c r="B134" i="4"/>
  <c r="D134" i="4" s="1"/>
  <c r="B79" i="4"/>
  <c r="D79" i="4" s="1"/>
  <c r="B258" i="4"/>
  <c r="D258" i="4" s="1"/>
  <c r="B47" i="4"/>
  <c r="D47" i="4" s="1"/>
  <c r="B199" i="4"/>
  <c r="D199" i="4" s="1"/>
  <c r="B392" i="4"/>
  <c r="B560" i="4"/>
  <c r="D560" i="4" s="1"/>
  <c r="B25" i="4"/>
  <c r="B71" i="4"/>
  <c r="D71" i="4" s="1"/>
  <c r="B413" i="4"/>
  <c r="D413" i="4" s="1"/>
  <c r="B436" i="4"/>
  <c r="D436" i="4" s="1"/>
  <c r="B464" i="4"/>
  <c r="D464" i="4" s="1"/>
  <c r="B689" i="4"/>
  <c r="D689" i="4" s="1"/>
  <c r="B736" i="4"/>
  <c r="B34" i="4"/>
  <c r="D34" i="4" s="1"/>
  <c r="B101" i="4"/>
  <c r="D101" i="4" s="1"/>
  <c r="B287" i="4"/>
  <c r="D287" i="4" s="1"/>
  <c r="B337" i="4"/>
  <c r="D337" i="4" s="1"/>
  <c r="B405" i="4"/>
  <c r="D405" i="4" s="1"/>
  <c r="B456" i="4"/>
  <c r="D456" i="4" s="1"/>
  <c r="B538" i="4"/>
  <c r="D538" i="4" s="1"/>
  <c r="B626" i="4"/>
  <c r="D626" i="4" s="1"/>
  <c r="B654" i="4"/>
  <c r="D654" i="4" s="1"/>
  <c r="B702" i="4"/>
  <c r="D702" i="4" s="1"/>
  <c r="B359" i="4"/>
  <c r="D359" i="4" s="1"/>
  <c r="B276" i="4"/>
  <c r="D276" i="4" s="1"/>
  <c r="B124" i="4"/>
  <c r="D124" i="4" s="1"/>
  <c r="B298" i="4"/>
  <c r="D298" i="4" s="1"/>
  <c r="B385" i="4"/>
  <c r="D385" i="4" s="1"/>
  <c r="C34" i="6"/>
  <c r="B34" i="6" s="1"/>
  <c r="C35" i="6"/>
  <c r="B35" i="6" s="1"/>
  <c r="H35" i="6" s="1"/>
  <c r="C36" i="6"/>
  <c r="B36" i="6" s="1"/>
  <c r="C44" i="6"/>
  <c r="B44" i="6" s="1"/>
  <c r="H44" i="6" s="1"/>
  <c r="D25" i="5"/>
  <c r="B4" i="11"/>
  <c r="C9" i="6"/>
  <c r="B9" i="6" s="1"/>
  <c r="H9" i="6" s="1"/>
  <c r="B12" i="11"/>
  <c r="B7" i="11"/>
  <c r="B7" i="6"/>
  <c r="H7" i="6" s="1"/>
  <c r="B11" i="6"/>
  <c r="H11" i="6" s="1"/>
  <c r="B16" i="6"/>
  <c r="H16" i="6" s="1"/>
  <c r="B18" i="6"/>
  <c r="H18" i="6" s="1"/>
  <c r="B24" i="6"/>
  <c r="H24" i="6" s="1"/>
  <c r="B29" i="6"/>
  <c r="H29" i="6" s="1"/>
  <c r="B32" i="6"/>
  <c r="H32" i="6" s="1"/>
  <c r="B41" i="6"/>
  <c r="H41" i="6" s="1"/>
  <c r="B45" i="6"/>
  <c r="H45" i="6" s="1"/>
  <c r="B47" i="6"/>
  <c r="H47" i="6" s="1"/>
  <c r="B49" i="6"/>
  <c r="H49" i="6" s="1"/>
  <c r="B54" i="6"/>
  <c r="H54" i="6" s="1"/>
  <c r="C51" i="6"/>
  <c r="B51" i="6" s="1"/>
  <c r="C10" i="6"/>
  <c r="B10" i="6" s="1"/>
  <c r="H10" i="6" s="1"/>
  <c r="C13" i="6"/>
  <c r="C14" i="6"/>
  <c r="B14" i="6" s="1"/>
  <c r="H14" i="6" s="1"/>
  <c r="C15" i="6"/>
  <c r="B15" i="6" s="1"/>
  <c r="H15" i="6" s="1"/>
  <c r="C17" i="6"/>
  <c r="B17" i="6" s="1"/>
  <c r="C26" i="6"/>
  <c r="C27" i="6"/>
  <c r="B27" i="6" s="1"/>
  <c r="H27" i="6" s="1"/>
  <c r="C28" i="6"/>
  <c r="C43" i="6"/>
  <c r="C46" i="6"/>
  <c r="B46" i="6" s="1"/>
  <c r="D58" i="5" l="1"/>
  <c r="D4" i="11"/>
  <c r="D59" i="5"/>
  <c r="D7" i="11"/>
  <c r="B10" i="11"/>
  <c r="D12" i="11"/>
  <c r="B25" i="12"/>
  <c r="D19" i="5"/>
  <c r="H51" i="6"/>
  <c r="D18" i="5"/>
  <c r="H46" i="6"/>
  <c r="D16" i="5"/>
  <c r="H36" i="6"/>
  <c r="D14" i="5"/>
  <c r="H34" i="6"/>
  <c r="D10" i="5"/>
  <c r="H17" i="6"/>
  <c r="B213" i="4"/>
  <c r="D213" i="4" s="1"/>
  <c r="B576" i="4"/>
  <c r="D576" i="4" s="1"/>
  <c r="B514" i="4"/>
  <c r="D524" i="4"/>
  <c r="B422" i="4"/>
  <c r="B734" i="4"/>
  <c r="D736" i="4"/>
  <c r="B128" i="8"/>
  <c r="D128" i="8" s="1"/>
  <c r="D25" i="4"/>
  <c r="B634" i="8"/>
  <c r="D634" i="8" s="1"/>
  <c r="D392" i="4"/>
  <c r="B187" i="4"/>
  <c r="D187" i="4" s="1"/>
  <c r="D188" i="4"/>
  <c r="B29" i="8"/>
  <c r="D29" i="8" s="1"/>
  <c r="D10" i="4"/>
  <c r="B246" i="4"/>
  <c r="D246" i="4" s="1"/>
  <c r="D247" i="4"/>
  <c r="B609" i="4"/>
  <c r="D609" i="4" s="1"/>
  <c r="D614" i="4"/>
  <c r="B475" i="4"/>
  <c r="D476" i="4"/>
  <c r="B9" i="8"/>
  <c r="D9" i="8" s="1"/>
  <c r="D5" i="4"/>
  <c r="B346" i="4"/>
  <c r="D346" i="4" s="1"/>
  <c r="B116" i="8"/>
  <c r="D116" i="8" s="1"/>
  <c r="B536" i="4"/>
  <c r="D15" i="5"/>
  <c r="C33" i="6"/>
  <c r="B33" i="6" s="1"/>
  <c r="H33" i="6" s="1"/>
  <c r="C42" i="6"/>
  <c r="B42" i="6" s="1"/>
  <c r="B434" i="4"/>
  <c r="B652" i="4"/>
  <c r="B479" i="4"/>
  <c r="B32" i="4"/>
  <c r="B700" i="4"/>
  <c r="B403" i="4"/>
  <c r="D403" i="4" s="1"/>
  <c r="B454" i="4"/>
  <c r="B329" i="4"/>
  <c r="D329" i="4" s="1"/>
  <c r="B256" i="4"/>
  <c r="D256" i="4" s="1"/>
  <c r="C25" i="6"/>
  <c r="C31" i="6"/>
  <c r="C22" i="6"/>
  <c r="B53" i="6"/>
  <c r="C8" i="6"/>
  <c r="C12" i="6"/>
  <c r="B12" i="6" s="1"/>
  <c r="C50" i="6"/>
  <c r="B43" i="6"/>
  <c r="H43" i="6" s="1"/>
  <c r="B26" i="6"/>
  <c r="H26" i="6" s="1"/>
  <c r="B13" i="6"/>
  <c r="H13" i="6" s="1"/>
  <c r="D60" i="5" l="1"/>
  <c r="D10" i="11"/>
  <c r="B24" i="12"/>
  <c r="D21" i="5"/>
  <c r="H53" i="6"/>
  <c r="D17" i="5"/>
  <c r="H42" i="6"/>
  <c r="D9" i="5"/>
  <c r="H12" i="6"/>
  <c r="B129" i="8"/>
  <c r="D129" i="8" s="1"/>
  <c r="D32" i="4"/>
  <c r="B636" i="8"/>
  <c r="B607" i="4"/>
  <c r="D607" i="4" s="1"/>
  <c r="D52" i="6"/>
  <c r="B52" i="6" s="1"/>
  <c r="B558" i="4"/>
  <c r="B1180" i="8" s="1"/>
  <c r="D1180" i="8" s="1"/>
  <c r="B896" i="8"/>
  <c r="D896" i="8" s="1"/>
  <c r="D454" i="4"/>
  <c r="B1351" i="8"/>
  <c r="D1351" i="8" s="1"/>
  <c r="D700" i="4"/>
  <c r="B1018" i="8"/>
  <c r="D1018" i="8" s="1"/>
  <c r="D479" i="4"/>
  <c r="B833" i="8"/>
  <c r="D833" i="8" s="1"/>
  <c r="D434" i="4"/>
  <c r="B10" i="8"/>
  <c r="D10" i="8" s="1"/>
  <c r="B967" i="8"/>
  <c r="D967" i="8" s="1"/>
  <c r="D475" i="4"/>
  <c r="B1404" i="8"/>
  <c r="D1404" i="8" s="1"/>
  <c r="D734" i="4"/>
  <c r="B153" i="4"/>
  <c r="B1290" i="8"/>
  <c r="D1290" i="8" s="1"/>
  <c r="D652" i="4"/>
  <c r="B31" i="8"/>
  <c r="D31" i="8" s="1"/>
  <c r="B1132" i="8"/>
  <c r="D1132" i="8" s="1"/>
  <c r="D536" i="4"/>
  <c r="B773" i="8"/>
  <c r="D773" i="8" s="1"/>
  <c r="D422" i="4"/>
  <c r="B512" i="4"/>
  <c r="D514" i="4"/>
  <c r="B117" i="8"/>
  <c r="D117" i="8" s="1"/>
  <c r="B424" i="8"/>
  <c r="D424" i="8" s="1"/>
  <c r="B350" i="8"/>
  <c r="D350" i="8" s="1"/>
  <c r="B677" i="8"/>
  <c r="D677" i="8" s="1"/>
  <c r="D43" i="5"/>
  <c r="B140" i="8"/>
  <c r="D140" i="8" s="1"/>
  <c r="C30" i="6"/>
  <c r="B30" i="6" s="1"/>
  <c r="B31" i="6"/>
  <c r="H31" i="6" s="1"/>
  <c r="C19" i="6"/>
  <c r="B8" i="6"/>
  <c r="C6" i="6"/>
  <c r="D57" i="5" l="1"/>
  <c r="B633" i="8"/>
  <c r="D633" i="8" s="1"/>
  <c r="D636" i="8"/>
  <c r="D50" i="6"/>
  <c r="B50" i="6" s="1"/>
  <c r="H50" i="6" s="1"/>
  <c r="D20" i="5"/>
  <c r="H52" i="6"/>
  <c r="D8" i="5"/>
  <c r="H8" i="6"/>
  <c r="D13" i="5"/>
  <c r="H30" i="6"/>
  <c r="D558" i="4"/>
  <c r="B127" i="8"/>
  <c r="D127" i="8" s="1"/>
  <c r="B1238" i="8"/>
  <c r="D1238" i="8" s="1"/>
  <c r="C15" i="15"/>
  <c r="B771" i="4"/>
  <c r="C2" i="15"/>
  <c r="C8" i="15"/>
  <c r="C5" i="15"/>
  <c r="C14" i="15"/>
  <c r="C11" i="15"/>
  <c r="C9" i="15"/>
  <c r="C10" i="15"/>
  <c r="C16" i="15"/>
  <c r="C13" i="15"/>
  <c r="C3" i="15"/>
  <c r="C7" i="15"/>
  <c r="C6" i="15"/>
  <c r="B94" i="12"/>
  <c r="B1239" i="8"/>
  <c r="B1291" i="8"/>
  <c r="D1291" i="8" s="1"/>
  <c r="B679" i="8"/>
  <c r="B1134" i="8"/>
  <c r="D1134" i="8" s="1"/>
  <c r="B834" i="8"/>
  <c r="B1352" i="8"/>
  <c r="D1352" i="8" s="1"/>
  <c r="B898" i="8"/>
  <c r="D898" i="8" s="1"/>
  <c r="B28" i="8"/>
  <c r="D28" i="8" s="1"/>
  <c r="B1181" i="8"/>
  <c r="D1181" i="8" s="1"/>
  <c r="B427" i="8"/>
  <c r="B1020" i="8"/>
  <c r="B14" i="15"/>
  <c r="B8" i="8"/>
  <c r="D8" i="8" s="1"/>
  <c r="B7" i="15"/>
  <c r="B4" i="15"/>
  <c r="B115" i="8"/>
  <c r="D115" i="8" s="1"/>
  <c r="B1075" i="8"/>
  <c r="D1075" i="8" s="1"/>
  <c r="D512" i="4"/>
  <c r="B775" i="8"/>
  <c r="D775" i="8" s="1"/>
  <c r="B234" i="8"/>
  <c r="D234" i="8" s="1"/>
  <c r="D153" i="4"/>
  <c r="B1406" i="8"/>
  <c r="D1406" i="8" s="1"/>
  <c r="B969" i="8"/>
  <c r="D969" i="8" s="1"/>
  <c r="B351" i="8"/>
  <c r="D351" i="8" s="1"/>
  <c r="C48" i="6"/>
  <c r="B6" i="15"/>
  <c r="B9" i="15"/>
  <c r="B2" i="15"/>
  <c r="B143" i="8"/>
  <c r="D143" i="8" s="1"/>
  <c r="B16" i="15"/>
  <c r="B11" i="15"/>
  <c r="B15" i="15"/>
  <c r="B12" i="15"/>
  <c r="B3" i="15"/>
  <c r="B13" i="15"/>
  <c r="D23" i="6" s="1"/>
  <c r="B23" i="6" s="1"/>
  <c r="B5" i="15"/>
  <c r="B8" i="15"/>
  <c r="B6" i="6"/>
  <c r="H6" i="6" s="1"/>
  <c r="B423" i="8" l="1"/>
  <c r="D423" i="8" s="1"/>
  <c r="D427" i="8"/>
  <c r="B676" i="8"/>
  <c r="D676" i="8" s="1"/>
  <c r="D679" i="8"/>
  <c r="D834" i="8"/>
  <c r="D1239" i="8"/>
  <c r="D1020" i="8"/>
  <c r="F21" i="6"/>
  <c r="G21" i="6" s="1"/>
  <c r="F23" i="6"/>
  <c r="G23" i="6" s="1"/>
  <c r="H23" i="6" s="1"/>
  <c r="F22" i="6"/>
  <c r="G22" i="6" s="1"/>
  <c r="E8" i="15"/>
  <c r="E13" i="15"/>
  <c r="D771" i="4"/>
  <c r="E3" i="15" s="1"/>
  <c r="B10" i="15"/>
  <c r="C4" i="15"/>
  <c r="C12" i="15"/>
  <c r="E2" i="15"/>
  <c r="B1289" i="8"/>
  <c r="D1289" i="8" s="1"/>
  <c r="B1017" i="8"/>
  <c r="D1017" i="8" s="1"/>
  <c r="B1179" i="8"/>
  <c r="D1179" i="8" s="1"/>
  <c r="B832" i="8"/>
  <c r="D832" i="8" s="1"/>
  <c r="B1131" i="8"/>
  <c r="D1131" i="8" s="1"/>
  <c r="B1237" i="8"/>
  <c r="D1237" i="8" s="1"/>
  <c r="B895" i="8"/>
  <c r="D895" i="8" s="1"/>
  <c r="B1403" i="8"/>
  <c r="D1403" i="8" s="1"/>
  <c r="B1350" i="8"/>
  <c r="D1350" i="8" s="1"/>
  <c r="B1076" i="8"/>
  <c r="D1076" i="8" s="1"/>
  <c r="B966" i="8"/>
  <c r="D966" i="8" s="1"/>
  <c r="B235" i="8"/>
  <c r="D235" i="8" s="1"/>
  <c r="B772" i="8"/>
  <c r="D772" i="8" s="1"/>
  <c r="B349" i="8"/>
  <c r="D349" i="8" s="1"/>
  <c r="B139" i="8"/>
  <c r="D139" i="8" s="1"/>
  <c r="D22" i="6"/>
  <c r="B22" i="6" s="1"/>
  <c r="C55" i="6"/>
  <c r="D21" i="6"/>
  <c r="B21" i="6" s="1"/>
  <c r="H21" i="6" l="1"/>
  <c r="H22" i="6"/>
  <c r="F28" i="6"/>
  <c r="F25" i="6" s="1"/>
  <c r="G25" i="6" s="1"/>
  <c r="C12" i="5" s="1"/>
  <c r="C1" i="15"/>
  <c r="F20" i="6" s="1"/>
  <c r="E9" i="15"/>
  <c r="E12" i="15"/>
  <c r="E15" i="15"/>
  <c r="E5" i="15"/>
  <c r="E7" i="15"/>
  <c r="E14" i="15"/>
  <c r="E4" i="15"/>
  <c r="E10" i="15"/>
  <c r="E16" i="15"/>
  <c r="E11" i="15"/>
  <c r="E6" i="15"/>
  <c r="B1074" i="8"/>
  <c r="D1074" i="8" s="1"/>
  <c r="B233" i="8"/>
  <c r="D233" i="8" s="1"/>
  <c r="B1" i="15"/>
  <c r="D20" i="6" s="1"/>
  <c r="D19" i="6" s="1"/>
  <c r="D28" i="6"/>
  <c r="G28" i="6" l="1"/>
  <c r="C18" i="15"/>
  <c r="C19" i="15" s="1"/>
  <c r="F19" i="6"/>
  <c r="F48" i="6" s="1"/>
  <c r="G20" i="6"/>
  <c r="E1" i="15"/>
  <c r="E18" i="15" s="1"/>
  <c r="E19" i="15" s="1"/>
  <c r="B1499" i="8"/>
  <c r="B24" i="15"/>
  <c r="C24" i="15"/>
  <c r="C1502" i="8"/>
  <c r="B1497" i="8"/>
  <c r="B1501" i="8"/>
  <c r="C1501" i="8"/>
  <c r="C1506" i="8"/>
  <c r="B1506" i="8"/>
  <c r="B1503" i="8"/>
  <c r="C1503" i="8"/>
  <c r="C1497" i="8"/>
  <c r="B1504" i="8"/>
  <c r="C1504" i="8"/>
  <c r="B1502" i="8"/>
  <c r="D1502" i="8" s="1"/>
  <c r="C1499" i="8"/>
  <c r="B18" i="15"/>
  <c r="B19" i="15" s="1"/>
  <c r="B20" i="6"/>
  <c r="D25" i="6"/>
  <c r="B28" i="6"/>
  <c r="B19" i="6"/>
  <c r="D1501" i="8" l="1"/>
  <c r="D1497" i="8"/>
  <c r="D1499" i="8"/>
  <c r="D1503" i="8"/>
  <c r="D1504" i="8"/>
  <c r="D1506" i="8"/>
  <c r="H20" i="6"/>
  <c r="H28" i="6"/>
  <c r="C26" i="15"/>
  <c r="C33" i="5"/>
  <c r="G19" i="6"/>
  <c r="C11" i="5" s="1"/>
  <c r="D11" i="5" s="1"/>
  <c r="C1507" i="8"/>
  <c r="D1507" i="8" s="1"/>
  <c r="B25" i="6"/>
  <c r="H25" i="6" s="1"/>
  <c r="C26" i="5"/>
  <c r="D26" i="5" s="1"/>
  <c r="C27" i="5"/>
  <c r="C28" i="5"/>
  <c r="F55" i="6"/>
  <c r="G55" i="6" s="1"/>
  <c r="G48" i="6"/>
  <c r="D48" i="6"/>
  <c r="D28" i="5" l="1"/>
  <c r="D27" i="5"/>
  <c r="D33" i="5"/>
  <c r="C42" i="5"/>
  <c r="C7" i="5"/>
  <c r="H19" i="6"/>
  <c r="B48" i="6"/>
  <c r="H48" i="6" s="1"/>
  <c r="D12" i="5"/>
  <c r="C24" i="5"/>
  <c r="D55" i="6"/>
  <c r="D42" i="5" l="1"/>
  <c r="D24" i="5"/>
  <c r="C44" i="5"/>
  <c r="C67" i="5"/>
  <c r="C23" i="5"/>
  <c r="D7" i="5"/>
  <c r="B55" i="6"/>
  <c r="H55" i="6" s="1"/>
  <c r="C64" i="5" l="1"/>
  <c r="D44" i="5"/>
  <c r="C31" i="5"/>
  <c r="C68" i="5"/>
  <c r="D67" i="5"/>
  <c r="D23" i="5"/>
  <c r="D64" i="5" l="1"/>
  <c r="C35" i="5"/>
  <c r="D68" i="5"/>
  <c r="D31" i="5"/>
  <c r="D35" i="5" l="1"/>
</calcChain>
</file>

<file path=xl/sharedStrings.xml><?xml version="1.0" encoding="utf-8"?>
<sst xmlns="http://schemas.openxmlformats.org/spreadsheetml/2006/main" count="2489" uniqueCount="1066">
  <si>
    <t>botaanikaaia piletitulu</t>
  </si>
  <si>
    <t>muud botaanikaaia tasulised teenused</t>
  </si>
  <si>
    <t>14. Linnaplaneerimise Amet</t>
  </si>
  <si>
    <t>15. Haabersti Linnaosa Valitsuse haldusala</t>
  </si>
  <si>
    <t>15.1. Haabersti Linnaosa Valitsus</t>
  </si>
  <si>
    <t>eluruumide haldamistulu</t>
  </si>
  <si>
    <t>kliendi osalustasu koduteenuste osutamisel</t>
  </si>
  <si>
    <t>linnarajatiste reklaamitulu</t>
  </si>
  <si>
    <t>15.2. Haabersti Vaba Aja Keskus</t>
  </si>
  <si>
    <t>15.3. Haabersti Sotsiaalkeskus</t>
  </si>
  <si>
    <t>huviringi osalustasu</t>
  </si>
  <si>
    <t>Tallinna linna Johan Pitka stipendium</t>
  </si>
  <si>
    <t>Tallinna linna Mihhail Bronšteini stipendium</t>
  </si>
  <si>
    <t>Välisrahastusega projekt "E-õppemeetodite rakendamine mittestatsionaarses õppes" (ü)</t>
  </si>
  <si>
    <t>Välisrahastusega projekt „E-matemaatika: matemaatika kompetentsuse parendamine uute õppemeetodite ja IKT abil“  (ü)</t>
  </si>
  <si>
    <t>* Eelarve täitmisel on linnavalitsusel õigus muuta summade jaotust ülelinnaliste kultuuriürituste üldsumma piires.</t>
  </si>
  <si>
    <t>Projekt "Tallinna Raamat"</t>
  </si>
  <si>
    <t>Piirkondlikud sotsiaalhoolekande projektid</t>
  </si>
  <si>
    <t>allahinnatavate nõuete reserv</t>
  </si>
  <si>
    <t>toetused riigilt ja muudelt institutsioonidelt</t>
  </si>
  <si>
    <t>TOETUSED</t>
  </si>
  <si>
    <t>investeeringuteks</t>
  </si>
  <si>
    <t>Toetus välisprojektide kaasfinantseerimiseks</t>
  </si>
  <si>
    <t>sh Haridusameti haldusala</t>
  </si>
  <si>
    <t>Välisrahastus kokku</t>
  </si>
  <si>
    <t>Ühistranspordi prioriteedisüsteemi laiendamine</t>
  </si>
  <si>
    <t>Kommunaalamet</t>
  </si>
  <si>
    <t>Töökohal vaimse tervise edendamine Kristiine linnaosas</t>
  </si>
  <si>
    <t>Õismäe Kooli renoveerimine</t>
  </si>
  <si>
    <t>Tallinna Loomaaia Keskkonnahariduse Keskuse ehitamine</t>
  </si>
  <si>
    <t>Sotsiaalmajutusüksuste ehitamine</t>
  </si>
  <si>
    <t>Toetused kokku</t>
  </si>
  <si>
    <r>
      <t xml:space="preserve">sh </t>
    </r>
    <r>
      <rPr>
        <u/>
        <sz val="10"/>
        <rFont val="Arial"/>
        <family val="2"/>
        <charset val="186"/>
      </rPr>
      <t>tegevuskuluks</t>
    </r>
  </si>
  <si>
    <r>
      <t xml:space="preserve">sh </t>
    </r>
    <r>
      <rPr>
        <u/>
        <sz val="10"/>
        <rFont val="Arial"/>
        <family val="2"/>
        <charset val="186"/>
      </rPr>
      <t>tegevuskuludeks</t>
    </r>
  </si>
  <si>
    <r>
      <t xml:space="preserve">Reostunud maa-alade riskihinnangud </t>
    </r>
    <r>
      <rPr>
        <i/>
        <sz val="9"/>
        <rFont val="Arial"/>
        <family val="2"/>
        <charset val="186"/>
      </rPr>
      <t>(BECOSI)</t>
    </r>
  </si>
  <si>
    <t>Põhitegevuse tulud (+)</t>
  </si>
  <si>
    <t>Maksutulud</t>
  </si>
  <si>
    <t>Tulud kaupade ja teenuste müügist</t>
  </si>
  <si>
    <t>Saadavad toetused tegevuskuludeks</t>
  </si>
  <si>
    <t>Muud tegevustulud</t>
  </si>
  <si>
    <t>Põhitegevuse kulud (-)</t>
  </si>
  <si>
    <t>Antavad toetused tegevuskuludeks</t>
  </si>
  <si>
    <t>Muud tegevuskulud</t>
  </si>
  <si>
    <t>PÕHITEGEVUSE TULEM</t>
  </si>
  <si>
    <t>Investeerimistegevus</t>
  </si>
  <si>
    <t>Põhivara müük (+)</t>
  </si>
  <si>
    <t>Põhivara soetus (-)</t>
  </si>
  <si>
    <t>Saadav sihtfinantseerimine (+)</t>
  </si>
  <si>
    <t>Antav sihtfinantseerimine (-)</t>
  </si>
  <si>
    <t>Finantstulud (+)</t>
  </si>
  <si>
    <t>Finantskulud (-)</t>
  </si>
  <si>
    <t>EELARVE TULEM</t>
  </si>
  <si>
    <t>Finantseerimistegevus</t>
  </si>
  <si>
    <t>Kohustuste võtmine (+)</t>
  </si>
  <si>
    <t>Kohustuste tasumine (-)</t>
  </si>
  <si>
    <t>Likviidsete varade muutus</t>
  </si>
  <si>
    <t>Nõuete ja kohustuste saldode muutus</t>
  </si>
  <si>
    <t>Vene Kultuurikeskusele eesti keele süvaõppe jätkamiseks venekeelsete koolide ja lasteaedade pedagoogidele</t>
  </si>
  <si>
    <t>Omavalitsusfoorumid</t>
  </si>
  <si>
    <t>Nõmme Linnaosa Valitsus</t>
  </si>
  <si>
    <t>Sunniraha</t>
  </si>
  <si>
    <t>Muud erakorralised tulud</t>
  </si>
  <si>
    <t>Müüdud vara jääkmaksumus</t>
  </si>
  <si>
    <t>sh teede ja tänavate korrashoiuks</t>
  </si>
  <si>
    <t>Tallinna Keskraamatukogule teavikute soetamiseks</t>
  </si>
  <si>
    <t>E-õppemeetodite rakendamine mittestatsionaarses õppes</t>
  </si>
  <si>
    <t xml:space="preserve">Ülemiste liiklussõlme rekonstrueerimine Tallinnas </t>
  </si>
  <si>
    <t>Ülemiste liiklussõlme rekonstrueerimine Tallinnas II etapp</t>
  </si>
  <si>
    <t>Lasnamäe Spordikompleks</t>
  </si>
  <si>
    <t>Linnaosa valitsuse reservfond</t>
  </si>
  <si>
    <t>Mustamäe Linnaosa Valitsuse haldusala</t>
  </si>
  <si>
    <t>Sotsiaalabi osutamine juhtumikorralduse põhimõttel</t>
  </si>
  <si>
    <t>Nõmme Linnaosa Valitsuse haldusala</t>
  </si>
  <si>
    <t>Laste päevakeskuse teenused</t>
  </si>
  <si>
    <t>Toetatud elamine</t>
  </si>
  <si>
    <t>Pirita Linnaosa Valitsuse haldusala</t>
  </si>
  <si>
    <t>Mähe noortekeskus</t>
  </si>
  <si>
    <t>Kose noortekeskus</t>
  </si>
  <si>
    <t>Põhja-Tallinna Valitsuse haldusala</t>
  </si>
  <si>
    <t>Sotsiaaltoetused</t>
  </si>
  <si>
    <t>Tootegrupp: rannad ja puhkealad</t>
  </si>
  <si>
    <t>Linna üldkulud</t>
  </si>
  <si>
    <t>Linna rahahaldusega seotud finantskulud (a)</t>
  </si>
  <si>
    <t>linnavalitsuse reservfond</t>
  </si>
  <si>
    <t>kohtuvaidluste ja muude õiguslike vaidlustega seotud nõuete reserv</t>
  </si>
  <si>
    <t>linna vara ja kohustustega seonduvate toimingute reserv</t>
  </si>
  <si>
    <t>oma- ja kaasfinantseerimise reserv</t>
  </si>
  <si>
    <r>
      <t xml:space="preserve">Muud sotsiaaltoetused, </t>
    </r>
    <r>
      <rPr>
        <i/>
        <u/>
        <sz val="10"/>
        <rFont val="Arial"/>
        <family val="2"/>
        <charset val="186"/>
      </rPr>
      <t>sh</t>
    </r>
  </si>
  <si>
    <r>
      <t>sh</t>
    </r>
    <r>
      <rPr>
        <sz val="8"/>
        <rFont val="Arial"/>
        <family val="2"/>
        <charset val="186"/>
      </rPr>
      <t xml:space="preserve"> projektid ja programmid</t>
    </r>
  </si>
  <si>
    <r>
      <t xml:space="preserve">sh </t>
    </r>
    <r>
      <rPr>
        <sz val="8"/>
        <rFont val="Arial"/>
        <family val="2"/>
        <charset val="186"/>
      </rPr>
      <t>eluruumide haldamine</t>
    </r>
  </si>
  <si>
    <r>
      <t>Väikeettevõtluse toetamine,</t>
    </r>
    <r>
      <rPr>
        <sz val="10"/>
        <rFont val="Arial"/>
        <family val="2"/>
        <charset val="186"/>
      </rPr>
      <t xml:space="preserve"> </t>
    </r>
    <r>
      <rPr>
        <i/>
        <sz val="10"/>
        <rFont val="Arial"/>
        <family val="2"/>
        <charset val="186"/>
      </rPr>
      <t>sh</t>
    </r>
  </si>
  <si>
    <r>
      <t xml:space="preserve">sh </t>
    </r>
    <r>
      <rPr>
        <sz val="8"/>
        <rFont val="Arial"/>
        <family val="2"/>
        <charset val="186"/>
      </rPr>
      <t>Viru autobussiterminal</t>
    </r>
  </si>
  <si>
    <r>
      <t xml:space="preserve">sh </t>
    </r>
    <r>
      <rPr>
        <sz val="8"/>
        <rFont val="Arial"/>
        <family val="2"/>
        <charset val="186"/>
      </rPr>
      <t>liinivedu laevaga</t>
    </r>
  </si>
  <si>
    <t>INVESTEERIMISTEGEVUSE EELARVE</t>
  </si>
  <si>
    <t>Katte-allikas*</t>
  </si>
  <si>
    <t>LE</t>
  </si>
  <si>
    <t>Lastele perelähedase elukeskkonna loomine (lastekodu lastele peremajade ja varjupaiga ehitamine)</t>
  </si>
  <si>
    <t>RE</t>
  </si>
  <si>
    <t>Korraldatud jäätmevedu</t>
  </si>
  <si>
    <t>noortekeskuse muud tasulised teenused</t>
  </si>
  <si>
    <t>jäätmeveo teenustasu</t>
  </si>
  <si>
    <t>laste toitlustamine päevakeskustes</t>
  </si>
  <si>
    <t xml:space="preserve">Laekumised haldustegevusest </t>
  </si>
  <si>
    <t xml:space="preserve"> Tulude laekumine</t>
  </si>
  <si>
    <t xml:space="preserve">  Maksud</t>
  </si>
  <si>
    <t xml:space="preserve">   sh tulumaks</t>
  </si>
  <si>
    <t xml:space="preserve">        maamaks</t>
  </si>
  <si>
    <t xml:space="preserve">        kohalikud maksud</t>
  </si>
  <si>
    <t xml:space="preserve"> Muud tulud</t>
  </si>
  <si>
    <t xml:space="preserve"> Toetused</t>
  </si>
  <si>
    <t xml:space="preserve">  sh riigilt</t>
  </si>
  <si>
    <t xml:space="preserve">       välisrahastus</t>
  </si>
  <si>
    <t>Väljamaksed haldustegevuseks</t>
  </si>
  <si>
    <t xml:space="preserve">       finantskulud</t>
  </si>
  <si>
    <t xml:space="preserve">Haldustegevus kokku </t>
  </si>
  <si>
    <t xml:space="preserve">Laekumised investeerimistegevusest </t>
  </si>
  <si>
    <t xml:space="preserve">   sh põhivara müük</t>
  </si>
  <si>
    <t xml:space="preserve">       aktsiakapitali vähendamine</t>
  </si>
  <si>
    <t xml:space="preserve">       saadud dividendid</t>
  </si>
  <si>
    <t xml:space="preserve">       finantstulu</t>
  </si>
  <si>
    <t>Väljamaksed investeerimistegevuseks</t>
  </si>
  <si>
    <t xml:space="preserve">   sh põhivara soetamine</t>
  </si>
  <si>
    <t xml:space="preserve">Investeerimistegevus kokku </t>
  </si>
  <si>
    <t>Laekumised finantseerimistegevusest</t>
  </si>
  <si>
    <t xml:space="preserve">  sh eelarvelaenu võtmine/võlakirjade emiteerimine</t>
  </si>
  <si>
    <t>Väljamaksed finantseerimistegevuseks</t>
  </si>
  <si>
    <t xml:space="preserve">Finantseerimistegevus kokku </t>
  </si>
  <si>
    <t>Laekumised kokku</t>
  </si>
  <si>
    <t>Väljamaksed kokku</t>
  </si>
  <si>
    <t>Laekumiste ja väljamaksete saldo</t>
  </si>
  <si>
    <t>FINANTSEERIMISTEGEVUSE EELARVE</t>
  </si>
  <si>
    <t>Laenukohustuse suurenemine</t>
  </si>
  <si>
    <t>Laenukohustuse vähenemine</t>
  </si>
  <si>
    <t>Linnakantselei</t>
  </si>
  <si>
    <t>Teenuste kontsessioonilepingu raames renoveeritavad koolid</t>
  </si>
  <si>
    <t>Linnavolikogu Kantselei</t>
  </si>
  <si>
    <t>liuvälja piletitulu</t>
  </si>
  <si>
    <t>Ombudsmani büroo</t>
  </si>
  <si>
    <t xml:space="preserve">Linnavolikogu </t>
  </si>
  <si>
    <t>Visioonikonverents</t>
  </si>
  <si>
    <t>Tootegrupp: IT teenused</t>
  </si>
  <si>
    <t>Tootegrupp: avalikud suhted</t>
  </si>
  <si>
    <t>Tootegrupp: arendustegevus</t>
  </si>
  <si>
    <t>MTÜ Raavis</t>
  </si>
  <si>
    <t>MTÜ Tallinna Naiste Kriisikodu</t>
  </si>
  <si>
    <t>Ravikindlustusega hõlmamata isikute ravikulud (a)</t>
  </si>
  <si>
    <t>Tallinna Turud</t>
  </si>
  <si>
    <t>Tootegrupp: finantsjuhtimine (ü)</t>
  </si>
  <si>
    <t>Linnavalitsus</t>
  </si>
  <si>
    <t>Juriidilised teenused</t>
  </si>
  <si>
    <t>Liikmemaksud (a)</t>
  </si>
  <si>
    <t>Välisprojektide administreerimine</t>
  </si>
  <si>
    <t>Rahuliku kooselamise programm</t>
  </si>
  <si>
    <t>Kesklinna videovalve</t>
  </si>
  <si>
    <t>Turvalisuse projektid</t>
  </si>
  <si>
    <t>Endiste linnapeade toetus (a)</t>
  </si>
  <si>
    <r>
      <t>sh</t>
    </r>
    <r>
      <rPr>
        <sz val="8"/>
        <rFont val="Arial"/>
        <family val="2"/>
        <charset val="186"/>
      </rPr>
      <t xml:space="preserve"> perearstikeskuste arendamine</t>
    </r>
  </si>
  <si>
    <t>Mittetulundustegevuse toetamine</t>
  </si>
  <si>
    <t>reservid, sh</t>
  </si>
  <si>
    <t>Riigi ja muude institutsioonide toetuste arvelt tehtavad kulud (a; ü)</t>
  </si>
  <si>
    <t>toetus korteriühistutele energiamärgise taotlemiseks (a)</t>
  </si>
  <si>
    <t>Linnaplaneerimine</t>
  </si>
  <si>
    <t>heakorrakuu</t>
  </si>
  <si>
    <t>grafiti eemaldamine</t>
  </si>
  <si>
    <t>Toetus SA-le Keskkonnakogu</t>
  </si>
  <si>
    <t>Välisrahastusega projekt "Rail Baltica kasvukoridor" (ü)</t>
  </si>
  <si>
    <t>Tallinna Õpetajate Maja</t>
  </si>
  <si>
    <r>
      <t xml:space="preserve">sh </t>
    </r>
    <r>
      <rPr>
        <sz val="8"/>
        <rFont val="Arial"/>
        <family val="2"/>
        <charset val="186"/>
      </rPr>
      <t>Jaan Poska stipendium</t>
    </r>
  </si>
  <si>
    <t>Tallinna linna Peterburi stipendium</t>
  </si>
  <si>
    <t>Koolitusteenus</t>
  </si>
  <si>
    <t>Tootegrupp: muinsuskaitse</t>
  </si>
  <si>
    <t>Muinsuskaitse</t>
  </si>
  <si>
    <t>E-matemaatika: matemaatika kompetentsuse parandamine uute õppemeetodite ja IKT abil</t>
  </si>
  <si>
    <t>Miljööalade kaitse</t>
  </si>
  <si>
    <t>Eelarvepositsioonid</t>
  </si>
  <si>
    <t>Kultuuriväärtuslike objektide täiendav tähistamine ja tutvustavate tekstide lisamine</t>
  </si>
  <si>
    <t>Hingedepäeva kontsert</t>
  </si>
  <si>
    <t>Jõulukontsert</t>
  </si>
  <si>
    <t>Birgitta festival</t>
  </si>
  <si>
    <t>Talveöö unenägu</t>
  </si>
  <si>
    <t>Toetus SA-le Tallinna Vene Muuseum</t>
  </si>
  <si>
    <t>Terviseliikumise programmüritused</t>
  </si>
  <si>
    <t>Tallinna meistrivõistlused</t>
  </si>
  <si>
    <t>Rahvusvahelised spordiüritused</t>
  </si>
  <si>
    <t>Muud spordiprojektid</t>
  </si>
  <si>
    <t>Noorsportlaste terviseuuringud</t>
  </si>
  <si>
    <t>Transporditeenused (a)</t>
  </si>
  <si>
    <t>Viipekeeleteenus</t>
  </si>
  <si>
    <t>Isikliku abistaja teenused</t>
  </si>
  <si>
    <t>Töö- ja rakenduskeskuse teenused</t>
  </si>
  <si>
    <t>Nõustamisteenused</t>
  </si>
  <si>
    <t>Eaka inimese perekonda toetavad teenused</t>
  </si>
  <si>
    <t>Psühholoogiline nõustamine</t>
  </si>
  <si>
    <t>Sotsiaalse rehabilitatsiooni teenused</t>
  </si>
  <si>
    <t>Perekonda toetavad teenused</t>
  </si>
  <si>
    <t>Hooldamine perekonnas</t>
  </si>
  <si>
    <t>Varjupaiga- ja rehabilitatsiooniteenus</t>
  </si>
  <si>
    <t>Sotsiaalselt tundlike sihtgruppide rehabilitatsiooniteenused</t>
  </si>
  <si>
    <t>Kodutute öömaja- ja varjupaigateenused</t>
  </si>
  <si>
    <t>Supiköögiteenused</t>
  </si>
  <si>
    <t>Õigusalane nõustamine</t>
  </si>
  <si>
    <t>Toimetulekut soodustavad teenused</t>
  </si>
  <si>
    <t>Tšernobõli sotsiaalprogramm</t>
  </si>
  <si>
    <t>Kriisiabi</t>
  </si>
  <si>
    <t>Puuetega inimeste hooldajatoetus (a)</t>
  </si>
  <si>
    <t>Sotsiaalvalve teenus</t>
  </si>
  <si>
    <t>Esmakordselt kooli mineva lapse toetus</t>
  </si>
  <si>
    <t>Toimetulekutoetust saavate perede laste kooliminekutoetus</t>
  </si>
  <si>
    <t>Sotsiaaltöötajate koolitus</t>
  </si>
  <si>
    <t>MTÜ Pimedate Töökeskus Hariner</t>
  </si>
  <si>
    <t>MTÜ Looja</t>
  </si>
  <si>
    <t>MTÜ-le Pro Civitas tööharjutuskeskuste tegevuse toetuseks</t>
  </si>
  <si>
    <t>Laste visiiditasust vabastamine</t>
  </si>
  <si>
    <t>Kainestusmaja haldamine</t>
  </si>
  <si>
    <t>ohtlike ja linnapilti risustavate hoonete lammutamine</t>
  </si>
  <si>
    <t>korteriühistute infopunkt</t>
  </si>
  <si>
    <t>korteriühistute toetus (a)</t>
  </si>
  <si>
    <t>Linnahalli hoolduskulud</t>
  </si>
  <si>
    <t>Ettevõtluskeskkonna turundus</t>
  </si>
  <si>
    <t>Tööhõive tagamine</t>
  </si>
  <si>
    <t>Tootegrupp: tarbija- ja hinnapoliitika</t>
  </si>
  <si>
    <t>Tarbijakaitse</t>
  </si>
  <si>
    <t>uute töökohtade loomise toetus</t>
  </si>
  <si>
    <t>klastrite arendamise toetus</t>
  </si>
  <si>
    <t>Sihtotstarbeline toetus sotsiaalsete töökohtade loomiseks</t>
  </si>
  <si>
    <t>Toetus Ettevõtluse Toetamise ja Krediidi Haldamise SA-le</t>
  </si>
  <si>
    <t>Toetus SA-le Tallinna Lauluväljak</t>
  </si>
  <si>
    <t>Toetus SA-le Tallinna Televisioon</t>
  </si>
  <si>
    <t>Toetus MTÜ-le Eesti Konverentsibüroo</t>
  </si>
  <si>
    <t>Välisrahastusega projekt "INNOREG - Uudsete äristruktuuride arendamine konkurentsivõime tagamiseks" (ü)</t>
  </si>
  <si>
    <t>Ühistranspordi uuringud ja projektid</t>
  </si>
  <si>
    <t>liikluskorralduse uuringud</t>
  </si>
  <si>
    <t>muud uuringud ja projektid</t>
  </si>
  <si>
    <t>Teeregister</t>
  </si>
  <si>
    <t>Tootegrupp: tänavavalgustus</t>
  </si>
  <si>
    <t>Vesi ja kanalisatsioon</t>
  </si>
  <si>
    <r>
      <t xml:space="preserve">sh </t>
    </r>
    <r>
      <rPr>
        <sz val="8"/>
        <rFont val="Arial"/>
        <family val="2"/>
        <charset val="186"/>
      </rPr>
      <t>sademevee puhastus (a)</t>
    </r>
  </si>
  <si>
    <t>tulekustutusvee tasud ja tuletõrjehüdrantide hoolduskulud</t>
  </si>
  <si>
    <t>Tallinna ühisveevärgi ja -kanalisatsiooni arendamise kava</t>
  </si>
  <si>
    <t>Eraldised Põhja-Eesti Päästekeskusele omavalitsuslike ülesannete täitmiseks</t>
  </si>
  <si>
    <r>
      <t xml:space="preserve">sh </t>
    </r>
    <r>
      <rPr>
        <sz val="8"/>
        <rFont val="Arial"/>
        <family val="2"/>
        <charset val="186"/>
      </rPr>
      <t>ajutised välikäimlad</t>
    </r>
  </si>
  <si>
    <t>jalgrattaparklad</t>
  </si>
  <si>
    <t>Harju tänava teisaldatav jääväljak</t>
  </si>
  <si>
    <t>Lillefestivali korraldamine</t>
  </si>
  <si>
    <t>Toetus korteriühistutele õuealade heakorrastamiseks (ü)</t>
  </si>
  <si>
    <t>Toetus korteriühistutele fassaadide korrastamiseks (ü)</t>
  </si>
  <si>
    <t>Tootegrupp: kalmistud</t>
  </si>
  <si>
    <t>Tootegrupp: loomakaitse</t>
  </si>
  <si>
    <t>Tootegrupp: jäätmemajandus</t>
  </si>
  <si>
    <t xml:space="preserve">Tallinna Botaanikaaed  </t>
  </si>
  <si>
    <r>
      <t>sh</t>
    </r>
    <r>
      <rPr>
        <sz val="8"/>
        <rFont val="Arial"/>
        <family val="2"/>
        <charset val="186"/>
      </rPr>
      <t xml:space="preserve"> koerte jalutusväljakute ja ujutamiskohtade hooldus</t>
    </r>
  </si>
  <si>
    <t>lastemänguväljakute hooldus</t>
  </si>
  <si>
    <t>Aegna saare Loodusmaja haldamine</t>
  </si>
  <si>
    <t>Keskkonnaprogrammid (ü)</t>
  </si>
  <si>
    <t>Välisrahastusega projekt "Reostunud maa-alade riskihinnangud (BECOSI)" (ü)</t>
  </si>
  <si>
    <t>Õppekava toetav loodusõpe Tallinna Botaanikaaias</t>
  </si>
  <si>
    <r>
      <t xml:space="preserve">sellest </t>
    </r>
    <r>
      <rPr>
        <sz val="8"/>
        <rFont val="Arial"/>
        <family val="2"/>
        <charset val="186"/>
      </rPr>
      <t>Vanalinna päevad</t>
    </r>
  </si>
  <si>
    <t>16. Tallinna Kesklinna Valitsuse haldusala</t>
  </si>
  <si>
    <t>16.1. Tallinna Kesklinna Valitsus</t>
  </si>
  <si>
    <t>16.2. Kesklinna Sotsiaalkeskus</t>
  </si>
  <si>
    <t>dementsete vanurite päevahoiu teenus</t>
  </si>
  <si>
    <t>17. Kristiine Linnaosa Valitsuse haldusala</t>
  </si>
  <si>
    <t>17.1. Kristiine Linnaosa Valitsus</t>
  </si>
  <si>
    <t>muu reklaamitulu</t>
  </si>
  <si>
    <t>18. Lasnamäe Linnaosa Valitsuse haldusala</t>
  </si>
  <si>
    <t>18.1. Lasnamäe Linnaosa Valitsus</t>
  </si>
  <si>
    <t>18.2. Lasnamäe Spordikompleks</t>
  </si>
  <si>
    <t>18.3. Kultuurikeskus Lindakivi</t>
  </si>
  <si>
    <t>muud rahva- ja kultuurimaja tasulised teenused</t>
  </si>
  <si>
    <t>18.4. Lasnamäe Sotsiaalkeskus</t>
  </si>
  <si>
    <t>19. Mustamäe Linnaosa Valitsuse haldusala</t>
  </si>
  <si>
    <t>19.1. Mustamäe Linnaosa Valitsus</t>
  </si>
  <si>
    <t>19.2. Kultuurikeskus Kaja</t>
  </si>
  <si>
    <t>19.3. Mustamäe Sotsiaalkeskus</t>
  </si>
  <si>
    <t>hoolekandeasutuse ruumide kasutamine üritusteks</t>
  </si>
  <si>
    <t>20. Nõmme Linnaosa Valitsuse haldusala</t>
  </si>
  <si>
    <t>20.1. Nõmme Linnaosa Valitsus</t>
  </si>
  <si>
    <t>muuseumi piletitulu</t>
  </si>
  <si>
    <t>muuseumi muu teenus</t>
  </si>
  <si>
    <t>20.2. Nõmme Kultuurikeskus</t>
  </si>
  <si>
    <t>koduteenuste tasu</t>
  </si>
  <si>
    <t>21. Pirita Linnaosa Valitsuse haldusala</t>
  </si>
  <si>
    <t>21.1. Pirita Linnaosa Valitsus</t>
  </si>
  <si>
    <t>21.2. Pirita Vaba Aja Keskus</t>
  </si>
  <si>
    <t>muud päevakeskuse teenused</t>
  </si>
  <si>
    <t>22. Põhja-Tallinna Valitsuse haldusala</t>
  </si>
  <si>
    <t>22.1. Põhja-Tallinna Valitsus</t>
  </si>
  <si>
    <t>22.2. Põhja-Tallinna Sotsiaalkeskus</t>
  </si>
  <si>
    <t>22.3. Paljassaare Sotsiaalmaja</t>
  </si>
  <si>
    <t>22.4. Salme Kultuurikeskus</t>
  </si>
  <si>
    <t>KOKKU OMATULUD</t>
  </si>
  <si>
    <t>Tulud majandustegevusest</t>
  </si>
  <si>
    <t>Võlalt arvestatud intressitulu</t>
  </si>
  <si>
    <t>KOKKU</t>
  </si>
  <si>
    <t>€</t>
  </si>
  <si>
    <t>KOONDEELARVE</t>
  </si>
  <si>
    <t>TULEMI PROGNOOS</t>
  </si>
  <si>
    <t>TULUD  KOKKU</t>
  </si>
  <si>
    <t>Riiklikud maksud</t>
  </si>
  <si>
    <t>Kohalikud maksud</t>
  </si>
  <si>
    <t>Lõivud</t>
  </si>
  <si>
    <t>Kaupade ja teenuste müük</t>
  </si>
  <si>
    <t>Muud tulud</t>
  </si>
  <si>
    <t>Finantstulu</t>
  </si>
  <si>
    <t>Vara müük</t>
  </si>
  <si>
    <t>Müüdava vara jääkmaksumus</t>
  </si>
  <si>
    <t>Vara müügi kulud</t>
  </si>
  <si>
    <t>Muud tulud varalt</t>
  </si>
  <si>
    <t>Dividendid</t>
  </si>
  <si>
    <t>Toetused riigilt ja muudelt institutsioonidelt</t>
  </si>
  <si>
    <t>Välisrahastus</t>
  </si>
  <si>
    <t>Toetus välisprojekti kaasfinantseerimiseks</t>
  </si>
  <si>
    <t>KULUD  KOKKU</t>
  </si>
  <si>
    <t>Põhitegevuse kulud, sh</t>
  </si>
  <si>
    <t>tegevuskulud riigi ja muude institutsioonide toetuste arvelt</t>
  </si>
  <si>
    <t>tegevuskulud välisrahastuse arvelt</t>
  </si>
  <si>
    <t>tegevuskulud toetuste arvelt välisprojektide kaasfinantseerimiseks</t>
  </si>
  <si>
    <t>muud tegevuskulud</t>
  </si>
  <si>
    <t>Investeeringuprojektide kulud</t>
  </si>
  <si>
    <t>EELARVE TEGEVUSTULEM</t>
  </si>
  <si>
    <t>Amortisatsioon</t>
  </si>
  <si>
    <t>EELARVE AASTA TULEM KOKKU</t>
  </si>
  <si>
    <t>MUUTUSED BILANSIS</t>
  </si>
  <si>
    <t>MUUTUS MITTEFINANTSVARADES</t>
  </si>
  <si>
    <t>Põhivara soetus ja renoveerimine</t>
  </si>
  <si>
    <t>Müüdava vara jääkväärtus</t>
  </si>
  <si>
    <t>MUUTUS MITTEFINANTSVARADES KOKKU</t>
  </si>
  <si>
    <t>MUUTUS FINANTSVARADES (V.A RAHAS)</t>
  </si>
  <si>
    <t>MUUTUS RAHAS</t>
  </si>
  <si>
    <t>Hoiuste muutus</t>
  </si>
  <si>
    <t>Hoiuste vähenemine</t>
  </si>
  <si>
    <t>MUUTUS FINANTSVARADES KOKKU</t>
  </si>
  <si>
    <t>MUUTUS NÕUETES KOKKU</t>
  </si>
  <si>
    <t>MUUTUS LAENUKOHUSTUSTES KOKKU</t>
  </si>
  <si>
    <t>Laenude võtmine</t>
  </si>
  <si>
    <t>Laenude tagasimaksed</t>
  </si>
  <si>
    <t xml:space="preserve">Kapitaliliisingu maksed </t>
  </si>
  <si>
    <t>MUUTUS MUUDES KOHUSTUSTES KOKKU</t>
  </si>
  <si>
    <t>MUUTUS NETOVARAS</t>
  </si>
  <si>
    <t>SISSETULEKUD</t>
  </si>
  <si>
    <t>VÄLJAMINEKUD</t>
  </si>
  <si>
    <t>TULUDE EELARVE</t>
  </si>
  <si>
    <t>Tululiik</t>
  </si>
  <si>
    <t>Linnakassa</t>
  </si>
  <si>
    <t>Omatulud</t>
  </si>
  <si>
    <t>Eelarve kokku</t>
  </si>
  <si>
    <t>Maksutulud kokku</t>
  </si>
  <si>
    <t>Üksikisiku tulumaks</t>
  </si>
  <si>
    <t>Maamaks</t>
  </si>
  <si>
    <t>Reklaamimaks</t>
  </si>
  <si>
    <t>Tänavate sulgemise maks</t>
  </si>
  <si>
    <t>Parkimistasu</t>
  </si>
  <si>
    <t>Saastetasu</t>
  </si>
  <si>
    <t>Trahvid</t>
  </si>
  <si>
    <t>Tulu finantsvara investeerimisest</t>
  </si>
  <si>
    <t>Kasum vara müügist</t>
  </si>
  <si>
    <t>Loodusvarade kasutustasu</t>
  </si>
  <si>
    <t>Tulud kokku (v.a toetused)</t>
  </si>
  <si>
    <t>Toetused</t>
  </si>
  <si>
    <t>sh riigilt jm institutsioonidelt</t>
  </si>
  <si>
    <t>välisrahastus</t>
  </si>
  <si>
    <t>välisprojektide kaasfinantseerimine</t>
  </si>
  <si>
    <t>LINNAKASSA TULUD</t>
  </si>
  <si>
    <t>Ettevõtlusamet</t>
  </si>
  <si>
    <t>Transpordiamet</t>
  </si>
  <si>
    <t>Riigilõiv</t>
  </si>
  <si>
    <t>Linnaarhiiv</t>
  </si>
  <si>
    <t>Linnaplaneerimise Amet</t>
  </si>
  <si>
    <t>Tallinna Kesklinna Valitsus</t>
  </si>
  <si>
    <t>Kristiine Linnaosa Valitsus</t>
  </si>
  <si>
    <t>Mustamäe Linnaosa Valitsus</t>
  </si>
  <si>
    <t>Pirita Linnaosa Valitsus</t>
  </si>
  <si>
    <t>Põhja-Tallinna Valitsus</t>
  </si>
  <si>
    <t>Hoonestusõiguse tasu</t>
  </si>
  <si>
    <t>Linnavaraamet</t>
  </si>
  <si>
    <t>Kasutusõiguse tasu</t>
  </si>
  <si>
    <t>Keskkonnaamet</t>
  </si>
  <si>
    <t>Munitsipaalpolitsei Amet</t>
  </si>
  <si>
    <t>Sotsiaal- ja Tervishoiuameti haldusala</t>
  </si>
  <si>
    <t>Lasnamäe Linnaosa Valitsus</t>
  </si>
  <si>
    <t>Tulu vara müügist</t>
  </si>
  <si>
    <t>Kultuuriväärtuste Ameti haldusala</t>
  </si>
  <si>
    <t>Võlalt arvestatud tulu</t>
  </si>
  <si>
    <t>Haabersti Linnaosa Valitsus</t>
  </si>
  <si>
    <t xml:space="preserve">KULUDE EELARVE </t>
  </si>
  <si>
    <t xml:space="preserve">Linnakantselei </t>
  </si>
  <si>
    <t>Kulud kokku</t>
  </si>
  <si>
    <t xml:space="preserve">Katteallikad </t>
  </si>
  <si>
    <t>sh omatulud</t>
  </si>
  <si>
    <t>linnakassa</t>
  </si>
  <si>
    <t>Tootegrupp: personalijuhtimine</t>
  </si>
  <si>
    <t>Tootegrupp: haldusteenused</t>
  </si>
  <si>
    <t>Muud eelarvepositsioonid</t>
  </si>
  <si>
    <t>Linnakantselei isikkoosseis</t>
  </si>
  <si>
    <t>sellest töötasu</t>
  </si>
  <si>
    <t xml:space="preserve">Juhtimistugi </t>
  </si>
  <si>
    <t>Asutuse esindus- ja vastuvõtukulud</t>
  </si>
  <si>
    <t>Muu juhtimistugi</t>
  </si>
  <si>
    <t>Ühekordsed kohtuvaidlused</t>
  </si>
  <si>
    <t>Koostöö arendamine partnerlinnade ja rahvusvaheliste organisatsioonidega</t>
  </si>
  <si>
    <t>Tootegrupp: arhiiviteenused</t>
  </si>
  <si>
    <t>Perekonnaseisuamet</t>
  </si>
  <si>
    <t>Tootegrupp: perekonnaseisuteenused</t>
  </si>
  <si>
    <t>Haridusameti haldusala</t>
  </si>
  <si>
    <t>toetus välisprojektide kaasfinantseerimiseks</t>
  </si>
  <si>
    <t>Tootevaldkond: haridus</t>
  </si>
  <si>
    <t>Tootegrupp: alusharidus</t>
  </si>
  <si>
    <t>Toode:</t>
  </si>
  <si>
    <t>Lastehoid ja alusharidus</t>
  </si>
  <si>
    <t>Tootegrupp: põhi- ja üldkeskharidus</t>
  </si>
  <si>
    <t>Põhi- ja üldkeskharidus</t>
  </si>
  <si>
    <t>Tootegrupp: kutseharidus</t>
  </si>
  <si>
    <t>Kutseharidus</t>
  </si>
  <si>
    <t>Tootegrupp: huviharidus</t>
  </si>
  <si>
    <t>Huviharidus</t>
  </si>
  <si>
    <t>Tootegrupp: hariduse tugiteenused</t>
  </si>
  <si>
    <t>Lasnamäe Lastekeskus</t>
  </si>
  <si>
    <t>Haridusalased tugiteenused</t>
  </si>
  <si>
    <t>IKT keskkond</t>
  </si>
  <si>
    <t xml:space="preserve">Haridusamet </t>
  </si>
  <si>
    <t>välisrahastuse arvelt</t>
  </si>
  <si>
    <t>toetuse arvelt välisprojektide kaasfinantseerimiseks</t>
  </si>
  <si>
    <t>ps amortisatsioon</t>
  </si>
  <si>
    <t>Tootevaldkond: kultuur</t>
  </si>
  <si>
    <t>Tootegrupp: kultuur</t>
  </si>
  <si>
    <t>Raamatukogud</t>
  </si>
  <si>
    <t>Kultuuritegevus</t>
  </si>
  <si>
    <t>Muuseumid</t>
  </si>
  <si>
    <t>Loomaaed</t>
  </si>
  <si>
    <t>Teater</t>
  </si>
  <si>
    <t>Kontsertteenus</t>
  </si>
  <si>
    <t>Kultuuriväärtuste Amet</t>
  </si>
  <si>
    <t>Olulisemad üritused:</t>
  </si>
  <si>
    <t>Tallinna päev</t>
  </si>
  <si>
    <t>Taasiseseisvumise aastapäev</t>
  </si>
  <si>
    <t>Spordi- ja Noorsooameti haldusala</t>
  </si>
  <si>
    <t>Tootegrupp: sportimisvõimaluste tagamine</t>
  </si>
  <si>
    <t>Spordihallid ja -väljakud</t>
  </si>
  <si>
    <t>Spordihooned ja -rajatised</t>
  </si>
  <si>
    <t>Ujulad</t>
  </si>
  <si>
    <t>Staadionid</t>
  </si>
  <si>
    <t>Tootegrupp: sporditegevuse toetamine</t>
  </si>
  <si>
    <t>4-19-aastaste harrastajate sporditegevus</t>
  </si>
  <si>
    <t>Tootevaldkond: noorsootöö</t>
  </si>
  <si>
    <t>Noortekeskus</t>
  </si>
  <si>
    <t>Spordi- ja Noorsooamet</t>
  </si>
  <si>
    <t>Eraspordibaaside toetus</t>
  </si>
  <si>
    <t>Spordiprojektide toetus</t>
  </si>
  <si>
    <t>Tallinna Spordiveteranide Koondis</t>
  </si>
  <si>
    <t>Noorsootööprogrammid ja -projektid</t>
  </si>
  <si>
    <t>Tootevaldkond: sotsiaalhoolekanne</t>
  </si>
  <si>
    <t>Tootegrupp: puuetega isikute hoolekanne</t>
  </si>
  <si>
    <t>Päevategevus ja -hoid</t>
  </si>
  <si>
    <t>Puudega inimese perekonda toetavad teenused</t>
  </si>
  <si>
    <t>Teenused psüühiliste erivajadustega inimestele</t>
  </si>
  <si>
    <t>Tootegrupp: eakate hoolekanne</t>
  </si>
  <si>
    <t>Üldhooldekoduteenused</t>
  </si>
  <si>
    <t>Tootegrupp: laste hoolekanne</t>
  </si>
  <si>
    <t>Perekeskuse teenused</t>
  </si>
  <si>
    <t>Laste ja perede varjupaigateenused</t>
  </si>
  <si>
    <t xml:space="preserve">Hooldamine lastekodus </t>
  </si>
  <si>
    <t xml:space="preserve"> Imiku hoolduspakid (a)</t>
  </si>
  <si>
    <t>Tootegrupp: muude kriisirühmade hoolekanne</t>
  </si>
  <si>
    <t>Vältimatu sotsiaalabi</t>
  </si>
  <si>
    <t>Sotsiaalhoolekanne</t>
  </si>
  <si>
    <t>Sotsiaal- ja Tervishoiuamet</t>
  </si>
  <si>
    <t>Muud hoolekandeteenused</t>
  </si>
  <si>
    <t>Toetused lastele ja peredele (a)</t>
  </si>
  <si>
    <t>Toetus paljulapselistele peredele Eesti Vabariigi aastapäevaks</t>
  </si>
  <si>
    <t>Ühekordsed lastetoetused</t>
  </si>
  <si>
    <t>Lapsehoiuteenuse hüvitis</t>
  </si>
  <si>
    <t>Puudega lapse toetus</t>
  </si>
  <si>
    <t>Toetused eakatele</t>
  </si>
  <si>
    <t>teenustasu Eesti Postile</t>
  </si>
  <si>
    <t>Hoolekande uurimis- ja arendustegevus</t>
  </si>
  <si>
    <t>muu mittetulundustegevuse toetamine</t>
  </si>
  <si>
    <t>Esmatasandi arstiabi edendamine</t>
  </si>
  <si>
    <t>Tallinna Kiirabi</t>
  </si>
  <si>
    <t>Mitmesugused tervishoiukulud</t>
  </si>
  <si>
    <t xml:space="preserve">õendusabi korraldamine </t>
  </si>
  <si>
    <t>Noorte nõustamiskeskuste haldamine</t>
  </si>
  <si>
    <t>Tootevaldkond: linnamajandus</t>
  </si>
  <si>
    <t>Tootegrupp: elamumajandus</t>
  </si>
  <si>
    <t>Elamute majandamine</t>
  </si>
  <si>
    <t>Sotsiaalmajutusüksus</t>
  </si>
  <si>
    <t>Elamumajanduse muud kulud</t>
  </si>
  <si>
    <t>Loopealse elurajooni üürimaksed</t>
  </si>
  <si>
    <t>Raadiku elurajooni üürimaksed</t>
  </si>
  <si>
    <t>Tootevaldkond: ettevõtluskeskkond</t>
  </si>
  <si>
    <t>Tootegrupp: ettevõtluse arendamine</t>
  </si>
  <si>
    <t>Väikeettevõtlus</t>
  </si>
  <si>
    <t>Tootegrupp: turismi arendamine</t>
  </si>
  <si>
    <t>Konverentsiturism</t>
  </si>
  <si>
    <t>Kultuuriturism</t>
  </si>
  <si>
    <t>Turismiturundus</t>
  </si>
  <si>
    <t>Turismiinfoteenused</t>
  </si>
  <si>
    <t>Turismiinfrastruktuuri ja teenuste kvaliteedi arendus</t>
  </si>
  <si>
    <t>Statistika ja uuringud</t>
  </si>
  <si>
    <t>Ettevõtluse haldus</t>
  </si>
  <si>
    <t>praktikajuhendaja toetus</t>
  </si>
  <si>
    <t>messitoetus</t>
  </si>
  <si>
    <t>Tootevaldkond: linnatransport</t>
  </si>
  <si>
    <t>Tootegrupp: ühistransport</t>
  </si>
  <si>
    <t>Piletimajandus</t>
  </si>
  <si>
    <t>finantskulud (a)</t>
  </si>
  <si>
    <t>Reservid</t>
  </si>
  <si>
    <t>Eelarvepositsioon</t>
  </si>
  <si>
    <t>Liiniveo infosüsteemid</t>
  </si>
  <si>
    <t>Tootegrupp: liikluskorraldus*</t>
  </si>
  <si>
    <t>Tootegrupp: parkimiskorraldus</t>
  </si>
  <si>
    <t>Ühistranspordi infrastruktuur</t>
  </si>
  <si>
    <t>ühistranspordi ootepaviljonide hooldus</t>
  </si>
  <si>
    <t>ühistranspordi peatuste info</t>
  </si>
  <si>
    <t>Muud linnatranspordi kulud</t>
  </si>
  <si>
    <t>sadamate haldus</t>
  </si>
  <si>
    <t>Projekt "Koolibuss"</t>
  </si>
  <si>
    <t>Projekt "Pargi ja reisi"</t>
  </si>
  <si>
    <t>Kommunaalameti haldusala</t>
  </si>
  <si>
    <t>sh linnakassa</t>
  </si>
  <si>
    <t>Tootevaldkond: teed ja tänavad</t>
  </si>
  <si>
    <t>Tootegrupp: teetööd</t>
  </si>
  <si>
    <t>Teerajatiste korrashoid</t>
  </si>
  <si>
    <t>Teerajatiste puhastamine</t>
  </si>
  <si>
    <t xml:space="preserve">Kommunaalamet </t>
  </si>
  <si>
    <t>Vetelpääste avalikes supelrandades</t>
  </si>
  <si>
    <t>Jalakäijate tunnelite hooldus</t>
  </si>
  <si>
    <t>Välisprojektide ettevalmistamine ja projektides osalemine</t>
  </si>
  <si>
    <t>Keskkonnaameti haldusala</t>
  </si>
  <si>
    <t>Tootevaldkond: heakord</t>
  </si>
  <si>
    <t>Tootegrupp: haljastus</t>
  </si>
  <si>
    <t>Tootevaldkond: muud kommunaalkulud</t>
  </si>
  <si>
    <t>Tootegrupp: spetsiifilised matuseteenused</t>
  </si>
  <si>
    <t xml:space="preserve">Keskkonnaamet </t>
  </si>
  <si>
    <t>Pääsküla prügila monitooring</t>
  </si>
  <si>
    <t>Tootegrupp: geomaatika</t>
  </si>
  <si>
    <t>Tootegrupp: planeeringud</t>
  </si>
  <si>
    <t>Tootevaldkond: avalik kord</t>
  </si>
  <si>
    <t>Tootegrupp: Munitsipaalpolitsei Amet</t>
  </si>
  <si>
    <t>Haabersti Linnaosa Valitsuse haldusala</t>
  </si>
  <si>
    <t>Tootegrupp: toimetulekuraskustes isikute hoolekanne</t>
  </si>
  <si>
    <t>Päevakeskuse teenused</t>
  </si>
  <si>
    <t>Linnaosa valitsus</t>
  </si>
  <si>
    <t>Avatud noortekeskus</t>
  </si>
  <si>
    <t>Muud heakorrakulud</t>
  </si>
  <si>
    <t>Tallinna Kesklinna Valitsuse haldusala</t>
  </si>
  <si>
    <t>Investeerimisprojekti/objekti nimetus</t>
  </si>
  <si>
    <t>INVESTEERIMISPROJEKTID KOKKU</t>
  </si>
  <si>
    <t>sh</t>
  </si>
  <si>
    <t>SE</t>
  </si>
  <si>
    <t>VR</t>
  </si>
  <si>
    <t>I  VÄLISRAHASTUSEGA INVESTEERIMISPROJEKTID</t>
  </si>
  <si>
    <t>Välisrahastusega investeerimisprojektid kokku</t>
  </si>
  <si>
    <t>Haridus</t>
  </si>
  <si>
    <t>Kultuur</t>
  </si>
  <si>
    <t>Sport ja vaba aeg</t>
  </si>
  <si>
    <t>Pirita Spordikeskuse multifunktsionaalne arendamine</t>
  </si>
  <si>
    <t>Elamumajandus</t>
  </si>
  <si>
    <t>Teed ja tänavad</t>
  </si>
  <si>
    <t>Välisrahastusega teede kapitaalremont ja rekonstrueerimine</t>
  </si>
  <si>
    <t>II  MUUD INVESTEERIMISPROJEKTID</t>
  </si>
  <si>
    <t>Muud investeerimisprojektid kokku</t>
  </si>
  <si>
    <t>Koolieelsete lasteasutuste remont, soetused ja uued lasteaiad</t>
  </si>
  <si>
    <t>Keskraamatukogu teavikute soetamine</t>
  </si>
  <si>
    <t>Linnamajandus</t>
  </si>
  <si>
    <t>Heakord</t>
  </si>
  <si>
    <t>Välisrahastuseta teede kapitaalremont ja rekonstrueerimine</t>
  </si>
  <si>
    <t>III  ERA- JA AVALIKU SEKTORI KOOSTÖÖPROJEKTID</t>
  </si>
  <si>
    <t>tegevuskulud</t>
  </si>
  <si>
    <t>finantseerimistehingud</t>
  </si>
  <si>
    <t>Era- ja avaliku sektori koostööprojektid kokku</t>
  </si>
  <si>
    <t>INVESTEERIMISTEGEVUS KOKKU</t>
  </si>
  <si>
    <t>Tallinna kinnisvararegister</t>
  </si>
  <si>
    <t>Üksikkorterite majandamine</t>
  </si>
  <si>
    <t>Äriruumide majandamine</t>
  </si>
  <si>
    <t>Kristiine Linnaosa Valitsuse haldusala</t>
  </si>
  <si>
    <t>Koduteenused</t>
  </si>
  <si>
    <t>Piirkondlikud vaba aja üritused ja projektid</t>
  </si>
  <si>
    <t>Lasnamäe Linnaosa Valitsuse haldusala</t>
  </si>
  <si>
    <t>OMATULUD</t>
  </si>
  <si>
    <t>Kokku</t>
  </si>
  <si>
    <t>1. Linnavolikogu Kantselei</t>
  </si>
  <si>
    <t>Üür ja rent</t>
  </si>
  <si>
    <t>äriruumide üüritulu</t>
  </si>
  <si>
    <t>kommunaalteenused</t>
  </si>
  <si>
    <t xml:space="preserve">2. Linnakantselei </t>
  </si>
  <si>
    <t>Muu toodete ja teenuste müük</t>
  </si>
  <si>
    <t>finantsteenused</t>
  </si>
  <si>
    <t>muud eespoolnimetamata tulud majandustegevusest</t>
  </si>
  <si>
    <t>3. Linnaarhiiv</t>
  </si>
  <si>
    <t>Tulud tugiteenustest</t>
  </si>
  <si>
    <t>teenused</t>
  </si>
  <si>
    <t>4. Perekonnaseisuamet</t>
  </si>
  <si>
    <t>5. Haridusameti haldusala</t>
  </si>
  <si>
    <t>5.1. Haridusamet</t>
  </si>
  <si>
    <t xml:space="preserve">Tulud haridusalasest tegevusest </t>
  </si>
  <si>
    <t>teistelt kohalikelt omavalitsustelt koolide ja koolieelsete lasteasutuste tegevuskulude katteks</t>
  </si>
  <si>
    <t>Tulud kultuuri- ja kunstialasest tegevusest</t>
  </si>
  <si>
    <t>teistelt kohalikelt omavalitsustelt huvialakoolide tegevuskulude katteks</t>
  </si>
  <si>
    <t>Tulud spordi- ja puhkealasest tegevusest</t>
  </si>
  <si>
    <t>muu vara üür ja rent</t>
  </si>
  <si>
    <t>muu tulu majandustegevusest</t>
  </si>
  <si>
    <t>5.2. Koolieelsed lasteasutused</t>
  </si>
  <si>
    <t>koolieelse lasteasutuse toitlustustasu</t>
  </si>
  <si>
    <t>koolieelse lasteasutuse kohatasu</t>
  </si>
  <si>
    <t>haridusasutuse ruumide kasutamine üritusteks</t>
  </si>
  <si>
    <t>5.3. Põhikoolid ja gümnaasiumid</t>
  </si>
  <si>
    <t>koolitoidutasu</t>
  </si>
  <si>
    <t>tehniliste vahendite ja inventari laenutamine</t>
  </si>
  <si>
    <t>5.4. Täiskasvanute gümnaasiumid</t>
  </si>
  <si>
    <t>5.5. Erivajadustega õpilaste koolid</t>
  </si>
  <si>
    <t>5.6. Tallinna Kopli Ametikool</t>
  </si>
  <si>
    <t>5.7. Lasnamäe Lastekeskus</t>
  </si>
  <si>
    <t>5.8. Muusika- ja kunstikoolid</t>
  </si>
  <si>
    <t>muud tasulised teenused</t>
  </si>
  <si>
    <t>huvialakooli õppetasu</t>
  </si>
  <si>
    <t>noortelaagri teenused</t>
  </si>
  <si>
    <t>5.9. Huvikoolid</t>
  </si>
  <si>
    <t>huvialaringi osalustasu</t>
  </si>
  <si>
    <t>piletitulu</t>
  </si>
  <si>
    <t>noortekeskuse ruumide kasutamise teenus</t>
  </si>
  <si>
    <t>5.10. Huvikeskus Kullo</t>
  </si>
  <si>
    <t>5.11. Tallinna Õpetajate Maja</t>
  </si>
  <si>
    <t>5.12. Vanalinna Hariduskolleegium</t>
  </si>
  <si>
    <t>õppetasu</t>
  </si>
  <si>
    <t>muusikamaja ruumide kasutamine</t>
  </si>
  <si>
    <t>muusikamaja muud teenused</t>
  </si>
  <si>
    <t>6. Kultuuriväärtuste Ameti haldusala</t>
  </si>
  <si>
    <t>6.1. Kultuuriväärtuste Amet</t>
  </si>
  <si>
    <t>müügitulu</t>
  </si>
  <si>
    <t>6.2. Tallinna Keskraamatukogu</t>
  </si>
  <si>
    <t>kultuuriasutuse ruumide kasutamine üritusteks</t>
  </si>
  <si>
    <t>Eespool nimetamata muud tulud</t>
  </si>
  <si>
    <t>6.3. Tallinna Pelgulinna Rahvamaja</t>
  </si>
  <si>
    <t>ringitasu</t>
  </si>
  <si>
    <t>6.4. Tallinna Toomklubi</t>
  </si>
  <si>
    <t>6.5. Tallinna Linnamuuseum</t>
  </si>
  <si>
    <t>kultuuriasutuse muu teenus</t>
  </si>
  <si>
    <t>6.6. Tallinna Loomaaed</t>
  </si>
  <si>
    <t>Õiguste müük</t>
  </si>
  <si>
    <t>tulu parkimisest</t>
  </si>
  <si>
    <t>reklaamitulu</t>
  </si>
  <si>
    <t>muu müügitulu</t>
  </si>
  <si>
    <t>6.7. Tallinna Linnateater</t>
  </si>
  <si>
    <t>6.8. Tallinna Filharmoonia</t>
  </si>
  <si>
    <t>6.9. Tallinna Rahvaülikool</t>
  </si>
  <si>
    <t>6.10. Vene Kultuurikeskus</t>
  </si>
  <si>
    <t>7.Spordi- ja Noorsooameti haldusala</t>
  </si>
  <si>
    <t>ruumide kasutamine üritusteks</t>
  </si>
  <si>
    <t>Elamu- ja kommunaaltegevuse tulud</t>
  </si>
  <si>
    <t>eluruumide üüritulu</t>
  </si>
  <si>
    <t>huvialaringi piletitulu</t>
  </si>
  <si>
    <t>Akadeemia tee 30 hoone</t>
  </si>
  <si>
    <t>8. Sotsiaal- ja Tervishoiuameti haldusala</t>
  </si>
  <si>
    <t>8.1. Sotsiaal- ja Tervishoiuamet</t>
  </si>
  <si>
    <t>Tulud muudelt majandusaladelt</t>
  </si>
  <si>
    <t>8.2. Päevakeskus Käo</t>
  </si>
  <si>
    <t>Tulud sotsiaalabialasest tegevusest</t>
  </si>
  <si>
    <t>hooldustasu</t>
  </si>
  <si>
    <t>toitlustustasu</t>
  </si>
  <si>
    <t>õppekulude tasu</t>
  </si>
  <si>
    <t>8.3. Tallinna Lastekodu</t>
  </si>
  <si>
    <t>8.4. Vaimse Tervise Keskus</t>
  </si>
  <si>
    <t>koolitusteenus</t>
  </si>
  <si>
    <t>8.5. Iru Hooldekodu</t>
  </si>
  <si>
    <t>8.6. Tallinna Tugikeskus Juks</t>
  </si>
  <si>
    <t>majutusteenus</t>
  </si>
  <si>
    <t>8.7. Tallinna Sotsiaaltöö Keskus</t>
  </si>
  <si>
    <t>pesupesemisteenus</t>
  </si>
  <si>
    <t>8.8. Tallinna Kiirabi</t>
  </si>
  <si>
    <t>Tulud tervishoiualasest tegevusest</t>
  </si>
  <si>
    <t>9. Linnavaraamet</t>
  </si>
  <si>
    <t>sotsiaalmajutusüksuse kohatasu</t>
  </si>
  <si>
    <t>sotsiaalmajutusüksuse saunateenus</t>
  </si>
  <si>
    <t>10.1. Ettevõtlusamet</t>
  </si>
  <si>
    <t>tulu kaubandustegevusest</t>
  </si>
  <si>
    <t>10.2. Tallinna Turud</t>
  </si>
  <si>
    <t>tulu müügipiletite realiseerimisest</t>
  </si>
  <si>
    <t>11. Transpordiamet</t>
  </si>
  <si>
    <t>Tulud transporditeenustest</t>
  </si>
  <si>
    <t>ühistranspordi piletitulu</t>
  </si>
  <si>
    <t>tulu koolibussi teenuse osutamisest teistele valdadele</t>
  </si>
  <si>
    <t>veetranspordi piletitulu</t>
  </si>
  <si>
    <t>12. Kommunaalameti haldusala</t>
  </si>
  <si>
    <t>12.1. Kommunaalamet</t>
  </si>
  <si>
    <t>veoseloa tasu</t>
  </si>
  <si>
    <t>kindlustushüvitised</t>
  </si>
  <si>
    <t>12.2. Kadrioru Park</t>
  </si>
  <si>
    <t>haljastusteenused</t>
  </si>
  <si>
    <t>13. Keskkonnaameti haldusala</t>
  </si>
  <si>
    <t>13.1. Keskkonnaamet</t>
  </si>
  <si>
    <t>Tulu keskkonnaalasest tegevusest</t>
  </si>
  <si>
    <t>tasu jäätmete vastuvõtmise eest jäätmejaamas</t>
  </si>
  <si>
    <t>13.2. Tallinna Kalmistud</t>
  </si>
  <si>
    <t>kalmistuteenused</t>
  </si>
  <si>
    <t>13.3. Tallinna Botaanikaaed</t>
  </si>
  <si>
    <t>ametikooli õppetasu</t>
  </si>
  <si>
    <t>7.7. Nõmme Spordikeskus</t>
  </si>
  <si>
    <t>hoolekande muud teenused</t>
  </si>
  <si>
    <t>20.3. Nõmme Sotsiaalkeskus</t>
  </si>
  <si>
    <t>20.4. Nõmme Sotsiaalmaja</t>
  </si>
  <si>
    <t>CitizMap</t>
  </si>
  <si>
    <t>Omavalitsuste õigusalase võimekuse suurendamine</t>
  </si>
  <si>
    <t>Kvaliteetsem õigusteenus Tallinnas</t>
  </si>
  <si>
    <t>Ööpäevaringne lapsehoiuteenus raske ja sügava puudega lastele Tallinna Lastekodus</t>
  </si>
  <si>
    <t>Rehabiliteeriv kunstfoto</t>
  </si>
  <si>
    <t>Regionaalne panus Euroopa taaskasutuskogukonda - R4R</t>
  </si>
  <si>
    <t>Võrdlusuuringud linnade veekaitses - CITYWATER</t>
  </si>
  <si>
    <t>Läänemere regiooni transpordi ja planeerimise mitmetasandiline juhtimine (BSR TransGovernance)</t>
  </si>
  <si>
    <t>Kõik sihtgrupid liikuma Haaberstis!</t>
  </si>
  <si>
    <t>Kasum sihtotstarbelise vara müügist</t>
  </si>
  <si>
    <t>sh tulu vara müügist</t>
  </si>
  <si>
    <t>müüdava vara jääkmaksumus</t>
  </si>
  <si>
    <t>Aktsiakapitali vähendamine</t>
  </si>
  <si>
    <t>Põhikoolide ja gümnaasiumite remont ja soetused</t>
  </si>
  <si>
    <t>Sotsiaalmajutusüksuste ehitamine (Varre tn 7)</t>
  </si>
  <si>
    <t>Harjumaa kergliiklusteede võrgustik (Muuga tee)</t>
  </si>
  <si>
    <t>Ehte Humanitaargümnaasiumi tervikrenoveerimine</t>
  </si>
  <si>
    <t>Koolide ja gümnaasiumite remonttööd ja tuleohutusnõuete täitmine</t>
  </si>
  <si>
    <t>Kihnu tn uue lasteaiahoone tervikrenoveerimine ja sisustamine</t>
  </si>
  <si>
    <t>Koidula tn 23 lasteaiahoone tervikrenoveerimise projekteerimine</t>
  </si>
  <si>
    <t>Uute lasteaiarühmade avamine (ruumide remont ja sisustamine)</t>
  </si>
  <si>
    <t>Koolieelsete lasteasutuste remonttööd ja tuleohutusnõuete täitmine</t>
  </si>
  <si>
    <t>Lasteaedade mänguväljakute uute elementide soetamine ja paigaldamine</t>
  </si>
  <si>
    <t>Tallinna Loomaaia soojatootmise rekonstrueerimine</t>
  </si>
  <si>
    <t>Tallinna Botaanikaaia audiogiidi rakendamise II etapp</t>
  </si>
  <si>
    <t>Neitsitorni, Tallitorni ja nendega külgneva linnamüüri lõigu rekonstrueerimine ja sisustamine</t>
  </si>
  <si>
    <t>Mustpeade Maja remonttööd</t>
  </si>
  <si>
    <t xml:space="preserve">Tondiraba jäähalli ehitamine Varraku tn 14 </t>
  </si>
  <si>
    <t>Haabersti multifunktsionaalse teisaldatava pneumohalli rajamine</t>
  </si>
  <si>
    <t>Tondiraba golfiväljaku projekteerimine</t>
  </si>
  <si>
    <t>Turgude arendamine (Mustamäe turuhoone)</t>
  </si>
  <si>
    <t>Liiva kalmistul vana karjäär-prügimäe likvideerimine</t>
  </si>
  <si>
    <t>Soo tn (Põhja pst - Tööstuse tn)</t>
  </si>
  <si>
    <t>Telliskivi tn (Kopli tn - Ristiku tn)</t>
  </si>
  <si>
    <t>Harju tn ja Kullassepa tn</t>
  </si>
  <si>
    <t>Foorisüsteemide ehitamine ja rekonstrueerimine</t>
  </si>
  <si>
    <t>Maade ja asjaõiguste omandamine</t>
  </si>
  <si>
    <t>Tallinna planeeringute registri tarkvaraarendus</t>
  </si>
  <si>
    <t>Valdeku tn 13 hoone rekonstrueerimine ja sisustamine (I etapis saun ja spordisaal)</t>
  </si>
  <si>
    <r>
      <t>sh</t>
    </r>
    <r>
      <rPr>
        <sz val="8"/>
        <rFont val="Arial"/>
        <family val="2"/>
        <charset val="186"/>
      </rPr>
      <t xml:space="preserve"> saunateenus vähekindlustatud isikutele</t>
    </r>
  </si>
  <si>
    <t>Sihtasutus Tallinna Tehnika- ja Teaduskeskus</t>
  </si>
  <si>
    <t>Tootegrupp: raamatukogud</t>
  </si>
  <si>
    <t>Tootegrupp: teater</t>
  </si>
  <si>
    <t>Tootegrupp: kontsertteenus</t>
  </si>
  <si>
    <t>Tootegrupp: koolitusteenus</t>
  </si>
  <si>
    <t>Toetus SA-le Tallinna Kultuurikatel</t>
  </si>
  <si>
    <t>Kristjan Raua kunstipreemia</t>
  </si>
  <si>
    <t>Mittetulundusühing Pimedate Ööde Filmifestival</t>
  </si>
  <si>
    <t>Rahvusvaheline Rahvuskultuuride Ühenduste Liit Lüüra</t>
  </si>
  <si>
    <t>Haridusselts "Vene Kultuuri Rahvaülikool"</t>
  </si>
  <si>
    <t>Vana Baskini Teater OÜ</t>
  </si>
  <si>
    <t>Mittetulundusühing ART-Forum (Kuldne Mask)</t>
  </si>
  <si>
    <t>Tallinna teeneka kultuuritegelase preemia</t>
  </si>
  <si>
    <t>Projekt "Ava lava, Tallinn"</t>
  </si>
  <si>
    <t>Noorte info- ja nõustamiskeskus</t>
  </si>
  <si>
    <t>Sünnitoetus</t>
  </si>
  <si>
    <t>Ellusuunamise toetus</t>
  </si>
  <si>
    <t>Põhja-Eesti Pimedate Ühing</t>
  </si>
  <si>
    <t>Välisrahastusega projekt „Ööpäevaringne lapsehoiuteenus raske ja sügava puudega lastele Tallinna Lastekodus“  (ü)</t>
  </si>
  <si>
    <t>Välisrahastusega projekt „Rehabiliteeriv kunstfoto“  (ü)</t>
  </si>
  <si>
    <t>toetus MTÜ-le Eesti Üürnike Liit</t>
  </si>
  <si>
    <t>korteriühistute toetus "Roheline õu"</t>
  </si>
  <si>
    <t>Välisrahastusega projekt "Omavalitsuste õigusalase võimekuse suurendamine" (ü)</t>
  </si>
  <si>
    <t>Kopli Arenduskeskus</t>
  </si>
  <si>
    <t>Osalemine IX Pekingi Aia Expo näitusel 2013</t>
  </si>
  <si>
    <t>Välisrahastusega projekt "Võrdlusuuringud linnade veekaitses - CITYWATER" (ü)</t>
  </si>
  <si>
    <t>Välisrahastusega projekt "Regionaalne panus Euroopa taaskasutuskogukonda - R4R" (ü)</t>
  </si>
  <si>
    <t>Tallinna linna Anton Uessoni stipendium</t>
  </si>
  <si>
    <t>Raamat "Tänavaregister"</t>
  </si>
  <si>
    <t>Valimised</t>
  </si>
  <si>
    <t>Rahvaküsitlused</t>
  </si>
  <si>
    <t>Välisrahastusega projekt "CitizMap" (ü)</t>
  </si>
  <si>
    <t>Välisrahastusega projekt "Kvaliteetsem õigusteenus Tallinnas" (ü)</t>
  </si>
  <si>
    <t>Välisrahastusega projekt „Kõik sihtgrupid liikuma Haaberstis!“ (ü)</t>
  </si>
  <si>
    <t>aastavahetuse ilutulestiku korraldamine</t>
  </si>
  <si>
    <t>Tootegrupp: haljastus*</t>
  </si>
  <si>
    <t>Tallinna õppenõustamiskeskus</t>
  </si>
  <si>
    <t>Tootegrupp: kultuuritegevus</t>
  </si>
  <si>
    <t>Tootegrupp: muuseumid</t>
  </si>
  <si>
    <t>Tootegrupp: loomaaed</t>
  </si>
  <si>
    <r>
      <t xml:space="preserve">sellest </t>
    </r>
    <r>
      <rPr>
        <sz val="8"/>
        <rFont val="Arial"/>
        <family val="2"/>
        <charset val="186"/>
      </rPr>
      <t>Slaavi Pärg</t>
    </r>
  </si>
  <si>
    <r>
      <t xml:space="preserve">  sh</t>
    </r>
    <r>
      <rPr>
        <sz val="8"/>
        <rFont val="Arial"/>
        <family val="2"/>
        <charset val="186"/>
      </rPr>
      <t xml:space="preserve"> jäähallid</t>
    </r>
  </si>
  <si>
    <r>
      <t xml:space="preserve">sh </t>
    </r>
    <r>
      <rPr>
        <sz val="8"/>
        <rFont val="Arial"/>
        <family val="2"/>
        <charset val="186"/>
      </rPr>
      <t>hooldusravi osaline kompenseerimine</t>
    </r>
  </si>
  <si>
    <t>vähekindlustatud elanike ravimikulude kompenseerimine</t>
  </si>
  <si>
    <r>
      <rPr>
        <i/>
        <sz val="8"/>
        <rFont val="Arial"/>
        <family val="2"/>
        <charset val="186"/>
      </rPr>
      <t xml:space="preserve">sh </t>
    </r>
    <r>
      <rPr>
        <sz val="8"/>
        <rFont val="Arial"/>
        <family val="2"/>
        <charset val="186"/>
      </rPr>
      <t>välisrahastusega projekt "Ühistranspordi prioriteedisüsteemi laiendamine" (ü)</t>
    </r>
  </si>
  <si>
    <t>Välisrahastusega projekt „Läänemere regiooni transpordi ja planeerimise mitmetasandiline juhtimine (BSR TransGovernance)“ (ü)</t>
  </si>
  <si>
    <t>Aktsiakapitali vähendamine (+)</t>
  </si>
  <si>
    <r>
      <t>Välisrahastusega projekt "</t>
    </r>
    <r>
      <rPr>
        <i/>
        <u/>
        <sz val="10"/>
        <rFont val="Arial"/>
        <family val="2"/>
        <charset val="186"/>
      </rPr>
      <t>Cross-Innovation</t>
    </r>
    <r>
      <rPr>
        <u/>
        <sz val="10"/>
        <rFont val="Arial"/>
        <family val="2"/>
        <charset val="186"/>
      </rPr>
      <t xml:space="preserve"> - Valdkonnaülese innovatsiooni edendamine Euroopa linnades ja regioonides" (ü)</t>
    </r>
  </si>
  <si>
    <r>
      <rPr>
        <i/>
        <sz val="9"/>
        <rFont val="Arial"/>
        <family val="2"/>
        <charset val="186"/>
      </rPr>
      <t xml:space="preserve">Cross-Innovation </t>
    </r>
    <r>
      <rPr>
        <sz val="9"/>
        <rFont val="Arial"/>
        <family val="2"/>
        <charset val="186"/>
      </rPr>
      <t>- Valdkonnaülese innovatsiooni edendamine Euroopa linnades ja regioonides</t>
    </r>
  </si>
  <si>
    <t>INNOREG - Uudsete äristruktuuride arendamine konkurentsivõime tagamiseks</t>
  </si>
  <si>
    <t>Elos-koolide kvaliteedinõuded</t>
  </si>
  <si>
    <t>Välisrahastusega projekt "Elos-koolide kvaliteedinõuded" (ü)</t>
  </si>
  <si>
    <t>Välisrahastusega projekt "Tallinna õppenõustamiskeskus" (ü)</t>
  </si>
  <si>
    <t>Tallinna linna stipendium (Tallinna Ülikool)</t>
  </si>
  <si>
    <t>Muud tervishoiutoetused (a)</t>
  </si>
  <si>
    <t>Välisrahastusega projekt „Töökohal vaimse tervise edendamine Kristiine linnaosas”</t>
  </si>
  <si>
    <r>
      <t xml:space="preserve">sh </t>
    </r>
    <r>
      <rPr>
        <sz val="8"/>
        <rFont val="Arial"/>
        <family val="2"/>
        <charset val="186"/>
      </rPr>
      <t xml:space="preserve">Tallinna Noorteklubi Kodulinn </t>
    </r>
  </si>
  <si>
    <t>Vanurite Eneseabi- ja Nõustamisühing</t>
  </si>
  <si>
    <t>Tallinna Pensionäride Ühendus</t>
  </si>
  <si>
    <t>Toetus MTÜ-le AIDSi Tugikeskus uimastiennetustegevuseks</t>
  </si>
  <si>
    <t>Tegevustoetus Sotsiaalrehabilitatsiooni Keskusele Loksa</t>
  </si>
  <si>
    <t>Toetus Sihtasutusele Tallinna Arengu- ja Koolituskeskus</t>
  </si>
  <si>
    <t>sademevee kanalisatsiooni ehitus</t>
  </si>
  <si>
    <t>Ülelinnalised kultuuriüritused ja -projektid*</t>
  </si>
  <si>
    <t>Toetus AS-le Ida-Tallinna Keskhaigla ja AS-le Lääne Tallinna Keskhaigla kehaväliseks viljastamiseks</t>
  </si>
  <si>
    <t>sellest Tallinna Grand Prix ja publikupreemia</t>
  </si>
  <si>
    <t>maksuinfosüsteem</t>
  </si>
  <si>
    <t>Tallinna linna infotehnoloogia stipendium</t>
  </si>
  <si>
    <t>Tallinna linna stipendium (Estonian Business School)</t>
  </si>
  <si>
    <t>Spordiklubi LiVal Sport</t>
  </si>
  <si>
    <t>toetus Sihtasutusele Õpilasmalev</t>
  </si>
  <si>
    <t>toetus Sihtasutusele Teaduskeskus Ahhaa</t>
  </si>
  <si>
    <t>Tallinna Merepäevad</t>
  </si>
  <si>
    <t>Hiina uusaasta</t>
  </si>
  <si>
    <t>Linna kunstikogu haldamine ja täiendamine</t>
  </si>
  <si>
    <t>Linna asutuste palgavahendite kasv</t>
  </si>
  <si>
    <t>Linna asutuste energiakulude kompenseerimine</t>
  </si>
  <si>
    <t>Välisrahastusega projekt "Arendusprogramm-teenusekeskse organisatsiooni kujundamine linna finantsteenistuses" (ü)</t>
  </si>
  <si>
    <t>Uimastiennetustegevus SA-s Tallinna Lastehaigla</t>
  </si>
  <si>
    <t>elamumajandusprojektide toetamine</t>
  </si>
  <si>
    <t>Trammiliini nr 4 taristu rekonstrueerimine (ü)</t>
  </si>
  <si>
    <t>Välisrahastusega projekt „Omavalitsuste õigusalase võimekuse suurendamine“ (ü)</t>
  </si>
  <si>
    <t>ühisveevärgi ja -kanalisatsiooni ehitus (a)</t>
  </si>
  <si>
    <t>sellest antav sihtfinantseering investeerimistegevuseks</t>
  </si>
  <si>
    <t>Arendusprogramm - teenusekeskse organisatsiooni kujundamine linna finantsteenistuses</t>
  </si>
  <si>
    <r>
      <t xml:space="preserve">  sh </t>
    </r>
    <r>
      <rPr>
        <sz val="8"/>
        <rFont val="Arial"/>
        <family val="2"/>
        <charset val="186"/>
      </rPr>
      <t>Tallinna Spordiselts Kalev</t>
    </r>
  </si>
  <si>
    <t>Kogu-
maksumus**</t>
  </si>
  <si>
    <t>Merivälja Kooli juurdeehitus ja soojatootmise rekonstrueerimine</t>
  </si>
  <si>
    <t>Kreutzwaldi tn (Kunderi tn - Tartu mnt)</t>
  </si>
  <si>
    <t>Lasnamäe kiriku parkla ja valgustus</t>
  </si>
  <si>
    <t>Nõmme tee 19, 23 ja Vindi tn 18 vahelise ala teede taastusremont</t>
  </si>
  <si>
    <t>Kopli tn 98 juurdepääsutee (Kopli Arenduskeskus)</t>
  </si>
  <si>
    <t>*Katteallikad:</t>
  </si>
  <si>
    <t>RE - riigieelarve vahenditest tehtavad kulutused</t>
  </si>
  <si>
    <t>VR - välisrahastuse arvelt tehtavad kulutused</t>
  </si>
  <si>
    <t>***Investeeringuid teostatakse juhul, kui selle katteks kavandatud linnavara müük teostub.</t>
  </si>
  <si>
    <t>Põhja-Tallinna Sotsiaalkeskuse töötajate töötasu</t>
  </si>
  <si>
    <t>Paljassaare Sotsiaalmaja töötajate töötasu</t>
  </si>
  <si>
    <t>sh linnaosa valitsuse koosseisus olevate teenistujate töötasu</t>
  </si>
  <si>
    <t>ühisveevärgi ja -kanalisatsiooni ehitus</t>
  </si>
  <si>
    <t>Tehnovõrgud</t>
  </si>
  <si>
    <t>Eluruumi kohandamise hüvitis puudega inimesele (ü)</t>
  </si>
  <si>
    <t>* Eelarve täitmisel on lubatud soetada fooriobjektide hooldusremondi teostamiseks vajalikku materiaalset ja/või immateriaalset põhivara, mille soetusmaksumus ületab 3 200 eurot (ilma käibemaksuta).</t>
  </si>
  <si>
    <t>Tallinna Energiaagentuur</t>
  </si>
  <si>
    <r>
      <t xml:space="preserve">* </t>
    </r>
    <r>
      <rPr>
        <i/>
        <sz val="10"/>
        <rFont val="Arial"/>
        <family val="2"/>
        <charset val="186"/>
      </rPr>
      <t>sellest sihtotstarbelise vara müügi arvelt 60 000 €.</t>
    </r>
  </si>
  <si>
    <t>7.1. Tallinna Spordi- ja Noorsooamet</t>
  </si>
  <si>
    <t>7.2. Pirita Spordikeskus</t>
  </si>
  <si>
    <t>7.3. Tallinna Spordihall</t>
  </si>
  <si>
    <t>7.4. Kadrioru Staadion</t>
  </si>
  <si>
    <t>7.5. Tallinna Noorsootöö Keskus</t>
  </si>
  <si>
    <t>7.6. Kristiine Sport</t>
  </si>
  <si>
    <t>Rail Baltica kasvukoridor</t>
  </si>
  <si>
    <r>
      <t>sh</t>
    </r>
    <r>
      <rPr>
        <sz val="8"/>
        <rFont val="Arial"/>
        <family val="2"/>
        <charset val="186"/>
      </rPr>
      <t xml:space="preserve"> toetus (a)</t>
    </r>
  </si>
  <si>
    <t>Pensionilisa*</t>
  </si>
  <si>
    <t>toetus Tallinna Vee-ettevõtjate Järelevalve SA-le</t>
  </si>
  <si>
    <r>
      <rPr>
        <i/>
        <sz val="10"/>
        <rFont val="Arial"/>
        <family val="2"/>
        <charset val="186"/>
      </rPr>
      <t xml:space="preserve">sh </t>
    </r>
    <r>
      <rPr>
        <sz val="10"/>
        <rFont val="Arial"/>
        <family val="2"/>
        <charset val="186"/>
      </rPr>
      <t>Tallinna Filharmoonia (alates 01.01.13)</t>
    </r>
  </si>
  <si>
    <t>Tallinna Linnamuuseum (alates 01.02.13)</t>
  </si>
  <si>
    <t>koolieelsed lasteasutused alates (01.08.13)</t>
  </si>
  <si>
    <t>sotsiaalhoolekande töötajad (alates 01.03.13): 
Iru Hooldekodu, Päevakeskus Käo, Tallinna Laste Turvakeskus, Tallinna Lastekodu, Tallinna Sotsiaaltöö Keskus, Tallinna Tugikeskus Juks, Tallinna Vaimse Tervise Keskus, Tallinna Perekeskus, Haabersti Sotsiaalkeskus, Kristiine Sotsiaalkeskus, 
Kristiine Sotsiaalmaja, Lasnamäe Sotsiaalkeskus, Mustamäe Sotsiaalkeskus, Nõmme Sotsiaalkeskus, Nõmme Sotsiaalmaja, 
Pirita Vaba Aja Keskus, Paljassaare Sotsiaalmaja, Põhja-Tallinna Sotsiaalkeskus</t>
  </si>
  <si>
    <t>Reservfond, sh</t>
  </si>
  <si>
    <t>Kalamaja parki kalmistu mälestistähise rajamine</t>
  </si>
  <si>
    <t xml:space="preserve">  sh eelarvelaenu tagastamine/võlakirjade tagasiostmine</t>
  </si>
  <si>
    <t>KULUD</t>
  </si>
  <si>
    <t>10. Ettevõtlusameti haldusala</t>
  </si>
  <si>
    <t>Ettevõtlusameti haldusala</t>
  </si>
  <si>
    <t>** Investeerimisobjektide kogumaksumus on koos käibemaksuga.</t>
  </si>
  <si>
    <t>Liinivedu*</t>
  </si>
  <si>
    <t>* Kulude täpsema jaotuse kinnitab linnavalitsus.</t>
  </si>
  <si>
    <t>Ülemiste liiklussõlme rekonstrueerimine Tallinnas (II etapp)</t>
  </si>
  <si>
    <t>sh Männiku tee rekonstrueerimine (Valdeku tn - linna piir)</t>
  </si>
  <si>
    <t>Tänavavalgustuse ehitamine ja renoveerimine</t>
  </si>
  <si>
    <t>Tallinna Linnateater (alates 01.06.13)</t>
  </si>
  <si>
    <t>Kultuuriprojektide ja -organisatsioonide toetamine</t>
  </si>
  <si>
    <t>LE - linnaeelarve vahendite arvelt tehtavad kulutused, sisaldavad ka võetavat laenu</t>
  </si>
  <si>
    <r>
      <t xml:space="preserve">* </t>
    </r>
    <r>
      <rPr>
        <i/>
        <sz val="8"/>
        <rFont val="Arial"/>
        <family val="2"/>
        <charset val="186"/>
      </rPr>
      <t>peale selle soodustused 4 712 450 €.</t>
    </r>
  </si>
  <si>
    <t>Kadrioru Saksa Gümnaasiumi tervikrenoveerimine</t>
  </si>
  <si>
    <t>17.2. Kristiine Sotsiaalmaja</t>
  </si>
  <si>
    <t>SA ORTHODOX SINGERS</t>
  </si>
  <si>
    <t>Kalevi Spordihallile poksiringi soetamine</t>
  </si>
  <si>
    <t>Osalemine rahvusvahelistel võistlustel</t>
  </si>
  <si>
    <t>Skulptuurid ja väikevormid</t>
  </si>
  <si>
    <t>Toetus mittetulundusühingule Integratsiooni Ühiskondlik Algatuskeskus tegevuse „Vanemaealised kui väärt tööjõud“ läbiviimiseks</t>
  </si>
  <si>
    <t>Tallinna Lilleball</t>
  </si>
  <si>
    <t>Tallinna Kunstigümnaasiumi spordihoone (Amburi tn 19) renoveerimistööde lõpetamine</t>
  </si>
  <si>
    <t>Tallinna Tugikeskus Juks</t>
  </si>
  <si>
    <t>toetus SA Tallinna Kultuurikatel - tegevuskuludeks</t>
  </si>
  <si>
    <t>Loomingukeskus Šanss</t>
  </si>
  <si>
    <t>Tallinna Keskraamatukogu (alates 01.04.13)</t>
  </si>
  <si>
    <t>Linna tugiteenused</t>
  </si>
  <si>
    <t>Lasnamäe NK</t>
  </si>
  <si>
    <t>Spordi ja Noorsooamet</t>
  </si>
  <si>
    <t>Haridusamet</t>
  </si>
  <si>
    <t>Lapsevanemate kaasamine koolist väljalangemise ennetamiseks - PREVENT</t>
  </si>
  <si>
    <t>Välisrahastusega projekt "Lapsevanemate kaasamine koolist väljalangemise ennetamiseks - PREVENT" (ü)</t>
  </si>
  <si>
    <t>Tallinna Õpetajate Maja ruumide remont</t>
  </si>
  <si>
    <t>Merivälja Kooli juurdeehituse II etapi lõpetamine ja sisustuse ost</t>
  </si>
  <si>
    <t>üritus "VABA AJA MESS 2013"</t>
  </si>
  <si>
    <t>Pirita Spordikeskuse filiaalides remonttööd</t>
  </si>
  <si>
    <t>Kogukonna toetus puuetega inimestele</t>
  </si>
  <si>
    <t>Välisrahastusega projekt „Kogukonna toetus puuetega inimestele“</t>
  </si>
  <si>
    <t>Selgitused</t>
  </si>
  <si>
    <t>Kultuuriväärtuste Amet (Tallinna Keskraamatukogu)</t>
  </si>
  <si>
    <t>Eelarvepositsioon:</t>
  </si>
  <si>
    <t>Projektid</t>
  </si>
  <si>
    <t>Tallinna Loomaaia paksunahaliste maja</t>
  </si>
  <si>
    <t>PRISMA - tuleohutuse riskihindamine ja elanikkonna kaitse</t>
  </si>
  <si>
    <t xml:space="preserve">Tootevaldkond: sotsiaalhoolekanne </t>
  </si>
  <si>
    <t xml:space="preserve">Sotsiaalhoolekanne </t>
  </si>
  <si>
    <t xml:space="preserve">Tervishoid </t>
  </si>
  <si>
    <t>MTÜ Inkotuba</t>
  </si>
  <si>
    <t>Lasnamäe Noortekeskus</t>
  </si>
  <si>
    <t xml:space="preserve">Linnaplaneerimise Amet </t>
  </si>
  <si>
    <t xml:space="preserve">Tootevaldkond: linnaplaneerimine </t>
  </si>
  <si>
    <t xml:space="preserve">Transpordiamet </t>
  </si>
  <si>
    <t xml:space="preserve">Linnavaraamet </t>
  </si>
  <si>
    <r>
      <t>Linnavaraamet</t>
    </r>
    <r>
      <rPr>
        <sz val="10"/>
        <rFont val="Arial"/>
        <family val="2"/>
        <charset val="186"/>
      </rPr>
      <t xml:space="preserve"> </t>
    </r>
  </si>
  <si>
    <r>
      <t>Sotsiaal- ja Tervishoiuamet</t>
    </r>
    <r>
      <rPr>
        <sz val="10"/>
        <rFont val="Arial"/>
        <family val="2"/>
        <charset val="186"/>
      </rPr>
      <t xml:space="preserve"> </t>
    </r>
  </si>
  <si>
    <r>
      <t>Spordi- ja Noorsooamet</t>
    </r>
    <r>
      <rPr>
        <sz val="10"/>
        <rFont val="Arial"/>
        <family val="2"/>
        <charset val="186"/>
      </rPr>
      <t xml:space="preserve"> </t>
    </r>
  </si>
  <si>
    <t xml:space="preserve">Tootegrupp: noorsootöö </t>
  </si>
  <si>
    <t xml:space="preserve">Tootevaldkond: sport ja vaba aeg </t>
  </si>
  <si>
    <t>18.5. Lasnamäe Noortekeskus</t>
  </si>
  <si>
    <t>noortevolikogu</t>
  </si>
  <si>
    <t>Rahvarinde muuseumi rajamine</t>
  </si>
  <si>
    <t>sh Kommunaalameti haldusala</t>
  </si>
  <si>
    <t>Ülemiste liiklussõlme Peterburi tee ja Ülemiste tee ühendustee ja vasakpöördetunneli ehitamine</t>
  </si>
  <si>
    <r>
      <t xml:space="preserve">FT ettepanekud </t>
    </r>
    <r>
      <rPr>
        <b/>
        <sz val="10"/>
        <color rgb="FFFF0000"/>
        <rFont val="Times New Roman"/>
        <family val="1"/>
        <charset val="186"/>
      </rPr>
      <t>(€)</t>
    </r>
  </si>
  <si>
    <t>Vähenemine on tingitud laste kohalkäimise protsendi langusest ja liiga optimistlikust planeerimisest.</t>
  </si>
  <si>
    <t>Seoses alampalga tõusuga alates 01.01.2013 suurenes kohatasu maksumus. Vanema osa maksumus moodustab 10,6% kehtivast alampalgast ja 12% alampalgast ujulatega lasteasutustes.</t>
  </si>
  <si>
    <t>Suurenemine seoses lepingupartnerite arvu suurenemisega Tallinna Lehola Lasteaias, Tallinna Lasteaias Mikumanni, Tallinna Piiri Lasteaias, Tallinna Jaan Poska Lasteaias, Tallinna Vindi Lasteaias, Tallinna Päikesejänku Lasteaias, Tallinna Muinasjutu Lasteaias</t>
  </si>
  <si>
    <t>Tallinna Jaan Poska Lasteaia ruumide üüritulu korrigeerimine vastavalt tarbijahinnaindeksi tõusuga.</t>
  </si>
  <si>
    <t>Suurenemine seoses kommunaalteenuste hindade tõusuga.</t>
  </si>
  <si>
    <t>Vähenemine on tingitud eelarve üleplaneerimisest Tallinna Laagna Lasteaed-Põhikoolis.</t>
  </si>
  <si>
    <t>Tulu suurenemine on tingitud ruumide maksimaalsest väljarentimisest ning uute täiendavate rendilepingute sõlmimisest.</t>
  </si>
  <si>
    <t>Tulu suurenemine on tingitud algselt planeerimata tulu täitmisest.</t>
  </si>
  <si>
    <t>Pirita Majandusgümnaasiumi tulu ülekandmisega äriruumide üüritulusse.</t>
  </si>
  <si>
    <t>Suurenemine on tingitud Tallinna Täiskasvanute Gümnaasiumi nimetatud tulu alaplaneerimisest 2013 aastal ning Vana–Kalamaja Täiskasvanute Gümnaasiumi muu vara üüri ja rendi tulu ülekandmisest äriruumide üüritulusse (mobiilimasti renditulu).</t>
  </si>
  <si>
    <t>Vana–Kalamaja Täiskasvanute Gümnaasiumi tulu ülekandmisega äriruumide üüritulusse (mobiilimasti renditulu).</t>
  </si>
  <si>
    <t>Suurenemine on tingitud ruumide kasutusse andmisest tunnitasu alusel kursuste läbiviimiseks suuremas mahus.</t>
  </si>
  <si>
    <t>Nõmme Muusikakool planeerib saali kasutusse andmist klaveriõpetajate ühingule seminari läbiviimiseks</t>
  </si>
  <si>
    <t>Suurenemine seoses Tallinna Kunstikooli ja Nõmme Muusikakooli õpilaste arvu kasvuga.</t>
  </si>
  <si>
    <t>Nõmme Muusikakooli inventari kasutusse andmisega suvekuudel.</t>
  </si>
  <si>
    <t>Suurenemine seoses Tallinna Kanutiaia õppetasu tõusuga 2013/2014 õppeaastal.</t>
  </si>
  <si>
    <t>Suurenemine tingitud õppetasude tõusust 2013/2014 õppeaastal.</t>
  </si>
  <si>
    <t>Arvestatud on juba tehtud laagri broneeringute ja osaliselt laagriteenuste hindade tõusuga.</t>
  </si>
  <si>
    <t>Suurenemine seoses uue metallitöö ringi lisandumisest, muusikakooli eelkooli õpilaste arvu kasvust ja õppetasu tulude korrigeerimisest vastavalt tegelikule täitmisele.</t>
  </si>
  <si>
    <t>Tulu suurenemine on tingitud hindade ja rendiaegade täpsustamisest.</t>
  </si>
  <si>
    <t>Tulud on alaplaneeritud.</t>
  </si>
  <si>
    <t>Vähendatakse kommunaalteenuste müügist saadava tuluosas on tingitud Püha Miikaeli Kooli ja Vanalinna Hariduskolleegiumi vahelise arvlemise muutusest. VHK ei vahenda enam kommunaalteenuseid. Lepingud sõlmitud otse Püha Miikaeli Kooliga.</t>
  </si>
  <si>
    <t>Suurenemine seoses Sakala 14 (endine Kultuuriseltside Teabekeskus) tegutsevate seltside liikmemaksudest.</t>
  </si>
  <si>
    <t>Suurenemine seoses Pikk tn 20 hoone kavandatava uue hoolduslepingu sõlmimisega.</t>
  </si>
  <si>
    <t>Merepäevade müügitulu. 
KVA korraldab 12-14. juulil Eesti suurima mere- ja perepeo „Tallinna Merepäevad“</t>
  </si>
  <si>
    <t>Merepäevade reklaamitulu. Reklaamitulu on suurenenud seoses koostööga järgmiste ettevõtetega: Tallinna Sadam, Saku Õlletehase AS, Viking Line Group, Balbiino AS jt.</t>
  </si>
  <si>
    <t>Suureneb täitmine lugeja vastutusest. Prognoosi aluseks on tulu kõrge täitmine 2013 I kv ja 2012. aasta täitmine.</t>
  </si>
  <si>
    <t>Suurenemine tingitud algselt alaplaneeritud alaeelarvest.</t>
  </si>
  <si>
    <t>Korrigeerimine vastavalt tegelikule täitmisele I kvartalis 2013.</t>
  </si>
  <si>
    <t>Tallinna Toomklubi omatulude eelarve maht  väheneb 7 000 € võrra seoses asutuse ümberkorraldamisega Tallinna Rahvaülikooliks alates 01.05.2013.</t>
  </si>
  <si>
    <t>Neitsitorni kohviku omatulu planeerimata.</t>
  </si>
  <si>
    <t>Teatri enda etenduse piletitulu suureneb 57 170 € võrra seoses etenduste arvu suurendamisega ja etenduste andmisega väljaspool statsionaari suuremates saalides ja suurenemine 108000€ - tegemist on ühekordse projekti "Le Page" piletituluga.</t>
  </si>
  <si>
    <t>Suurenemine seoses tulude täpsustamisega vastavalt 2013 täitmisele.</t>
  </si>
  <si>
    <t>Birgitta Festivali piletitulu. 2013. aastal on festivalil kavas 1 etendus rohkem kui 2012. aastal - esietendub eelkõige lastele mõeldud eesti algupärand.</t>
  </si>
  <si>
    <t>Omatulud suurenevad 7 000 € võrra, seoses Tallinna Toomklubi tegevuse ümberkorraldamisega Tallinna Rahvaülikooliks alates 01.05.2013</t>
  </si>
  <si>
    <t>Linnavolikogu hoone keldriruumide üürile andmine Silvernet OÜ-le</t>
  </si>
  <si>
    <t>Üüritu korrigeerimine</t>
  </si>
  <si>
    <t>laagrikasvatajate koolituses osalejate arv on suurenenud</t>
  </si>
  <si>
    <t>uus üürileping OÜ Tondi Tennisekeskusega ning Piiri Spordi- ja Puhkekeskuse üürilepingu ületulemine Põhja-Tallinna Linnaosa Valitsuselt tulenevalt linnavara valitseja muutumisega.</t>
  </si>
  <si>
    <t>vähendatakse tasulisi teenuseid kuna spordiklubid ei kasuta spordibaase planeeritud mahus</t>
  </si>
  <si>
    <t>ruumide kasutajate arvu kasv</t>
  </si>
  <si>
    <t>kasvanud on spordiinventari laenutamine</t>
  </si>
  <si>
    <t>üürihindade korrigeerimine</t>
  </si>
  <si>
    <t>hindade muutus</t>
  </si>
  <si>
    <t>esialgse eelarve korrigeerimine</t>
  </si>
  <si>
    <r>
      <t xml:space="preserve">vähenemine </t>
    </r>
    <r>
      <rPr>
        <sz val="8"/>
        <rFont val="Times New Roman"/>
        <family val="1"/>
        <charset val="186"/>
      </rPr>
      <t>seoses Kalevi Spordihallis teenuse kasutamise vähenemisega;</t>
    </r>
  </si>
  <si>
    <t>suurenemine seoses mitme eelkokkuleppe sõlmimisega ürituste korraldamiseks kevad-suvisel perioodil</t>
  </si>
  <si>
    <t>AS Tallinkiga sõlmitud reklaamilepingu mahu suurenemine.</t>
  </si>
  <si>
    <t>kommunaalteenuste hindade tõus</t>
  </si>
  <si>
    <t>tululiikide vahelise eelarve korrastamine</t>
  </si>
  <si>
    <t>Suurenemise seoses kommunaalteenuste hinnatõusuga</t>
  </si>
  <si>
    <t>teenistujate töövõime ja tervise taastamise hüvitis</t>
  </si>
  <si>
    <t>Suurenemine seoses uute äriruumide üürilepingute sõlmimisega 2012. aasta lõpus ja 2013. aasta alguses.</t>
  </si>
  <si>
    <t>Suurenemine seoses planeeritava tuluga Raua tn 23 sauna piletite realiseerimisest 2013. aasta IV karvtalis.</t>
  </si>
  <si>
    <t>Suurenemine on tingitud üüripindade kasutamise nõudluse kasvust ning kõrgemate hindadega kaubanduslepingute sõlmimisest 2013. aasta I kvartalis.</t>
  </si>
  <si>
    <t>Suurenemine seoses tulude täpsustamisega vastavalt 2013 täitmisele.
2013. aasta eelarve koostamisel oli arvestatud 14 eluruumi (üksikkorteri) võõrandamisega, seisuga 19.04.13 sõlmitud vaid 2 müügilepingut.</t>
  </si>
  <si>
    <t xml:space="preserve">Suurenemine on tingitud välikohviku avamisega suvekuudel. </t>
  </si>
  <si>
    <t>Spordi- ja Noorsooametilt.
Tallinna Linnavolikogu 20. detsembri 2012 otsusega nr 184 „ Tallinna Noorsootöö Keskuse ümberkorraldamine ja Lasnamäe Linnaosa Valitsuse hallatava asutuse Lasnamäe Noortekeskus asutamine“.</t>
  </si>
  <si>
    <t xml:space="preserve">Suurenemine seoses tulude täpsustamisega vastavalt 2013 täitmisele.
2013. eelarve projekti koostamisel oli aluseks 40 korteri müük ja seoses sellega vähendati 2013. aasta eelarvet. Seisuga 26.03.2013 on müüdud 4 korterit. </t>
  </si>
  <si>
    <t>Suurenemine seoses uue lepingu sõlmimisega.</t>
  </si>
  <si>
    <t>Suurenenud on reklaami avaldamise võimalused.</t>
  </si>
  <si>
    <t>Suurenemine seoses uute lepingute sõlmimisega suveperioodiks.</t>
  </si>
  <si>
    <t>Suurenemine seoses uue lepingu sõlmimisega. 
AS Merko Ehitusega sõlmitud parkimise leping alates 02.05.2013 kuni 31.12.2013.</t>
  </si>
  <si>
    <t>Raamatute müügist saadud tulu planeerimata. (Raamat "Kuulsuste allee" ja Mustamäe 50. juubeliaasta auks koostatud trükis „Kadaka küla üleüldseriided“).</t>
  </si>
  <si>
    <t>Rentnik asus uuele pinnale ning uus rendileping sõlmimata.</t>
  </si>
  <si>
    <t>Tululiikide vahelise eelarve korrastamine</t>
  </si>
  <si>
    <t>Vähenemine seoses tulude täpsustamisega vastavalt 2013 täitmisele.</t>
  </si>
  <si>
    <t>Suurenemine seoses planeeritava tuluga Valdeku tn 13 sauna piletite realiseerimisest 2013. aasta IV karvtalis.</t>
  </si>
  <si>
    <t>Suurenemine seoses uue üürilepingute sõlmimisega 27.03.13. (Tamme 4).</t>
  </si>
  <si>
    <t xml:space="preserve">Suurenemine seoses uute lepingute sõlmimisega. (al 18.04.13 Seikluspark OÜ-ga ning al. 10.04.13 Eesti Väiketootjate Assotsiatsiooniga)
</t>
  </si>
  <si>
    <t>Korrigeeritakse jäätmete vastuvõtu tulu 250 € võrra, kuna tulu planeerimisel ekslikult arvutati tulu hulka ka käibemaks.</t>
  </si>
  <si>
    <t>Botaanikaaia I kvartali tulu täitmine kokku moodustab 21% aastaplaanist (võrdluseks 2011. a oli I kvartali tulu täitmine 9% ja 2012. a 14%).</t>
  </si>
  <si>
    <t xml:space="preserve">Botaanikaaed prognoosis I kvartalis piletitulu 14 600 €. Tegelik piletitulu eelarve täitmine oli 23 055 € (prognoos on ületatud 8 455 € võrra). </t>
  </si>
  <si>
    <t xml:space="preserve">Botaanikaaed prognoosis I kvartalis tulu muude teenuste osutamise eest 13 000 €. Tegelik täitmine oli 17 928 € (prognoos on ületatud 4 928 € võrra). </t>
  </si>
  <si>
    <t>Seoses toitlustamisteenuse rakendamisega Tallinna Lasteaias Sipsik, Tallinna Kadaka Lasteaias, Tallinna Lasteaias Pääsusilm, Tallinna Luha Lasteaias on vähenenud töötajate toitlustusteenuse maht.</t>
  </si>
  <si>
    <t>Suurenemine on tingitud huvi kasvust tasulise eelkooli -ja pikapäevarühma vastu. Tõusnud on ka õpilaste huvi osaleda õppekavaväliste huvialaringide töös (keele- ja kunstiringid).</t>
  </si>
  <si>
    <t>Suurenemine seoses Pirita Majandusgümnaasiumi tulu ülekandmisega äriruumide üürituludest (äriruumi rent mobiilimasti jaoks) ja uute rendilepingute alusel saadava tulu lisandumisest (EspressoBlue OÜ joogiautomaatide rent).</t>
  </si>
  <si>
    <t>vähendatakse Snelli Staadioni kasutamise eest saadavat tulu, kunakülma kevade tõttu on selle kasutamise hooaeg planeerituga vähenenud.</t>
  </si>
  <si>
    <t>Esialgse eelarve korrigeerimine seoses kahe lähivaldadest pärit puudega lapse teenuselt lahkumisega tulud vähenevad.</t>
  </si>
  <si>
    <t>Esialgse eelarve korrigeerimine seoses toetatud elamise teenusel olevate klientide omaosalustasu hinnatõusuga alates 01.05.2013.</t>
  </si>
  <si>
    <t>Esialgse eelarve korrigeerimine seoses kahe lähivaldadest pärit kliendi lahkumisega teenuselt tulud vähenevad.</t>
  </si>
  <si>
    <t>Esialgse eelarve korrigeerimine, sest ameti esitatud 2013. aasta eelarveprojektis oli tulu valesti planeeritud.</t>
  </si>
  <si>
    <t>Esialgse eelarve korrigeerimine tulu suureneb seoses teenusele 1 uue kliendi lisandumisega.</t>
  </si>
  <si>
    <t>Esialgse eelarve korrigeerimine seoses planeeritust suurema klientide poolt valmistatud meenete müügiga.</t>
  </si>
  <si>
    <t>Esialgse eelarve korrigeerimine seoses esialgse planeeringuveaga.</t>
  </si>
  <si>
    <t>Kommunaalteenuste hindade tõus.</t>
  </si>
  <si>
    <t>Tululiikide vahelise eelarve korrastamine, sest nõudlus koolitusteenuste järgi on minimaalne.</t>
  </si>
  <si>
    <t>Tululiikide vahelise eelarve korrastamine seoses vältimatu sotsiaalabi järgse varjupaigateenuse klientide arvu kasvuga.</t>
  </si>
  <si>
    <t>Eelarvet korrigeeritakse, sest mitmetele vabadele üüripindadele uute üürnike leidmine on pikaajaline protsess.</t>
  </si>
  <si>
    <t>Eelarvet korrigeeritakse, sest 2013.aasta 3 kuu tulude täitmise alusel on algselt planeeritud eelarve osutunud liiga optimistlikuks.</t>
  </si>
  <si>
    <t>Mänguväljakute rajamine</t>
  </si>
  <si>
    <t>Kontserttuur „Rahvarinne – 25“</t>
  </si>
  <si>
    <t>Rahvarinde muuseum</t>
  </si>
  <si>
    <t>Raua tn 23 hoone renoveerimine ja soetused</t>
  </si>
  <si>
    <t>haridusasutuste investeeringuteks</t>
  </si>
  <si>
    <t>Välisrahastusega projekt PRISMA-tuleohutuse riskihindamine ja elanikkonna kaitse (ü)</t>
  </si>
  <si>
    <t>Saunateenuse korraldamine</t>
  </si>
  <si>
    <t>sellest välisrahastusega projekt "Noore vanema toimetuleku toetamine töötuse ennetamiseks" (ü)</t>
  </si>
  <si>
    <t>välisrahastusega projekt "Noore vanema toimetuleku toetamine lapsehoiu pakkumise läbi"(ü)</t>
  </si>
  <si>
    <t>RAHAKÄIBE PROGNOOS*</t>
  </si>
  <si>
    <t xml:space="preserve"> Tegevustulu</t>
  </si>
  <si>
    <t xml:space="preserve">   sh tegevuskulu</t>
  </si>
  <si>
    <t xml:space="preserve">      maksed teenuste kontsessioonilepingu raames</t>
  </si>
  <si>
    <t>* Rahakäibe prognoos arvestab ka 2012. aastast 2013. eelarveaastasse ülekantud kulutustega 32 417 549 €.</t>
  </si>
  <si>
    <t>EELARVE LIIGENDUS KOHALIKU OMAVALITSUSE ÜKSUSE FINANTSJUHTIMISE SEADUSE JÄRGI*</t>
  </si>
  <si>
    <t>* Antud lisas toodud eelarve liigendus on arvestuslik ning muutub tulenevalt toimunud tehingute tegelikust majanduslikust sisust.</t>
  </si>
  <si>
    <t>Lastele perelähedase elukeskkonna loomine (lastekodu lastele peremajade ja varjupaiga ehitamine, Künni tn 9, Veerise tn 26 ja 28)</t>
  </si>
  <si>
    <t>Koolide ja gümnaasiumite soetused</t>
  </si>
  <si>
    <t xml:space="preserve">   Tallinna Rõõmupesa Lasteaia tualettruumi remont</t>
  </si>
  <si>
    <t xml:space="preserve">   Tallinna Päikesejänku Lasteaia mänguväljaku paviljoni soetamine</t>
  </si>
  <si>
    <t xml:space="preserve">   Tallinna Kullatera Lasteaia remont</t>
  </si>
  <si>
    <t xml:space="preserve">   Tallinna Meelespea Lasteaia katuse ning rühmaruumi remont</t>
  </si>
  <si>
    <t xml:space="preserve">    Tallinna Kivila Lasteaed tualettruumide remont</t>
  </si>
  <si>
    <t>sh töötasu</t>
  </si>
  <si>
    <t>Tallinna Noorsootöö Keskuse Pääsküla Noortekeskuse ekstreemhalli obstaaklite uuendamine</t>
  </si>
  <si>
    <t>Mänguväljakute rekonstrueerimine</t>
  </si>
  <si>
    <t>Tehnika tn (Pärnu mnt - Toompuiestee)</t>
  </si>
  <si>
    <t>Veerise tn 26 ja 28 peremajade juurdepääsutee rajamine</t>
  </si>
  <si>
    <t>kvartalisisesed teed (Seli asum ja Mustamäe)</t>
  </si>
  <si>
    <t>Kalaranna tänava ehitus jm</t>
  </si>
  <si>
    <t>IT riist- ja tarkvara soetus</t>
  </si>
  <si>
    <t>Infrastruktuuri rajamine (Pae park)</t>
  </si>
  <si>
    <t>I LEA</t>
  </si>
  <si>
    <t>Huvikoolide remont ja soetused</t>
  </si>
  <si>
    <t>Salme Kultuurikeskuse invatõstuki soetamine</t>
  </si>
  <si>
    <t>Varade markeerimise ja elektroonilise haldamise rakendamine (sh seadmed ja tarkvara)</t>
  </si>
  <si>
    <t>III INVESTEERINGUD SIHTOTSTARBELISE VARA MÜÜGI ARVELT***</t>
  </si>
  <si>
    <t>SE - sihtotstarbelise (v.a riigieelarve) eraldise arvelt tehtavad kulutused</t>
  </si>
  <si>
    <t xml:space="preserve">2013 täpsustatud eelarve
</t>
  </si>
  <si>
    <r>
      <t>sh</t>
    </r>
    <r>
      <rPr>
        <sz val="8"/>
        <rFont val="Arial"/>
        <family val="2"/>
        <charset val="186"/>
      </rPr>
      <t xml:space="preserve">
    välisrahastusega projekti "Linnaruum Kultuurikatlas" omafinantseerimise katteks* (ü)</t>
    </r>
  </si>
  <si>
    <t xml:space="preserve"> välisrahastusega projekti "Tallinna avamine merele" omafinantseerimise katteks* (ü)</t>
  </si>
  <si>
    <t>toetus Kultuurikatla rekonstrueerimiseks* (ü)</t>
  </si>
  <si>
    <t>* Vastavalt projektide elluviimisele võib muuta vahendite jaotust positsioonide vahel nimetatud toetuste koondsumma piires.</t>
  </si>
  <si>
    <t>linna noorsootöötajate palkade ühtlustamiseks (alates 01.08.13): Tallinna Noorsootöö Keskus, Haabersti Vaba Aja Keskus, Lasnamäe Noortekesku, Pirita Vaba Aja Keskus</t>
  </si>
  <si>
    <t>Transpordiamet *</t>
  </si>
  <si>
    <t>* 57 743 € on ette nähtud kohtuliku kompromissiga seotud kulude katmiseks.</t>
  </si>
  <si>
    <t>toetus Eesti Tänavaspordi Liidule</t>
  </si>
  <si>
    <t>Toetus Mittetulundusühingule Keskkonnateenused</t>
  </si>
  <si>
    <t>Täpsustatud eelarve</t>
  </si>
  <si>
    <t>Esialgne eelarve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</si>
</sst>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164" formatCode="#,##0.000"/>
    <numFmt numFmtId="165" formatCode="#,##0.0"/>
  </numFmts>
  <fonts count="67" x14ac:knownFonts="1">
    <font>
      <sz val="10"/>
      <name val="Arial"/>
      <charset val="186"/>
    </font>
    <font>
      <sz val="10"/>
      <name val="Arial"/>
      <family val="2"/>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8"/>
      <name val="Arial"/>
      <family val="2"/>
      <charset val="186"/>
    </font>
    <font>
      <b/>
      <sz val="11"/>
      <name val="Arial"/>
      <family val="2"/>
    </font>
    <font>
      <b/>
      <sz val="10"/>
      <name val="Arial"/>
      <family val="2"/>
      <charset val="186"/>
    </font>
    <font>
      <i/>
      <sz val="10"/>
      <name val="Arial"/>
      <family val="2"/>
      <charset val="186"/>
    </font>
    <font>
      <i/>
      <u/>
      <sz val="10"/>
      <name val="Arial"/>
      <family val="2"/>
      <charset val="186"/>
    </font>
    <font>
      <sz val="8"/>
      <name val="Arial"/>
      <family val="2"/>
      <charset val="186"/>
    </font>
    <font>
      <b/>
      <sz val="10"/>
      <name val="Arial"/>
      <family val="2"/>
      <charset val="186"/>
    </font>
    <font>
      <i/>
      <sz val="10"/>
      <color indexed="10"/>
      <name val="Arial"/>
      <family val="2"/>
      <charset val="186"/>
    </font>
    <font>
      <sz val="10"/>
      <name val="Courier"/>
      <family val="1"/>
      <charset val="186"/>
    </font>
    <font>
      <b/>
      <sz val="11"/>
      <name val="Arial"/>
      <family val="2"/>
      <charset val="186"/>
    </font>
    <font>
      <b/>
      <i/>
      <sz val="10"/>
      <name val="Arial"/>
      <family val="2"/>
      <charset val="186"/>
    </font>
    <font>
      <b/>
      <u/>
      <sz val="10"/>
      <name val="Arial"/>
      <family val="2"/>
      <charset val="186"/>
    </font>
    <font>
      <b/>
      <sz val="12"/>
      <name val="Arial"/>
      <family val="2"/>
      <charset val="186"/>
    </font>
    <font>
      <u/>
      <sz val="10"/>
      <name val="Arial"/>
      <family val="2"/>
      <charset val="186"/>
    </font>
    <font>
      <i/>
      <sz val="8"/>
      <name val="Arial"/>
      <family val="2"/>
      <charset val="186"/>
    </font>
    <font>
      <b/>
      <sz val="10"/>
      <color indexed="10"/>
      <name val="Arial"/>
      <family val="2"/>
      <charset val="186"/>
    </font>
    <font>
      <sz val="11"/>
      <name val="Arial"/>
      <family val="2"/>
      <charset val="186"/>
    </font>
    <font>
      <u/>
      <sz val="10"/>
      <name val="Arial"/>
      <family val="2"/>
      <charset val="186"/>
    </font>
    <font>
      <u/>
      <sz val="10"/>
      <name val="Arial"/>
      <family val="2"/>
    </font>
    <font>
      <b/>
      <sz val="10"/>
      <name val="Arial"/>
      <family val="2"/>
    </font>
    <font>
      <sz val="10"/>
      <name val="Arial"/>
      <family val="2"/>
    </font>
    <font>
      <i/>
      <sz val="10"/>
      <name val="Arial"/>
      <family val="2"/>
    </font>
    <font>
      <sz val="10"/>
      <name val="Courier"/>
      <family val="3"/>
    </font>
    <font>
      <sz val="12"/>
      <name val="Arial"/>
      <family val="2"/>
      <charset val="186"/>
    </font>
    <font>
      <i/>
      <sz val="9"/>
      <name val="Arial"/>
      <family val="2"/>
      <charset val="186"/>
    </font>
    <font>
      <u/>
      <sz val="8"/>
      <name val="Arial"/>
      <family val="2"/>
      <charset val="186"/>
    </font>
    <font>
      <sz val="8"/>
      <name val="Arial"/>
      <family val="2"/>
    </font>
    <font>
      <sz val="9"/>
      <name val="Arial"/>
      <family val="2"/>
      <charset val="186"/>
    </font>
    <font>
      <b/>
      <i/>
      <sz val="11"/>
      <name val="Arial"/>
      <family val="2"/>
      <charset val="186"/>
    </font>
    <font>
      <b/>
      <sz val="9"/>
      <name val="Arial"/>
      <family val="2"/>
      <charset val="186"/>
    </font>
    <font>
      <sz val="9"/>
      <name val="Arial"/>
      <family val="2"/>
    </font>
    <font>
      <b/>
      <sz val="9"/>
      <name val="Arial"/>
      <family val="2"/>
    </font>
    <font>
      <u/>
      <sz val="9"/>
      <name val="Arial"/>
      <family val="2"/>
      <charset val="186"/>
    </font>
    <font>
      <u/>
      <sz val="9"/>
      <name val="Arial"/>
      <family val="2"/>
    </font>
    <font>
      <sz val="10"/>
      <color rgb="FFFF0000"/>
      <name val="Arial"/>
      <family val="2"/>
      <charset val="186"/>
    </font>
    <font>
      <sz val="8"/>
      <color rgb="FFFF0000"/>
      <name val="Arial"/>
      <family val="2"/>
    </font>
    <font>
      <sz val="8"/>
      <color rgb="FFFF0000"/>
      <name val="Arial"/>
      <family val="2"/>
      <charset val="186"/>
    </font>
    <font>
      <b/>
      <sz val="10"/>
      <color rgb="FFFF0000"/>
      <name val="Arial"/>
      <family val="2"/>
      <charset val="186"/>
    </font>
    <font>
      <sz val="11"/>
      <color indexed="17"/>
      <name val="Calibri"/>
      <family val="2"/>
      <charset val="186"/>
    </font>
    <font>
      <sz val="11"/>
      <color indexed="9"/>
      <name val="Calibri"/>
      <family val="2"/>
      <charset val="186"/>
    </font>
    <font>
      <b/>
      <sz val="10"/>
      <name val="Times New Roman"/>
      <family val="1"/>
      <charset val="186"/>
    </font>
    <font>
      <b/>
      <sz val="8"/>
      <name val="Arial"/>
      <family val="2"/>
      <charset val="186"/>
    </font>
    <font>
      <b/>
      <sz val="10"/>
      <color rgb="FFFF0000"/>
      <name val="Times New Roman"/>
      <family val="1"/>
      <charset val="186"/>
    </font>
    <font>
      <b/>
      <sz val="8"/>
      <name val="Times New Roman"/>
      <family val="1"/>
      <charset val="186"/>
    </font>
    <font>
      <sz val="8"/>
      <name val="Times New Roman"/>
      <family val="1"/>
      <charset val="186"/>
    </font>
    <font>
      <sz val="10"/>
      <color theme="3" tint="0.39997558519241921"/>
      <name val="Arial"/>
      <family val="2"/>
      <charset val="186"/>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theme="6" tint="0.79998168889431442"/>
        <bgColor indexed="64"/>
      </patternFill>
    </fill>
    <fill>
      <patternFill patternType="solid">
        <fgColor indexed="41"/>
        <bgColor indexed="64"/>
      </patternFill>
    </fill>
    <fill>
      <patternFill patternType="solid">
        <fgColor theme="5" tint="0.59999389629810485"/>
        <bgColor indexed="64"/>
      </patternFill>
    </fill>
    <fill>
      <patternFill patternType="solid">
        <fgColor rgb="FF00B0F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0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xf numFmtId="0" fontId="29" fillId="0" borderId="0"/>
    <xf numFmtId="0" fontId="43" fillId="0" borderId="0"/>
    <xf numFmtId="0" fontId="44" fillId="0" borderId="0"/>
    <xf numFmtId="0" fontId="44" fillId="0" borderId="0"/>
    <xf numFmtId="0" fontId="44" fillId="0" borderId="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0" fontId="59" fillId="4" borderId="0" applyNumberFormat="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60" fillId="14" borderId="0" applyNumberFormat="0" applyBorder="0" applyAlignment="0" applyProtection="0"/>
    <xf numFmtId="0" fontId="60" fillId="1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43" fillId="0" borderId="0"/>
    <xf numFmtId="0" fontId="12"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586">
    <xf numFmtId="0" fontId="0" fillId="0" borderId="0" xfId="0"/>
    <xf numFmtId="0" fontId="22" fillId="0" borderId="0" xfId="0" applyFont="1" applyFill="1" applyBorder="1"/>
    <xf numFmtId="0" fontId="16" fillId="0" borderId="0" xfId="0" applyFont="1" applyFill="1"/>
    <xf numFmtId="0" fontId="16" fillId="0" borderId="0" xfId="0" applyFont="1" applyFill="1" applyBorder="1"/>
    <xf numFmtId="0" fontId="21" fillId="0" borderId="0" xfId="0" applyFont="1" applyFill="1" applyBorder="1" applyAlignment="1">
      <alignment horizontal="right"/>
    </xf>
    <xf numFmtId="0" fontId="23" fillId="0" borderId="0" xfId="0" applyFont="1" applyFill="1" applyBorder="1" applyAlignment="1">
      <alignment horizontal="left" vertical="top"/>
    </xf>
    <xf numFmtId="3" fontId="23" fillId="0" borderId="0" xfId="0" applyNumberFormat="1" applyFont="1" applyFill="1" applyBorder="1" applyAlignment="1">
      <alignment vertical="top"/>
    </xf>
    <xf numFmtId="0" fontId="23" fillId="0" borderId="0" xfId="0" applyFont="1" applyFill="1"/>
    <xf numFmtId="0" fontId="1" fillId="0" borderId="0" xfId="0" applyFont="1" applyFill="1" applyBorder="1" applyAlignment="1">
      <alignment horizontal="left" vertical="top"/>
    </xf>
    <xf numFmtId="3" fontId="16" fillId="0" borderId="0" xfId="0" applyNumberFormat="1" applyFont="1" applyFill="1" applyBorder="1" applyAlignment="1">
      <alignment vertical="top"/>
    </xf>
    <xf numFmtId="0" fontId="24" fillId="0" borderId="0" xfId="0" applyFont="1" applyFill="1"/>
    <xf numFmtId="0" fontId="24" fillId="0" borderId="0" xfId="0" applyFont="1" applyFill="1" applyBorder="1" applyAlignment="1">
      <alignment horizontal="left" vertical="top" indent="3"/>
    </xf>
    <xf numFmtId="3" fontId="24" fillId="0" borderId="0" xfId="0" applyNumberFormat="1" applyFont="1" applyFill="1" applyBorder="1" applyAlignment="1">
      <alignment vertical="top"/>
    </xf>
    <xf numFmtId="0" fontId="24" fillId="0" borderId="0" xfId="0" applyFont="1" applyFill="1" applyBorder="1" applyAlignment="1">
      <alignment horizontal="left" vertical="top" wrapText="1" indent="3"/>
    </xf>
    <xf numFmtId="3" fontId="24" fillId="0" borderId="0" xfId="0" applyNumberFormat="1" applyFont="1" applyFill="1" applyBorder="1" applyAlignment="1">
      <alignment vertical="top" wrapText="1"/>
    </xf>
    <xf numFmtId="0" fontId="25" fillId="0" borderId="0" xfId="0" applyFont="1" applyFill="1" applyBorder="1" applyAlignment="1">
      <alignment horizontal="left" vertical="top"/>
    </xf>
    <xf numFmtId="3" fontId="25" fillId="0" borderId="0" xfId="0" applyNumberFormat="1" applyFont="1" applyFill="1" applyBorder="1" applyAlignment="1">
      <alignment vertical="top"/>
    </xf>
    <xf numFmtId="3" fontId="24" fillId="0" borderId="0" xfId="0" applyNumberFormat="1" applyFont="1" applyFill="1" applyAlignment="1">
      <alignment vertical="top"/>
    </xf>
    <xf numFmtId="0" fontId="16" fillId="0" borderId="0" xfId="0" applyFont="1" applyFill="1" applyBorder="1" applyAlignment="1">
      <alignment horizontal="left" vertical="top"/>
    </xf>
    <xf numFmtId="0" fontId="24" fillId="0" borderId="0" xfId="0" applyFont="1" applyFill="1" applyAlignment="1">
      <alignment horizontal="left" vertical="top" indent="3"/>
    </xf>
    <xf numFmtId="0" fontId="16" fillId="0" borderId="0" xfId="0" applyFont="1" applyFill="1" applyBorder="1" applyAlignment="1">
      <alignment horizontal="left" vertical="top" wrapText="1"/>
    </xf>
    <xf numFmtId="3" fontId="16" fillId="0" borderId="0" xfId="0" applyNumberFormat="1" applyFont="1" applyFill="1" applyBorder="1" applyAlignment="1">
      <alignment vertical="top" wrapText="1"/>
    </xf>
    <xf numFmtId="0" fontId="16" fillId="0" borderId="0" xfId="0" applyFont="1" applyFill="1" applyAlignment="1">
      <alignment horizontal="left" indent="1"/>
    </xf>
    <xf numFmtId="0" fontId="1" fillId="0" borderId="0" xfId="0" applyFont="1" applyFill="1"/>
    <xf numFmtId="3" fontId="23" fillId="0" borderId="0" xfId="0" applyNumberFormat="1" applyFont="1" applyFill="1" applyBorder="1"/>
    <xf numFmtId="0" fontId="16" fillId="0" borderId="0" xfId="0" applyFont="1" applyFill="1" applyBorder="1" applyAlignment="1">
      <alignment vertical="top"/>
    </xf>
    <xf numFmtId="0" fontId="25" fillId="0" borderId="0" xfId="0" applyFont="1" applyFill="1" applyBorder="1" applyAlignment="1">
      <alignment horizontal="left" vertical="top" wrapText="1"/>
    </xf>
    <xf numFmtId="3" fontId="25" fillId="0" borderId="0" xfId="0" applyNumberFormat="1" applyFont="1" applyFill="1" applyBorder="1" applyAlignment="1">
      <alignment vertical="top" wrapText="1"/>
    </xf>
    <xf numFmtId="2" fontId="24" fillId="0" borderId="0" xfId="0" applyNumberFormat="1" applyFont="1" applyFill="1" applyBorder="1" applyAlignment="1">
      <alignment horizontal="left" vertical="top" wrapText="1" indent="3"/>
    </xf>
    <xf numFmtId="3" fontId="16" fillId="0" borderId="0" xfId="0" applyNumberFormat="1" applyFont="1" applyFill="1"/>
    <xf numFmtId="0" fontId="28" fillId="0" borderId="0" xfId="0" applyFont="1" applyFill="1" applyBorder="1" applyAlignment="1">
      <alignment horizontal="left" vertical="top" wrapText="1" indent="3"/>
    </xf>
    <xf numFmtId="3" fontId="28" fillId="0" borderId="0" xfId="0" applyNumberFormat="1" applyFont="1" applyFill="1" applyBorder="1" applyAlignment="1">
      <alignment vertical="top" wrapText="1"/>
    </xf>
    <xf numFmtId="0" fontId="1" fillId="24" borderId="0" xfId="0" applyFont="1" applyFill="1"/>
    <xf numFmtId="0" fontId="1" fillId="0" borderId="0" xfId="0" applyFont="1" applyFill="1" applyAlignment="1">
      <alignment horizontal="left" indent="2"/>
    </xf>
    <xf numFmtId="0" fontId="1" fillId="0" borderId="0" xfId="0" applyFont="1" applyFill="1" applyBorder="1" applyAlignment="1">
      <alignment horizontal="left" indent="2"/>
    </xf>
    <xf numFmtId="0" fontId="1" fillId="24" borderId="0" xfId="0" applyFont="1" applyFill="1" applyAlignment="1">
      <alignment horizontal="left"/>
    </xf>
    <xf numFmtId="0" fontId="20" fillId="0" borderId="0" xfId="0" applyFont="1" applyFill="1"/>
    <xf numFmtId="3" fontId="16" fillId="0" borderId="0" xfId="0" applyNumberFormat="1" applyFont="1" applyFill="1" applyBorder="1" applyAlignment="1">
      <alignment horizontal="right"/>
    </xf>
    <xf numFmtId="3" fontId="22" fillId="0" borderId="0" xfId="0" applyNumberFormat="1" applyFont="1" applyFill="1" applyBorder="1" applyAlignment="1"/>
    <xf numFmtId="3" fontId="16" fillId="0" borderId="0" xfId="0" applyNumberFormat="1" applyFont="1" applyFill="1" applyBorder="1" applyAlignment="1"/>
    <xf numFmtId="3" fontId="16" fillId="0" borderId="0" xfId="0" applyNumberFormat="1" applyFont="1" applyFill="1" applyAlignment="1"/>
    <xf numFmtId="3" fontId="1" fillId="0" borderId="0" xfId="0" applyNumberFormat="1" applyFont="1" applyFill="1" applyAlignment="1"/>
    <xf numFmtId="3" fontId="21" fillId="0" borderId="0" xfId="0" applyNumberFormat="1" applyFont="1" applyFill="1" applyBorder="1" applyAlignment="1"/>
    <xf numFmtId="3" fontId="1" fillId="24" borderId="0" xfId="0" applyNumberFormat="1" applyFont="1" applyFill="1" applyAlignment="1"/>
    <xf numFmtId="3" fontId="23" fillId="0" borderId="0" xfId="0" applyNumberFormat="1" applyFont="1" applyFill="1" applyAlignment="1"/>
    <xf numFmtId="0" fontId="0" fillId="0" borderId="0" xfId="0" applyAlignment="1"/>
    <xf numFmtId="0" fontId="0" fillId="0" borderId="0" xfId="0" applyFill="1"/>
    <xf numFmtId="0" fontId="30" fillId="0" borderId="0" xfId="0" applyFont="1" applyFill="1"/>
    <xf numFmtId="14" fontId="23" fillId="0" borderId="0" xfId="0" applyNumberFormat="1" applyFont="1" applyFill="1" applyAlignment="1">
      <alignment horizontal="left"/>
    </xf>
    <xf numFmtId="164" fontId="0" fillId="0" borderId="0" xfId="0" applyNumberFormat="1" applyAlignment="1">
      <alignment horizontal="right"/>
    </xf>
    <xf numFmtId="0" fontId="16" fillId="0" borderId="0" xfId="0" applyFont="1"/>
    <xf numFmtId="3" fontId="16" fillId="0" borderId="0" xfId="0" applyNumberFormat="1" applyFont="1"/>
    <xf numFmtId="0" fontId="31" fillId="0" borderId="0" xfId="0" applyFont="1" applyFill="1" applyAlignment="1">
      <alignment horizontal="left" indent="2"/>
    </xf>
    <xf numFmtId="3" fontId="31" fillId="0" borderId="0" xfId="0" applyNumberFormat="1" applyFont="1" applyFill="1"/>
    <xf numFmtId="3" fontId="0" fillId="0" borderId="0" xfId="0" applyNumberFormat="1"/>
    <xf numFmtId="0" fontId="24" fillId="0" borderId="0" xfId="0" applyFont="1" applyFill="1" applyAlignment="1">
      <alignment horizontal="left" indent="4"/>
    </xf>
    <xf numFmtId="3" fontId="24" fillId="0" borderId="0" xfId="0" applyNumberFormat="1" applyFont="1" applyFill="1"/>
    <xf numFmtId="0" fontId="24" fillId="0" borderId="0" xfId="0" applyFont="1" applyFill="1" applyAlignment="1">
      <alignment horizontal="left" wrapText="1" indent="4"/>
    </xf>
    <xf numFmtId="0" fontId="24" fillId="0" borderId="0" xfId="0" applyFont="1" applyFill="1" applyAlignment="1">
      <alignment horizontal="left" wrapText="1" indent="6"/>
    </xf>
    <xf numFmtId="0" fontId="24" fillId="0" borderId="0" xfId="39" applyNumberFormat="1" applyFont="1" applyFill="1" applyBorder="1" applyAlignment="1" applyProtection="1">
      <alignment horizontal="left" indent="6"/>
    </xf>
    <xf numFmtId="0" fontId="24" fillId="0" borderId="0" xfId="39" applyNumberFormat="1" applyFont="1" applyFill="1" applyBorder="1" applyAlignment="1" applyProtection="1">
      <alignment horizontal="left" wrapText="1" indent="6"/>
    </xf>
    <xf numFmtId="0" fontId="23" fillId="0" borderId="0" xfId="0" applyFont="1" applyFill="1" applyAlignment="1">
      <alignment horizontal="left" indent="1"/>
    </xf>
    <xf numFmtId="0" fontId="31" fillId="0" borderId="0" xfId="0" applyFont="1" applyFill="1" applyBorder="1" applyAlignment="1">
      <alignment horizontal="left"/>
    </xf>
    <xf numFmtId="0" fontId="24" fillId="0" borderId="0" xfId="0" applyFont="1" applyFill="1" applyBorder="1" applyAlignment="1">
      <alignment horizontal="left" indent="4"/>
    </xf>
    <xf numFmtId="0" fontId="33" fillId="0" borderId="10" xfId="0" applyFont="1" applyFill="1" applyBorder="1" applyAlignment="1">
      <alignment horizontal="left" indent="1"/>
    </xf>
    <xf numFmtId="0" fontId="33" fillId="0" borderId="0" xfId="0" applyFont="1" applyFill="1" applyBorder="1" applyAlignment="1">
      <alignment horizontal="left" indent="1"/>
    </xf>
    <xf numFmtId="0" fontId="23" fillId="0" borderId="0" xfId="0" applyFont="1" applyFill="1" applyBorder="1" applyAlignment="1">
      <alignment horizontal="left" indent="1"/>
    </xf>
    <xf numFmtId="0" fontId="34" fillId="0" borderId="0" xfId="0" applyFont="1" applyFill="1" applyAlignment="1">
      <alignment horizontal="left"/>
    </xf>
    <xf numFmtId="0" fontId="31" fillId="0" borderId="0" xfId="0" applyFont="1" applyFill="1" applyAlignment="1">
      <alignment horizontal="left" indent="1"/>
    </xf>
    <xf numFmtId="0" fontId="35" fillId="0" borderId="0" xfId="0" applyFont="1" applyFill="1" applyAlignment="1">
      <alignment horizontal="left" indent="6"/>
    </xf>
    <xf numFmtId="3" fontId="35" fillId="0" borderId="0" xfId="0" applyNumberFormat="1" applyFont="1" applyFill="1"/>
    <xf numFmtId="0" fontId="24" fillId="0" borderId="0" xfId="0" applyFont="1" applyAlignment="1">
      <alignment horizontal="left" indent="4"/>
    </xf>
    <xf numFmtId="0" fontId="36" fillId="0" borderId="0" xfId="0" applyFont="1"/>
    <xf numFmtId="0" fontId="37" fillId="0" borderId="0" xfId="0" applyFont="1"/>
    <xf numFmtId="165" fontId="16" fillId="0" borderId="0" xfId="0" applyNumberFormat="1" applyFont="1"/>
    <xf numFmtId="14" fontId="16" fillId="0" borderId="0" xfId="0" applyNumberFormat="1" applyFont="1"/>
    <xf numFmtId="9" fontId="23" fillId="0" borderId="0" xfId="0" applyNumberFormat="1" applyFont="1"/>
    <xf numFmtId="165" fontId="23" fillId="0" borderId="0" xfId="0" applyNumberFormat="1" applyFont="1"/>
    <xf numFmtId="4" fontId="16" fillId="0" borderId="0" xfId="0" applyNumberFormat="1" applyFont="1"/>
    <xf numFmtId="9" fontId="16" fillId="0" borderId="0" xfId="0" applyNumberFormat="1" applyFont="1"/>
    <xf numFmtId="9" fontId="1" fillId="0" borderId="0" xfId="0" applyNumberFormat="1" applyFont="1"/>
    <xf numFmtId="165" fontId="1" fillId="0" borderId="0" xfId="0" applyNumberFormat="1" applyFont="1"/>
    <xf numFmtId="0" fontId="1" fillId="0" borderId="0" xfId="0" applyFont="1"/>
    <xf numFmtId="14" fontId="1" fillId="0" borderId="0" xfId="0" applyNumberFormat="1" applyFont="1"/>
    <xf numFmtId="9" fontId="27" fillId="0" borderId="0" xfId="0" applyNumberFormat="1" applyFont="1"/>
    <xf numFmtId="165" fontId="27" fillId="0" borderId="0" xfId="0" applyNumberFormat="1" applyFont="1"/>
    <xf numFmtId="164" fontId="1" fillId="0" borderId="0" xfId="0" applyNumberFormat="1" applyFont="1"/>
    <xf numFmtId="0" fontId="38" fillId="0" borderId="0" xfId="39" applyFont="1" applyFill="1" applyBorder="1" applyAlignment="1" applyProtection="1">
      <alignment horizontal="left" wrapText="1"/>
    </xf>
    <xf numFmtId="0" fontId="39" fillId="0" borderId="0" xfId="39" applyFont="1" applyFill="1" applyBorder="1" applyAlignment="1" applyProtection="1">
      <alignment horizontal="left" wrapText="1"/>
    </xf>
    <xf numFmtId="0" fontId="30" fillId="0" borderId="0" xfId="0" applyFont="1"/>
    <xf numFmtId="0" fontId="0" fillId="0" borderId="0" xfId="0" applyAlignment="1">
      <alignment horizontal="right"/>
    </xf>
    <xf numFmtId="0" fontId="23" fillId="0" borderId="0" xfId="0" applyFont="1" applyFill="1" applyBorder="1" applyAlignment="1">
      <alignment vertical="top"/>
    </xf>
    <xf numFmtId="0" fontId="23" fillId="0" borderId="0" xfId="0" applyFont="1" applyFill="1" applyBorder="1"/>
    <xf numFmtId="3" fontId="16" fillId="0" borderId="0" xfId="0" applyNumberFormat="1" applyFont="1" applyFill="1" applyBorder="1"/>
    <xf numFmtId="3" fontId="23" fillId="0" borderId="0" xfId="0" applyNumberFormat="1" applyFont="1" applyFill="1" applyBorder="1" applyAlignment="1">
      <alignment horizontal="left"/>
    </xf>
    <xf numFmtId="0" fontId="16" fillId="0" borderId="0" xfId="0" applyFont="1" applyFill="1" applyBorder="1" applyAlignment="1">
      <alignment horizontal="left" indent="1"/>
    </xf>
    <xf numFmtId="3" fontId="16" fillId="0" borderId="0" xfId="0" applyNumberFormat="1" applyFont="1" applyFill="1" applyBorder="1" applyAlignment="1">
      <alignment horizontal="left" indent="1"/>
    </xf>
    <xf numFmtId="3" fontId="16" fillId="0" borderId="0" xfId="0" applyNumberFormat="1" applyFont="1" applyFill="1" applyBorder="1" applyAlignment="1">
      <alignment horizontal="left"/>
    </xf>
    <xf numFmtId="0" fontId="16" fillId="0" borderId="0" xfId="0" quotePrefix="1" applyFont="1" applyFill="1" applyBorder="1"/>
    <xf numFmtId="3" fontId="16" fillId="0" borderId="0" xfId="0" quotePrefix="1" applyNumberFormat="1" applyFont="1" applyFill="1" applyBorder="1"/>
    <xf numFmtId="2" fontId="24" fillId="0" borderId="0" xfId="0" applyNumberFormat="1" applyFont="1" applyFill="1" applyBorder="1" applyAlignment="1">
      <alignment horizontal="left" indent="2"/>
    </xf>
    <xf numFmtId="3" fontId="24" fillId="0" borderId="0" xfId="0" applyNumberFormat="1" applyFont="1" applyFill="1" applyBorder="1" applyAlignment="1">
      <alignment horizontal="left" indent="2"/>
    </xf>
    <xf numFmtId="3" fontId="23" fillId="0" borderId="0" xfId="0" applyNumberFormat="1" applyFont="1" applyFill="1"/>
    <xf numFmtId="0" fontId="23" fillId="0" borderId="0" xfId="0" applyFont="1" applyFill="1" applyBorder="1" applyAlignment="1">
      <alignment wrapText="1"/>
    </xf>
    <xf numFmtId="0" fontId="30" fillId="0" borderId="0" xfId="0" applyFont="1" applyFill="1" applyBorder="1"/>
    <xf numFmtId="0" fontId="1" fillId="0" borderId="0" xfId="0" applyFont="1" applyFill="1" applyBorder="1"/>
    <xf numFmtId="0" fontId="40" fillId="0" borderId="0" xfId="0" applyFont="1" applyFill="1" applyBorder="1"/>
    <xf numFmtId="3" fontId="40" fillId="0" borderId="0" xfId="0" applyNumberFormat="1" applyFont="1" applyFill="1" applyBorder="1"/>
    <xf numFmtId="3" fontId="1" fillId="0" borderId="0" xfId="0" applyNumberFormat="1" applyFont="1" applyFill="1" applyBorder="1"/>
    <xf numFmtId="3" fontId="24" fillId="0" borderId="0" xfId="0" applyNumberFormat="1" applyFont="1" applyFill="1" applyBorder="1"/>
    <xf numFmtId="0" fontId="41" fillId="0" borderId="0" xfId="0" applyFont="1" applyFill="1" applyBorder="1"/>
    <xf numFmtId="3" fontId="41" fillId="0" borderId="0" xfId="0" applyNumberFormat="1" applyFont="1" applyFill="1" applyBorder="1"/>
    <xf numFmtId="0" fontId="42" fillId="0" borderId="0" xfId="0" applyFont="1" applyFill="1" applyBorder="1" applyAlignment="1">
      <alignment horizontal="left" indent="2"/>
    </xf>
    <xf numFmtId="2" fontId="42" fillId="0" borderId="0" xfId="0" applyNumberFormat="1" applyFont="1" applyFill="1" applyBorder="1" applyAlignment="1">
      <alignment horizontal="left" indent="2"/>
    </xf>
    <xf numFmtId="0" fontId="16" fillId="0" borderId="0" xfId="0" applyFont="1" applyFill="1" applyBorder="1" applyAlignment="1">
      <alignment horizontal="left" indent="2"/>
    </xf>
    <xf numFmtId="2" fontId="24" fillId="0" borderId="0" xfId="0" applyNumberFormat="1" applyFont="1" applyFill="1" applyBorder="1" applyAlignment="1">
      <alignment horizontal="left" indent="3"/>
    </xf>
    <xf numFmtId="3" fontId="24" fillId="0" borderId="0" xfId="0" applyNumberFormat="1" applyFont="1" applyFill="1" applyBorder="1" applyAlignment="1">
      <alignment horizontal="right" vertical="top"/>
    </xf>
    <xf numFmtId="165" fontId="30" fillId="0" borderId="0" xfId="40" applyNumberFormat="1" applyFont="1" applyFill="1" applyBorder="1" applyAlignment="1">
      <alignment horizontal="left" wrapText="1"/>
    </xf>
    <xf numFmtId="0" fontId="45" fillId="0" borderId="0" xfId="0" applyFont="1" applyFill="1" applyBorder="1"/>
    <xf numFmtId="0" fontId="23" fillId="0" borderId="0" xfId="0" applyFont="1" applyBorder="1" applyAlignment="1">
      <alignment vertical="top" wrapText="1"/>
    </xf>
    <xf numFmtId="49" fontId="33" fillId="0" borderId="0" xfId="40" applyNumberFormat="1" applyFont="1" applyFill="1" applyBorder="1" applyAlignment="1">
      <alignment horizontal="left" vertical="top"/>
    </xf>
    <xf numFmtId="0" fontId="23" fillId="0" borderId="0" xfId="40" applyFont="1" applyFill="1" applyBorder="1" applyAlignment="1" applyProtection="1">
      <alignment horizontal="left" vertical="top"/>
    </xf>
    <xf numFmtId="0" fontId="23" fillId="0" borderId="0" xfId="40" applyFont="1" applyFill="1" applyBorder="1" applyAlignment="1">
      <alignment horizontal="left" vertical="top"/>
    </xf>
    <xf numFmtId="0" fontId="24" fillId="0" borderId="0" xfId="40" applyFont="1" applyFill="1" applyBorder="1" applyAlignment="1" applyProtection="1">
      <alignment horizontal="left" vertical="top" indent="1"/>
    </xf>
    <xf numFmtId="0" fontId="24" fillId="0" borderId="0" xfId="40" applyFont="1" applyFill="1" applyBorder="1" applyAlignment="1" applyProtection="1">
      <alignment horizontal="left" vertical="top" indent="2"/>
    </xf>
    <xf numFmtId="0" fontId="23" fillId="0" borderId="0" xfId="43" applyNumberFormat="1" applyFont="1" applyFill="1" applyBorder="1" applyAlignment="1">
      <alignment horizontal="left" vertical="top"/>
    </xf>
    <xf numFmtId="0" fontId="34" fillId="0" borderId="0" xfId="43" applyNumberFormat="1" applyFont="1" applyFill="1" applyBorder="1" applyAlignment="1">
      <alignment horizontal="left" vertical="top" wrapText="1"/>
    </xf>
    <xf numFmtId="0" fontId="45" fillId="0" borderId="0" xfId="40" applyNumberFormat="1" applyFont="1" applyFill="1" applyBorder="1" applyAlignment="1" applyProtection="1">
      <alignment horizontal="left" vertical="top" indent="1"/>
    </xf>
    <xf numFmtId="0" fontId="34" fillId="0" borderId="0" xfId="43" applyNumberFormat="1" applyFont="1" applyFill="1" applyBorder="1" applyAlignment="1">
      <alignment horizontal="left" vertical="top"/>
    </xf>
    <xf numFmtId="0" fontId="34" fillId="0" borderId="0" xfId="40" applyNumberFormat="1" applyFont="1" applyFill="1" applyBorder="1" applyAlignment="1" applyProtection="1">
      <alignment horizontal="left" vertical="top"/>
    </xf>
    <xf numFmtId="3" fontId="45" fillId="0" borderId="0" xfId="40" applyNumberFormat="1" applyFont="1" applyFill="1" applyBorder="1" applyAlignment="1" applyProtection="1">
      <alignment horizontal="right" vertical="top"/>
    </xf>
    <xf numFmtId="0" fontId="45" fillId="0" borderId="0" xfId="40" applyNumberFormat="1" applyFont="1" applyFill="1" applyBorder="1" applyAlignment="1" applyProtection="1">
      <alignment horizontal="left" vertical="top" wrapText="1" indent="2"/>
    </xf>
    <xf numFmtId="0" fontId="33" fillId="0" borderId="0" xfId="40" applyNumberFormat="1" applyFont="1" applyFill="1" applyBorder="1" applyAlignment="1">
      <alignment horizontal="left" vertical="top"/>
    </xf>
    <xf numFmtId="0" fontId="23" fillId="0" borderId="0" xfId="40" applyNumberFormat="1" applyFont="1" applyFill="1" applyBorder="1" applyAlignment="1" applyProtection="1">
      <alignment horizontal="left" vertical="top"/>
    </xf>
    <xf numFmtId="0" fontId="23" fillId="0" borderId="0" xfId="40" applyNumberFormat="1" applyFont="1" applyFill="1" applyBorder="1" applyAlignment="1">
      <alignment horizontal="left" vertical="top"/>
    </xf>
    <xf numFmtId="0" fontId="24" fillId="0" borderId="0" xfId="40" applyNumberFormat="1" applyFont="1" applyFill="1" applyBorder="1" applyAlignment="1" applyProtection="1">
      <alignment horizontal="left" vertical="top" indent="1"/>
    </xf>
    <xf numFmtId="0" fontId="24" fillId="0" borderId="0" xfId="40" applyNumberFormat="1" applyFont="1" applyFill="1" applyBorder="1" applyAlignment="1" applyProtection="1">
      <alignment horizontal="left" vertical="top" indent="2"/>
    </xf>
    <xf numFmtId="0" fontId="45" fillId="0" borderId="0" xfId="40" applyNumberFormat="1" applyFont="1" applyFill="1" applyBorder="1" applyAlignment="1" applyProtection="1">
      <alignment horizontal="left" vertical="top" indent="2"/>
    </xf>
    <xf numFmtId="0" fontId="33" fillId="0" borderId="0" xfId="40" applyNumberFormat="1" applyFont="1" applyFill="1" applyBorder="1" applyAlignment="1" applyProtection="1">
      <alignment horizontal="left" vertical="top"/>
    </xf>
    <xf numFmtId="3" fontId="23" fillId="0" borderId="0" xfId="40" applyNumberFormat="1" applyFont="1" applyFill="1" applyBorder="1" applyAlignment="1">
      <alignment horizontal="right" vertical="top"/>
    </xf>
    <xf numFmtId="3" fontId="24" fillId="0" borderId="0" xfId="40" applyNumberFormat="1" applyFont="1" applyFill="1" applyBorder="1" applyAlignment="1">
      <alignment horizontal="right" vertical="top"/>
    </xf>
    <xf numFmtId="0" fontId="24" fillId="0" borderId="0" xfId="40" applyNumberFormat="1" applyFont="1" applyFill="1" applyBorder="1" applyAlignment="1" applyProtection="1">
      <alignment horizontal="left" vertical="top" wrapText="1" indent="2"/>
    </xf>
    <xf numFmtId="0" fontId="24" fillId="0" borderId="0" xfId="40" applyNumberFormat="1" applyFont="1" applyFill="1" applyBorder="1" applyAlignment="1" applyProtection="1">
      <alignment horizontal="left" vertical="top" indent="3"/>
    </xf>
    <xf numFmtId="3" fontId="30" fillId="0" borderId="0" xfId="40" applyNumberFormat="1" applyFont="1" applyFill="1" applyBorder="1" applyAlignment="1">
      <alignment horizontal="right" vertical="top"/>
    </xf>
    <xf numFmtId="0" fontId="35" fillId="0" borderId="0" xfId="40" applyFont="1" applyFill="1" applyBorder="1" applyAlignment="1" applyProtection="1">
      <alignment horizontal="left" vertical="top" indent="2"/>
    </xf>
    <xf numFmtId="3" fontId="35" fillId="0" borderId="0" xfId="40" applyNumberFormat="1" applyFont="1" applyFill="1" applyBorder="1" applyAlignment="1" applyProtection="1">
      <alignment horizontal="right" vertical="top"/>
    </xf>
    <xf numFmtId="0" fontId="45" fillId="0" borderId="0" xfId="40" applyFont="1" applyFill="1" applyBorder="1" applyAlignment="1" applyProtection="1">
      <alignment horizontal="left" vertical="top" indent="3"/>
    </xf>
    <xf numFmtId="3" fontId="45" fillId="0" borderId="0" xfId="0" applyNumberFormat="1" applyFont="1" applyFill="1" applyBorder="1" applyAlignment="1">
      <alignment vertical="top"/>
    </xf>
    <xf numFmtId="0" fontId="35" fillId="0" borderId="0" xfId="43" applyNumberFormat="1" applyFont="1" applyFill="1" applyBorder="1" applyAlignment="1">
      <alignment horizontal="left" vertical="top" wrapText="1"/>
    </xf>
    <xf numFmtId="3" fontId="45" fillId="0" borderId="0" xfId="40" applyNumberFormat="1" applyFont="1" applyFill="1" applyBorder="1" applyAlignment="1">
      <alignment horizontal="right" vertical="top"/>
    </xf>
    <xf numFmtId="0" fontId="30" fillId="0" borderId="0" xfId="40" applyNumberFormat="1" applyFont="1" applyFill="1" applyBorder="1" applyAlignment="1" applyProtection="1">
      <alignment horizontal="left" vertical="top"/>
    </xf>
    <xf numFmtId="0" fontId="44" fillId="0" borderId="0" xfId="0" applyFont="1" applyFill="1"/>
    <xf numFmtId="0" fontId="21" fillId="0" borderId="0" xfId="40" applyNumberFormat="1" applyFont="1" applyFill="1" applyBorder="1" applyAlignment="1" applyProtection="1">
      <alignment horizontal="left" vertical="top" indent="3"/>
    </xf>
    <xf numFmtId="0" fontId="23" fillId="0" borderId="0" xfId="0" applyNumberFormat="1" applyFont="1" applyFill="1" applyAlignment="1">
      <alignment horizontal="left" vertical="top" indent="2"/>
    </xf>
    <xf numFmtId="0" fontId="21" fillId="0" borderId="0" xfId="40" applyNumberFormat="1" applyFont="1" applyFill="1" applyBorder="1" applyAlignment="1" applyProtection="1">
      <alignment horizontal="left" vertical="top" indent="2"/>
    </xf>
    <xf numFmtId="3" fontId="21" fillId="0" borderId="0" xfId="40" applyNumberFormat="1" applyFont="1" applyFill="1" applyBorder="1" applyAlignment="1">
      <alignment horizontal="right" vertical="top"/>
    </xf>
    <xf numFmtId="0" fontId="34" fillId="0" borderId="0" xfId="0" applyNumberFormat="1" applyFont="1" applyFill="1" applyAlignment="1">
      <alignment horizontal="left" vertical="top"/>
    </xf>
    <xf numFmtId="0" fontId="35" fillId="0" borderId="0" xfId="0" applyNumberFormat="1" applyFont="1" applyFill="1" applyAlignment="1">
      <alignment horizontal="left" vertical="top"/>
    </xf>
    <xf numFmtId="0" fontId="34" fillId="0" borderId="0" xfId="40" applyNumberFormat="1" applyFont="1" applyFill="1" applyBorder="1" applyAlignment="1" applyProtection="1">
      <alignment horizontal="left" vertical="top" wrapText="1"/>
    </xf>
    <xf numFmtId="3" fontId="30" fillId="0" borderId="0" xfId="40" applyNumberFormat="1" applyFont="1" applyFill="1" applyBorder="1" applyAlignment="1">
      <alignment horizontal="right" vertical="top" wrapText="1"/>
    </xf>
    <xf numFmtId="3" fontId="23" fillId="0" borderId="0" xfId="40" applyNumberFormat="1" applyFont="1" applyFill="1" applyBorder="1" applyAlignment="1" applyProtection="1">
      <alignment horizontal="right" vertical="top"/>
    </xf>
    <xf numFmtId="3" fontId="24" fillId="0" borderId="0" xfId="40" applyNumberFormat="1" applyFont="1" applyFill="1" applyBorder="1" applyAlignment="1" applyProtection="1">
      <alignment horizontal="right" vertical="top"/>
    </xf>
    <xf numFmtId="0" fontId="32" fillId="0" borderId="0" xfId="0" applyNumberFormat="1" applyFont="1" applyFill="1" applyBorder="1" applyAlignment="1">
      <alignment horizontal="left" vertical="top" wrapText="1" indent="1"/>
    </xf>
    <xf numFmtId="0" fontId="35" fillId="0" borderId="0" xfId="40" applyNumberFormat="1" applyFont="1" applyFill="1" applyBorder="1" applyAlignment="1" applyProtection="1">
      <alignment horizontal="left" vertical="top" indent="1"/>
    </xf>
    <xf numFmtId="0" fontId="21" fillId="0" borderId="0" xfId="40" applyNumberFormat="1" applyFont="1" applyFill="1" applyBorder="1" applyAlignment="1" applyProtection="1">
      <alignment horizontal="left" wrapText="1" indent="2"/>
    </xf>
    <xf numFmtId="0" fontId="35" fillId="0" borderId="0" xfId="40" applyNumberFormat="1" applyFont="1" applyFill="1" applyBorder="1" applyAlignment="1" applyProtection="1">
      <alignment horizontal="left" vertical="top" indent="3"/>
    </xf>
    <xf numFmtId="0" fontId="21" fillId="0" borderId="0" xfId="40" applyNumberFormat="1" applyFont="1" applyFill="1" applyBorder="1" applyAlignment="1" applyProtection="1">
      <alignment horizontal="left" vertical="top" indent="4"/>
    </xf>
    <xf numFmtId="0" fontId="21" fillId="0" borderId="0" xfId="40" applyNumberFormat="1" applyFont="1" applyFill="1" applyBorder="1" applyAlignment="1" applyProtection="1">
      <alignment horizontal="left" vertical="top" wrapText="1" indent="2"/>
    </xf>
    <xf numFmtId="0" fontId="31" fillId="0" borderId="0" xfId="40" applyNumberFormat="1" applyFont="1" applyFill="1" applyBorder="1" applyAlignment="1" applyProtection="1">
      <alignment horizontal="left" vertical="top"/>
    </xf>
    <xf numFmtId="3" fontId="31" fillId="0" borderId="0" xfId="0" applyNumberFormat="1" applyFont="1" applyFill="1" applyBorder="1" applyAlignment="1">
      <alignment vertical="top"/>
    </xf>
    <xf numFmtId="0" fontId="21" fillId="0" borderId="0" xfId="40" applyNumberFormat="1" applyFont="1" applyFill="1" applyBorder="1" applyAlignment="1" applyProtection="1">
      <alignment horizontal="left" vertical="top" indent="1"/>
    </xf>
    <xf numFmtId="0" fontId="33" fillId="0" borderId="0" xfId="40" applyNumberFormat="1" applyFont="1" applyFill="1" applyBorder="1" applyAlignment="1" applyProtection="1">
      <alignment horizontal="left" vertical="top" wrapText="1"/>
    </xf>
    <xf numFmtId="0" fontId="23" fillId="0" borderId="0" xfId="40" applyNumberFormat="1" applyFont="1" applyFill="1" applyBorder="1" applyAlignment="1" applyProtection="1">
      <alignment horizontal="left" vertical="top" wrapText="1"/>
    </xf>
    <xf numFmtId="0" fontId="23" fillId="0" borderId="0" xfId="40" applyNumberFormat="1" applyFont="1" applyFill="1" applyBorder="1" applyAlignment="1">
      <alignment horizontal="left" vertical="top" wrapText="1"/>
    </xf>
    <xf numFmtId="0" fontId="24" fillId="0" borderId="0" xfId="40" applyNumberFormat="1" applyFont="1" applyFill="1" applyBorder="1" applyAlignment="1" applyProtection="1">
      <alignment horizontal="left" vertical="top" wrapText="1" indent="1"/>
    </xf>
    <xf numFmtId="0" fontId="24" fillId="0" borderId="0" xfId="40" applyNumberFormat="1" applyFont="1" applyFill="1" applyBorder="1" applyAlignment="1" applyProtection="1">
      <alignment horizontal="left" vertical="top" wrapText="1" indent="3"/>
    </xf>
    <xf numFmtId="0" fontId="30" fillId="0" borderId="0" xfId="0" applyNumberFormat="1" applyFont="1" applyFill="1" applyBorder="1" applyAlignment="1">
      <alignment horizontal="left" vertical="top" wrapText="1"/>
    </xf>
    <xf numFmtId="0" fontId="23" fillId="0" borderId="0" xfId="0" applyNumberFormat="1" applyFont="1" applyFill="1" applyBorder="1" applyAlignment="1">
      <alignment horizontal="left" vertical="top" wrapText="1" indent="2"/>
    </xf>
    <xf numFmtId="0" fontId="45" fillId="0" borderId="0" xfId="40" applyNumberFormat="1" applyFont="1" applyFill="1" applyBorder="1" applyAlignment="1" applyProtection="1">
      <alignment horizontal="left" wrapText="1" indent="1"/>
    </xf>
    <xf numFmtId="0" fontId="45" fillId="0" borderId="0" xfId="40" applyNumberFormat="1" applyFont="1" applyFill="1" applyBorder="1" applyAlignment="1" applyProtection="1">
      <alignment horizontal="left" vertical="top" wrapText="1" indent="1"/>
    </xf>
    <xf numFmtId="0" fontId="35" fillId="0" borderId="0" xfId="40" applyNumberFormat="1" applyFont="1" applyFill="1" applyBorder="1" applyAlignment="1" applyProtection="1">
      <alignment horizontal="left" vertical="top" wrapText="1" indent="1"/>
    </xf>
    <xf numFmtId="0" fontId="32" fillId="0" borderId="0" xfId="40" applyNumberFormat="1" applyFont="1" applyFill="1" applyBorder="1" applyAlignment="1" applyProtection="1">
      <alignment horizontal="left" vertical="top" indent="1"/>
    </xf>
    <xf numFmtId="0" fontId="24" fillId="0" borderId="0" xfId="40" applyNumberFormat="1" applyFont="1" applyFill="1" applyBorder="1" applyAlignment="1" applyProtection="1">
      <alignment horizontal="left" vertical="top"/>
    </xf>
    <xf numFmtId="0" fontId="21" fillId="0" borderId="0" xfId="43" applyNumberFormat="1" applyFont="1" applyFill="1" applyBorder="1" applyAlignment="1">
      <alignment horizontal="left" vertical="top" indent="1"/>
    </xf>
    <xf numFmtId="0" fontId="35" fillId="0" borderId="0" xfId="43" quotePrefix="1" applyNumberFormat="1" applyFont="1" applyFill="1" applyBorder="1" applyAlignment="1">
      <alignment horizontal="left" vertical="top" wrapText="1" indent="1"/>
    </xf>
    <xf numFmtId="0" fontId="35" fillId="0" borderId="0" xfId="43" applyNumberFormat="1" applyFont="1" applyFill="1" applyBorder="1" applyAlignment="1">
      <alignment horizontal="left" vertical="top" wrapText="1" indent="1"/>
    </xf>
    <xf numFmtId="0" fontId="32" fillId="0" borderId="0" xfId="43" applyNumberFormat="1" applyFont="1" applyFill="1" applyBorder="1" applyAlignment="1">
      <alignment horizontal="left" vertical="top"/>
    </xf>
    <xf numFmtId="0" fontId="30" fillId="0" borderId="0" xfId="40" applyNumberFormat="1" applyFont="1" applyFill="1" applyBorder="1" applyAlignment="1">
      <alignment horizontal="left" vertical="top"/>
    </xf>
    <xf numFmtId="0" fontId="35" fillId="0" borderId="0" xfId="40" applyNumberFormat="1" applyFont="1" applyFill="1" applyBorder="1" applyAlignment="1" applyProtection="1">
      <alignment horizontal="left" vertical="top" wrapText="1" indent="2"/>
    </xf>
    <xf numFmtId="0" fontId="30" fillId="0" borderId="0" xfId="43" applyNumberFormat="1" applyFont="1" applyFill="1" applyBorder="1" applyAlignment="1">
      <alignment horizontal="left" vertical="top"/>
    </xf>
    <xf numFmtId="0" fontId="23" fillId="0" borderId="0" xfId="40" applyNumberFormat="1" applyFont="1" applyFill="1" applyBorder="1" applyAlignment="1" applyProtection="1">
      <alignment horizontal="left" vertical="top" indent="2"/>
    </xf>
    <xf numFmtId="0" fontId="32" fillId="0" borderId="0" xfId="40" applyNumberFormat="1" applyFont="1" applyFill="1" applyBorder="1" applyAlignment="1" applyProtection="1">
      <alignment horizontal="left" vertical="top" wrapText="1" indent="1"/>
    </xf>
    <xf numFmtId="0" fontId="23" fillId="0" borderId="0" xfId="43" applyNumberFormat="1" applyFont="1" applyFill="1" applyBorder="1" applyAlignment="1">
      <alignment horizontal="left" vertical="top" wrapText="1"/>
    </xf>
    <xf numFmtId="3" fontId="45" fillId="0" borderId="0" xfId="43" applyNumberFormat="1" applyFont="1" applyFill="1" applyBorder="1" applyAlignment="1">
      <alignment horizontal="right" vertical="top"/>
    </xf>
    <xf numFmtId="3" fontId="24" fillId="0" borderId="0" xfId="43" applyNumberFormat="1" applyFont="1" applyFill="1" applyBorder="1" applyAlignment="1">
      <alignment horizontal="right" vertical="top"/>
    </xf>
    <xf numFmtId="0" fontId="35" fillId="0" borderId="0" xfId="34" quotePrefix="1" applyNumberFormat="1" applyFont="1" applyFill="1" applyBorder="1" applyAlignment="1" applyProtection="1">
      <alignment horizontal="left" vertical="top" wrapText="1" indent="1"/>
    </xf>
    <xf numFmtId="0" fontId="34" fillId="0" borderId="0" xfId="40" applyNumberFormat="1" applyFont="1" applyFill="1" applyBorder="1" applyAlignment="1">
      <alignment horizontal="left" vertical="top" wrapText="1"/>
    </xf>
    <xf numFmtId="0" fontId="23" fillId="0" borderId="0" xfId="40" applyNumberFormat="1" applyFont="1" applyFill="1" applyBorder="1" applyAlignment="1" applyProtection="1">
      <alignment horizontal="left"/>
    </xf>
    <xf numFmtId="0" fontId="35" fillId="0" borderId="0" xfId="34" quotePrefix="1" applyNumberFormat="1" applyFont="1" applyFill="1" applyBorder="1" applyAlignment="1" applyProtection="1">
      <alignment horizontal="left" vertical="top" wrapText="1"/>
    </xf>
    <xf numFmtId="0" fontId="35" fillId="0" borderId="0" xfId="40" applyFont="1" applyFill="1" applyBorder="1" applyAlignment="1" applyProtection="1">
      <alignment horizontal="left" vertical="top" indent="1"/>
    </xf>
    <xf numFmtId="0" fontId="35" fillId="0" borderId="0" xfId="40" applyNumberFormat="1" applyFont="1" applyFill="1" applyBorder="1" applyAlignment="1" applyProtection="1">
      <alignment horizontal="left" vertical="top" wrapText="1" indent="4"/>
    </xf>
    <xf numFmtId="0" fontId="23" fillId="0" borderId="0" xfId="43" applyNumberFormat="1" applyFont="1" applyFill="1" applyBorder="1" applyAlignment="1">
      <alignment horizontal="left" vertical="top" indent="2"/>
    </xf>
    <xf numFmtId="0" fontId="31" fillId="0" borderId="0" xfId="40" applyFont="1" applyFill="1" applyBorder="1" applyAlignment="1" applyProtection="1">
      <alignment horizontal="left" vertical="top" indent="1"/>
    </xf>
    <xf numFmtId="0" fontId="33" fillId="0" borderId="0" xfId="40" applyNumberFormat="1" applyFont="1" applyFill="1" applyBorder="1" applyAlignment="1">
      <alignment horizontal="left"/>
    </xf>
    <xf numFmtId="0" fontId="24" fillId="0" borderId="0" xfId="40" applyNumberFormat="1" applyFont="1" applyFill="1" applyBorder="1" applyAlignment="1" applyProtection="1">
      <alignment horizontal="left" indent="1"/>
    </xf>
    <xf numFmtId="0" fontId="24" fillId="0" borderId="0" xfId="40" applyNumberFormat="1" applyFont="1" applyFill="1" applyBorder="1" applyAlignment="1" applyProtection="1">
      <alignment horizontal="left" indent="2"/>
    </xf>
    <xf numFmtId="3" fontId="23" fillId="0" borderId="0" xfId="0" applyNumberFormat="1" applyFont="1"/>
    <xf numFmtId="0" fontId="48" fillId="0" borderId="0" xfId="0" applyFont="1" applyBorder="1"/>
    <xf numFmtId="0" fontId="48" fillId="0" borderId="0" xfId="0" applyFont="1" applyBorder="1" applyAlignment="1">
      <alignment horizontal="left" indent="1"/>
    </xf>
    <xf numFmtId="0" fontId="48" fillId="0" borderId="0" xfId="0" applyFont="1" applyBorder="1" applyAlignment="1">
      <alignment wrapText="1"/>
    </xf>
    <xf numFmtId="0" fontId="22" fillId="0" borderId="0" xfId="0" applyFont="1" applyFill="1" applyBorder="1" applyAlignment="1">
      <alignment horizontal="left"/>
    </xf>
    <xf numFmtId="0" fontId="40" fillId="0" borderId="0" xfId="0" applyFont="1" applyBorder="1"/>
    <xf numFmtId="0" fontId="21" fillId="0" borderId="0" xfId="0" applyFont="1" applyBorder="1"/>
    <xf numFmtId="0" fontId="48" fillId="0" borderId="0" xfId="0" applyFont="1" applyFill="1" applyBorder="1" applyAlignment="1" applyProtection="1">
      <alignment horizontal="left" vertical="top" wrapText="1"/>
      <protection locked="0"/>
    </xf>
    <xf numFmtId="0" fontId="23" fillId="0" borderId="0" xfId="0" applyFont="1"/>
    <xf numFmtId="165" fontId="0" fillId="0" borderId="0" xfId="0" applyNumberFormat="1"/>
    <xf numFmtId="0" fontId="27" fillId="0" borderId="0" xfId="0" applyFont="1"/>
    <xf numFmtId="3" fontId="27" fillId="0" borderId="0" xfId="0" applyNumberFormat="1" applyFont="1"/>
    <xf numFmtId="0" fontId="1" fillId="0" borderId="0" xfId="0" applyFont="1" applyAlignment="1">
      <alignment horizontal="left" indent="3"/>
    </xf>
    <xf numFmtId="3" fontId="1" fillId="0" borderId="0" xfId="0" applyNumberFormat="1" applyFont="1"/>
    <xf numFmtId="0" fontId="1" fillId="0" borderId="0" xfId="0" applyFont="1" applyAlignment="1">
      <alignment horizontal="left" indent="5"/>
    </xf>
    <xf numFmtId="0" fontId="0" fillId="0" borderId="0" xfId="0" applyAlignment="1">
      <alignment horizontal="left" indent="3"/>
    </xf>
    <xf numFmtId="0" fontId="0" fillId="0" borderId="0" xfId="0" applyAlignment="1">
      <alignment horizontal="left" indent="5"/>
    </xf>
    <xf numFmtId="3" fontId="21" fillId="0" borderId="0" xfId="0" applyNumberFormat="1" applyFont="1"/>
    <xf numFmtId="165" fontId="40" fillId="0" borderId="0" xfId="0" applyNumberFormat="1" applyFont="1"/>
    <xf numFmtId="0" fontId="33" fillId="0" borderId="0" xfId="40" applyFont="1" applyFill="1" applyBorder="1" applyAlignment="1" applyProtection="1">
      <alignment horizontal="left" vertical="top"/>
    </xf>
    <xf numFmtId="0" fontId="34" fillId="0" borderId="0" xfId="40" applyFont="1" applyFill="1" applyBorder="1" applyAlignment="1" applyProtection="1">
      <alignment horizontal="left" vertical="top"/>
    </xf>
    <xf numFmtId="0" fontId="45" fillId="0" borderId="0" xfId="40" applyFont="1" applyFill="1" applyBorder="1" applyAlignment="1" applyProtection="1">
      <alignment horizontal="left" vertical="top" indent="1"/>
    </xf>
    <xf numFmtId="0" fontId="24" fillId="0" borderId="0" xfId="40" applyFont="1" applyFill="1" applyBorder="1" applyAlignment="1" applyProtection="1">
      <alignment horizontal="left" vertical="top"/>
    </xf>
    <xf numFmtId="0" fontId="34" fillId="0" borderId="0" xfId="43" applyFont="1" applyFill="1" applyBorder="1" applyAlignment="1">
      <alignment horizontal="left" vertical="top"/>
    </xf>
    <xf numFmtId="0" fontId="32" fillId="0" borderId="0" xfId="0" applyFont="1" applyFill="1" applyAlignment="1">
      <alignment horizontal="left" vertical="top" indent="1"/>
    </xf>
    <xf numFmtId="0" fontId="35" fillId="0" borderId="0" xfId="0" quotePrefix="1" applyNumberFormat="1" applyFont="1" applyFill="1" applyAlignment="1">
      <alignment horizontal="left" wrapText="1" indent="1"/>
    </xf>
    <xf numFmtId="49" fontId="31" fillId="0" borderId="0" xfId="0" applyNumberFormat="1" applyFont="1" applyFill="1" applyAlignment="1">
      <alignment horizontal="left" vertical="top"/>
    </xf>
    <xf numFmtId="49" fontId="32" fillId="0" borderId="0" xfId="0" applyNumberFormat="1" applyFont="1" applyFill="1" applyAlignment="1">
      <alignment horizontal="left" vertical="top" indent="1"/>
    </xf>
    <xf numFmtId="49" fontId="23" fillId="0" borderId="0" xfId="43" applyNumberFormat="1" applyFont="1" applyFill="1" applyBorder="1" applyAlignment="1">
      <alignment horizontal="left" vertical="top"/>
    </xf>
    <xf numFmtId="0" fontId="32" fillId="0" borderId="0" xfId="0" applyNumberFormat="1" applyFont="1" applyFill="1" applyAlignment="1">
      <alignment horizontal="left" vertical="top" indent="1"/>
    </xf>
    <xf numFmtId="49" fontId="35" fillId="0" borderId="0" xfId="0" quotePrefix="1" applyNumberFormat="1" applyFont="1" applyFill="1" applyAlignment="1">
      <alignment horizontal="left" indent="1"/>
    </xf>
    <xf numFmtId="0" fontId="45" fillId="0" borderId="0" xfId="40" applyNumberFormat="1" applyFont="1" applyFill="1" applyBorder="1" applyAlignment="1" applyProtection="1">
      <alignment horizontal="left" vertical="top" indent="4"/>
    </xf>
    <xf numFmtId="0" fontId="30" fillId="0" borderId="0" xfId="0" applyNumberFormat="1" applyFont="1" applyFill="1" applyAlignment="1">
      <alignment horizontal="left" vertical="top"/>
    </xf>
    <xf numFmtId="0" fontId="23" fillId="0" borderId="0" xfId="34" applyNumberFormat="1" applyFont="1" applyFill="1" applyBorder="1" applyAlignment="1" applyProtection="1">
      <alignment horizontal="left" vertical="top" wrapText="1" indent="2"/>
    </xf>
    <xf numFmtId="0" fontId="24" fillId="0" borderId="0" xfId="40" applyNumberFormat="1" applyFont="1" applyFill="1" applyBorder="1" applyAlignment="1" applyProtection="1">
      <alignment horizontal="left"/>
    </xf>
    <xf numFmtId="0" fontId="35" fillId="0" borderId="0" xfId="40" applyNumberFormat="1" applyFont="1" applyFill="1" applyBorder="1" applyAlignment="1" applyProtection="1">
      <alignment horizontal="left" vertical="top" indent="5"/>
    </xf>
    <xf numFmtId="0" fontId="21" fillId="0" borderId="0" xfId="40" applyNumberFormat="1" applyFont="1" applyFill="1" applyBorder="1" applyAlignment="1" applyProtection="1">
      <alignment horizontal="left" vertical="top" wrapText="1" indent="6"/>
    </xf>
    <xf numFmtId="0" fontId="23" fillId="0" borderId="0" xfId="0" applyNumberFormat="1" applyFont="1" applyFill="1" applyAlignment="1">
      <alignment horizontal="left" vertical="top"/>
    </xf>
    <xf numFmtId="0" fontId="21" fillId="0" borderId="0" xfId="0" applyNumberFormat="1" applyFont="1" applyFill="1" applyAlignment="1">
      <alignment horizontal="left" vertical="top" wrapText="1" indent="2"/>
    </xf>
    <xf numFmtId="0" fontId="24" fillId="0" borderId="0" xfId="0" applyNumberFormat="1" applyFont="1" applyFill="1" applyAlignment="1">
      <alignment horizontal="left" vertical="top"/>
    </xf>
    <xf numFmtId="49" fontId="35" fillId="0" borderId="0" xfId="34" quotePrefix="1" applyNumberFormat="1" applyFont="1" applyFill="1" applyBorder="1" applyAlignment="1" applyProtection="1">
      <alignment horizontal="left" vertical="top" wrapText="1" indent="1"/>
    </xf>
    <xf numFmtId="0" fontId="35" fillId="0" borderId="0" xfId="0" applyNumberFormat="1" applyFont="1" applyFill="1" applyAlignment="1">
      <alignment horizontal="left" wrapText="1" indent="3"/>
    </xf>
    <xf numFmtId="0" fontId="35" fillId="0" borderId="0" xfId="34" applyNumberFormat="1" applyFont="1" applyFill="1" applyBorder="1" applyAlignment="1" applyProtection="1">
      <alignment horizontal="left" vertical="top" wrapText="1"/>
    </xf>
    <xf numFmtId="0" fontId="21" fillId="0" borderId="0" xfId="34" applyNumberFormat="1" applyFont="1" applyFill="1" applyBorder="1" applyAlignment="1" applyProtection="1">
      <alignment horizontal="left" vertical="top" wrapText="1" indent="3"/>
    </xf>
    <xf numFmtId="0" fontId="32" fillId="0" borderId="0" xfId="0" applyNumberFormat="1" applyFont="1" applyFill="1" applyAlignment="1">
      <alignment horizontal="left" vertical="top" wrapText="1" indent="1"/>
    </xf>
    <xf numFmtId="49" fontId="21" fillId="0" borderId="0" xfId="0" applyNumberFormat="1" applyFont="1" applyFill="1" applyAlignment="1">
      <alignment horizontal="left" vertical="top" indent="4"/>
    </xf>
    <xf numFmtId="0" fontId="31" fillId="0" borderId="0" xfId="0" applyNumberFormat="1" applyFont="1" applyFill="1" applyAlignment="1">
      <alignment horizontal="left" vertical="top"/>
    </xf>
    <xf numFmtId="0" fontId="24" fillId="0" borderId="0" xfId="0" applyNumberFormat="1" applyFont="1" applyFill="1" applyAlignment="1">
      <alignment horizontal="left" vertical="top" indent="2"/>
    </xf>
    <xf numFmtId="0" fontId="34" fillId="0" borderId="0" xfId="40" applyFont="1" applyFill="1" applyBorder="1" applyAlignment="1" applyProtection="1">
      <alignment horizontal="left" vertical="top" wrapText="1"/>
    </xf>
    <xf numFmtId="0" fontId="24" fillId="0" borderId="0" xfId="40" applyFont="1" applyFill="1" applyBorder="1" applyAlignment="1" applyProtection="1">
      <alignment horizontal="left" vertical="top" wrapText="1" indent="1"/>
    </xf>
    <xf numFmtId="0" fontId="21" fillId="0" borderId="0" xfId="40" applyNumberFormat="1" applyFont="1" applyFill="1" applyAlignment="1">
      <alignment horizontal="left" vertical="top" indent="4"/>
    </xf>
    <xf numFmtId="0" fontId="21" fillId="0" borderId="0" xfId="40" applyNumberFormat="1" applyFont="1" applyFill="1" applyAlignment="1">
      <alignment horizontal="left" vertical="top" wrapText="1" indent="2"/>
    </xf>
    <xf numFmtId="0" fontId="21" fillId="0" borderId="0" xfId="40" applyNumberFormat="1" applyFont="1" applyFill="1" applyAlignment="1">
      <alignment horizontal="left" vertical="top" indent="2"/>
    </xf>
    <xf numFmtId="0" fontId="21" fillId="0" borderId="0" xfId="40" applyNumberFormat="1" applyFont="1" applyFill="1" applyAlignment="1">
      <alignment horizontal="left" vertical="top" wrapText="1" indent="4"/>
    </xf>
    <xf numFmtId="0" fontId="21" fillId="0" borderId="0" xfId="40" applyFont="1" applyFill="1" applyBorder="1" applyAlignment="1" applyProtection="1">
      <alignment horizontal="left" vertical="top" wrapText="1" indent="4"/>
    </xf>
    <xf numFmtId="0" fontId="35" fillId="0" borderId="0" xfId="40" quotePrefix="1" applyNumberFormat="1" applyFont="1" applyFill="1" applyBorder="1" applyAlignment="1" applyProtection="1">
      <alignment horizontal="left" vertical="top"/>
    </xf>
    <xf numFmtId="0" fontId="21" fillId="0" borderId="0" xfId="40" applyNumberFormat="1" applyFont="1" applyFill="1" applyBorder="1" applyAlignment="1" applyProtection="1">
      <alignment horizontal="left" vertical="top"/>
    </xf>
    <xf numFmtId="0" fontId="33" fillId="0" borderId="0" xfId="0" applyNumberFormat="1" applyFont="1" applyFill="1" applyAlignment="1">
      <alignment horizontal="left" vertical="top"/>
    </xf>
    <xf numFmtId="3" fontId="23" fillId="0" borderId="0" xfId="0" applyNumberFormat="1" applyFont="1" applyFill="1" applyAlignment="1">
      <alignment horizontal="right" vertical="top"/>
    </xf>
    <xf numFmtId="3" fontId="24" fillId="0" borderId="0" xfId="0" applyNumberFormat="1" applyFont="1" applyFill="1" applyAlignment="1">
      <alignment horizontal="right" vertical="top"/>
    </xf>
    <xf numFmtId="3" fontId="45" fillId="0" borderId="0" xfId="0" applyNumberFormat="1" applyFont="1" applyFill="1" applyAlignment="1">
      <alignment horizontal="right" vertical="top"/>
    </xf>
    <xf numFmtId="3" fontId="35" fillId="0" borderId="0" xfId="0" applyNumberFormat="1" applyFont="1" applyFill="1" applyAlignment="1">
      <alignment horizontal="right" vertical="top" wrapText="1"/>
    </xf>
    <xf numFmtId="3" fontId="21" fillId="0" borderId="0" xfId="40" applyNumberFormat="1" applyFont="1" applyFill="1" applyAlignment="1">
      <alignment horizontal="right" vertical="top"/>
    </xf>
    <xf numFmtId="3" fontId="24" fillId="0" borderId="0" xfId="40" applyNumberFormat="1" applyFont="1" applyFill="1" applyAlignment="1">
      <alignment horizontal="right" vertical="top"/>
    </xf>
    <xf numFmtId="3" fontId="23" fillId="0" borderId="0" xfId="40" applyNumberFormat="1" applyFont="1" applyFill="1" applyAlignment="1">
      <alignment horizontal="right" vertical="top"/>
    </xf>
    <xf numFmtId="3" fontId="21" fillId="0" borderId="0" xfId="0" applyNumberFormat="1" applyFont="1" applyFill="1" applyAlignment="1">
      <alignment horizontal="right" vertical="top"/>
    </xf>
    <xf numFmtId="3" fontId="30" fillId="0" borderId="0" xfId="0" applyNumberFormat="1" applyFont="1" applyFill="1" applyAlignment="1">
      <alignment horizontal="right" vertical="top"/>
    </xf>
    <xf numFmtId="3" fontId="21" fillId="0" borderId="0" xfId="0" applyNumberFormat="1" applyFont="1" applyFill="1" applyAlignment="1">
      <alignment vertical="top"/>
    </xf>
    <xf numFmtId="3" fontId="31" fillId="0" borderId="0" xfId="0" applyNumberFormat="1" applyFont="1" applyFill="1" applyAlignment="1">
      <alignment horizontal="right" vertical="top"/>
    </xf>
    <xf numFmtId="3" fontId="35" fillId="0" borderId="0" xfId="0" applyNumberFormat="1" applyFont="1" applyFill="1" applyAlignment="1">
      <alignment horizontal="right" vertical="top"/>
    </xf>
    <xf numFmtId="3" fontId="33" fillId="0" borderId="0" xfId="0" applyNumberFormat="1" applyFont="1" applyFill="1" applyAlignment="1">
      <alignment vertical="top"/>
    </xf>
    <xf numFmtId="3" fontId="31" fillId="0" borderId="0" xfId="0" applyNumberFormat="1" applyFont="1" applyFill="1" applyAlignment="1">
      <alignment vertical="top"/>
    </xf>
    <xf numFmtId="0" fontId="49" fillId="0" borderId="0" xfId="0" applyFont="1" applyFill="1" applyBorder="1"/>
    <xf numFmtId="0" fontId="16" fillId="0" borderId="0" xfId="0" applyFont="1" applyBorder="1" applyAlignment="1">
      <alignment horizontal="left" indent="1"/>
    </xf>
    <xf numFmtId="3" fontId="34" fillId="0" borderId="0" xfId="0" applyNumberFormat="1" applyFont="1" applyBorder="1" applyAlignment="1"/>
    <xf numFmtId="3" fontId="16" fillId="0" borderId="0" xfId="0" applyNumberFormat="1" applyFont="1" applyBorder="1" applyAlignment="1"/>
    <xf numFmtId="0" fontId="16" fillId="0" borderId="0" xfId="0" applyFont="1" applyBorder="1" applyAlignment="1">
      <alignment horizontal="left" wrapText="1" indent="4"/>
    </xf>
    <xf numFmtId="3" fontId="23" fillId="0" borderId="0" xfId="0" applyNumberFormat="1" applyFont="1" applyBorder="1" applyAlignment="1"/>
    <xf numFmtId="0" fontId="48" fillId="0" borderId="0" xfId="0" applyFont="1" applyBorder="1" applyAlignment="1">
      <alignment horizontal="left" wrapText="1"/>
    </xf>
    <xf numFmtId="3" fontId="48" fillId="0" borderId="0" xfId="0" applyNumberFormat="1" applyFont="1" applyBorder="1" applyAlignment="1"/>
    <xf numFmtId="0" fontId="16" fillId="0" borderId="0" xfId="0" applyFont="1" applyFill="1" applyBorder="1" applyAlignment="1" applyProtection="1">
      <alignment horizontal="left" vertical="top" wrapText="1" indent="4"/>
      <protection locked="0"/>
    </xf>
    <xf numFmtId="0" fontId="21" fillId="0" borderId="0" xfId="0" applyFont="1" applyFill="1" applyBorder="1" applyAlignment="1" applyProtection="1">
      <alignment horizontal="left" vertical="top" wrapText="1"/>
      <protection locked="0"/>
    </xf>
    <xf numFmtId="0" fontId="48" fillId="0" borderId="0" xfId="0" applyFont="1" applyBorder="1" applyAlignment="1"/>
    <xf numFmtId="0" fontId="34" fillId="0" borderId="0" xfId="0" applyFont="1" applyBorder="1"/>
    <xf numFmtId="3" fontId="16" fillId="0" borderId="0" xfId="0" applyNumberFormat="1" applyFont="1" applyBorder="1" applyAlignment="1">
      <alignment vertical="top"/>
    </xf>
    <xf numFmtId="3" fontId="48" fillId="0" borderId="0" xfId="0" applyNumberFormat="1" applyFont="1" applyBorder="1" applyAlignment="1">
      <alignment vertical="top"/>
    </xf>
    <xf numFmtId="0" fontId="21" fillId="0" borderId="0" xfId="0" applyNumberFormat="1" applyFont="1" applyFill="1" applyAlignment="1">
      <alignment horizontal="left" vertical="top" indent="2"/>
    </xf>
    <xf numFmtId="3" fontId="0" fillId="0" borderId="0" xfId="0" applyNumberFormat="1" applyFill="1" applyBorder="1"/>
    <xf numFmtId="0" fontId="41" fillId="0" borderId="0" xfId="0" applyFont="1" applyFill="1" applyBorder="1" applyAlignment="1">
      <alignment horizontal="left" indent="1"/>
    </xf>
    <xf numFmtId="0" fontId="48" fillId="0" borderId="0" xfId="0" applyFont="1" applyBorder="1" applyAlignment="1">
      <alignment horizontal="left" indent="4"/>
    </xf>
    <xf numFmtId="0" fontId="48" fillId="0" borderId="0" xfId="0" applyFont="1" applyBorder="1" applyAlignment="1">
      <alignment horizontal="left" wrapText="1" indent="4"/>
    </xf>
    <xf numFmtId="0" fontId="48" fillId="0" borderId="0" xfId="0" applyFont="1" applyFill="1" applyBorder="1"/>
    <xf numFmtId="0" fontId="48" fillId="0" borderId="0" xfId="0" applyFont="1" applyBorder="1" applyAlignment="1">
      <alignment horizontal="left" wrapText="1" indent="3"/>
    </xf>
    <xf numFmtId="0" fontId="23" fillId="0" borderId="0" xfId="0" applyFont="1" applyFill="1" applyBorder="1" applyAlignment="1">
      <alignment horizontal="left" indent="2"/>
    </xf>
    <xf numFmtId="0" fontId="16" fillId="0" borderId="0" xfId="0" applyFont="1" applyFill="1" applyBorder="1" applyAlignment="1">
      <alignment horizontal="left" indent="3"/>
    </xf>
    <xf numFmtId="0" fontId="34" fillId="0" borderId="0" xfId="0" applyFont="1" applyFill="1" applyAlignment="1">
      <alignment vertical="top" wrapText="1"/>
    </xf>
    <xf numFmtId="0" fontId="23" fillId="0" borderId="0" xfId="0" applyFont="1" applyFill="1" applyAlignment="1">
      <alignment wrapText="1"/>
    </xf>
    <xf numFmtId="0" fontId="35" fillId="0" borderId="0" xfId="34" applyNumberFormat="1" applyFont="1" applyFill="1" applyBorder="1" applyAlignment="1" applyProtection="1">
      <alignment horizontal="left" vertical="top" wrapText="1" indent="3"/>
    </xf>
    <xf numFmtId="0" fontId="21" fillId="0" borderId="0" xfId="34" applyNumberFormat="1" applyFont="1" applyFill="1" applyBorder="1" applyAlignment="1" applyProtection="1">
      <alignment horizontal="left" vertical="top" wrapText="1" indent="4"/>
    </xf>
    <xf numFmtId="3" fontId="16" fillId="0" borderId="0" xfId="0" applyNumberFormat="1" applyFont="1" applyFill="1" applyAlignment="1">
      <alignment vertical="top"/>
    </xf>
    <xf numFmtId="3" fontId="23" fillId="0" borderId="0" xfId="43" applyNumberFormat="1" applyFont="1" applyFill="1" applyBorder="1" applyAlignment="1">
      <alignment horizontal="right" vertical="top"/>
    </xf>
    <xf numFmtId="3" fontId="32" fillId="0" borderId="0" xfId="0" applyNumberFormat="1" applyFont="1" applyFill="1"/>
    <xf numFmtId="3" fontId="33" fillId="0" borderId="10" xfId="0" applyNumberFormat="1" applyFont="1" applyFill="1" applyBorder="1"/>
    <xf numFmtId="3" fontId="33" fillId="0" borderId="0" xfId="0" applyNumberFormat="1" applyFont="1" applyFill="1" applyBorder="1"/>
    <xf numFmtId="0" fontId="50" fillId="24" borderId="15" xfId="0" applyFont="1" applyFill="1" applyBorder="1" applyAlignment="1" applyProtection="1">
      <alignment horizontal="left" vertical="top"/>
      <protection locked="0"/>
    </xf>
    <xf numFmtId="3" fontId="23" fillId="24" borderId="15" xfId="0" applyNumberFormat="1" applyFont="1" applyFill="1" applyBorder="1" applyAlignment="1" applyProtection="1">
      <alignment vertical="top"/>
      <protection locked="0"/>
    </xf>
    <xf numFmtId="0" fontId="41" fillId="0" borderId="16" xfId="0" applyFont="1" applyFill="1" applyBorder="1" applyAlignment="1" applyProtection="1">
      <alignment horizontal="right" vertical="top" wrapText="1"/>
      <protection locked="0"/>
    </xf>
    <xf numFmtId="0" fontId="51" fillId="0" borderId="17" xfId="0" applyFont="1" applyFill="1" applyBorder="1" applyAlignment="1" applyProtection="1">
      <alignment horizontal="left" vertical="top"/>
      <protection locked="0"/>
    </xf>
    <xf numFmtId="3" fontId="41" fillId="0" borderId="17" xfId="0" applyNumberFormat="1" applyFont="1" applyFill="1" applyBorder="1" applyAlignment="1" applyProtection="1">
      <alignment vertical="top"/>
      <protection locked="0"/>
    </xf>
    <xf numFmtId="0" fontId="41" fillId="0" borderId="18" xfId="0" applyFont="1" applyFill="1" applyBorder="1" applyAlignment="1" applyProtection="1">
      <alignment horizontal="left" vertical="top" wrapText="1"/>
      <protection locked="0"/>
    </xf>
    <xf numFmtId="0" fontId="51" fillId="0" borderId="18" xfId="0" applyFont="1" applyFill="1" applyBorder="1" applyAlignment="1" applyProtection="1">
      <alignment horizontal="center" vertical="top" wrapText="1"/>
    </xf>
    <xf numFmtId="0" fontId="51" fillId="0" borderId="12" xfId="0" applyFont="1" applyFill="1" applyBorder="1" applyAlignment="1" applyProtection="1">
      <alignment horizontal="center" vertical="top" wrapText="1"/>
    </xf>
    <xf numFmtId="0" fontId="23" fillId="0" borderId="19" xfId="0" applyFont="1" applyFill="1" applyBorder="1" applyAlignment="1" applyProtection="1">
      <alignment horizontal="left" vertical="top" wrapText="1"/>
      <protection locked="0"/>
    </xf>
    <xf numFmtId="0" fontId="50" fillId="0" borderId="15" xfId="0" applyFont="1" applyFill="1" applyBorder="1" applyAlignment="1" applyProtection="1">
      <alignment horizontal="left" vertical="top"/>
      <protection locked="0"/>
    </xf>
    <xf numFmtId="3" fontId="23" fillId="0" borderId="15" xfId="0" applyNumberFormat="1" applyFont="1" applyFill="1" applyBorder="1" applyAlignment="1" applyProtection="1">
      <alignment vertical="top"/>
      <protection locked="0"/>
    </xf>
    <xf numFmtId="0" fontId="41" fillId="0" borderId="20" xfId="0" applyFont="1" applyFill="1" applyBorder="1" applyAlignment="1" applyProtection="1">
      <alignment horizontal="right" vertical="top" wrapText="1"/>
      <protection locked="0"/>
    </xf>
    <xf numFmtId="0" fontId="41" fillId="0" borderId="19" xfId="0" applyFont="1" applyFill="1" applyBorder="1" applyAlignment="1" applyProtection="1">
      <alignment horizontal="right" vertical="top" wrapText="1"/>
      <protection locked="0"/>
    </xf>
    <xf numFmtId="0" fontId="41" fillId="0" borderId="15" xfId="0" applyFont="1" applyFill="1" applyBorder="1" applyAlignment="1" applyProtection="1">
      <alignment horizontal="left" vertical="top" wrapText="1"/>
      <protection locked="0"/>
    </xf>
    <xf numFmtId="0" fontId="23" fillId="25" borderId="15" xfId="0" applyFont="1" applyFill="1" applyBorder="1" applyAlignment="1" applyProtection="1">
      <alignment horizontal="left" vertical="top" wrapText="1"/>
      <protection locked="0"/>
    </xf>
    <xf numFmtId="0" fontId="50" fillId="25" borderId="15" xfId="0" applyFont="1" applyFill="1" applyBorder="1" applyAlignment="1" applyProtection="1">
      <alignment horizontal="left" vertical="top"/>
      <protection locked="0"/>
    </xf>
    <xf numFmtId="3" fontId="23" fillId="25" borderId="15" xfId="0" applyNumberFormat="1" applyFont="1" applyFill="1" applyBorder="1" applyAlignment="1" applyProtection="1">
      <alignment vertical="top"/>
      <protection locked="0"/>
    </xf>
    <xf numFmtId="0" fontId="50" fillId="0" borderId="17" xfId="0" applyFont="1" applyFill="1" applyBorder="1" applyAlignment="1" applyProtection="1">
      <alignment horizontal="left" vertical="top"/>
      <protection locked="0"/>
    </xf>
    <xf numFmtId="3" fontId="23" fillId="0" borderId="17" xfId="0" applyNumberFormat="1" applyFont="1" applyFill="1" applyBorder="1" applyAlignment="1" applyProtection="1">
      <alignment vertical="top"/>
      <protection locked="0"/>
    </xf>
    <xf numFmtId="0" fontId="23" fillId="0" borderId="20" xfId="0" applyFont="1" applyFill="1" applyBorder="1" applyAlignment="1" applyProtection="1">
      <alignment horizontal="left" vertical="top" wrapText="1"/>
      <protection locked="0"/>
    </xf>
    <xf numFmtId="0" fontId="51" fillId="0" borderId="15" xfId="0" applyFont="1" applyFill="1" applyBorder="1" applyAlignment="1" applyProtection="1">
      <alignment horizontal="left" vertical="top"/>
      <protection locked="0"/>
    </xf>
    <xf numFmtId="3" fontId="41" fillId="0" borderId="15" xfId="0" applyNumberFormat="1" applyFont="1" applyFill="1" applyBorder="1" applyAlignment="1" applyProtection="1">
      <alignment vertical="top"/>
      <protection locked="0"/>
    </xf>
    <xf numFmtId="0" fontId="41" fillId="0" borderId="17" xfId="0" applyFont="1" applyFill="1" applyBorder="1" applyAlignment="1" applyProtection="1">
      <alignment horizontal="left" vertical="top" wrapText="1"/>
      <protection locked="0"/>
    </xf>
    <xf numFmtId="0" fontId="51" fillId="0" borderId="20" xfId="0" applyFont="1" applyFill="1" applyBorder="1" applyAlignment="1" applyProtection="1">
      <alignment horizontal="left" vertical="top"/>
      <protection locked="0"/>
    </xf>
    <xf numFmtId="3" fontId="41" fillId="0" borderId="20" xfId="0" applyNumberFormat="1" applyFont="1" applyFill="1" applyBorder="1" applyAlignment="1" applyProtection="1">
      <alignment vertical="top"/>
      <protection locked="0"/>
    </xf>
    <xf numFmtId="0" fontId="23" fillId="25" borderId="17" xfId="0" applyFont="1" applyFill="1" applyBorder="1" applyAlignment="1" applyProtection="1">
      <alignment horizontal="left" vertical="top" wrapText="1"/>
      <protection locked="0"/>
    </xf>
    <xf numFmtId="0" fontId="50" fillId="25" borderId="17" xfId="0" applyFont="1" applyFill="1" applyBorder="1" applyAlignment="1" applyProtection="1">
      <alignment horizontal="left" vertical="top"/>
      <protection locked="0"/>
    </xf>
    <xf numFmtId="3" fontId="23" fillId="25" borderId="17" xfId="0" applyNumberFormat="1" applyFont="1" applyFill="1" applyBorder="1" applyAlignment="1" applyProtection="1">
      <alignment vertical="top"/>
      <protection locked="0"/>
    </xf>
    <xf numFmtId="0" fontId="39" fillId="0" borderId="17" xfId="0" applyFont="1" applyFill="1" applyBorder="1" applyAlignment="1" applyProtection="1">
      <alignment horizontal="left" vertical="top" wrapText="1"/>
      <protection locked="0"/>
    </xf>
    <xf numFmtId="0" fontId="53" fillId="0" borderId="17" xfId="0" applyFont="1" applyFill="1" applyBorder="1" applyAlignment="1" applyProtection="1">
      <alignment horizontal="left" vertical="top"/>
      <protection locked="0"/>
    </xf>
    <xf numFmtId="3" fontId="39" fillId="0" borderId="17" xfId="0" applyNumberFormat="1" applyFont="1" applyFill="1" applyBorder="1" applyAlignment="1" applyProtection="1">
      <alignment vertical="top"/>
      <protection locked="0"/>
    </xf>
    <xf numFmtId="0" fontId="41" fillId="0" borderId="20" xfId="0" applyFont="1" applyFill="1" applyBorder="1" applyAlignment="1" applyProtection="1">
      <alignment horizontal="left" vertical="top" wrapText="1"/>
      <protection locked="0"/>
    </xf>
    <xf numFmtId="3" fontId="41" fillId="0" borderId="19" xfId="0" applyNumberFormat="1" applyFont="1" applyFill="1" applyBorder="1" applyAlignment="1" applyProtection="1">
      <alignment vertical="top"/>
      <protection locked="0"/>
    </xf>
    <xf numFmtId="0" fontId="47" fillId="0" borderId="14" xfId="0" applyFont="1" applyFill="1" applyBorder="1" applyAlignment="1" applyProtection="1">
      <alignment horizontal="right" vertical="top" wrapText="1"/>
      <protection locked="0"/>
    </xf>
    <xf numFmtId="0" fontId="47" fillId="0" borderId="17" xfId="0" applyFont="1" applyFill="1" applyBorder="1" applyAlignment="1" applyProtection="1">
      <alignment horizontal="left" vertical="top"/>
      <protection locked="0"/>
    </xf>
    <xf numFmtId="3" fontId="47" fillId="0" borderId="17" xfId="0" applyNumberFormat="1" applyFont="1" applyFill="1" applyBorder="1" applyAlignment="1" applyProtection="1">
      <alignment vertical="top"/>
      <protection locked="0"/>
    </xf>
    <xf numFmtId="0" fontId="41" fillId="0" borderId="11" xfId="0" applyFont="1" applyFill="1" applyBorder="1" applyAlignment="1" applyProtection="1">
      <alignment horizontal="left" vertical="top" wrapText="1"/>
      <protection locked="0"/>
    </xf>
    <xf numFmtId="0" fontId="51" fillId="0" borderId="12" xfId="0" applyFont="1" applyFill="1" applyBorder="1" applyAlignment="1" applyProtection="1">
      <alignment horizontal="left" vertical="top"/>
      <protection locked="0"/>
    </xf>
    <xf numFmtId="3" fontId="41" fillId="0" borderId="12" xfId="0" applyNumberFormat="1" applyFont="1" applyFill="1" applyBorder="1" applyAlignment="1" applyProtection="1">
      <alignment vertical="top"/>
      <protection locked="0"/>
    </xf>
    <xf numFmtId="3" fontId="41" fillId="0" borderId="13" xfId="0" applyNumberFormat="1" applyFont="1" applyFill="1" applyBorder="1" applyAlignment="1" applyProtection="1">
      <alignment vertical="top"/>
      <protection locked="0"/>
    </xf>
    <xf numFmtId="0" fontId="23" fillId="0" borderId="15" xfId="0" applyFont="1" applyFill="1" applyBorder="1" applyAlignment="1" applyProtection="1">
      <alignment horizontal="left" vertical="top" wrapText="1"/>
      <protection locked="0"/>
    </xf>
    <xf numFmtId="0" fontId="47" fillId="0" borderId="17" xfId="0" applyFont="1" applyFill="1" applyBorder="1" applyAlignment="1" applyProtection="1">
      <alignment horizontal="left" vertical="top" wrapText="1" indent="1"/>
      <protection locked="0"/>
    </xf>
    <xf numFmtId="0" fontId="48" fillId="0" borderId="17" xfId="0" applyFont="1" applyFill="1" applyBorder="1" applyAlignment="1" applyProtection="1">
      <alignment horizontal="left" vertical="top"/>
      <protection locked="0"/>
    </xf>
    <xf numFmtId="0" fontId="47" fillId="0" borderId="15" xfId="0" applyFont="1" applyFill="1" applyBorder="1" applyAlignment="1" applyProtection="1">
      <alignment horizontal="left" vertical="top" wrapText="1" indent="1"/>
      <protection locked="0"/>
    </xf>
    <xf numFmtId="0" fontId="54" fillId="0" borderId="17" xfId="0" applyFont="1" applyFill="1" applyBorder="1" applyAlignment="1" applyProtection="1">
      <alignment horizontal="left" vertical="top"/>
      <protection locked="0"/>
    </xf>
    <xf numFmtId="0" fontId="23" fillId="0" borderId="11" xfId="0" applyFont="1" applyFill="1" applyBorder="1" applyAlignment="1" applyProtection="1">
      <alignment horizontal="left" vertical="top" wrapText="1"/>
      <protection locked="0"/>
    </xf>
    <xf numFmtId="3" fontId="23" fillId="0" borderId="13" xfId="0" applyNumberFormat="1" applyFont="1" applyFill="1" applyBorder="1" applyAlignment="1" applyProtection="1">
      <alignment vertical="top"/>
      <protection locked="0"/>
    </xf>
    <xf numFmtId="0" fontId="41" fillId="0" borderId="19" xfId="0" applyFont="1" applyFill="1" applyBorder="1" applyAlignment="1" applyProtection="1">
      <alignment horizontal="left" vertical="top" wrapText="1"/>
      <protection locked="0"/>
    </xf>
    <xf numFmtId="0" fontId="41" fillId="0" borderId="15" xfId="0" applyFont="1" applyFill="1" applyBorder="1" applyAlignment="1" applyProtection="1">
      <alignment horizontal="right" vertical="top" wrapText="1"/>
      <protection locked="0"/>
    </xf>
    <xf numFmtId="0" fontId="22" fillId="0" borderId="0" xfId="0" applyFont="1" applyBorder="1" applyAlignment="1">
      <alignment horizontal="left" wrapText="1"/>
    </xf>
    <xf numFmtId="49" fontId="35" fillId="0" borderId="0" xfId="0" applyNumberFormat="1" applyFont="1" applyFill="1" applyAlignment="1">
      <alignment horizontal="left" vertical="top" wrapText="1" indent="3"/>
    </xf>
    <xf numFmtId="0" fontId="34" fillId="0" borderId="0" xfId="0" applyFont="1" applyFill="1" applyBorder="1" applyAlignment="1">
      <alignment vertical="top" wrapText="1"/>
    </xf>
    <xf numFmtId="3" fontId="45" fillId="0" borderId="0" xfId="0" applyNumberFormat="1" applyFont="1" applyFill="1" applyBorder="1" applyAlignment="1">
      <alignment horizontal="right" vertical="top"/>
    </xf>
    <xf numFmtId="0" fontId="24" fillId="0" borderId="0" xfId="0" applyFont="1" applyFill="1" applyBorder="1" applyAlignment="1">
      <alignment vertical="top" wrapText="1"/>
    </xf>
    <xf numFmtId="0" fontId="24" fillId="0" borderId="0" xfId="0" applyFont="1" applyFill="1" applyBorder="1" applyAlignment="1">
      <alignment horizontal="left" vertical="top" wrapText="1" indent="2"/>
    </xf>
    <xf numFmtId="0" fontId="35" fillId="0" borderId="0" xfId="40" applyNumberFormat="1" applyFont="1" applyFill="1" applyBorder="1" applyAlignment="1" applyProtection="1">
      <alignment horizontal="left" vertical="top" indent="2"/>
    </xf>
    <xf numFmtId="0" fontId="45" fillId="0" borderId="0" xfId="40" applyFont="1" applyFill="1" applyBorder="1" applyAlignment="1" applyProtection="1">
      <alignment horizontal="left" vertical="top" indent="4"/>
    </xf>
    <xf numFmtId="0" fontId="0" fillId="0" borderId="0" xfId="0" applyBorder="1"/>
    <xf numFmtId="3" fontId="0" fillId="0" borderId="0" xfId="0" applyNumberFormat="1"/>
    <xf numFmtId="0" fontId="0" fillId="0" borderId="0" xfId="0" applyFill="1" applyBorder="1"/>
    <xf numFmtId="0" fontId="0" fillId="0" borderId="0" xfId="0"/>
    <xf numFmtId="0" fontId="22" fillId="0" borderId="0" xfId="0" applyFont="1" applyBorder="1" applyAlignment="1">
      <alignment horizontal="left"/>
    </xf>
    <xf numFmtId="0" fontId="41" fillId="0" borderId="0" xfId="0" applyFont="1"/>
    <xf numFmtId="0" fontId="41" fillId="0" borderId="0" xfId="0" applyFont="1" applyFill="1" applyBorder="1" applyAlignment="1">
      <alignment horizontal="right"/>
    </xf>
    <xf numFmtId="2" fontId="16"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6" fillId="0" borderId="0" xfId="0" applyFont="1" applyFill="1" applyAlignment="1">
      <alignment horizontal="left" vertical="top"/>
    </xf>
    <xf numFmtId="0" fontId="16" fillId="0" borderId="0" xfId="0" applyFont="1" applyFill="1" applyAlignment="1">
      <alignment horizontal="left"/>
    </xf>
    <xf numFmtId="16" fontId="16" fillId="0" borderId="0" xfId="0" applyNumberFormat="1" applyFont="1" applyFill="1" applyBorder="1" applyAlignment="1">
      <alignment horizontal="left" vertical="top"/>
    </xf>
    <xf numFmtId="3" fontId="23" fillId="0" borderId="0" xfId="0" applyNumberFormat="1" applyFont="1" applyFill="1" applyBorder="1" applyAlignment="1">
      <alignment horizontal="right" vertical="top"/>
    </xf>
    <xf numFmtId="3" fontId="16" fillId="0" borderId="0" xfId="0" applyNumberFormat="1" applyFont="1" applyFill="1" applyBorder="1" applyAlignment="1">
      <alignment horizontal="right" vertical="top"/>
    </xf>
    <xf numFmtId="3" fontId="24" fillId="0" borderId="0" xfId="0" applyNumberFormat="1" applyFont="1" applyFill="1" applyBorder="1" applyAlignment="1">
      <alignment horizontal="right" vertical="top" indent="3"/>
    </xf>
    <xf numFmtId="3" fontId="0" fillId="0" borderId="0" xfId="0" applyNumberFormat="1" applyFont="1" applyFill="1" applyBorder="1" applyAlignment="1">
      <alignment vertical="top"/>
    </xf>
    <xf numFmtId="3" fontId="1" fillId="26" borderId="0" xfId="0" applyNumberFormat="1" applyFont="1" applyFill="1" applyAlignment="1"/>
    <xf numFmtId="0" fontId="48" fillId="0" borderId="0" xfId="0" applyFont="1" applyBorder="1" applyAlignment="1">
      <alignment vertical="top" wrapText="1"/>
    </xf>
    <xf numFmtId="0" fontId="48" fillId="0" borderId="0" xfId="0" applyFont="1" applyFill="1" applyBorder="1" applyAlignment="1">
      <alignment wrapText="1"/>
    </xf>
    <xf numFmtId="3" fontId="48" fillId="0" borderId="0" xfId="0" applyNumberFormat="1" applyFont="1" applyFill="1" applyBorder="1" applyAlignment="1"/>
    <xf numFmtId="0" fontId="23" fillId="0" borderId="11" xfId="0" applyFont="1" applyBorder="1" applyAlignment="1">
      <alignment horizontal="left" indent="1"/>
    </xf>
    <xf numFmtId="3" fontId="23" fillId="0" borderId="12" xfId="0" applyNumberFormat="1" applyFont="1" applyFill="1" applyBorder="1"/>
    <xf numFmtId="0" fontId="23" fillId="27" borderId="19" xfId="0" applyFont="1" applyFill="1" applyBorder="1" applyAlignment="1" applyProtection="1">
      <alignment horizontal="left" vertical="top" wrapText="1"/>
      <protection locked="0"/>
    </xf>
    <xf numFmtId="0" fontId="50" fillId="27" borderId="15" xfId="0" applyFont="1" applyFill="1" applyBorder="1" applyAlignment="1" applyProtection="1">
      <alignment horizontal="left" vertical="top"/>
      <protection locked="0"/>
    </xf>
    <xf numFmtId="3" fontId="23" fillId="27" borderId="17" xfId="0" applyNumberFormat="1" applyFont="1" applyFill="1" applyBorder="1" applyAlignment="1" applyProtection="1">
      <alignment vertical="top"/>
      <protection locked="0"/>
    </xf>
    <xf numFmtId="3" fontId="41" fillId="0" borderId="11" xfId="0" applyNumberFormat="1" applyFont="1" applyFill="1" applyBorder="1" applyAlignment="1" applyProtection="1">
      <alignment vertical="top"/>
      <protection locked="0"/>
    </xf>
    <xf numFmtId="3" fontId="23" fillId="0" borderId="11" xfId="0" applyNumberFormat="1" applyFont="1" applyFill="1" applyBorder="1" applyAlignment="1" applyProtection="1">
      <alignment vertical="top"/>
      <protection locked="0"/>
    </xf>
    <xf numFmtId="0" fontId="35" fillId="0" borderId="15" xfId="0" applyFont="1" applyFill="1" applyBorder="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0" fontId="51" fillId="0" borderId="19" xfId="0" applyFont="1" applyFill="1" applyBorder="1" applyAlignment="1" applyProtection="1">
      <alignment horizontal="left" vertical="top"/>
      <protection locked="0"/>
    </xf>
    <xf numFmtId="0" fontId="39" fillId="0" borderId="20" xfId="0" applyFont="1" applyFill="1" applyBorder="1" applyAlignment="1" applyProtection="1">
      <alignment horizontal="left" vertical="top" wrapText="1"/>
      <protection locked="0"/>
    </xf>
    <xf numFmtId="3" fontId="41" fillId="0" borderId="14" xfId="0" applyNumberFormat="1" applyFont="1" applyFill="1" applyBorder="1" applyAlignment="1" applyProtection="1">
      <alignment vertical="top"/>
      <protection locked="0"/>
    </xf>
    <xf numFmtId="3" fontId="41" fillId="0" borderId="18" xfId="0" applyNumberFormat="1" applyFont="1" applyFill="1" applyBorder="1" applyAlignment="1" applyProtection="1">
      <alignment vertical="top"/>
      <protection locked="0"/>
    </xf>
    <xf numFmtId="0" fontId="48" fillId="0" borderId="21" xfId="0" applyFont="1" applyFill="1" applyBorder="1" applyAlignment="1" applyProtection="1">
      <alignment horizontal="left" vertical="top"/>
      <protection locked="0"/>
    </xf>
    <xf numFmtId="0" fontId="51" fillId="0" borderId="13" xfId="0" applyFont="1" applyFill="1" applyBorder="1" applyAlignment="1" applyProtection="1">
      <alignment horizontal="left" vertical="top"/>
      <protection locked="0"/>
    </xf>
    <xf numFmtId="0" fontId="47" fillId="0" borderId="15" xfId="0" applyFont="1" applyFill="1" applyBorder="1" applyAlignment="1" applyProtection="1">
      <alignment horizontal="left" vertical="top"/>
      <protection locked="0"/>
    </xf>
    <xf numFmtId="3" fontId="47" fillId="0" borderId="15" xfId="0" applyNumberFormat="1" applyFont="1" applyFill="1" applyBorder="1" applyAlignment="1" applyProtection="1">
      <alignment vertical="top"/>
      <protection locked="0"/>
    </xf>
    <xf numFmtId="3" fontId="47" fillId="0" borderId="17" xfId="0" applyNumberFormat="1" applyFont="1" applyBorder="1"/>
    <xf numFmtId="0" fontId="47" fillId="0" borderId="20" xfId="0" applyFont="1" applyFill="1" applyBorder="1" applyAlignment="1" applyProtection="1">
      <alignment horizontal="left" vertical="top" wrapText="1" indent="1"/>
      <protection locked="0"/>
    </xf>
    <xf numFmtId="3" fontId="56" fillId="0" borderId="17" xfId="0" applyNumberFormat="1" applyFont="1" applyFill="1" applyBorder="1" applyAlignment="1" applyProtection="1">
      <alignment vertical="top"/>
      <protection locked="0"/>
    </xf>
    <xf numFmtId="0" fontId="21" fillId="0" borderId="17" xfId="0" applyFont="1" applyFill="1" applyBorder="1" applyAlignment="1" applyProtection="1">
      <alignment horizontal="left" vertical="top"/>
      <protection locked="0"/>
    </xf>
    <xf numFmtId="3" fontId="21" fillId="0" borderId="17" xfId="0" applyNumberFormat="1" applyFont="1" applyFill="1" applyBorder="1" applyAlignment="1" applyProtection="1">
      <alignment vertical="top"/>
      <protection locked="0"/>
    </xf>
    <xf numFmtId="0" fontId="52" fillId="24" borderId="17" xfId="0" applyFont="1" applyFill="1" applyBorder="1" applyAlignment="1" applyProtection="1">
      <alignment horizontal="left" vertical="top"/>
      <protection locked="0"/>
    </xf>
    <xf numFmtId="3" fontId="40" fillId="24" borderId="17" xfId="0" applyNumberFormat="1" applyFont="1" applyFill="1" applyBorder="1"/>
    <xf numFmtId="0" fontId="40" fillId="25" borderId="17" xfId="0" applyFont="1" applyFill="1" applyBorder="1" applyAlignment="1" applyProtection="1">
      <alignment horizontal="left" vertical="top" wrapText="1"/>
      <protection locked="0"/>
    </xf>
    <xf numFmtId="0" fontId="52" fillId="25" borderId="17" xfId="0" applyFont="1" applyFill="1" applyBorder="1" applyAlignment="1" applyProtection="1">
      <alignment horizontal="left" vertical="top"/>
      <protection locked="0"/>
    </xf>
    <xf numFmtId="3" fontId="40" fillId="25" borderId="17" xfId="0" applyNumberFormat="1" applyFont="1" applyFill="1" applyBorder="1" applyAlignment="1" applyProtection="1">
      <alignment vertical="top"/>
      <protection locked="0"/>
    </xf>
    <xf numFmtId="0" fontId="21" fillId="0" borderId="17" xfId="39" applyNumberFormat="1" applyFont="1" applyFill="1" applyBorder="1" applyAlignment="1" applyProtection="1">
      <alignment horizontal="left" vertical="top" indent="1"/>
    </xf>
    <xf numFmtId="0" fontId="23" fillId="24" borderId="17" xfId="0" applyFont="1" applyFill="1" applyBorder="1" applyAlignment="1" applyProtection="1">
      <alignment horizontal="left" vertical="top" wrapText="1"/>
      <protection locked="0"/>
    </xf>
    <xf numFmtId="0" fontId="50" fillId="24" borderId="17" xfId="0" applyFont="1" applyFill="1" applyBorder="1" applyAlignment="1" applyProtection="1">
      <alignment horizontal="left" vertical="top"/>
      <protection locked="0"/>
    </xf>
    <xf numFmtId="3" fontId="23" fillId="24" borderId="17" xfId="0" applyNumberFormat="1" applyFont="1" applyFill="1" applyBorder="1" applyAlignment="1" applyProtection="1">
      <alignment vertical="top"/>
      <protection locked="0"/>
    </xf>
    <xf numFmtId="0" fontId="34" fillId="0" borderId="0" xfId="42" applyNumberFormat="1" applyFont="1" applyFill="1" applyBorder="1" applyAlignment="1">
      <alignment horizontal="left" vertical="top"/>
    </xf>
    <xf numFmtId="0" fontId="34" fillId="0" borderId="0" xfId="39" applyNumberFormat="1" applyFont="1" applyFill="1" applyBorder="1" applyAlignment="1" applyProtection="1">
      <alignment horizontal="left" vertical="top" wrapText="1"/>
    </xf>
    <xf numFmtId="3" fontId="24" fillId="0" borderId="0" xfId="40" applyNumberFormat="1" applyFont="1" applyFill="1" applyBorder="1" applyAlignment="1">
      <alignment vertical="top"/>
    </xf>
    <xf numFmtId="0" fontId="45" fillId="0" borderId="0" xfId="40" applyNumberFormat="1" applyFont="1" applyFill="1" applyBorder="1" applyAlignment="1" applyProtection="1">
      <alignment horizontal="left" vertical="top"/>
    </xf>
    <xf numFmtId="0" fontId="21" fillId="0" borderId="0" xfId="40" applyNumberFormat="1" applyFont="1" applyFill="1" applyAlignment="1">
      <alignment horizontal="left" vertical="top" wrapText="1" indent="1"/>
    </xf>
    <xf numFmtId="49" fontId="35" fillId="0" borderId="0" xfId="40" quotePrefix="1" applyNumberFormat="1" applyFont="1" applyFill="1" applyBorder="1" applyAlignment="1" applyProtection="1">
      <alignment horizontal="left" indent="1"/>
    </xf>
    <xf numFmtId="3" fontId="0" fillId="0" borderId="0" xfId="0" applyNumberFormat="1" applyFill="1"/>
    <xf numFmtId="0" fontId="1" fillId="0" borderId="0" xfId="34" applyNumberFormat="1" applyFont="1" applyFill="1" applyBorder="1" applyAlignment="1" applyProtection="1">
      <alignment horizontal="left" vertical="top" wrapText="1"/>
    </xf>
    <xf numFmtId="0" fontId="1" fillId="0" borderId="0" xfId="40" applyNumberFormat="1" applyFont="1" applyFill="1" applyBorder="1" applyAlignment="1" applyProtection="1">
      <alignment horizontal="left" vertical="top" indent="2"/>
    </xf>
    <xf numFmtId="0" fontId="21" fillId="0" borderId="0" xfId="40" applyNumberFormat="1" applyFont="1" applyFill="1" applyBorder="1" applyAlignment="1" applyProtection="1">
      <alignment horizontal="left" vertical="top" indent="5"/>
    </xf>
    <xf numFmtId="3" fontId="1" fillId="0" borderId="0" xfId="0" applyNumberFormat="1" applyFont="1" applyFill="1"/>
    <xf numFmtId="0" fontId="58" fillId="0" borderId="0" xfId="0" applyFont="1" applyAlignment="1">
      <alignment vertical="top" wrapText="1"/>
    </xf>
    <xf numFmtId="0" fontId="1" fillId="0" borderId="0" xfId="43" applyNumberFormat="1" applyFont="1" applyFill="1" applyBorder="1" applyAlignment="1">
      <alignment horizontal="left" vertical="top" indent="1"/>
    </xf>
    <xf numFmtId="3" fontId="23" fillId="0" borderId="0" xfId="43" applyNumberFormat="1" applyFont="1" applyFill="1" applyBorder="1" applyAlignment="1">
      <alignment vertical="top"/>
    </xf>
    <xf numFmtId="3" fontId="1" fillId="0" borderId="0" xfId="43" applyNumberFormat="1" applyFont="1" applyFill="1" applyBorder="1" applyAlignment="1">
      <alignment vertical="top"/>
    </xf>
    <xf numFmtId="0" fontId="1" fillId="0" borderId="0" xfId="43" applyNumberFormat="1" applyFont="1" applyFill="1" applyBorder="1" applyAlignment="1">
      <alignment horizontal="left" vertical="top" indent="3"/>
    </xf>
    <xf numFmtId="0" fontId="45" fillId="0" borderId="0" xfId="43" applyNumberFormat="1" applyFont="1" applyFill="1" applyBorder="1" applyAlignment="1">
      <alignment horizontal="left" vertical="top" indent="4"/>
    </xf>
    <xf numFmtId="3" fontId="45" fillId="0" borderId="0" xfId="43" applyNumberFormat="1" applyFont="1" applyFill="1" applyBorder="1" applyAlignment="1">
      <alignment vertical="top"/>
    </xf>
    <xf numFmtId="0" fontId="1" fillId="0" borderId="0" xfId="43" applyNumberFormat="1" applyFont="1" applyFill="1" applyBorder="1" applyAlignment="1">
      <alignment horizontal="left" vertical="top" wrapText="1" indent="3"/>
    </xf>
    <xf numFmtId="0" fontId="21" fillId="0" borderId="0" xfId="40" applyNumberFormat="1" applyFont="1" applyFill="1" applyBorder="1" applyAlignment="1">
      <alignment horizontal="left" vertical="top" wrapText="1" indent="2"/>
    </xf>
    <xf numFmtId="0" fontId="1" fillId="0" borderId="0" xfId="0" applyNumberFormat="1" applyFont="1" applyFill="1" applyAlignment="1">
      <alignment horizontal="left" vertical="top"/>
    </xf>
    <xf numFmtId="3" fontId="21" fillId="0" borderId="0" xfId="0" applyNumberFormat="1" applyFont="1" applyFill="1" applyBorder="1"/>
    <xf numFmtId="49" fontId="24" fillId="0" borderId="0" xfId="0" applyNumberFormat="1" applyFont="1" applyFill="1" applyBorder="1" applyAlignment="1">
      <alignment horizontal="left" wrapText="1" indent="2"/>
    </xf>
    <xf numFmtId="3" fontId="42" fillId="0" borderId="0" xfId="0" applyNumberFormat="1" applyFont="1" applyFill="1" applyBorder="1"/>
    <xf numFmtId="0" fontId="1" fillId="0" borderId="0" xfId="49"/>
    <xf numFmtId="0" fontId="30" fillId="0" borderId="0" xfId="49" applyFont="1"/>
    <xf numFmtId="0" fontId="50" fillId="0" borderId="0" xfId="49" applyFont="1" applyAlignment="1">
      <alignment horizontal="center"/>
    </xf>
    <xf numFmtId="0" fontId="23" fillId="0" borderId="0" xfId="49" applyFont="1"/>
    <xf numFmtId="0" fontId="48" fillId="0" borderId="0" xfId="49" applyFont="1" applyAlignment="1">
      <alignment horizontal="right"/>
    </xf>
    <xf numFmtId="3" fontId="1" fillId="0" borderId="0" xfId="49" applyNumberFormat="1"/>
    <xf numFmtId="0" fontId="35" fillId="0" borderId="0" xfId="40" applyNumberFormat="1" applyFont="1" applyFill="1" applyBorder="1" applyAlignment="1" applyProtection="1">
      <alignment horizontal="left" vertical="top" wrapText="1" indent="5"/>
    </xf>
    <xf numFmtId="0" fontId="1" fillId="0" borderId="12" xfId="0" applyFont="1" applyFill="1" applyBorder="1"/>
    <xf numFmtId="3" fontId="1" fillId="0" borderId="15" xfId="0" applyNumberFormat="1" applyFont="1" applyFill="1" applyBorder="1" applyAlignment="1" applyProtection="1">
      <alignment vertical="top"/>
      <protection locked="0"/>
    </xf>
    <xf numFmtId="3" fontId="1" fillId="0" borderId="12" xfId="0" applyNumberFormat="1" applyFont="1" applyFill="1" applyBorder="1" applyAlignment="1" applyProtection="1">
      <alignment horizontal="center" vertical="top" wrapText="1"/>
    </xf>
    <xf numFmtId="3" fontId="41" fillId="0" borderId="16" xfId="0" applyNumberFormat="1" applyFont="1" applyFill="1" applyBorder="1" applyAlignment="1" applyProtection="1">
      <alignment vertical="top"/>
      <protection locked="0"/>
    </xf>
    <xf numFmtId="3" fontId="1" fillId="0" borderId="18" xfId="0" applyNumberFormat="1" applyFont="1" applyFill="1" applyBorder="1" applyAlignment="1" applyProtection="1">
      <alignment vertical="top"/>
      <protection locked="0"/>
    </xf>
    <xf numFmtId="0" fontId="56" fillId="0" borderId="17" xfId="0" applyFont="1" applyFill="1" applyBorder="1" applyAlignment="1" applyProtection="1">
      <alignment horizontal="left" vertical="top"/>
      <protection locked="0"/>
    </xf>
    <xf numFmtId="0" fontId="57" fillId="0" borderId="17" xfId="0" applyFont="1" applyFill="1" applyBorder="1" applyAlignment="1" applyProtection="1">
      <alignment horizontal="left" vertical="top"/>
      <protection locked="0"/>
    </xf>
    <xf numFmtId="3" fontId="57" fillId="0" borderId="17" xfId="0" applyNumberFormat="1" applyFont="1" applyFill="1" applyBorder="1" applyAlignment="1" applyProtection="1">
      <alignment vertical="top"/>
      <protection locked="0"/>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51" fillId="0" borderId="0" xfId="0" applyFont="1" applyFill="1" applyBorder="1" applyAlignment="1" applyProtection="1">
      <alignment horizontal="left" vertical="top"/>
      <protection locked="0"/>
    </xf>
    <xf numFmtId="0" fontId="51" fillId="0" borderId="0" xfId="0" applyFont="1" applyFill="1" applyBorder="1" applyAlignment="1" applyProtection="1">
      <alignment horizontal="left" vertical="top" wrapText="1"/>
    </xf>
    <xf numFmtId="0" fontId="1" fillId="0" borderId="0" xfId="34" applyNumberFormat="1" applyFont="1" applyFill="1" applyBorder="1" applyAlignment="1" applyProtection="1">
      <alignment horizontal="left" vertical="top" wrapText="1" indent="2"/>
    </xf>
    <xf numFmtId="0" fontId="35" fillId="0" borderId="0" xfId="40" applyNumberFormat="1" applyFont="1" applyFill="1" applyAlignment="1">
      <alignment horizontal="left" vertical="top" indent="4"/>
    </xf>
    <xf numFmtId="0" fontId="1" fillId="0" borderId="0" xfId="34" applyNumberFormat="1" applyFont="1" applyFill="1" applyBorder="1" applyAlignment="1" applyProtection="1">
      <alignment horizontal="left" vertical="top" indent="2"/>
    </xf>
    <xf numFmtId="0" fontId="21" fillId="0" borderId="0" xfId="40" applyNumberFormat="1" applyFont="1" applyFill="1" applyBorder="1" applyAlignment="1" applyProtection="1">
      <alignment horizontal="left" vertical="top" wrapText="1"/>
    </xf>
    <xf numFmtId="3" fontId="55" fillId="0" borderId="0" xfId="0" applyNumberFormat="1" applyFont="1" applyFill="1"/>
    <xf numFmtId="14" fontId="23" fillId="0" borderId="0" xfId="0" applyNumberFormat="1" applyFont="1" applyFill="1" applyBorder="1" applyAlignment="1">
      <alignment horizontal="left"/>
    </xf>
    <xf numFmtId="2" fontId="1" fillId="0" borderId="0" xfId="0" applyNumberFormat="1" applyFont="1" applyFill="1" applyBorder="1" applyAlignment="1">
      <alignment horizontal="left" vertical="top" indent="1"/>
    </xf>
    <xf numFmtId="2" fontId="21" fillId="0" borderId="0" xfId="0" applyNumberFormat="1" applyFont="1" applyFill="1" applyBorder="1" applyAlignment="1">
      <alignment horizontal="left" vertical="top" indent="2"/>
    </xf>
    <xf numFmtId="3" fontId="0" fillId="0" borderId="0" xfId="0" applyNumberFormat="1" applyBorder="1"/>
    <xf numFmtId="0" fontId="0" fillId="0" borderId="0" xfId="0" applyAlignment="1">
      <alignment horizontal="left" indent="2"/>
    </xf>
    <xf numFmtId="0" fontId="1" fillId="0" borderId="0" xfId="0" applyFont="1" applyFill="1" applyBorder="1" applyAlignment="1">
      <alignment horizontal="left" vertical="top" wrapText="1"/>
    </xf>
    <xf numFmtId="0" fontId="1" fillId="0" borderId="0" xfId="0" applyFont="1" applyBorder="1" applyAlignment="1">
      <alignment horizontal="left" indent="1"/>
    </xf>
    <xf numFmtId="0" fontId="1" fillId="0" borderId="0" xfId="0" applyFont="1" applyBorder="1"/>
    <xf numFmtId="0" fontId="45" fillId="0" borderId="0" xfId="0" applyNumberFormat="1" applyFont="1" applyFill="1" applyAlignment="1">
      <alignment horizontal="left" vertical="top" indent="3"/>
    </xf>
    <xf numFmtId="3" fontId="45" fillId="0" borderId="0" xfId="0" applyNumberFormat="1" applyFont="1" applyFill="1" applyAlignment="1">
      <alignment vertical="top"/>
    </xf>
    <xf numFmtId="0" fontId="35" fillId="0" borderId="0" xfId="43" applyNumberFormat="1" applyFont="1" applyFill="1" applyBorder="1" applyAlignment="1">
      <alignment horizontal="left" vertical="top" wrapText="1" indent="2"/>
    </xf>
    <xf numFmtId="0" fontId="34" fillId="0" borderId="0" xfId="0" applyFont="1" applyBorder="1" applyAlignment="1">
      <alignment horizontal="left" indent="2"/>
    </xf>
    <xf numFmtId="0" fontId="48" fillId="0" borderId="0" xfId="0" applyFont="1" applyBorder="1" applyAlignment="1">
      <alignment horizontal="left" indent="3"/>
    </xf>
    <xf numFmtId="0" fontId="47" fillId="0" borderId="17" xfId="0" applyFont="1" applyFill="1" applyBorder="1" applyAlignment="1" applyProtection="1">
      <alignment horizontal="left" vertical="top" wrapText="1" indent="2"/>
      <protection locked="0"/>
    </xf>
    <xf numFmtId="0" fontId="21" fillId="0" borderId="17" xfId="0" applyFont="1" applyBorder="1" applyAlignment="1">
      <alignment horizontal="left" indent="2"/>
    </xf>
    <xf numFmtId="0" fontId="21" fillId="0" borderId="20" xfId="0" applyFont="1" applyBorder="1" applyAlignment="1">
      <alignment horizontal="left" indent="2"/>
    </xf>
    <xf numFmtId="0" fontId="5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indent="1"/>
    </xf>
    <xf numFmtId="3" fontId="1" fillId="0" borderId="17" xfId="0" applyNumberFormat="1" applyFont="1" applyFill="1" applyBorder="1" applyAlignment="1" applyProtection="1">
      <alignment vertical="top"/>
      <protection locked="0"/>
    </xf>
    <xf numFmtId="165" fontId="61" fillId="0" borderId="12" xfId="39" applyNumberFormat="1" applyFont="1" applyFill="1" applyBorder="1" applyAlignment="1">
      <alignment horizontal="right" vertical="top" wrapText="1"/>
    </xf>
    <xf numFmtId="0" fontId="51" fillId="0" borderId="0" xfId="0" applyFont="1" applyFill="1" applyBorder="1" applyAlignment="1" applyProtection="1">
      <alignment horizontal="left" vertical="top" wrapText="1"/>
      <protection locked="0"/>
    </xf>
    <xf numFmtId="0" fontId="1" fillId="0" borderId="0" xfId="0" applyFont="1" applyFill="1" applyAlignment="1"/>
    <xf numFmtId="0" fontId="1" fillId="0" borderId="0" xfId="0" applyNumberFormat="1" applyFont="1" applyFill="1" applyBorder="1" applyAlignment="1">
      <alignment horizontal="left" vertical="top"/>
    </xf>
    <xf numFmtId="0" fontId="23" fillId="0" borderId="0" xfId="0" applyFont="1" applyFill="1" applyBorder="1" applyAlignment="1">
      <alignment horizontal="left" vertical="top" wrapText="1"/>
    </xf>
    <xf numFmtId="0" fontId="1" fillId="0" borderId="0" xfId="43" applyNumberFormat="1" applyFont="1" applyFill="1" applyBorder="1" applyAlignment="1">
      <alignment horizontal="left" vertical="top"/>
    </xf>
    <xf numFmtId="3" fontId="1" fillId="0" borderId="0" xfId="0" applyNumberFormat="1" applyFont="1" applyFill="1" applyAlignment="1">
      <alignment horizontal="right" vertical="top"/>
    </xf>
    <xf numFmtId="3" fontId="1" fillId="0" borderId="0" xfId="0" applyNumberFormat="1" applyFont="1" applyFill="1" applyAlignment="1">
      <alignment vertical="top"/>
    </xf>
    <xf numFmtId="0" fontId="21" fillId="0" borderId="17" xfId="0" applyFont="1" applyBorder="1"/>
    <xf numFmtId="0" fontId="23" fillId="0" borderId="0" xfId="49" applyNumberFormat="1" applyFont="1" applyFill="1" applyBorder="1" applyAlignment="1">
      <alignment horizontal="left" vertical="top" indent="2"/>
    </xf>
    <xf numFmtId="0" fontId="1" fillId="0" borderId="0" xfId="98" applyNumberFormat="1" applyFont="1" applyFill="1" applyBorder="1" applyAlignment="1" applyProtection="1">
      <alignment horizontal="left" vertical="top" wrapText="1" indent="2"/>
    </xf>
    <xf numFmtId="0" fontId="45" fillId="0" borderId="0" xfId="97" applyFont="1" applyFill="1" applyBorder="1" applyAlignment="1" applyProtection="1">
      <alignment horizontal="left" vertical="top" indent="3"/>
    </xf>
    <xf numFmtId="0" fontId="1" fillId="0" borderId="0" xfId="49"/>
    <xf numFmtId="0" fontId="1" fillId="0" borderId="0" xfId="0" applyFont="1" applyFill="1" applyBorder="1" applyAlignment="1">
      <alignment horizontal="left" indent="4"/>
    </xf>
    <xf numFmtId="0" fontId="1" fillId="0" borderId="0" xfId="0" applyFont="1" applyFill="1" applyBorder="1" applyAlignment="1">
      <alignment wrapText="1"/>
    </xf>
    <xf numFmtId="0" fontId="1" fillId="0" borderId="0" xfId="0" applyFont="1" applyFill="1"/>
    <xf numFmtId="49" fontId="35" fillId="0" borderId="0" xfId="43" applyNumberFormat="1" applyFont="1" applyFill="1" applyBorder="1" applyAlignment="1">
      <alignment horizontal="left" wrapText="1" indent="1"/>
    </xf>
    <xf numFmtId="0" fontId="45" fillId="0" borderId="0" xfId="40" applyNumberFormat="1" applyFont="1" applyFill="1" applyBorder="1" applyAlignment="1" applyProtection="1">
      <alignment horizontal="left" vertical="top" indent="3"/>
    </xf>
    <xf numFmtId="3" fontId="1" fillId="0" borderId="0" xfId="0" applyNumberFormat="1" applyFont="1" applyFill="1" applyBorder="1" applyAlignment="1">
      <alignment vertical="top" wrapText="1"/>
    </xf>
    <xf numFmtId="3" fontId="1" fillId="0" borderId="0" xfId="0" applyNumberFormat="1" applyFont="1" applyFill="1" applyBorder="1" applyAlignment="1">
      <alignment vertical="top"/>
    </xf>
    <xf numFmtId="0" fontId="1" fillId="0" borderId="0" xfId="0" applyFont="1" applyBorder="1" applyAlignment="1">
      <alignment horizontal="left" wrapText="1" indent="3"/>
    </xf>
    <xf numFmtId="3" fontId="48" fillId="0" borderId="0" xfId="0" applyNumberFormat="1" applyFont="1"/>
    <xf numFmtId="3" fontId="1" fillId="0" borderId="0" xfId="43" applyNumberFormat="1" applyFont="1" applyFill="1" applyBorder="1" applyAlignment="1">
      <alignment horizontal="right" vertical="top"/>
    </xf>
    <xf numFmtId="0" fontId="0" fillId="0" borderId="0" xfId="0" applyAlignment="1">
      <alignment horizontal="left" wrapText="1" indent="5"/>
    </xf>
    <xf numFmtId="3" fontId="44" fillId="0" borderId="0" xfId="0" applyNumberFormat="1" applyFont="1" applyFill="1" applyAlignment="1">
      <alignment vertical="top"/>
    </xf>
    <xf numFmtId="3" fontId="23" fillId="0" borderId="0" xfId="0" applyNumberFormat="1" applyFont="1" applyAlignment="1">
      <alignment vertical="top"/>
    </xf>
    <xf numFmtId="3" fontId="45" fillId="0" borderId="0" xfId="0" applyNumberFormat="1" applyFont="1" applyAlignment="1">
      <alignment vertical="top"/>
    </xf>
    <xf numFmtId="3" fontId="21" fillId="0" borderId="0" xfId="0" applyNumberFormat="1" applyFont="1" applyAlignment="1">
      <alignment vertical="top"/>
    </xf>
    <xf numFmtId="3" fontId="23" fillId="0" borderId="0" xfId="0" applyNumberFormat="1" applyFont="1" applyFill="1" applyAlignment="1">
      <alignment vertical="top"/>
    </xf>
    <xf numFmtId="3" fontId="30" fillId="0" borderId="0" xfId="0" applyNumberFormat="1" applyFont="1" applyFill="1" applyAlignment="1">
      <alignment vertical="top"/>
    </xf>
    <xf numFmtId="0" fontId="45" fillId="0" borderId="0" xfId="0" applyFont="1" applyFill="1" applyBorder="1" applyAlignment="1">
      <alignment vertical="top"/>
    </xf>
    <xf numFmtId="3" fontId="23" fillId="0" borderId="0" xfId="40" applyNumberFormat="1" applyFont="1" applyFill="1" applyBorder="1" applyAlignment="1">
      <alignment vertical="top"/>
    </xf>
    <xf numFmtId="3" fontId="46" fillId="0" borderId="0" xfId="40" applyNumberFormat="1" applyFont="1" applyFill="1" applyBorder="1" applyAlignment="1">
      <alignment vertical="top"/>
    </xf>
    <xf numFmtId="3" fontId="30" fillId="0" borderId="0" xfId="40" applyNumberFormat="1" applyFont="1" applyFill="1" applyBorder="1" applyAlignment="1">
      <alignment vertical="top"/>
    </xf>
    <xf numFmtId="3" fontId="35" fillId="0" borderId="0" xfId="0" applyNumberFormat="1" applyFont="1" applyFill="1" applyBorder="1" applyAlignment="1">
      <alignment vertical="top" wrapText="1"/>
    </xf>
    <xf numFmtId="3" fontId="21" fillId="0" borderId="0" xfId="40" applyNumberFormat="1" applyFont="1" applyFill="1" applyBorder="1" applyAlignment="1">
      <alignment vertical="top"/>
    </xf>
    <xf numFmtId="3" fontId="35" fillId="0" borderId="0" xfId="0" applyNumberFormat="1" applyFont="1" applyFill="1" applyAlignment="1">
      <alignment horizontal="left" vertical="top" wrapText="1"/>
    </xf>
    <xf numFmtId="3" fontId="1" fillId="0" borderId="0" xfId="40" applyNumberFormat="1" applyFont="1" applyFill="1" applyBorder="1" applyAlignment="1">
      <alignment horizontal="right" vertical="top"/>
    </xf>
    <xf numFmtId="3" fontId="1" fillId="0" borderId="0" xfId="40" applyNumberFormat="1" applyFont="1" applyFill="1" applyAlignment="1">
      <alignment horizontal="right" vertical="top"/>
    </xf>
    <xf numFmtId="3" fontId="35" fillId="0" borderId="0" xfId="40" applyNumberFormat="1" applyFont="1" applyFill="1" applyAlignment="1">
      <alignment horizontal="right" vertical="top"/>
    </xf>
    <xf numFmtId="165" fontId="1" fillId="0" borderId="0" xfId="0" applyNumberFormat="1" applyFont="1" applyFill="1" applyAlignment="1">
      <alignment vertical="top"/>
    </xf>
    <xf numFmtId="3" fontId="35" fillId="0" borderId="0" xfId="40" applyNumberFormat="1" applyFont="1" applyFill="1" applyBorder="1" applyAlignment="1">
      <alignment horizontal="right" vertical="top"/>
    </xf>
    <xf numFmtId="0" fontId="45" fillId="0" borderId="0" xfId="0" applyFont="1" applyFill="1" applyAlignment="1">
      <alignment vertical="top"/>
    </xf>
    <xf numFmtId="0" fontId="51" fillId="0" borderId="0" xfId="0" applyFont="1" applyFill="1" applyBorder="1" applyAlignment="1" applyProtection="1">
      <alignment horizontal="left" vertical="top" wrapText="1"/>
      <protection locked="0"/>
    </xf>
    <xf numFmtId="3" fontId="35" fillId="0" borderId="0" xfId="0" applyNumberFormat="1" applyFont="1" applyFill="1" applyAlignment="1">
      <alignment vertical="top"/>
    </xf>
    <xf numFmtId="0" fontId="1" fillId="0" borderId="0" xfId="49" applyAlignment="1"/>
    <xf numFmtId="0" fontId="21" fillId="0" borderId="0" xfId="0" applyFont="1" applyFill="1" applyAlignment="1"/>
    <xf numFmtId="3" fontId="64" fillId="0" borderId="12" xfId="39" applyNumberFormat="1" applyFont="1" applyFill="1" applyBorder="1" applyAlignment="1">
      <alignment horizontal="right" vertical="top"/>
    </xf>
    <xf numFmtId="0" fontId="62" fillId="0" borderId="0" xfId="0" applyFont="1" applyFill="1" applyAlignment="1"/>
    <xf numFmtId="0" fontId="21" fillId="0" borderId="0" xfId="0" applyFont="1" applyAlignment="1"/>
    <xf numFmtId="0" fontId="21" fillId="0" borderId="0" xfId="0" applyFont="1" applyAlignment="1">
      <alignment horizontal="left" vertical="top"/>
    </xf>
    <xf numFmtId="3" fontId="21" fillId="0" borderId="0" xfId="0" applyNumberFormat="1" applyFont="1" applyFill="1" applyBorder="1" applyAlignment="1">
      <alignment vertical="top"/>
    </xf>
    <xf numFmtId="0" fontId="21" fillId="28" borderId="0" xfId="0" applyFont="1" applyFill="1" applyAlignment="1"/>
    <xf numFmtId="3" fontId="45" fillId="29" borderId="0" xfId="0" applyNumberFormat="1" applyFont="1" applyFill="1" applyAlignment="1">
      <alignment vertical="top"/>
    </xf>
    <xf numFmtId="3" fontId="23" fillId="29" borderId="0" xfId="0" applyNumberFormat="1" applyFont="1" applyFill="1"/>
    <xf numFmtId="0" fontId="51" fillId="0" borderId="0" xfId="0" applyFont="1" applyFill="1" applyBorder="1" applyAlignment="1" applyProtection="1">
      <alignment horizontal="left" vertical="top" wrapText="1"/>
      <protection locked="0"/>
    </xf>
    <xf numFmtId="3" fontId="1" fillId="0" borderId="0" xfId="0" applyNumberFormat="1" applyFont="1" applyFill="1" applyAlignment="1">
      <alignment horizontal="right"/>
    </xf>
    <xf numFmtId="164" fontId="1" fillId="0" borderId="0" xfId="0" applyNumberFormat="1" applyFont="1" applyFill="1"/>
    <xf numFmtId="0" fontId="1" fillId="0" borderId="0" xfId="0" applyFont="1" applyFill="1" applyAlignment="1">
      <alignment horizontal="left" vertical="top"/>
    </xf>
    <xf numFmtId="49" fontId="1" fillId="0" borderId="0" xfId="0" applyNumberFormat="1" applyFont="1" applyFill="1" applyAlignment="1">
      <alignment horizontal="left" vertical="top"/>
    </xf>
    <xf numFmtId="0" fontId="1" fillId="0" borderId="0" xfId="0" applyNumberFormat="1" applyFont="1" applyFill="1" applyBorder="1" applyAlignment="1">
      <alignment horizontal="left" vertical="top" indent="1"/>
    </xf>
    <xf numFmtId="0" fontId="1" fillId="0" borderId="0" xfId="43" applyNumberFormat="1" applyFont="1" applyFill="1" applyBorder="1" applyAlignment="1">
      <alignment horizontal="left" vertical="top" wrapText="1" indent="2"/>
    </xf>
    <xf numFmtId="3" fontId="1" fillId="0" borderId="0" xfId="40" applyNumberFormat="1" applyFont="1" applyFill="1" applyBorder="1" applyAlignment="1" applyProtection="1">
      <alignment horizontal="right" vertical="top"/>
    </xf>
    <xf numFmtId="3" fontId="1" fillId="0" borderId="0" xfId="0" applyNumberFormat="1" applyFont="1" applyAlignment="1">
      <alignment vertical="top"/>
    </xf>
    <xf numFmtId="0" fontId="1" fillId="0" borderId="0" xfId="34" applyNumberFormat="1" applyFont="1" applyFill="1" applyBorder="1" applyAlignment="1" applyProtection="1">
      <alignment horizontal="left" vertical="top" wrapText="1" indent="3"/>
    </xf>
    <xf numFmtId="0" fontId="1" fillId="0" borderId="0" xfId="40" applyNumberFormat="1" applyFont="1" applyFill="1" applyBorder="1" applyAlignment="1">
      <alignment horizontal="left" vertical="top"/>
    </xf>
    <xf numFmtId="0" fontId="1" fillId="0" borderId="0" xfId="0" applyNumberFormat="1" applyFont="1" applyFill="1" applyAlignment="1">
      <alignment horizontal="left" vertical="top" wrapText="1"/>
    </xf>
    <xf numFmtId="0" fontId="1" fillId="0" borderId="0" xfId="40" applyNumberFormat="1" applyFont="1" applyFill="1" applyBorder="1" applyAlignment="1" applyProtection="1">
      <alignment horizontal="left" vertical="top" indent="1"/>
    </xf>
    <xf numFmtId="3" fontId="1" fillId="0" borderId="0" xfId="40" applyNumberFormat="1" applyFont="1" applyFill="1" applyBorder="1" applyAlignment="1">
      <alignment vertical="top"/>
    </xf>
    <xf numFmtId="0" fontId="31" fillId="0" borderId="0" xfId="41" applyFont="1" applyFill="1" applyBorder="1" applyAlignment="1">
      <alignment horizontal="left"/>
    </xf>
    <xf numFmtId="3" fontId="1" fillId="0" borderId="0" xfId="0" applyNumberFormat="1" applyFont="1" applyAlignment="1">
      <alignment horizontal="right" vertical="top"/>
    </xf>
    <xf numFmtId="3" fontId="1" fillId="0" borderId="0" xfId="0" applyNumberFormat="1" applyFont="1" applyFill="1" applyBorder="1" applyAlignment="1">
      <alignment horizontal="right" vertical="top"/>
    </xf>
    <xf numFmtId="0" fontId="1" fillId="0" borderId="0" xfId="43" applyNumberFormat="1" applyFont="1" applyFill="1" applyBorder="1" applyAlignment="1">
      <alignment horizontal="left" vertical="top" wrapText="1" indent="4"/>
    </xf>
    <xf numFmtId="0" fontId="1" fillId="0" borderId="0" xfId="0" applyNumberFormat="1" applyFont="1" applyFill="1" applyAlignment="1">
      <alignment horizontal="left" vertical="top" indent="4"/>
    </xf>
    <xf numFmtId="3" fontId="1" fillId="0" borderId="0" xfId="0" applyNumberFormat="1" applyFont="1" applyBorder="1"/>
    <xf numFmtId="0" fontId="41" fillId="0" borderId="0" xfId="0" applyFont="1" applyBorder="1"/>
    <xf numFmtId="0" fontId="1" fillId="0" borderId="0" xfId="0" applyFont="1" applyBorder="1" applyAlignment="1">
      <alignment wrapText="1"/>
    </xf>
    <xf numFmtId="0" fontId="1" fillId="0" borderId="0" xfId="0" applyFont="1" applyFill="1" applyBorder="1" applyAlignment="1">
      <alignment horizontal="right"/>
    </xf>
    <xf numFmtId="0" fontId="66" fillId="0" borderId="0" xfId="0" applyFont="1" applyFill="1"/>
    <xf numFmtId="0" fontId="31" fillId="0" borderId="0" xfId="0" applyFont="1" applyBorder="1"/>
    <xf numFmtId="0" fontId="1" fillId="0" borderId="17" xfId="49" applyBorder="1"/>
    <xf numFmtId="0" fontId="23" fillId="25" borderId="19" xfId="0" applyFont="1" applyFill="1" applyBorder="1" applyAlignment="1" applyProtection="1">
      <alignment horizontal="left" vertical="top" wrapText="1"/>
      <protection locked="0"/>
    </xf>
    <xf numFmtId="0" fontId="51" fillId="0" borderId="21" xfId="0" applyFont="1" applyFill="1" applyBorder="1" applyAlignment="1" applyProtection="1">
      <alignment horizontal="left" vertical="top"/>
      <protection locked="0"/>
    </xf>
    <xf numFmtId="0" fontId="48" fillId="0" borderId="15" xfId="0" applyFont="1" applyFill="1" applyBorder="1" applyAlignment="1" applyProtection="1">
      <alignment horizontal="left" vertical="top"/>
      <protection locked="0"/>
    </xf>
    <xf numFmtId="0" fontId="47" fillId="0" borderId="15" xfId="0" applyFont="1" applyFill="1" applyBorder="1" applyAlignment="1" applyProtection="1">
      <alignment horizontal="left" vertical="top" wrapText="1" indent="2"/>
      <protection locked="0"/>
    </xf>
    <xf numFmtId="3" fontId="1" fillId="0" borderId="17" xfId="0" applyNumberFormat="1" applyFont="1" applyFill="1" applyBorder="1" applyAlignment="1" applyProtection="1">
      <alignment horizontal="right" vertical="top" wrapText="1"/>
    </xf>
    <xf numFmtId="0" fontId="51" fillId="0" borderId="0" xfId="0" applyFont="1" applyFill="1" applyBorder="1" applyAlignment="1" applyProtection="1">
      <alignment horizontal="left" vertical="top" wrapText="1"/>
      <protection locked="0"/>
    </xf>
    <xf numFmtId="0" fontId="23" fillId="24" borderId="11" xfId="0" applyFont="1" applyFill="1" applyBorder="1" applyAlignment="1" applyProtection="1">
      <alignment horizontal="left" vertical="top" wrapText="1"/>
    </xf>
    <xf numFmtId="0" fontId="23" fillId="24" borderId="12"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protection locked="0"/>
    </xf>
    <xf numFmtId="0" fontId="23" fillId="24" borderId="17" xfId="0" applyFont="1" applyFill="1" applyBorder="1" applyAlignment="1" applyProtection="1">
      <alignment horizontal="left" vertical="top" wrapText="1"/>
    </xf>
    <xf numFmtId="0" fontId="23" fillId="0" borderId="0" xfId="49" applyFont="1" applyBorder="1" applyAlignment="1">
      <alignment horizontal="left" indent="1"/>
    </xf>
    <xf numFmtId="0" fontId="1" fillId="0" borderId="0" xfId="49" applyFont="1" applyFill="1" applyBorder="1"/>
    <xf numFmtId="3" fontId="23" fillId="0" borderId="0" xfId="49" applyNumberFormat="1" applyFont="1"/>
    <xf numFmtId="0" fontId="1" fillId="0" borderId="0" xfId="49" applyAlignment="1">
      <alignment horizontal="right"/>
    </xf>
    <xf numFmtId="0" fontId="23" fillId="0" borderId="17" xfId="0" applyFont="1" applyFill="1" applyBorder="1" applyAlignment="1" applyProtection="1">
      <alignment horizontal="left" vertical="top" wrapText="1"/>
    </xf>
    <xf numFmtId="0" fontId="23" fillId="0" borderId="17" xfId="0" applyFont="1" applyFill="1" applyBorder="1" applyAlignment="1" applyProtection="1">
      <alignment horizontal="center" vertical="top" wrapText="1"/>
    </xf>
    <xf numFmtId="0" fontId="23" fillId="0" borderId="17" xfId="49" applyFont="1" applyBorder="1" applyAlignment="1">
      <alignment horizontal="center" vertical="top" wrapText="1"/>
    </xf>
    <xf numFmtId="0" fontId="47" fillId="0" borderId="20" xfId="0" applyFont="1" applyFill="1" applyBorder="1" applyAlignment="1" applyProtection="1">
      <alignment horizontal="left" vertical="top" indent="1"/>
      <protection locked="0"/>
    </xf>
    <xf numFmtId="0" fontId="47" fillId="0" borderId="17" xfId="0" applyFont="1" applyFill="1" applyBorder="1" applyAlignment="1" applyProtection="1">
      <alignment horizontal="left" vertical="top" indent="1"/>
      <protection locked="0"/>
    </xf>
    <xf numFmtId="0" fontId="40" fillId="24" borderId="16" xfId="0" applyFont="1" applyFill="1" applyBorder="1" applyAlignment="1">
      <alignment wrapText="1"/>
    </xf>
  </cellXfs>
  <cellStyles count="102">
    <cellStyle name="20% - Accent1" xfId="1" builtinId="30" customBuiltin="1"/>
    <cellStyle name="20% - Accent1 2" xfId="55"/>
    <cellStyle name="20% - Accent2" xfId="2" builtinId="34" customBuiltin="1"/>
    <cellStyle name="20% - Accent2 2" xfId="56"/>
    <cellStyle name="20% - Accent3" xfId="3" builtinId="38" customBuiltin="1"/>
    <cellStyle name="20% - Accent3 2" xfId="57"/>
    <cellStyle name="20% - Accent4" xfId="4" builtinId="42" customBuiltin="1"/>
    <cellStyle name="20% - Accent4 2" xfId="58"/>
    <cellStyle name="20% - Accent5" xfId="5" builtinId="46" customBuiltin="1"/>
    <cellStyle name="20% - Accent5 2" xfId="59"/>
    <cellStyle name="20% - Accent6" xfId="6" builtinId="50" customBuiltin="1"/>
    <cellStyle name="20% - Accent6 2" xfId="60"/>
    <cellStyle name="40% - Accent1" xfId="7" builtinId="31" customBuiltin="1"/>
    <cellStyle name="40% - Accent1 2" xfId="61"/>
    <cellStyle name="40% - Accent2" xfId="8" builtinId="35" customBuiltin="1"/>
    <cellStyle name="40% - Accent2 2" xfId="62"/>
    <cellStyle name="40% - Accent3" xfId="9" builtinId="39" customBuiltin="1"/>
    <cellStyle name="40% - Accent3 2" xfId="63"/>
    <cellStyle name="40% - Accent4" xfId="10" builtinId="43" customBuiltin="1"/>
    <cellStyle name="40% - Accent4 2" xfId="64"/>
    <cellStyle name="40% - Accent5" xfId="11" builtinId="47" customBuiltin="1"/>
    <cellStyle name="40% - Accent5 2" xfId="65"/>
    <cellStyle name="40% - Accent6" xfId="12" builtinId="51" customBuiltin="1"/>
    <cellStyle name="40% - Accent6 2" xfId="66"/>
    <cellStyle name="60% - Accent1" xfId="13" builtinId="32" customBuiltin="1"/>
    <cellStyle name="60% - Accent1 2" xfId="67"/>
    <cellStyle name="60% - Accent2" xfId="14" builtinId="36" customBuiltin="1"/>
    <cellStyle name="60% - Accent2 2" xfId="68"/>
    <cellStyle name="60% - Accent3" xfId="15" builtinId="40" customBuiltin="1"/>
    <cellStyle name="60% - Accent3 2" xfId="69"/>
    <cellStyle name="60% - Accent4" xfId="16" builtinId="44" customBuiltin="1"/>
    <cellStyle name="60% - Accent4 2" xfId="70"/>
    <cellStyle name="60% - Accent5" xfId="17" builtinId="48" customBuiltin="1"/>
    <cellStyle name="60% - Accent5 2" xfId="71"/>
    <cellStyle name="60% - Accent6" xfId="18" builtinId="52" customBuiltin="1"/>
    <cellStyle name="60% - Accent6 2" xfId="72"/>
    <cellStyle name="Accent1" xfId="19" builtinId="29" customBuiltin="1"/>
    <cellStyle name="Accent1 2" xfId="73"/>
    <cellStyle name="Accent2" xfId="20" builtinId="33" customBuiltin="1"/>
    <cellStyle name="Accent2 2" xfId="74"/>
    <cellStyle name="Accent3" xfId="21" builtinId="37" customBuiltin="1"/>
    <cellStyle name="Accent3 2" xfId="75"/>
    <cellStyle name="Accent4" xfId="22" builtinId="41" customBuiltin="1"/>
    <cellStyle name="Accent4 2" xfId="76"/>
    <cellStyle name="Accent5" xfId="23" builtinId="45" customBuiltin="1"/>
    <cellStyle name="Accent5 2" xfId="77"/>
    <cellStyle name="Accent6" xfId="24" builtinId="49" customBuiltin="1"/>
    <cellStyle name="Accent6 2" xfId="78"/>
    <cellStyle name="Bad" xfId="25" builtinId="27" customBuiltin="1"/>
    <cellStyle name="Bad 2" xfId="79"/>
    <cellStyle name="Calculation" xfId="26" builtinId="22" customBuiltin="1"/>
    <cellStyle name="Calculation 2" xfId="80"/>
    <cellStyle name="Check Cell" xfId="27" builtinId="23" customBuiltin="1"/>
    <cellStyle name="Check Cell 2" xfId="81"/>
    <cellStyle name="Currency 2" xfId="82"/>
    <cellStyle name="Explanatory Text" xfId="28" builtinId="53" customBuiltin="1"/>
    <cellStyle name="Explanatory Text 2" xfId="83"/>
    <cellStyle name="Good" xfId="29" builtinId="26" customBuiltin="1"/>
    <cellStyle name="Good 2" xfId="84"/>
    <cellStyle name="Hea" xfId="50"/>
    <cellStyle name="Heading 1" xfId="30" builtinId="16" customBuiltin="1"/>
    <cellStyle name="Heading 1 2" xfId="85"/>
    <cellStyle name="Heading 2" xfId="31" builtinId="17" customBuiltin="1"/>
    <cellStyle name="Heading 2 2" xfId="86"/>
    <cellStyle name="Heading 3" xfId="32" builtinId="18" customBuiltin="1"/>
    <cellStyle name="Heading 3 2" xfId="87"/>
    <cellStyle name="Heading 4" xfId="33" builtinId="19" customBuiltin="1"/>
    <cellStyle name="Heading 4 2" xfId="88"/>
    <cellStyle name="Hyperlink" xfId="98" builtinId="8"/>
    <cellStyle name="Hyperlink 2" xfId="51"/>
    <cellStyle name="Hyperlink_Lisad 22.02.11 II" xfId="34"/>
    <cellStyle name="Input" xfId="35" builtinId="20" customBuiltin="1"/>
    <cellStyle name="Input 2" xfId="89"/>
    <cellStyle name="Linked Cell" xfId="36" builtinId="24" customBuiltin="1"/>
    <cellStyle name="Linked Cell 2" xfId="90"/>
    <cellStyle name="Neutral" xfId="37" builtinId="28" customBuiltin="1"/>
    <cellStyle name="Neutral 2" xfId="91"/>
    <cellStyle name="Normaallaad 2" xfId="99"/>
    <cellStyle name="Normaallaad_Leht1" xfId="38"/>
    <cellStyle name="Normal" xfId="0" builtinId="0"/>
    <cellStyle name="Normal 2" xfId="49"/>
    <cellStyle name="Normal 2 2" xfId="100"/>
    <cellStyle name="Normal 3" xfId="101"/>
    <cellStyle name="Normal_2002 määrus lisa 5" xfId="39"/>
    <cellStyle name="Normal_2002 määrus lisa 5 2" xfId="97"/>
    <cellStyle name="Normal_2002 määrus lisa 5_Lisad 22.02.11 II" xfId="40"/>
    <cellStyle name="Normal_eelarve muutmise vorm" xfId="41"/>
    <cellStyle name="Normal_vorm 1 koond" xfId="42"/>
    <cellStyle name="Normal_vorm 1 koond_Lisad 22.02.11 II" xfId="43"/>
    <cellStyle name="Note" xfId="44" builtinId="10" customBuiltin="1"/>
    <cellStyle name="Note 2" xfId="92"/>
    <cellStyle name="Output" xfId="45" builtinId="21" customBuiltin="1"/>
    <cellStyle name="Output 2" xfId="93"/>
    <cellStyle name="Percent 2" xfId="52"/>
    <cellStyle name="Rõhk5" xfId="53"/>
    <cellStyle name="Rõhk6" xfId="54"/>
    <cellStyle name="Title" xfId="46" builtinId="15" customBuiltin="1"/>
    <cellStyle name="Title 2" xfId="94"/>
    <cellStyle name="Total" xfId="47" builtinId="25" customBuiltin="1"/>
    <cellStyle name="Total 2" xfId="95"/>
    <cellStyle name="Warning Text" xfId="48" builtinId="11" customBuiltin="1"/>
    <cellStyle name="Warning Text 2"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F154"/>
  <sheetViews>
    <sheetView showZeros="0" tabSelected="1" zoomScaleNormal="100" workbookViewId="0"/>
  </sheetViews>
  <sheetFormatPr defaultRowHeight="12.75" x14ac:dyDescent="0.2"/>
  <cols>
    <col min="1" max="1" width="61.42578125" customWidth="1"/>
    <col min="2" max="2" width="12.85546875" customWidth="1"/>
    <col min="3" max="3" width="11.140625" bestFit="1" customWidth="1"/>
    <col min="4" max="4" width="11.7109375" style="370" customWidth="1"/>
  </cols>
  <sheetData>
    <row r="1" spans="1:6" ht="15" x14ac:dyDescent="0.25">
      <c r="A1" s="47" t="s">
        <v>295</v>
      </c>
    </row>
    <row r="2" spans="1:6" x14ac:dyDescent="0.2">
      <c r="A2" s="48"/>
      <c r="B2" s="49"/>
      <c r="D2" s="49" t="s">
        <v>294</v>
      </c>
    </row>
    <row r="3" spans="1:6" ht="25.5" x14ac:dyDescent="0.2">
      <c r="A3" s="7"/>
      <c r="B3" s="485" t="s">
        <v>1065</v>
      </c>
      <c r="C3" s="485" t="s">
        <v>1048</v>
      </c>
      <c r="D3" s="485" t="s">
        <v>1064</v>
      </c>
    </row>
    <row r="4" spans="1:6" x14ac:dyDescent="0.2">
      <c r="A4" s="7"/>
      <c r="B4" s="429"/>
      <c r="C4" s="470"/>
      <c r="D4" s="429"/>
    </row>
    <row r="5" spans="1:6" x14ac:dyDescent="0.2">
      <c r="A5" s="7" t="s">
        <v>296</v>
      </c>
      <c r="B5" s="50"/>
      <c r="C5" s="470"/>
      <c r="D5" s="50"/>
    </row>
    <row r="6" spans="1:6" x14ac:dyDescent="0.2">
      <c r="A6" s="3"/>
      <c r="B6" s="72"/>
      <c r="C6" s="470"/>
      <c r="D6" s="72"/>
    </row>
    <row r="7" spans="1:6" x14ac:dyDescent="0.2">
      <c r="A7" s="52" t="s">
        <v>297</v>
      </c>
      <c r="B7" s="53">
        <v>442458295</v>
      </c>
      <c r="C7" s="53">
        <f ca="1">SUM(C8:C21)</f>
        <v>5732653</v>
      </c>
      <c r="D7" s="53">
        <f ca="1">B7+C7</f>
        <v>448190948</v>
      </c>
      <c r="E7" s="368"/>
      <c r="F7" s="368"/>
    </row>
    <row r="8" spans="1:6" x14ac:dyDescent="0.2">
      <c r="A8" s="55" t="s">
        <v>298</v>
      </c>
      <c r="B8" s="56">
        <v>281573000</v>
      </c>
      <c r="C8" s="56">
        <f>'2 TULUDE KOOND'!G8</f>
        <v>3900000</v>
      </c>
      <c r="D8" s="56">
        <f t="shared" ref="D8:D68" si="0">B8+C8</f>
        <v>285473000</v>
      </c>
      <c r="E8" s="368"/>
      <c r="F8" s="368"/>
    </row>
    <row r="9" spans="1:6" x14ac:dyDescent="0.2">
      <c r="A9" s="55" t="s">
        <v>299</v>
      </c>
      <c r="B9" s="56">
        <v>7712000</v>
      </c>
      <c r="C9" s="56">
        <f>'2 TULUDE KOOND'!G12</f>
        <v>50000</v>
      </c>
      <c r="D9" s="56">
        <f t="shared" si="0"/>
        <v>7762000</v>
      </c>
      <c r="E9" s="368"/>
      <c r="F9" s="368"/>
    </row>
    <row r="10" spans="1:6" x14ac:dyDescent="0.2">
      <c r="A10" s="55" t="s">
        <v>300</v>
      </c>
      <c r="B10" s="56">
        <v>612036</v>
      </c>
      <c r="C10" s="56">
        <f>'2 TULUDE KOOND'!G17</f>
        <v>1600</v>
      </c>
      <c r="D10" s="56">
        <f t="shared" si="0"/>
        <v>613636</v>
      </c>
      <c r="E10" s="368"/>
      <c r="F10" s="368"/>
    </row>
    <row r="11" spans="1:6" x14ac:dyDescent="0.2">
      <c r="A11" s="55" t="s">
        <v>301</v>
      </c>
      <c r="B11" s="56">
        <v>52682333</v>
      </c>
      <c r="C11" s="56">
        <f ca="1">'2 TULUDE KOOND'!G19</f>
        <v>1624296</v>
      </c>
      <c r="D11" s="56">
        <f t="shared" ca="1" si="0"/>
        <v>54306629</v>
      </c>
      <c r="E11" s="368"/>
      <c r="F11" s="368"/>
    </row>
    <row r="12" spans="1:6" x14ac:dyDescent="0.2">
      <c r="A12" s="55" t="s">
        <v>302</v>
      </c>
      <c r="B12" s="56">
        <v>1367295</v>
      </c>
      <c r="C12" s="56">
        <f ca="1">'2 TULUDE KOOND'!G25</f>
        <v>25563</v>
      </c>
      <c r="D12" s="56">
        <f t="shared" ca="1" si="0"/>
        <v>1392858</v>
      </c>
      <c r="E12" s="368"/>
      <c r="F12" s="368"/>
    </row>
    <row r="13" spans="1:6" x14ac:dyDescent="0.2">
      <c r="A13" s="55" t="s">
        <v>303</v>
      </c>
      <c r="B13" s="56">
        <v>200000</v>
      </c>
      <c r="C13" s="56">
        <f>'2 TULUDE KOOND'!G30</f>
        <v>0</v>
      </c>
      <c r="D13" s="56">
        <f t="shared" si="0"/>
        <v>200000</v>
      </c>
      <c r="E13" s="368"/>
      <c r="F13" s="368"/>
    </row>
    <row r="14" spans="1:6" x14ac:dyDescent="0.2">
      <c r="A14" s="55" t="s">
        <v>304</v>
      </c>
      <c r="B14" s="56">
        <v>6279455</v>
      </c>
      <c r="C14" s="56">
        <f>'2 TULUDE KOOND'!G34+'2 TULUDE KOOND'!G39</f>
        <v>893683</v>
      </c>
      <c r="D14" s="56">
        <f t="shared" si="0"/>
        <v>7173138</v>
      </c>
      <c r="E14" s="368"/>
      <c r="F14" s="368"/>
    </row>
    <row r="15" spans="1:6" x14ac:dyDescent="0.2">
      <c r="A15" s="55" t="s">
        <v>305</v>
      </c>
      <c r="B15" s="56">
        <v>-3822777</v>
      </c>
      <c r="C15" s="56">
        <f>'2 TULUDE KOOND'!G35+'2 TULUDE KOOND'!G40</f>
        <v>-888315</v>
      </c>
      <c r="D15" s="56">
        <f t="shared" si="0"/>
        <v>-4711092</v>
      </c>
      <c r="E15" s="368"/>
      <c r="F15" s="368"/>
    </row>
    <row r="16" spans="1:6" x14ac:dyDescent="0.2">
      <c r="A16" s="55" t="s">
        <v>306</v>
      </c>
      <c r="B16" s="56">
        <v>-13000</v>
      </c>
      <c r="C16" s="56">
        <f>'2 TULUDE KOOND'!G36</f>
        <v>0</v>
      </c>
      <c r="D16" s="56">
        <f t="shared" si="0"/>
        <v>-13000</v>
      </c>
      <c r="E16" s="368"/>
      <c r="F16" s="368"/>
    </row>
    <row r="17" spans="1:6" x14ac:dyDescent="0.2">
      <c r="A17" s="55" t="s">
        <v>307</v>
      </c>
      <c r="B17" s="56">
        <v>314000</v>
      </c>
      <c r="C17" s="56">
        <f>'2 TULUDE KOOND'!G42</f>
        <v>41789</v>
      </c>
      <c r="D17" s="56">
        <f t="shared" si="0"/>
        <v>355789</v>
      </c>
      <c r="E17" s="368"/>
      <c r="F17" s="368"/>
    </row>
    <row r="18" spans="1:6" x14ac:dyDescent="0.2">
      <c r="A18" s="55" t="s">
        <v>308</v>
      </c>
      <c r="B18" s="56">
        <v>6470000</v>
      </c>
      <c r="C18" s="56">
        <f>'2 TULUDE KOOND'!G46</f>
        <v>-82357</v>
      </c>
      <c r="D18" s="56">
        <f t="shared" si="0"/>
        <v>6387643</v>
      </c>
      <c r="E18" s="368"/>
      <c r="F18" s="368"/>
    </row>
    <row r="19" spans="1:6" x14ac:dyDescent="0.2">
      <c r="A19" s="57" t="s">
        <v>309</v>
      </c>
      <c r="B19" s="56">
        <v>72832468</v>
      </c>
      <c r="C19" s="56">
        <f>'2 TULUDE KOOND'!G51</f>
        <v>-309591</v>
      </c>
      <c r="D19" s="56">
        <f t="shared" si="0"/>
        <v>72522877</v>
      </c>
      <c r="E19" s="368"/>
      <c r="F19" s="368"/>
    </row>
    <row r="20" spans="1:6" x14ac:dyDescent="0.2">
      <c r="A20" s="55" t="s">
        <v>310</v>
      </c>
      <c r="B20" s="56">
        <v>16243612</v>
      </c>
      <c r="C20" s="56">
        <f>'2 TULUDE KOOND'!G52</f>
        <v>156425</v>
      </c>
      <c r="D20" s="56">
        <f t="shared" si="0"/>
        <v>16400037</v>
      </c>
      <c r="E20" s="368"/>
      <c r="F20" s="368"/>
    </row>
    <row r="21" spans="1:6" x14ac:dyDescent="0.2">
      <c r="A21" s="55" t="s">
        <v>311</v>
      </c>
      <c r="B21" s="56">
        <v>7873</v>
      </c>
      <c r="C21" s="56">
        <f>'2 TULUDE KOOND'!G53</f>
        <v>319560</v>
      </c>
      <c r="D21" s="56">
        <f t="shared" si="0"/>
        <v>327433</v>
      </c>
      <c r="E21" s="368"/>
      <c r="F21" s="368"/>
    </row>
    <row r="22" spans="1:6" x14ac:dyDescent="0.2">
      <c r="A22" s="2"/>
      <c r="B22" s="29"/>
      <c r="C22" s="29"/>
      <c r="D22" s="29">
        <f t="shared" si="0"/>
        <v>0</v>
      </c>
      <c r="E22" s="368"/>
      <c r="F22" s="368"/>
    </row>
    <row r="23" spans="1:6" ht="14.25" customHeight="1" x14ac:dyDescent="0.2">
      <c r="A23" s="52" t="s">
        <v>312</v>
      </c>
      <c r="B23" s="53">
        <v>424766874</v>
      </c>
      <c r="C23" s="53">
        <f ca="1">C24+C29</f>
        <v>8142985</v>
      </c>
      <c r="D23" s="53">
        <f t="shared" ca="1" si="0"/>
        <v>432909859</v>
      </c>
      <c r="E23" s="368"/>
      <c r="F23" s="368"/>
    </row>
    <row r="24" spans="1:6" ht="12" customHeight="1" x14ac:dyDescent="0.2">
      <c r="A24" s="55" t="s">
        <v>313</v>
      </c>
      <c r="B24" s="56">
        <v>411158963</v>
      </c>
      <c r="C24" s="56">
        <f ca="1">SUM(C25:C28)</f>
        <v>7846694</v>
      </c>
      <c r="D24" s="56">
        <f t="shared" ca="1" si="0"/>
        <v>419005657</v>
      </c>
      <c r="E24" s="368"/>
      <c r="F24" s="368"/>
    </row>
    <row r="25" spans="1:6" x14ac:dyDescent="0.2">
      <c r="A25" s="58" t="s">
        <v>314</v>
      </c>
      <c r="B25" s="56">
        <v>69500000</v>
      </c>
      <c r="C25" s="56">
        <f>'3 KULUD'!C1505</f>
        <v>-906591</v>
      </c>
      <c r="D25" s="56">
        <f t="shared" si="0"/>
        <v>68593409</v>
      </c>
      <c r="E25" s="368"/>
      <c r="F25" s="368"/>
    </row>
    <row r="26" spans="1:6" x14ac:dyDescent="0.2">
      <c r="A26" s="59" t="s">
        <v>315</v>
      </c>
      <c r="B26" s="56">
        <v>866620</v>
      </c>
      <c r="C26" s="56">
        <f ca="1">'3 KULUD'!C1503</f>
        <v>42752</v>
      </c>
      <c r="D26" s="56">
        <f t="shared" ca="1" si="0"/>
        <v>909372</v>
      </c>
      <c r="E26" s="368"/>
      <c r="F26" s="368"/>
    </row>
    <row r="27" spans="1:6" ht="25.5" x14ac:dyDescent="0.2">
      <c r="A27" s="60" t="s">
        <v>316</v>
      </c>
      <c r="B27" s="56">
        <v>7873</v>
      </c>
      <c r="C27" s="56">
        <f ca="1">'3 KULUD'!C1504</f>
        <v>1</v>
      </c>
      <c r="D27" s="56">
        <f t="shared" ca="1" si="0"/>
        <v>7874</v>
      </c>
      <c r="E27" s="368"/>
      <c r="F27" s="368"/>
    </row>
    <row r="28" spans="1:6" x14ac:dyDescent="0.2">
      <c r="A28" s="59" t="s">
        <v>317</v>
      </c>
      <c r="B28" s="56">
        <v>340784470</v>
      </c>
      <c r="C28" s="56">
        <f ca="1">'3 KULUD'!C1506+'3 KULUD'!C1502</f>
        <v>8710532</v>
      </c>
      <c r="D28" s="56">
        <f t="shared" ca="1" si="0"/>
        <v>349495002</v>
      </c>
      <c r="E28" s="368"/>
      <c r="F28" s="368"/>
    </row>
    <row r="29" spans="1:6" x14ac:dyDescent="0.2">
      <c r="A29" s="55" t="s">
        <v>318</v>
      </c>
      <c r="B29" s="56">
        <v>13607911</v>
      </c>
      <c r="C29" s="56">
        <f>ROUND(('4 INVEST'!D7-'1 KOONDEELARVE'!B29-'1 KOONDEELARVE'!B41)*0.2,0)</f>
        <v>296291</v>
      </c>
      <c r="D29" s="56">
        <f t="shared" si="0"/>
        <v>13904202</v>
      </c>
      <c r="E29" s="368"/>
      <c r="F29" s="368"/>
    </row>
    <row r="30" spans="1:6" x14ac:dyDescent="0.2">
      <c r="A30" s="55"/>
      <c r="B30" s="29"/>
      <c r="C30" s="29"/>
      <c r="D30" s="29">
        <f t="shared" si="0"/>
        <v>0</v>
      </c>
      <c r="E30" s="368"/>
      <c r="F30" s="368"/>
    </row>
    <row r="31" spans="1:6" x14ac:dyDescent="0.2">
      <c r="A31" s="61" t="s">
        <v>319</v>
      </c>
      <c r="B31" s="307">
        <v>17691421</v>
      </c>
      <c r="C31" s="307">
        <f ca="1">C7-C23</f>
        <v>-2410332</v>
      </c>
      <c r="D31" s="307">
        <f t="shared" ca="1" si="0"/>
        <v>15281089</v>
      </c>
      <c r="E31" s="368"/>
      <c r="F31" s="368"/>
    </row>
    <row r="32" spans="1:6" x14ac:dyDescent="0.2">
      <c r="A32" s="62"/>
      <c r="B32" s="24"/>
      <c r="C32" s="24"/>
      <c r="D32" s="24">
        <f t="shared" si="0"/>
        <v>0</v>
      </c>
      <c r="E32" s="368"/>
      <c r="F32" s="368"/>
    </row>
    <row r="33" spans="1:6" x14ac:dyDescent="0.2">
      <c r="A33" s="63" t="s">
        <v>320</v>
      </c>
      <c r="B33" s="56">
        <v>63686567</v>
      </c>
      <c r="C33" s="56">
        <f ca="1">'3 KULUD'!C1499</f>
        <v>258407</v>
      </c>
      <c r="D33" s="56">
        <f t="shared" ca="1" si="0"/>
        <v>63944974</v>
      </c>
      <c r="E33" s="368"/>
      <c r="F33" s="368"/>
    </row>
    <row r="34" spans="1:6" x14ac:dyDescent="0.2">
      <c r="A34" s="2"/>
      <c r="B34" s="29"/>
      <c r="C34" s="29"/>
      <c r="D34" s="29">
        <f t="shared" si="0"/>
        <v>0</v>
      </c>
      <c r="E34" s="368"/>
      <c r="F34" s="368"/>
    </row>
    <row r="35" spans="1:6" x14ac:dyDescent="0.2">
      <c r="A35" s="61" t="s">
        <v>321</v>
      </c>
      <c r="B35" s="307">
        <v>-45995146</v>
      </c>
      <c r="C35" s="307">
        <f ca="1">+C31-C33</f>
        <v>-2668739</v>
      </c>
      <c r="D35" s="307">
        <f t="shared" ca="1" si="0"/>
        <v>-48663885</v>
      </c>
      <c r="E35" s="368"/>
      <c r="F35" s="368"/>
    </row>
    <row r="36" spans="1:6" ht="16.5" thickBot="1" x14ac:dyDescent="0.3">
      <c r="A36" s="64"/>
      <c r="B36" s="308"/>
      <c r="C36" s="308"/>
      <c r="D36" s="308">
        <f t="shared" si="0"/>
        <v>0</v>
      </c>
      <c r="E36" s="368"/>
      <c r="F36" s="368"/>
    </row>
    <row r="37" spans="1:6" ht="16.5" thickTop="1" x14ac:dyDescent="0.25">
      <c r="A37" s="65"/>
      <c r="B37" s="309"/>
      <c r="C37" s="309"/>
      <c r="D37" s="309">
        <f t="shared" si="0"/>
        <v>0</v>
      </c>
      <c r="E37" s="368"/>
      <c r="F37" s="368"/>
    </row>
    <row r="38" spans="1:6" ht="15.75" x14ac:dyDescent="0.25">
      <c r="A38" s="66" t="s">
        <v>322</v>
      </c>
      <c r="B38" s="309"/>
      <c r="C38" s="309"/>
      <c r="D38" s="309">
        <f t="shared" si="0"/>
        <v>0</v>
      </c>
      <c r="E38" s="368"/>
      <c r="F38" s="368"/>
    </row>
    <row r="39" spans="1:6" x14ac:dyDescent="0.2">
      <c r="A39" s="55"/>
      <c r="B39" s="56"/>
      <c r="C39" s="56"/>
      <c r="D39" s="56">
        <f t="shared" si="0"/>
        <v>0</v>
      </c>
      <c r="E39" s="368"/>
      <c r="F39" s="368"/>
    </row>
    <row r="40" spans="1:6" x14ac:dyDescent="0.2">
      <c r="A40" s="67" t="s">
        <v>323</v>
      </c>
      <c r="B40" s="56"/>
      <c r="C40" s="56"/>
      <c r="D40" s="56">
        <f t="shared" si="0"/>
        <v>0</v>
      </c>
      <c r="E40" s="368"/>
      <c r="F40" s="368"/>
    </row>
    <row r="41" spans="1:6" x14ac:dyDescent="0.2">
      <c r="A41" s="55" t="s">
        <v>324</v>
      </c>
      <c r="B41" s="56">
        <v>54431642</v>
      </c>
      <c r="C41" s="56">
        <f>'4 INVEST'!D7-'1 KOONDEELARVE'!B29-'1 KOONDEELARVE'!B41-C29</f>
        <v>1185163</v>
      </c>
      <c r="D41" s="56">
        <f t="shared" si="0"/>
        <v>55616805</v>
      </c>
      <c r="E41" s="368"/>
      <c r="F41" s="368"/>
    </row>
    <row r="42" spans="1:6" x14ac:dyDescent="0.2">
      <c r="A42" s="55" t="s">
        <v>320</v>
      </c>
      <c r="B42" s="56">
        <v>-63686567</v>
      </c>
      <c r="C42" s="56">
        <f ca="1">-C33</f>
        <v>-258407</v>
      </c>
      <c r="D42" s="56">
        <f t="shared" ca="1" si="0"/>
        <v>-63944974</v>
      </c>
      <c r="E42" s="368"/>
      <c r="F42" s="368"/>
    </row>
    <row r="43" spans="1:6" x14ac:dyDescent="0.2">
      <c r="A43" s="55" t="s">
        <v>325</v>
      </c>
      <c r="B43" s="56">
        <v>-3822777</v>
      </c>
      <c r="C43" s="56">
        <f>C15</f>
        <v>-888315</v>
      </c>
      <c r="D43" s="56">
        <f t="shared" si="0"/>
        <v>-4711092</v>
      </c>
      <c r="E43" s="368"/>
      <c r="F43" s="368"/>
    </row>
    <row r="44" spans="1:6" x14ac:dyDescent="0.2">
      <c r="A44" s="68" t="s">
        <v>326</v>
      </c>
      <c r="B44" s="53">
        <v>-13077702</v>
      </c>
      <c r="C44" s="53">
        <f ca="1">C41+C42+C43</f>
        <v>38441</v>
      </c>
      <c r="D44" s="53">
        <f t="shared" ca="1" si="0"/>
        <v>-13039261</v>
      </c>
      <c r="E44" s="368"/>
      <c r="F44" s="368"/>
    </row>
    <row r="45" spans="1:6" x14ac:dyDescent="0.2">
      <c r="A45" s="68"/>
      <c r="B45" s="53"/>
      <c r="C45" s="53"/>
      <c r="D45" s="53">
        <f t="shared" si="0"/>
        <v>0</v>
      </c>
      <c r="E45" s="368"/>
      <c r="F45" s="368"/>
    </row>
    <row r="46" spans="1:6" x14ac:dyDescent="0.2">
      <c r="A46" s="67" t="s">
        <v>327</v>
      </c>
      <c r="B46" s="53"/>
      <c r="C46" s="53"/>
      <c r="D46" s="53">
        <f t="shared" si="0"/>
        <v>0</v>
      </c>
      <c r="E46" s="368"/>
      <c r="F46" s="368"/>
    </row>
    <row r="47" spans="1:6" x14ac:dyDescent="0.2">
      <c r="A47" s="55" t="s">
        <v>712</v>
      </c>
      <c r="B47" s="56">
        <v>-300000</v>
      </c>
      <c r="C47" s="56"/>
      <c r="D47" s="56">
        <f t="shared" si="0"/>
        <v>-300000</v>
      </c>
      <c r="E47" s="368"/>
      <c r="F47" s="368"/>
    </row>
    <row r="48" spans="1:6" x14ac:dyDescent="0.2">
      <c r="A48" s="55"/>
      <c r="B48" s="56"/>
      <c r="C48" s="56"/>
      <c r="D48" s="56">
        <f t="shared" si="0"/>
        <v>0</v>
      </c>
      <c r="E48" s="368"/>
      <c r="F48" s="368"/>
    </row>
    <row r="49" spans="1:6" x14ac:dyDescent="0.2">
      <c r="A49" s="67" t="s">
        <v>328</v>
      </c>
      <c r="B49" s="56">
        <v>-13816084</v>
      </c>
      <c r="C49" s="56">
        <f t="shared" ref="C49:C50" si="1">C50</f>
        <v>-2708880</v>
      </c>
      <c r="D49" s="56">
        <f t="shared" si="0"/>
        <v>-16524964</v>
      </c>
      <c r="E49" s="368"/>
      <c r="F49" s="368"/>
    </row>
    <row r="50" spans="1:6" x14ac:dyDescent="0.2">
      <c r="A50" s="55" t="s">
        <v>329</v>
      </c>
      <c r="B50" s="56">
        <v>-13816084</v>
      </c>
      <c r="C50" s="56">
        <f t="shared" si="1"/>
        <v>-2708880</v>
      </c>
      <c r="D50" s="56">
        <f t="shared" si="0"/>
        <v>-16524964</v>
      </c>
      <c r="E50" s="368"/>
      <c r="F50" s="368"/>
    </row>
    <row r="51" spans="1:6" x14ac:dyDescent="0.2">
      <c r="A51" s="69" t="s">
        <v>330</v>
      </c>
      <c r="B51" s="70">
        <v>-13816084</v>
      </c>
      <c r="C51" s="70">
        <f>-2695880-13000</f>
        <v>-2708880</v>
      </c>
      <c r="D51" s="70">
        <f t="shared" si="0"/>
        <v>-16524964</v>
      </c>
      <c r="E51" s="368"/>
      <c r="F51" s="368"/>
    </row>
    <row r="52" spans="1:6" x14ac:dyDescent="0.2">
      <c r="A52" s="55"/>
      <c r="B52" s="56"/>
      <c r="C52" s="56"/>
      <c r="D52" s="56">
        <f t="shared" si="0"/>
        <v>0</v>
      </c>
      <c r="E52" s="368"/>
      <c r="F52" s="368"/>
    </row>
    <row r="53" spans="1:6" x14ac:dyDescent="0.2">
      <c r="A53" s="68" t="s">
        <v>331</v>
      </c>
      <c r="B53" s="53">
        <v>-14116084</v>
      </c>
      <c r="C53" s="53">
        <f>+C50+C47</f>
        <v>-2708880</v>
      </c>
      <c r="D53" s="53">
        <f t="shared" si="0"/>
        <v>-16824964</v>
      </c>
      <c r="E53" s="368"/>
      <c r="F53" s="368"/>
    </row>
    <row r="54" spans="1:6" x14ac:dyDescent="0.2">
      <c r="A54" s="68"/>
      <c r="B54" s="53"/>
      <c r="C54" s="53"/>
      <c r="D54" s="53">
        <f t="shared" si="0"/>
        <v>0</v>
      </c>
      <c r="E54" s="368"/>
      <c r="F54" s="368"/>
    </row>
    <row r="55" spans="1:6" x14ac:dyDescent="0.2">
      <c r="A55" s="68" t="s">
        <v>332</v>
      </c>
      <c r="B55" s="53">
        <v>-3500000</v>
      </c>
      <c r="C55" s="53"/>
      <c r="D55" s="53">
        <f t="shared" si="0"/>
        <v>-3500000</v>
      </c>
      <c r="E55" s="368"/>
      <c r="F55" s="368"/>
    </row>
    <row r="56" spans="1:6" x14ac:dyDescent="0.2">
      <c r="A56" s="67"/>
      <c r="B56" s="56"/>
      <c r="C56" s="56"/>
      <c r="D56" s="56">
        <f t="shared" si="0"/>
        <v>0</v>
      </c>
      <c r="E56" s="368"/>
      <c r="F56" s="368"/>
    </row>
    <row r="57" spans="1:6" x14ac:dyDescent="0.2">
      <c r="A57" s="68" t="s">
        <v>333</v>
      </c>
      <c r="B57" s="53">
        <v>9341905</v>
      </c>
      <c r="C57" s="53">
        <f>C58-C59-C60</f>
        <v>-1700</v>
      </c>
      <c r="D57" s="53">
        <f t="shared" si="0"/>
        <v>9340205</v>
      </c>
      <c r="E57" s="368"/>
      <c r="F57" s="368"/>
    </row>
    <row r="58" spans="1:6" x14ac:dyDescent="0.2">
      <c r="A58" s="55" t="s">
        <v>334</v>
      </c>
      <c r="B58" s="56">
        <v>25000000</v>
      </c>
      <c r="C58" s="56">
        <f>'5 FIN.TEH'!C4</f>
        <v>0</v>
      </c>
      <c r="D58" s="56">
        <f t="shared" si="0"/>
        <v>25000000</v>
      </c>
      <c r="E58" s="368"/>
      <c r="F58" s="368"/>
    </row>
    <row r="59" spans="1:6" x14ac:dyDescent="0.2">
      <c r="A59" s="55" t="s">
        <v>335</v>
      </c>
      <c r="B59" s="56">
        <v>14616863</v>
      </c>
      <c r="C59" s="56">
        <f>'5 FIN.TEH'!C7</f>
        <v>0</v>
      </c>
      <c r="D59" s="56">
        <f t="shared" si="0"/>
        <v>14616863</v>
      </c>
      <c r="E59" s="368"/>
      <c r="F59" s="368"/>
    </row>
    <row r="60" spans="1:6" x14ac:dyDescent="0.2">
      <c r="A60" s="71" t="s">
        <v>336</v>
      </c>
      <c r="B60" s="56">
        <v>1041232</v>
      </c>
      <c r="C60" s="56">
        <f>'5 FIN.TEH'!C10</f>
        <v>1700</v>
      </c>
      <c r="D60" s="56">
        <f t="shared" si="0"/>
        <v>1042932</v>
      </c>
      <c r="E60" s="368"/>
      <c r="F60" s="368"/>
    </row>
    <row r="61" spans="1:6" x14ac:dyDescent="0.2">
      <c r="A61" s="68"/>
      <c r="B61" s="53"/>
      <c r="C61" s="53"/>
      <c r="D61" s="53">
        <f t="shared" si="0"/>
        <v>0</v>
      </c>
      <c r="E61" s="368"/>
      <c r="F61" s="368"/>
    </row>
    <row r="62" spans="1:6" x14ac:dyDescent="0.2">
      <c r="A62" s="68" t="s">
        <v>337</v>
      </c>
      <c r="B62" s="53">
        <v>5959455</v>
      </c>
      <c r="C62" s="53"/>
      <c r="D62" s="53">
        <f t="shared" si="0"/>
        <v>5959455</v>
      </c>
      <c r="E62" s="368"/>
      <c r="F62" s="368"/>
    </row>
    <row r="63" spans="1:6" x14ac:dyDescent="0.2">
      <c r="A63" s="68"/>
      <c r="B63" s="53"/>
      <c r="C63" s="53"/>
      <c r="D63" s="53">
        <f t="shared" si="0"/>
        <v>0</v>
      </c>
      <c r="E63" s="368"/>
      <c r="F63" s="368"/>
    </row>
    <row r="64" spans="1:6" x14ac:dyDescent="0.2">
      <c r="A64" s="68" t="s">
        <v>338</v>
      </c>
      <c r="B64" s="53">
        <v>-45995146</v>
      </c>
      <c r="C64" s="53">
        <f ca="1">+C50+C44-C57+C55-C62+C47</f>
        <v>-2668739</v>
      </c>
      <c r="D64" s="53">
        <f t="shared" ca="1" si="0"/>
        <v>-48663885</v>
      </c>
      <c r="E64" s="368"/>
      <c r="F64" s="368"/>
    </row>
    <row r="65" spans="1:6" x14ac:dyDescent="0.2">
      <c r="A65" s="68"/>
      <c r="B65" s="53"/>
      <c r="C65" s="53"/>
      <c r="D65" s="53">
        <f t="shared" si="0"/>
        <v>0</v>
      </c>
      <c r="E65" s="368"/>
      <c r="F65" s="368"/>
    </row>
    <row r="66" spans="1:6" x14ac:dyDescent="0.2">
      <c r="A66" s="68"/>
      <c r="B66" s="53"/>
      <c r="C66" s="53"/>
      <c r="D66" s="53">
        <f t="shared" si="0"/>
        <v>0</v>
      </c>
      <c r="E66" s="368"/>
      <c r="F66" s="368"/>
    </row>
    <row r="67" spans="1:6" x14ac:dyDescent="0.2">
      <c r="A67" s="2" t="s">
        <v>339</v>
      </c>
      <c r="B67" s="29">
        <v>488897156</v>
      </c>
      <c r="C67" s="29">
        <f ca="1">C7-C43+C58-C55-C51-C47</f>
        <v>9329848</v>
      </c>
      <c r="D67" s="29">
        <f t="shared" ca="1" si="0"/>
        <v>498227004</v>
      </c>
      <c r="E67" s="368"/>
      <c r="F67" s="368"/>
    </row>
    <row r="68" spans="1:6" x14ac:dyDescent="0.2">
      <c r="A68" s="50" t="s">
        <v>340</v>
      </c>
      <c r="B68" s="29">
        <v>488897156</v>
      </c>
      <c r="C68" s="29">
        <f ca="1">C23+C41+C59+C60-C62</f>
        <v>9329848</v>
      </c>
      <c r="D68" s="29">
        <f t="shared" ca="1" si="0"/>
        <v>498227004</v>
      </c>
      <c r="E68" s="368"/>
      <c r="F68" s="368"/>
    </row>
    <row r="69" spans="1:6" ht="14.25" x14ac:dyDescent="0.2">
      <c r="A69" s="73"/>
      <c r="B69" s="51"/>
      <c r="C69" s="368"/>
      <c r="D69" s="51"/>
    </row>
    <row r="70" spans="1:6" s="72" customFormat="1" ht="14.25" x14ac:dyDescent="0.2">
      <c r="A70" s="73"/>
      <c r="B70" s="51"/>
      <c r="C70"/>
      <c r="D70" s="51"/>
    </row>
    <row r="71" spans="1:6" ht="14.25" x14ac:dyDescent="0.2">
      <c r="A71" s="73"/>
      <c r="B71" s="51"/>
      <c r="C71" s="72"/>
      <c r="D71" s="51"/>
    </row>
    <row r="72" spans="1:6" x14ac:dyDescent="0.2">
      <c r="A72" s="50"/>
      <c r="B72" s="74"/>
      <c r="D72" s="74"/>
    </row>
    <row r="73" spans="1:6" x14ac:dyDescent="0.2">
      <c r="A73" s="50"/>
      <c r="B73" s="51"/>
      <c r="D73" s="51"/>
    </row>
    <row r="74" spans="1:6" x14ac:dyDescent="0.2">
      <c r="A74" s="50"/>
      <c r="B74" s="74"/>
      <c r="D74" s="74"/>
    </row>
    <row r="75" spans="1:6" x14ac:dyDescent="0.2">
      <c r="A75" s="50"/>
      <c r="B75" s="75"/>
      <c r="D75" s="75"/>
    </row>
    <row r="76" spans="1:6" x14ac:dyDescent="0.2">
      <c r="A76" s="76"/>
      <c r="B76" s="77"/>
      <c r="D76" s="77"/>
    </row>
    <row r="77" spans="1:6" x14ac:dyDescent="0.2">
      <c r="A77" s="50"/>
      <c r="B77" s="78"/>
      <c r="D77" s="78"/>
    </row>
    <row r="78" spans="1:6" x14ac:dyDescent="0.2">
      <c r="A78" s="79"/>
      <c r="B78" s="74"/>
      <c r="D78" s="74"/>
    </row>
    <row r="79" spans="1:6" x14ac:dyDescent="0.2">
      <c r="A79" s="79"/>
      <c r="B79" s="74"/>
      <c r="D79" s="74"/>
    </row>
    <row r="80" spans="1:6" x14ac:dyDescent="0.2">
      <c r="A80" s="79"/>
      <c r="B80" s="74"/>
      <c r="D80" s="74"/>
    </row>
    <row r="81" spans="1:4" x14ac:dyDescent="0.2">
      <c r="A81" s="79"/>
      <c r="B81" s="74"/>
      <c r="D81" s="74"/>
    </row>
    <row r="82" spans="1:4" x14ac:dyDescent="0.2">
      <c r="A82" s="79"/>
      <c r="B82" s="74"/>
      <c r="D82" s="74"/>
    </row>
    <row r="83" spans="1:4" x14ac:dyDescent="0.2">
      <c r="A83" s="80"/>
      <c r="B83" s="81"/>
      <c r="D83" s="81"/>
    </row>
    <row r="84" spans="1:4" x14ac:dyDescent="0.2">
      <c r="A84" s="80"/>
      <c r="B84" s="81"/>
      <c r="D84" s="81"/>
    </row>
    <row r="85" spans="1:4" x14ac:dyDescent="0.2">
      <c r="A85" s="80"/>
      <c r="B85" s="81"/>
      <c r="D85" s="81"/>
    </row>
    <row r="86" spans="1:4" x14ac:dyDescent="0.2">
      <c r="A86" s="80"/>
      <c r="B86" s="81"/>
      <c r="D86" s="81"/>
    </row>
    <row r="87" spans="1:4" x14ac:dyDescent="0.2">
      <c r="A87" s="80"/>
      <c r="B87" s="81"/>
      <c r="D87" s="81"/>
    </row>
    <row r="88" spans="1:4" x14ac:dyDescent="0.2">
      <c r="A88" s="80"/>
      <c r="B88" s="81"/>
      <c r="D88" s="81"/>
    </row>
    <row r="89" spans="1:4" x14ac:dyDescent="0.2">
      <c r="A89" s="80"/>
      <c r="B89" s="81"/>
      <c r="D89" s="81"/>
    </row>
    <row r="90" spans="1:4" x14ac:dyDescent="0.2">
      <c r="A90" s="80"/>
      <c r="B90" s="81"/>
      <c r="D90" s="81"/>
    </row>
    <row r="91" spans="1:4" x14ac:dyDescent="0.2">
      <c r="A91" s="80"/>
      <c r="B91" s="81"/>
      <c r="D91" s="81"/>
    </row>
    <row r="92" spans="1:4" x14ac:dyDescent="0.2">
      <c r="A92" s="80"/>
      <c r="B92" s="81"/>
      <c r="D92" s="81"/>
    </row>
    <row r="93" spans="1:4" x14ac:dyDescent="0.2">
      <c r="A93" s="80"/>
      <c r="B93" s="81"/>
      <c r="D93" s="81"/>
    </row>
    <row r="94" spans="1:4" x14ac:dyDescent="0.2">
      <c r="A94" s="80"/>
      <c r="B94" s="81"/>
      <c r="D94" s="81"/>
    </row>
    <row r="95" spans="1:4" x14ac:dyDescent="0.2">
      <c r="A95" s="80"/>
      <c r="B95" s="81"/>
      <c r="D95" s="81"/>
    </row>
    <row r="96" spans="1:4" x14ac:dyDescent="0.2">
      <c r="A96" s="80"/>
      <c r="B96" s="81"/>
      <c r="D96" s="81"/>
    </row>
    <row r="97" spans="1:4" x14ac:dyDescent="0.2">
      <c r="A97" s="80"/>
      <c r="B97" s="81"/>
      <c r="D97" s="81"/>
    </row>
    <row r="98" spans="1:4" x14ac:dyDescent="0.2">
      <c r="A98" s="80"/>
      <c r="B98" s="81"/>
      <c r="D98" s="81"/>
    </row>
    <row r="99" spans="1:4" x14ac:dyDescent="0.2">
      <c r="A99" s="80"/>
      <c r="B99" s="81"/>
      <c r="D99" s="81"/>
    </row>
    <row r="100" spans="1:4" x14ac:dyDescent="0.2">
      <c r="A100" s="82"/>
      <c r="B100" s="83"/>
      <c r="D100" s="83"/>
    </row>
    <row r="101" spans="1:4" x14ac:dyDescent="0.2">
      <c r="A101" s="84"/>
      <c r="B101" s="85"/>
      <c r="D101" s="85"/>
    </row>
    <row r="102" spans="1:4" x14ac:dyDescent="0.2">
      <c r="A102" s="80"/>
      <c r="B102" s="86"/>
      <c r="D102" s="86"/>
    </row>
    <row r="103" spans="1:4" x14ac:dyDescent="0.2">
      <c r="A103" s="80"/>
      <c r="B103" s="86"/>
      <c r="D103" s="86"/>
    </row>
    <row r="104" spans="1:4" x14ac:dyDescent="0.2">
      <c r="A104" s="80"/>
      <c r="B104" s="86"/>
      <c r="D104" s="86"/>
    </row>
    <row r="105" spans="1:4" x14ac:dyDescent="0.2">
      <c r="A105" s="80"/>
      <c r="B105" s="86"/>
      <c r="D105" s="86"/>
    </row>
    <row r="106" spans="1:4" x14ac:dyDescent="0.2">
      <c r="A106" s="80"/>
      <c r="B106" s="86"/>
      <c r="D106" s="86"/>
    </row>
    <row r="107" spans="1:4" x14ac:dyDescent="0.2">
      <c r="A107" s="80"/>
      <c r="B107" s="86"/>
      <c r="D107" s="86"/>
    </row>
    <row r="108" spans="1:4" x14ac:dyDescent="0.2">
      <c r="A108" s="80"/>
    </row>
    <row r="109" spans="1:4" x14ac:dyDescent="0.2">
      <c r="A109" s="80"/>
    </row>
    <row r="110" spans="1:4" x14ac:dyDescent="0.2">
      <c r="A110" s="80"/>
    </row>
    <row r="111" spans="1:4" x14ac:dyDescent="0.2">
      <c r="A111" s="82"/>
    </row>
    <row r="112" spans="1:4" x14ac:dyDescent="0.2">
      <c r="A112" s="82"/>
    </row>
    <row r="113" spans="1:1" x14ac:dyDescent="0.2">
      <c r="A113" s="84"/>
    </row>
    <row r="114" spans="1:1" x14ac:dyDescent="0.2">
      <c r="A114" s="80"/>
    </row>
    <row r="115" spans="1:1" x14ac:dyDescent="0.2">
      <c r="A115" s="80"/>
    </row>
    <row r="116" spans="1:1" x14ac:dyDescent="0.2">
      <c r="A116" s="80"/>
    </row>
    <row r="117" spans="1:1" x14ac:dyDescent="0.2">
      <c r="A117" s="80"/>
    </row>
    <row r="118" spans="1:1" x14ac:dyDescent="0.2">
      <c r="A118" s="82"/>
    </row>
    <row r="119" spans="1:1" x14ac:dyDescent="0.2">
      <c r="A119" s="87"/>
    </row>
    <row r="120" spans="1:1" x14ac:dyDescent="0.2">
      <c r="A120" s="80"/>
    </row>
    <row r="121" spans="1:1" x14ac:dyDescent="0.2">
      <c r="A121" s="80"/>
    </row>
    <row r="122" spans="1:1" x14ac:dyDescent="0.2">
      <c r="A122" s="82"/>
    </row>
    <row r="123" spans="1:1" x14ac:dyDescent="0.2">
      <c r="A123" s="84"/>
    </row>
    <row r="124" spans="1:1" x14ac:dyDescent="0.2">
      <c r="A124" s="80"/>
    </row>
    <row r="125" spans="1:1" x14ac:dyDescent="0.2">
      <c r="A125" s="80"/>
    </row>
    <row r="126" spans="1:1" x14ac:dyDescent="0.2">
      <c r="A126" s="80"/>
    </row>
    <row r="127" spans="1:1" x14ac:dyDescent="0.2">
      <c r="A127" s="80"/>
    </row>
    <row r="128" spans="1:1" x14ac:dyDescent="0.2">
      <c r="A128" s="50"/>
    </row>
    <row r="129" spans="1:1" x14ac:dyDescent="0.2">
      <c r="A129" s="88"/>
    </row>
    <row r="130" spans="1:1" x14ac:dyDescent="0.2">
      <c r="A130" s="82"/>
    </row>
    <row r="131" spans="1:1" x14ac:dyDescent="0.2">
      <c r="A131" s="84"/>
    </row>
    <row r="132" spans="1:1" x14ac:dyDescent="0.2">
      <c r="A132" s="80"/>
    </row>
    <row r="133" spans="1:1" x14ac:dyDescent="0.2">
      <c r="A133" s="80"/>
    </row>
    <row r="134" spans="1:1" x14ac:dyDescent="0.2">
      <c r="A134" s="80"/>
    </row>
    <row r="135" spans="1:1" x14ac:dyDescent="0.2">
      <c r="A135" s="80"/>
    </row>
    <row r="136" spans="1:1" x14ac:dyDescent="0.2">
      <c r="A136" s="80"/>
    </row>
    <row r="137" spans="1:1" x14ac:dyDescent="0.2">
      <c r="A137" s="80"/>
    </row>
    <row r="138" spans="1:1" x14ac:dyDescent="0.2">
      <c r="A138" s="80"/>
    </row>
    <row r="139" spans="1:1" x14ac:dyDescent="0.2">
      <c r="A139" s="80"/>
    </row>
    <row r="142" spans="1:1" x14ac:dyDescent="0.2">
      <c r="A142" s="82"/>
    </row>
    <row r="143" spans="1:1" x14ac:dyDescent="0.2">
      <c r="A143" s="84"/>
    </row>
    <row r="144" spans="1:1" x14ac:dyDescent="0.2">
      <c r="A144" s="80"/>
    </row>
    <row r="145" spans="1:1" x14ac:dyDescent="0.2">
      <c r="A145" s="80"/>
    </row>
    <row r="148" spans="1:1" x14ac:dyDescent="0.2">
      <c r="A148" s="84"/>
    </row>
    <row r="154" spans="1:1" x14ac:dyDescent="0.2">
      <c r="A154" s="84"/>
    </row>
  </sheetData>
  <phoneticPr fontId="26" type="noConversion"/>
  <pageMargins left="1.1811023622047245" right="0.47244094488188981" top="0.78740157480314965" bottom="0.98425196850393704" header="0.51181102362204722" footer="0.51181102362204722"/>
  <pageSetup paperSize="9" scale="75" orientation="landscape" r:id="rId1"/>
  <headerFooter alignWithMargins="0">
    <oddFooter>&amp;C&amp;P/&amp;N&amp;R&amp;D &amp;T</oddFooter>
  </headerFooter>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E47"/>
  <sheetViews>
    <sheetView zoomScaleNormal="100" workbookViewId="0"/>
  </sheetViews>
  <sheetFormatPr defaultRowHeight="12.75" x14ac:dyDescent="0.2"/>
  <cols>
    <col min="1" max="1" width="66.7109375" style="370" customWidth="1"/>
    <col min="2" max="2" width="12.42578125" style="370" customWidth="1"/>
    <col min="3" max="3" width="11" style="370" bestFit="1" customWidth="1"/>
    <col min="4" max="5" width="11.7109375" style="370" bestFit="1" customWidth="1"/>
    <col min="6" max="16384" width="9.140625" style="370"/>
  </cols>
  <sheetData>
    <row r="1" spans="1:5" ht="15" x14ac:dyDescent="0.25">
      <c r="A1" s="371" t="s">
        <v>1025</v>
      </c>
      <c r="B1" s="372"/>
    </row>
    <row r="2" spans="1:5" ht="12.75" customHeight="1" x14ac:dyDescent="0.25">
      <c r="A2" s="210"/>
      <c r="B2" s="373" t="s">
        <v>294</v>
      </c>
    </row>
    <row r="3" spans="1:5" ht="25.5" x14ac:dyDescent="0.25">
      <c r="A3" s="210"/>
      <c r="B3" s="485" t="s">
        <v>1064</v>
      </c>
    </row>
    <row r="4" spans="1:5" x14ac:dyDescent="0.2">
      <c r="A4" s="211" t="s">
        <v>102</v>
      </c>
      <c r="B4" s="206">
        <v>439154259</v>
      </c>
      <c r="C4" s="368"/>
      <c r="D4" s="368"/>
      <c r="E4" s="368"/>
    </row>
    <row r="5" spans="1:5" x14ac:dyDescent="0.2">
      <c r="A5" s="211" t="s">
        <v>103</v>
      </c>
      <c r="B5" s="206">
        <v>349903912</v>
      </c>
      <c r="C5" s="368"/>
      <c r="D5" s="368"/>
      <c r="E5" s="368"/>
    </row>
    <row r="6" spans="1:5" x14ac:dyDescent="0.2">
      <c r="A6" s="367" t="s">
        <v>104</v>
      </c>
      <c r="B6" s="368">
        <v>293235000</v>
      </c>
      <c r="C6" s="368"/>
      <c r="D6" s="368"/>
      <c r="E6" s="368"/>
    </row>
    <row r="7" spans="1:5" x14ac:dyDescent="0.2">
      <c r="A7" s="367" t="s">
        <v>105</v>
      </c>
      <c r="B7" s="368">
        <v>257473000</v>
      </c>
      <c r="C7" s="368"/>
      <c r="D7" s="368"/>
      <c r="E7" s="368"/>
    </row>
    <row r="8" spans="1:5" x14ac:dyDescent="0.2">
      <c r="A8" s="367" t="s">
        <v>106</v>
      </c>
      <c r="B8" s="368">
        <v>28000000</v>
      </c>
      <c r="C8" s="368"/>
      <c r="D8" s="368"/>
      <c r="E8" s="368"/>
    </row>
    <row r="9" spans="1:5" x14ac:dyDescent="0.2">
      <c r="A9" s="369" t="s">
        <v>107</v>
      </c>
      <c r="B9" s="368">
        <v>7762000</v>
      </c>
      <c r="C9" s="368"/>
      <c r="D9" s="368"/>
      <c r="E9" s="368"/>
    </row>
    <row r="10" spans="1:5" x14ac:dyDescent="0.2">
      <c r="A10" s="105" t="s">
        <v>1026</v>
      </c>
      <c r="B10" s="368">
        <v>54306629</v>
      </c>
      <c r="C10" s="368"/>
      <c r="D10" s="368"/>
      <c r="E10" s="368"/>
    </row>
    <row r="11" spans="1:5" x14ac:dyDescent="0.2">
      <c r="A11" s="369" t="s">
        <v>108</v>
      </c>
      <c r="B11" s="368">
        <v>2362283</v>
      </c>
      <c r="C11" s="368"/>
      <c r="D11" s="368"/>
      <c r="E11" s="368"/>
    </row>
    <row r="12" spans="1:5" x14ac:dyDescent="0.2">
      <c r="A12" s="106" t="s">
        <v>109</v>
      </c>
      <c r="B12" s="206">
        <v>89250347</v>
      </c>
      <c r="C12" s="368"/>
      <c r="D12" s="368"/>
      <c r="E12" s="368"/>
    </row>
    <row r="13" spans="1:5" x14ac:dyDescent="0.2">
      <c r="A13" s="369" t="s">
        <v>110</v>
      </c>
      <c r="B13" s="368">
        <v>72522877</v>
      </c>
      <c r="C13" s="368"/>
      <c r="D13" s="368"/>
      <c r="E13" s="368"/>
    </row>
    <row r="14" spans="1:5" x14ac:dyDescent="0.2">
      <c r="A14" s="369" t="s">
        <v>111</v>
      </c>
      <c r="B14" s="368">
        <v>16727470</v>
      </c>
      <c r="C14" s="368"/>
      <c r="D14" s="368"/>
      <c r="E14" s="368"/>
    </row>
    <row r="15" spans="1:5" x14ac:dyDescent="0.2">
      <c r="A15" s="106" t="s">
        <v>112</v>
      </c>
      <c r="B15" s="206">
        <v>-437169659</v>
      </c>
      <c r="C15" s="368"/>
      <c r="D15" s="368"/>
      <c r="E15" s="368"/>
    </row>
    <row r="16" spans="1:5" x14ac:dyDescent="0.2">
      <c r="A16" s="369" t="s">
        <v>1027</v>
      </c>
      <c r="B16" s="368">
        <v>-432075280</v>
      </c>
      <c r="C16" s="368"/>
      <c r="D16" s="368"/>
      <c r="E16" s="368"/>
    </row>
    <row r="17" spans="1:5" x14ac:dyDescent="0.2">
      <c r="A17" s="369" t="s">
        <v>113</v>
      </c>
      <c r="B17" s="368">
        <v>-5094379</v>
      </c>
      <c r="C17" s="368"/>
      <c r="D17" s="368"/>
      <c r="E17" s="368"/>
    </row>
    <row r="18" spans="1:5" x14ac:dyDescent="0.2">
      <c r="A18" s="106" t="s">
        <v>114</v>
      </c>
      <c r="B18" s="206">
        <v>1984600</v>
      </c>
      <c r="C18" s="368"/>
      <c r="D18" s="368"/>
      <c r="E18" s="368"/>
    </row>
    <row r="19" spans="1:5" x14ac:dyDescent="0.2">
      <c r="A19" s="369"/>
      <c r="C19" s="368"/>
      <c r="D19" s="368"/>
      <c r="E19" s="368"/>
    </row>
    <row r="20" spans="1:5" x14ac:dyDescent="0.2">
      <c r="A20" s="211" t="s">
        <v>115</v>
      </c>
      <c r="B20" s="206">
        <v>17547781</v>
      </c>
      <c r="C20" s="368"/>
      <c r="D20" s="368"/>
      <c r="E20" s="368"/>
    </row>
    <row r="21" spans="1:5" x14ac:dyDescent="0.2">
      <c r="A21" s="560" t="s">
        <v>116</v>
      </c>
      <c r="B21" s="368">
        <v>7160138</v>
      </c>
      <c r="C21" s="368"/>
      <c r="D21" s="368"/>
      <c r="E21" s="368"/>
    </row>
    <row r="22" spans="1:5" x14ac:dyDescent="0.2">
      <c r="A22" s="560" t="s">
        <v>117</v>
      </c>
      <c r="B22" s="368">
        <v>3800000</v>
      </c>
      <c r="C22" s="368"/>
      <c r="D22" s="368"/>
      <c r="E22" s="368"/>
    </row>
    <row r="23" spans="1:5" x14ac:dyDescent="0.2">
      <c r="A23" s="560" t="s">
        <v>118</v>
      </c>
      <c r="B23" s="368">
        <v>6387643</v>
      </c>
      <c r="C23" s="368"/>
      <c r="D23" s="368"/>
      <c r="E23" s="368"/>
    </row>
    <row r="24" spans="1:5" x14ac:dyDescent="0.2">
      <c r="A24" s="560" t="s">
        <v>119</v>
      </c>
      <c r="B24" s="368">
        <v>200000</v>
      </c>
      <c r="C24" s="368"/>
      <c r="D24" s="368"/>
      <c r="E24" s="368"/>
    </row>
    <row r="25" spans="1:5" x14ac:dyDescent="0.2">
      <c r="A25" s="106" t="s">
        <v>120</v>
      </c>
      <c r="B25" s="206">
        <v>-51597550</v>
      </c>
      <c r="C25" s="368"/>
      <c r="D25" s="368"/>
      <c r="E25" s="368"/>
    </row>
    <row r="26" spans="1:5" x14ac:dyDescent="0.2">
      <c r="A26" s="560" t="s">
        <v>121</v>
      </c>
      <c r="B26" s="368">
        <v>-51597550</v>
      </c>
      <c r="C26" s="368"/>
      <c r="D26" s="368"/>
      <c r="E26" s="368"/>
    </row>
    <row r="27" spans="1:5" x14ac:dyDescent="0.2">
      <c r="A27" s="106" t="s">
        <v>122</v>
      </c>
      <c r="B27" s="206">
        <v>-34049769</v>
      </c>
      <c r="C27" s="368"/>
      <c r="D27" s="368"/>
      <c r="E27" s="368"/>
    </row>
    <row r="28" spans="1:5" x14ac:dyDescent="0.2">
      <c r="A28" s="367"/>
      <c r="C28" s="368"/>
      <c r="D28" s="368"/>
      <c r="E28" s="368"/>
    </row>
    <row r="29" spans="1:5" x14ac:dyDescent="0.2">
      <c r="A29" s="211" t="s">
        <v>123</v>
      </c>
      <c r="B29" s="206">
        <v>25000000</v>
      </c>
      <c r="C29" s="368"/>
      <c r="D29" s="368"/>
      <c r="E29" s="368"/>
    </row>
    <row r="30" spans="1:5" x14ac:dyDescent="0.2">
      <c r="A30" s="367" t="s">
        <v>124</v>
      </c>
      <c r="B30" s="368">
        <v>25000000</v>
      </c>
      <c r="C30" s="368"/>
      <c r="D30" s="368"/>
      <c r="E30" s="368"/>
    </row>
    <row r="31" spans="1:5" x14ac:dyDescent="0.2">
      <c r="A31" s="106" t="s">
        <v>125</v>
      </c>
      <c r="B31" s="206">
        <v>-15659795</v>
      </c>
      <c r="C31" s="368"/>
      <c r="D31" s="368"/>
      <c r="E31" s="368"/>
    </row>
    <row r="32" spans="1:5" x14ac:dyDescent="0.2">
      <c r="A32" s="473" t="s">
        <v>861</v>
      </c>
      <c r="B32" s="368">
        <v>-14616863</v>
      </c>
      <c r="C32" s="368"/>
      <c r="D32" s="368"/>
      <c r="E32" s="368"/>
    </row>
    <row r="33" spans="1:5" x14ac:dyDescent="0.2">
      <c r="A33" s="369" t="s">
        <v>1028</v>
      </c>
      <c r="B33" s="368">
        <v>-1042932</v>
      </c>
      <c r="C33" s="368"/>
      <c r="D33" s="368"/>
      <c r="E33" s="368"/>
    </row>
    <row r="34" spans="1:5" x14ac:dyDescent="0.2">
      <c r="A34" s="106" t="s">
        <v>126</v>
      </c>
      <c r="B34" s="206">
        <v>9340205</v>
      </c>
      <c r="C34" s="368"/>
    </row>
    <row r="35" spans="1:5" x14ac:dyDescent="0.2">
      <c r="A35" s="367"/>
      <c r="C35" s="368"/>
    </row>
    <row r="36" spans="1:5" x14ac:dyDescent="0.2">
      <c r="A36" s="211" t="s">
        <v>127</v>
      </c>
      <c r="B36" s="206">
        <v>481702040</v>
      </c>
      <c r="C36" s="368"/>
    </row>
    <row r="37" spans="1:5" x14ac:dyDescent="0.2">
      <c r="A37" s="211" t="s">
        <v>128</v>
      </c>
      <c r="B37" s="206">
        <v>-504427004</v>
      </c>
      <c r="C37" s="368"/>
    </row>
    <row r="38" spans="1:5" x14ac:dyDescent="0.2">
      <c r="A38" s="211" t="s">
        <v>129</v>
      </c>
      <c r="B38" s="206">
        <v>-22724964</v>
      </c>
      <c r="C38" s="368"/>
    </row>
    <row r="39" spans="1:5" x14ac:dyDescent="0.2">
      <c r="A39" s="211"/>
      <c r="B39" s="206"/>
      <c r="C39" s="368"/>
    </row>
    <row r="40" spans="1:5" x14ac:dyDescent="0.2">
      <c r="A40" s="211"/>
      <c r="B40" s="206"/>
      <c r="C40" s="368"/>
    </row>
    <row r="41" spans="1:5" ht="25.5" x14ac:dyDescent="0.2">
      <c r="A41" s="561" t="s">
        <v>1029</v>
      </c>
      <c r="B41" s="206"/>
      <c r="C41" s="368"/>
    </row>
    <row r="42" spans="1:5" x14ac:dyDescent="0.2">
      <c r="A42" s="561"/>
      <c r="B42" s="206"/>
      <c r="C42" s="368"/>
    </row>
    <row r="43" spans="1:5" x14ac:dyDescent="0.2">
      <c r="A43" s="211"/>
      <c r="B43" s="206"/>
    </row>
    <row r="44" spans="1:5" x14ac:dyDescent="0.2">
      <c r="A44" s="211"/>
      <c r="B44" s="206"/>
    </row>
    <row r="45" spans="1:5" x14ac:dyDescent="0.2">
      <c r="A45" s="211"/>
      <c r="B45" s="206"/>
    </row>
    <row r="46" spans="1:5" x14ac:dyDescent="0.2">
      <c r="A46" s="82"/>
    </row>
    <row r="47" spans="1:5" x14ac:dyDescent="0.2">
      <c r="A47" s="82"/>
    </row>
  </sheetData>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D49"/>
  <sheetViews>
    <sheetView zoomScaleNormal="100" workbookViewId="0"/>
  </sheetViews>
  <sheetFormatPr defaultRowHeight="12.75" x14ac:dyDescent="0.2"/>
  <cols>
    <col min="1" max="1" width="66.7109375" style="370" customWidth="1"/>
    <col min="2" max="2" width="11.140625" style="370" bestFit="1" customWidth="1"/>
    <col min="3" max="3" width="12.42578125" style="370" customWidth="1"/>
    <col min="4" max="4" width="11.140625" style="370" bestFit="1" customWidth="1"/>
    <col min="5" max="16384" width="9.140625" style="370"/>
  </cols>
  <sheetData>
    <row r="1" spans="1:4" ht="30" x14ac:dyDescent="0.25">
      <c r="A1" s="359" t="s">
        <v>1030</v>
      </c>
    </row>
    <row r="2" spans="1:4" ht="12.75" customHeight="1" x14ac:dyDescent="0.25">
      <c r="A2" s="210"/>
      <c r="C2" s="562"/>
      <c r="D2" s="562" t="s">
        <v>294</v>
      </c>
    </row>
    <row r="3" spans="1:4" ht="24.75" customHeight="1" x14ac:dyDescent="0.2">
      <c r="A3" s="45"/>
      <c r="B3" s="485" t="s">
        <v>1065</v>
      </c>
      <c r="C3" s="485" t="s">
        <v>1048</v>
      </c>
      <c r="D3" s="485" t="s">
        <v>1064</v>
      </c>
    </row>
    <row r="4" spans="1:4" x14ac:dyDescent="0.2">
      <c r="A4" s="214" t="s">
        <v>35</v>
      </c>
      <c r="B4" s="102">
        <v>414635157</v>
      </c>
      <c r="C4" s="102">
        <v>5376410</v>
      </c>
      <c r="D4" s="102">
        <f>B4+C4</f>
        <v>420011567</v>
      </c>
    </row>
    <row r="5" spans="1:4" x14ac:dyDescent="0.2">
      <c r="B5" s="46"/>
      <c r="C5" s="46"/>
      <c r="D5" s="46"/>
    </row>
    <row r="6" spans="1:4" x14ac:dyDescent="0.2">
      <c r="A6" s="370" t="s">
        <v>36</v>
      </c>
      <c r="B6" s="424">
        <v>289285000</v>
      </c>
      <c r="C6" s="424">
        <v>3950000</v>
      </c>
      <c r="D6" s="424">
        <f t="shared" ref="D6:D41" si="0">B6+C6</f>
        <v>293235000</v>
      </c>
    </row>
    <row r="7" spans="1:4" x14ac:dyDescent="0.2">
      <c r="A7" s="370" t="s">
        <v>37</v>
      </c>
      <c r="B7" s="424">
        <v>53294369</v>
      </c>
      <c r="C7" s="424">
        <v>1625896</v>
      </c>
      <c r="D7" s="424">
        <f t="shared" si="0"/>
        <v>54920265</v>
      </c>
    </row>
    <row r="8" spans="1:4" x14ac:dyDescent="0.2">
      <c r="A8" s="370" t="s">
        <v>38</v>
      </c>
      <c r="B8" s="424">
        <v>70374493</v>
      </c>
      <c r="C8" s="424">
        <v>-266838</v>
      </c>
      <c r="D8" s="424">
        <f t="shared" si="0"/>
        <v>70107655</v>
      </c>
    </row>
    <row r="9" spans="1:4" x14ac:dyDescent="0.2">
      <c r="A9" s="370" t="s">
        <v>39</v>
      </c>
      <c r="B9" s="424">
        <v>1681295</v>
      </c>
      <c r="C9" s="424">
        <v>67352</v>
      </c>
      <c r="D9" s="424">
        <f t="shared" si="0"/>
        <v>1748647</v>
      </c>
    </row>
    <row r="10" spans="1:4" x14ac:dyDescent="0.2">
      <c r="B10" s="46"/>
      <c r="C10" s="46"/>
      <c r="D10" s="46"/>
    </row>
    <row r="11" spans="1:4" x14ac:dyDescent="0.2">
      <c r="A11" s="46"/>
      <c r="B11" s="46"/>
      <c r="C11" s="46"/>
      <c r="D11" s="46"/>
    </row>
    <row r="12" spans="1:4" x14ac:dyDescent="0.2">
      <c r="A12" s="7" t="s">
        <v>40</v>
      </c>
      <c r="B12" s="102">
        <v>389588268</v>
      </c>
      <c r="C12" s="102">
        <v>8355254</v>
      </c>
      <c r="D12" s="102">
        <f t="shared" si="0"/>
        <v>397943522</v>
      </c>
    </row>
    <row r="13" spans="1:4" x14ac:dyDescent="0.2">
      <c r="A13" s="46"/>
      <c r="B13" s="46"/>
      <c r="C13" s="563"/>
      <c r="D13" s="46"/>
    </row>
    <row r="14" spans="1:4" x14ac:dyDescent="0.2">
      <c r="A14" s="46" t="s">
        <v>41</v>
      </c>
      <c r="B14" s="424">
        <v>80046519</v>
      </c>
      <c r="C14" s="428">
        <v>1155007</v>
      </c>
      <c r="D14" s="424">
        <f t="shared" si="0"/>
        <v>81201526</v>
      </c>
    </row>
    <row r="15" spans="1:4" x14ac:dyDescent="0.2">
      <c r="A15" s="46" t="s">
        <v>42</v>
      </c>
      <c r="B15" s="424">
        <v>305811065</v>
      </c>
      <c r="C15" s="428">
        <v>7079681</v>
      </c>
      <c r="D15" s="424">
        <f t="shared" si="0"/>
        <v>312890746</v>
      </c>
    </row>
    <row r="16" spans="1:4" x14ac:dyDescent="0.2">
      <c r="A16" s="46" t="s">
        <v>505</v>
      </c>
      <c r="B16" s="424">
        <v>3730684</v>
      </c>
      <c r="C16" s="428">
        <v>120566</v>
      </c>
      <c r="D16" s="424">
        <f t="shared" si="0"/>
        <v>3851250</v>
      </c>
    </row>
    <row r="17" spans="1:4" x14ac:dyDescent="0.2">
      <c r="A17" s="46"/>
      <c r="B17" s="46"/>
      <c r="C17" s="563"/>
      <c r="D17" s="46"/>
    </row>
    <row r="18" spans="1:4" x14ac:dyDescent="0.2">
      <c r="A18" s="46" t="s">
        <v>43</v>
      </c>
      <c r="B18" s="428">
        <v>25046889</v>
      </c>
      <c r="C18" s="428">
        <v>-2978844</v>
      </c>
      <c r="D18" s="428">
        <f t="shared" si="0"/>
        <v>22068045</v>
      </c>
    </row>
    <row r="19" spans="1:4" x14ac:dyDescent="0.2">
      <c r="A19" s="46"/>
      <c r="B19" s="46"/>
      <c r="C19" s="563"/>
      <c r="D19" s="46"/>
    </row>
    <row r="20" spans="1:4" x14ac:dyDescent="0.2">
      <c r="A20" s="46"/>
      <c r="B20" s="46"/>
      <c r="C20" s="563"/>
      <c r="D20" s="46"/>
    </row>
    <row r="21" spans="1:4" x14ac:dyDescent="0.2">
      <c r="A21" s="214" t="s">
        <v>44</v>
      </c>
      <c r="B21" s="102">
        <v>-57664333</v>
      </c>
      <c r="C21" s="102">
        <v>271664</v>
      </c>
      <c r="D21" s="102">
        <f t="shared" si="0"/>
        <v>-57392669</v>
      </c>
    </row>
    <row r="22" spans="1:4" x14ac:dyDescent="0.2">
      <c r="B22" s="46"/>
      <c r="C22" s="563"/>
      <c r="D22" s="46"/>
    </row>
    <row r="23" spans="1:4" x14ac:dyDescent="0.2">
      <c r="A23" s="370" t="s">
        <v>45</v>
      </c>
      <c r="B23" s="424">
        <v>6266455</v>
      </c>
      <c r="C23" s="428">
        <v>893683</v>
      </c>
      <c r="D23" s="424">
        <f t="shared" si="0"/>
        <v>7160138</v>
      </c>
    </row>
    <row r="24" spans="1:4" x14ac:dyDescent="0.2">
      <c r="A24" s="370" t="s">
        <v>46</v>
      </c>
      <c r="B24" s="424">
        <v>68039553</v>
      </c>
      <c r="C24" s="428">
        <v>1078515</v>
      </c>
      <c r="D24" s="424">
        <f t="shared" si="0"/>
        <v>69118068</v>
      </c>
    </row>
    <row r="25" spans="1:4" x14ac:dyDescent="0.2">
      <c r="A25" s="370" t="s">
        <v>47</v>
      </c>
      <c r="B25" s="424">
        <v>18709460</v>
      </c>
      <c r="C25" s="428">
        <v>433232</v>
      </c>
      <c r="D25" s="424">
        <f t="shared" si="0"/>
        <v>19142692</v>
      </c>
    </row>
    <row r="26" spans="1:4" x14ac:dyDescent="0.2">
      <c r="A26" s="370" t="s">
        <v>48</v>
      </c>
      <c r="B26" s="428">
        <v>11945025</v>
      </c>
      <c r="C26" s="428">
        <v>0</v>
      </c>
      <c r="D26" s="428">
        <f t="shared" si="0"/>
        <v>11945025</v>
      </c>
    </row>
    <row r="27" spans="1:4" x14ac:dyDescent="0.2">
      <c r="B27" s="465"/>
      <c r="C27" s="428"/>
      <c r="D27" s="465"/>
    </row>
    <row r="28" spans="1:4" s="46" customFormat="1" x14ac:dyDescent="0.2">
      <c r="A28" s="500" t="s">
        <v>786</v>
      </c>
      <c r="B28" s="424">
        <v>300000</v>
      </c>
      <c r="C28" s="428">
        <v>0</v>
      </c>
      <c r="D28" s="424">
        <f t="shared" si="0"/>
        <v>300000</v>
      </c>
    </row>
    <row r="29" spans="1:4" x14ac:dyDescent="0.2">
      <c r="A29" s="370" t="s">
        <v>49</v>
      </c>
      <c r="B29" s="424">
        <v>6670000</v>
      </c>
      <c r="C29" s="428">
        <v>-82357</v>
      </c>
      <c r="D29" s="424">
        <f t="shared" si="0"/>
        <v>6587643</v>
      </c>
    </row>
    <row r="30" spans="1:4" x14ac:dyDescent="0.2">
      <c r="A30" s="370" t="s">
        <v>50</v>
      </c>
      <c r="B30" s="424">
        <v>9625670</v>
      </c>
      <c r="C30" s="428">
        <v>-105621</v>
      </c>
      <c r="D30" s="424">
        <f t="shared" si="0"/>
        <v>9520049</v>
      </c>
    </row>
    <row r="31" spans="1:4" x14ac:dyDescent="0.2">
      <c r="B31" s="46"/>
      <c r="C31" s="500"/>
      <c r="D31" s="46"/>
    </row>
    <row r="32" spans="1:4" x14ac:dyDescent="0.2">
      <c r="A32" s="370" t="s">
        <v>51</v>
      </c>
      <c r="B32" s="424">
        <v>-32617444</v>
      </c>
      <c r="C32" s="428">
        <v>-2707180</v>
      </c>
      <c r="D32" s="424">
        <f t="shared" si="0"/>
        <v>-35324624</v>
      </c>
    </row>
    <row r="33" spans="1:4" x14ac:dyDescent="0.2">
      <c r="B33" s="46"/>
      <c r="C33" s="500"/>
      <c r="D33" s="46"/>
    </row>
    <row r="34" spans="1:4" x14ac:dyDescent="0.2">
      <c r="B34" s="46"/>
      <c r="C34" s="500"/>
      <c r="D34" s="46"/>
    </row>
    <row r="35" spans="1:4" x14ac:dyDescent="0.2">
      <c r="A35" s="214" t="s">
        <v>52</v>
      </c>
      <c r="B35" s="102">
        <v>9341905</v>
      </c>
      <c r="C35" s="102">
        <v>-1700</v>
      </c>
      <c r="D35" s="102">
        <f t="shared" si="0"/>
        <v>9340205</v>
      </c>
    </row>
    <row r="36" spans="1:4" x14ac:dyDescent="0.2">
      <c r="B36" s="46"/>
      <c r="C36" s="500"/>
      <c r="D36" s="46"/>
    </row>
    <row r="37" spans="1:4" x14ac:dyDescent="0.2">
      <c r="A37" s="370" t="s">
        <v>53</v>
      </c>
      <c r="B37" s="424">
        <v>25000000</v>
      </c>
      <c r="C37" s="428">
        <v>0</v>
      </c>
      <c r="D37" s="424">
        <f t="shared" si="0"/>
        <v>25000000</v>
      </c>
    </row>
    <row r="38" spans="1:4" x14ac:dyDescent="0.2">
      <c r="A38" s="370" t="s">
        <v>54</v>
      </c>
      <c r="B38" s="424">
        <v>15658095</v>
      </c>
      <c r="C38" s="428">
        <v>1700</v>
      </c>
      <c r="D38" s="424">
        <f t="shared" si="0"/>
        <v>15659795</v>
      </c>
    </row>
    <row r="39" spans="1:4" x14ac:dyDescent="0.2">
      <c r="B39" s="46"/>
      <c r="C39" s="500"/>
      <c r="D39" s="46"/>
    </row>
    <row r="40" spans="1:4" x14ac:dyDescent="0.2">
      <c r="A40" s="214" t="s">
        <v>55</v>
      </c>
      <c r="B40" s="102">
        <v>-13816084</v>
      </c>
      <c r="C40" s="102">
        <v>-2708880</v>
      </c>
      <c r="D40" s="102">
        <f t="shared" si="0"/>
        <v>-16524964</v>
      </c>
    </row>
    <row r="41" spans="1:4" x14ac:dyDescent="0.2">
      <c r="A41" s="214" t="s">
        <v>56</v>
      </c>
      <c r="B41" s="102">
        <v>9459455</v>
      </c>
      <c r="C41" s="102">
        <v>0</v>
      </c>
      <c r="D41" s="102">
        <f t="shared" si="0"/>
        <v>9459455</v>
      </c>
    </row>
    <row r="42" spans="1:4" x14ac:dyDescent="0.2">
      <c r="A42" s="564"/>
      <c r="C42" s="53"/>
    </row>
    <row r="43" spans="1:4" ht="25.5" x14ac:dyDescent="0.2">
      <c r="A43" s="561" t="s">
        <v>1031</v>
      </c>
      <c r="C43" s="53"/>
    </row>
    <row r="44" spans="1:4" x14ac:dyDescent="0.2">
      <c r="A44" s="564"/>
      <c r="C44" s="53"/>
    </row>
    <row r="45" spans="1:4" x14ac:dyDescent="0.2">
      <c r="A45" s="564"/>
      <c r="C45" s="53"/>
    </row>
    <row r="46" spans="1:4" x14ac:dyDescent="0.2">
      <c r="A46" s="211"/>
      <c r="C46" s="82"/>
    </row>
    <row r="47" spans="1:4" x14ac:dyDescent="0.2">
      <c r="A47" s="211"/>
      <c r="C47" s="82"/>
    </row>
    <row r="48" spans="1:4" x14ac:dyDescent="0.2">
      <c r="A48" s="82"/>
      <c r="C48" s="82"/>
    </row>
    <row r="49" spans="1:1" x14ac:dyDescent="0.2">
      <c r="A49" s="82"/>
    </row>
  </sheetData>
  <pageMargins left="1.1811023622047245" right="0.47244094488188981" top="0.47244094488188981" bottom="0.98425196850393704" header="0.51181102362204722" footer="0.51181102362204722"/>
  <pageSetup paperSize="9" scale="80"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57"/>
  <sheetViews>
    <sheetView showZeros="0" zoomScaleNormal="100" workbookViewId="0"/>
  </sheetViews>
  <sheetFormatPr defaultRowHeight="12.75" x14ac:dyDescent="0.2"/>
  <cols>
    <col min="1" max="1" width="32" bestFit="1" customWidth="1"/>
    <col min="2" max="2" width="11.42578125" customWidth="1"/>
    <col min="3" max="4" width="11.42578125" hidden="1" customWidth="1"/>
    <col min="5" max="6" width="11.42578125" style="370" hidden="1" customWidth="1"/>
    <col min="7" max="7" width="11.42578125" style="370" customWidth="1"/>
    <col min="8" max="8" width="12.85546875" style="370" bestFit="1" customWidth="1"/>
  </cols>
  <sheetData>
    <row r="1" spans="1:8" ht="15" x14ac:dyDescent="0.25">
      <c r="A1" s="89" t="s">
        <v>341</v>
      </c>
      <c r="C1" s="89"/>
      <c r="D1" s="89"/>
      <c r="E1" s="89"/>
      <c r="F1" s="89"/>
    </row>
    <row r="2" spans="1:8" x14ac:dyDescent="0.2">
      <c r="A2" s="48"/>
      <c r="C2" s="48"/>
      <c r="D2" s="48"/>
      <c r="E2" s="48"/>
      <c r="F2" s="48"/>
      <c r="G2" s="90"/>
      <c r="H2" s="90" t="s">
        <v>294</v>
      </c>
    </row>
    <row r="4" spans="1:8" ht="25.5" x14ac:dyDescent="0.2">
      <c r="A4" s="91" t="s">
        <v>342</v>
      </c>
      <c r="B4" s="485" t="s">
        <v>1065</v>
      </c>
      <c r="C4" s="485" t="s">
        <v>343</v>
      </c>
      <c r="D4" s="485" t="s">
        <v>344</v>
      </c>
      <c r="E4" s="485" t="s">
        <v>343</v>
      </c>
      <c r="F4" s="485" t="s">
        <v>344</v>
      </c>
      <c r="G4" s="485" t="s">
        <v>1048</v>
      </c>
      <c r="H4" s="485" t="s">
        <v>1064</v>
      </c>
    </row>
    <row r="5" spans="1:8" ht="7.5" customHeight="1" x14ac:dyDescent="0.2">
      <c r="A5" s="3"/>
      <c r="B5" s="3"/>
      <c r="C5" s="3"/>
      <c r="D5" s="3"/>
      <c r="E5" s="3"/>
      <c r="F5" s="3"/>
      <c r="G5" s="3"/>
      <c r="H5" s="3"/>
    </row>
    <row r="6" spans="1:8" x14ac:dyDescent="0.2">
      <c r="A6" s="92" t="s">
        <v>346</v>
      </c>
      <c r="B6" s="24">
        <f t="shared" ref="B6:B47" si="0">C6+D6</f>
        <v>289285000</v>
      </c>
      <c r="C6" s="24">
        <f>C8+C12</f>
        <v>289285000</v>
      </c>
      <c r="D6" s="24"/>
      <c r="E6" s="24">
        <f>E8+E12</f>
        <v>3950000</v>
      </c>
      <c r="F6" s="24"/>
      <c r="G6" s="24">
        <f>E6+F6</f>
        <v>3950000</v>
      </c>
      <c r="H6" s="24">
        <f>B6+G6</f>
        <v>293235000</v>
      </c>
    </row>
    <row r="7" spans="1:8" x14ac:dyDescent="0.2">
      <c r="A7" s="3"/>
      <c r="B7" s="93">
        <f t="shared" si="0"/>
        <v>0</v>
      </c>
      <c r="C7" s="93"/>
      <c r="D7" s="93"/>
      <c r="E7" s="93"/>
      <c r="F7" s="93"/>
      <c r="G7" s="93">
        <f t="shared" ref="G7:G55" si="1">E7+F7</f>
        <v>0</v>
      </c>
      <c r="H7" s="93">
        <f t="shared" ref="H7:H55" si="2">B7+G7</f>
        <v>0</v>
      </c>
    </row>
    <row r="8" spans="1:8" x14ac:dyDescent="0.2">
      <c r="A8" s="299" t="s">
        <v>298</v>
      </c>
      <c r="B8" s="24">
        <f t="shared" si="0"/>
        <v>281573000</v>
      </c>
      <c r="C8" s="24">
        <f>C9+C10</f>
        <v>281573000</v>
      </c>
      <c r="D8" s="94"/>
      <c r="E8" s="24">
        <f>E9+E10</f>
        <v>3900000</v>
      </c>
      <c r="F8" s="94"/>
      <c r="G8" s="24">
        <f t="shared" si="1"/>
        <v>3900000</v>
      </c>
      <c r="H8" s="24">
        <f t="shared" si="2"/>
        <v>285473000</v>
      </c>
    </row>
    <row r="9" spans="1:8" x14ac:dyDescent="0.2">
      <c r="A9" s="300" t="s">
        <v>347</v>
      </c>
      <c r="B9" s="54">
        <f t="shared" si="0"/>
        <v>256173000</v>
      </c>
      <c r="C9" s="54">
        <f>'2.1 LK TULUD'!B6</f>
        <v>256173000</v>
      </c>
      <c r="D9" s="96"/>
      <c r="E9" s="368">
        <f>'2.1 LK TULUD'!C6</f>
        <v>1300000</v>
      </c>
      <c r="F9" s="96"/>
      <c r="G9" s="368">
        <f t="shared" si="1"/>
        <v>1300000</v>
      </c>
      <c r="H9" s="368">
        <f t="shared" si="2"/>
        <v>257473000</v>
      </c>
    </row>
    <row r="10" spans="1:8" x14ac:dyDescent="0.2">
      <c r="A10" s="300" t="s">
        <v>348</v>
      </c>
      <c r="B10" s="54">
        <f t="shared" si="0"/>
        <v>25400000</v>
      </c>
      <c r="C10" s="54">
        <f>'2.1 LK TULUD'!B9</f>
        <v>25400000</v>
      </c>
      <c r="D10" s="96"/>
      <c r="E10" s="368">
        <f>'2.1 LK TULUD'!C9</f>
        <v>2600000</v>
      </c>
      <c r="F10" s="96"/>
      <c r="G10" s="368">
        <f t="shared" si="1"/>
        <v>2600000</v>
      </c>
      <c r="H10" s="368">
        <f t="shared" si="2"/>
        <v>28000000</v>
      </c>
    </row>
    <row r="11" spans="1:8" ht="7.5" customHeight="1" x14ac:dyDescent="0.2">
      <c r="A11" s="114"/>
      <c r="B11" s="54">
        <f t="shared" si="0"/>
        <v>0</v>
      </c>
      <c r="C11" s="54"/>
      <c r="D11" s="97"/>
      <c r="E11" s="368"/>
      <c r="F11" s="97"/>
      <c r="G11" s="368">
        <f t="shared" si="1"/>
        <v>0</v>
      </c>
      <c r="H11" s="368">
        <f t="shared" si="2"/>
        <v>0</v>
      </c>
    </row>
    <row r="12" spans="1:8" x14ac:dyDescent="0.2">
      <c r="A12" s="299" t="s">
        <v>299</v>
      </c>
      <c r="B12" s="24">
        <f t="shared" si="0"/>
        <v>7712000</v>
      </c>
      <c r="C12" s="24">
        <f>SUM(C13:C15)</f>
        <v>7712000</v>
      </c>
      <c r="D12" s="94"/>
      <c r="E12" s="24">
        <f>SUM(E13:E15)</f>
        <v>50000</v>
      </c>
      <c r="F12" s="94"/>
      <c r="G12" s="24">
        <f t="shared" si="1"/>
        <v>50000</v>
      </c>
      <c r="H12" s="24">
        <f t="shared" si="2"/>
        <v>7762000</v>
      </c>
    </row>
    <row r="13" spans="1:8" ht="12.75" customHeight="1" x14ac:dyDescent="0.2">
      <c r="A13" s="300" t="s">
        <v>349</v>
      </c>
      <c r="B13" s="54">
        <f t="shared" si="0"/>
        <v>2500000</v>
      </c>
      <c r="C13" s="54">
        <f>'2.1 LK TULUD'!B13</f>
        <v>2500000</v>
      </c>
      <c r="D13" s="96"/>
      <c r="E13" s="368">
        <f>'2.1 LK TULUD'!C13</f>
        <v>50000</v>
      </c>
      <c r="F13" s="96"/>
      <c r="G13" s="368">
        <f t="shared" si="1"/>
        <v>50000</v>
      </c>
      <c r="H13" s="368">
        <f t="shared" si="2"/>
        <v>2550000</v>
      </c>
    </row>
    <row r="14" spans="1:8" ht="12.75" customHeight="1" x14ac:dyDescent="0.2">
      <c r="A14" s="300" t="s">
        <v>350</v>
      </c>
      <c r="B14" s="54">
        <f t="shared" si="0"/>
        <v>612000</v>
      </c>
      <c r="C14" s="54">
        <f>'2.1 LK TULUD'!B16</f>
        <v>612000</v>
      </c>
      <c r="D14" s="96"/>
      <c r="E14" s="368">
        <f>'2.1 LK TULUD'!C16</f>
        <v>0</v>
      </c>
      <c r="F14" s="96"/>
      <c r="G14" s="368">
        <f t="shared" si="1"/>
        <v>0</v>
      </c>
      <c r="H14" s="368">
        <f t="shared" si="2"/>
        <v>612000</v>
      </c>
    </row>
    <row r="15" spans="1:8" x14ac:dyDescent="0.2">
      <c r="A15" s="300" t="s">
        <v>351</v>
      </c>
      <c r="B15" s="54">
        <f t="shared" si="0"/>
        <v>4600000</v>
      </c>
      <c r="C15" s="54">
        <f>'2.1 LK TULUD'!B19</f>
        <v>4600000</v>
      </c>
      <c r="D15" s="96"/>
      <c r="E15" s="368">
        <f>'2.1 LK TULUD'!C19</f>
        <v>0</v>
      </c>
      <c r="F15" s="96"/>
      <c r="G15" s="368">
        <f t="shared" si="1"/>
        <v>0</v>
      </c>
      <c r="H15" s="368">
        <f t="shared" si="2"/>
        <v>4600000</v>
      </c>
    </row>
    <row r="16" spans="1:8" ht="6.75" customHeight="1" x14ac:dyDescent="0.2">
      <c r="A16" s="98"/>
      <c r="B16" s="54">
        <f t="shared" si="0"/>
        <v>0</v>
      </c>
      <c r="C16" s="54"/>
      <c r="D16" s="99"/>
      <c r="E16" s="368"/>
      <c r="F16" s="99"/>
      <c r="G16" s="368">
        <f t="shared" si="1"/>
        <v>0</v>
      </c>
      <c r="H16" s="368">
        <f t="shared" si="2"/>
        <v>0</v>
      </c>
    </row>
    <row r="17" spans="1:8" ht="13.5" customHeight="1" x14ac:dyDescent="0.2">
      <c r="A17" s="92" t="s">
        <v>300</v>
      </c>
      <c r="B17" s="24">
        <f t="shared" si="0"/>
        <v>612036</v>
      </c>
      <c r="C17" s="24">
        <f>'2.1 LK TULUD'!B22</f>
        <v>612036</v>
      </c>
      <c r="D17" s="24"/>
      <c r="E17" s="24">
        <f>'2.1 LK TULUD'!C22</f>
        <v>1600</v>
      </c>
      <c r="F17" s="24"/>
      <c r="G17" s="24">
        <f t="shared" si="1"/>
        <v>1600</v>
      </c>
      <c r="H17" s="24">
        <f t="shared" si="2"/>
        <v>613636</v>
      </c>
    </row>
    <row r="18" spans="1:8" ht="6.75" customHeight="1" x14ac:dyDescent="0.2">
      <c r="A18" s="100"/>
      <c r="B18" s="54">
        <f t="shared" si="0"/>
        <v>0</v>
      </c>
      <c r="C18" s="54"/>
      <c r="D18" s="101"/>
      <c r="E18" s="368"/>
      <c r="F18" s="101"/>
      <c r="G18" s="368">
        <f t="shared" si="1"/>
        <v>0</v>
      </c>
      <c r="H18" s="368">
        <f t="shared" si="2"/>
        <v>0</v>
      </c>
    </row>
    <row r="19" spans="1:8" x14ac:dyDescent="0.2">
      <c r="A19" s="92" t="s">
        <v>301</v>
      </c>
      <c r="B19" s="24">
        <f t="shared" ca="1" si="0"/>
        <v>52682333</v>
      </c>
      <c r="C19" s="24">
        <f>SUM(C20:C23)</f>
        <v>720738</v>
      </c>
      <c r="D19" s="24">
        <f ca="1">SUM(D20:D23)</f>
        <v>51961595</v>
      </c>
      <c r="E19" s="24">
        <f>SUM(E20:E23)</f>
        <v>0</v>
      </c>
      <c r="F19" s="24">
        <f ca="1">SUM(F20:F23)</f>
        <v>1624296</v>
      </c>
      <c r="G19" s="24">
        <f t="shared" ca="1" si="1"/>
        <v>1624296</v>
      </c>
      <c r="H19" s="24">
        <f t="shared" ca="1" si="2"/>
        <v>54306629</v>
      </c>
    </row>
    <row r="20" spans="1:8" x14ac:dyDescent="0.2">
      <c r="A20" s="95" t="s">
        <v>291</v>
      </c>
      <c r="B20" s="54">
        <f t="shared" ca="1" si="0"/>
        <v>41429967</v>
      </c>
      <c r="C20" s="54"/>
      <c r="D20" s="54">
        <f ca="1">Sheet2!B1</f>
        <v>41429967</v>
      </c>
      <c r="E20" s="368"/>
      <c r="F20" s="368">
        <f ca="1">Sheet2!C1</f>
        <v>1140306</v>
      </c>
      <c r="G20" s="368">
        <f t="shared" ca="1" si="1"/>
        <v>1140306</v>
      </c>
      <c r="H20" s="368">
        <f t="shared" ca="1" si="2"/>
        <v>42570273</v>
      </c>
    </row>
    <row r="21" spans="1:8" x14ac:dyDescent="0.2">
      <c r="A21" s="95" t="s">
        <v>581</v>
      </c>
      <c r="B21" s="54">
        <f t="shared" ca="1" si="0"/>
        <v>6309558</v>
      </c>
      <c r="C21" s="54"/>
      <c r="D21" s="54">
        <f ca="1">Sheet2!B15</f>
        <v>6309558</v>
      </c>
      <c r="E21" s="368"/>
      <c r="F21" s="368">
        <f ca="1">Sheet2!C15</f>
        <v>194905</v>
      </c>
      <c r="G21" s="368">
        <f t="shared" ca="1" si="1"/>
        <v>194905</v>
      </c>
      <c r="H21" s="368">
        <f t="shared" ca="1" si="2"/>
        <v>6504463</v>
      </c>
    </row>
    <row r="22" spans="1:8" x14ac:dyDescent="0.2">
      <c r="A22" s="95" t="s">
        <v>638</v>
      </c>
      <c r="B22" s="54">
        <f t="shared" ca="1" si="0"/>
        <v>2555245</v>
      </c>
      <c r="C22" s="54">
        <f>'2.1 LK TULUD'!B37</f>
        <v>720738</v>
      </c>
      <c r="D22" s="54">
        <f ca="1">Sheet2!B14</f>
        <v>1834507</v>
      </c>
      <c r="E22" s="368">
        <f>'2.1 LK TULUD'!C37</f>
        <v>0</v>
      </c>
      <c r="F22" s="368">
        <f ca="1">Sheet2!C14</f>
        <v>17690</v>
      </c>
      <c r="G22" s="368">
        <f t="shared" ca="1" si="1"/>
        <v>17690</v>
      </c>
      <c r="H22" s="368">
        <f t="shared" ca="1" si="2"/>
        <v>2572935</v>
      </c>
    </row>
    <row r="23" spans="1:8" x14ac:dyDescent="0.2">
      <c r="A23" s="95" t="s">
        <v>585</v>
      </c>
      <c r="B23" s="54">
        <f t="shared" ca="1" si="0"/>
        <v>2387563</v>
      </c>
      <c r="C23" s="54"/>
      <c r="D23" s="54">
        <f ca="1">Sheet2!B13</f>
        <v>2387563</v>
      </c>
      <c r="E23" s="368"/>
      <c r="F23" s="368">
        <f ca="1">Sheet2!C13</f>
        <v>271395</v>
      </c>
      <c r="G23" s="368">
        <f t="shared" ca="1" si="1"/>
        <v>271395</v>
      </c>
      <c r="H23" s="368">
        <f t="shared" ca="1" si="2"/>
        <v>2658958</v>
      </c>
    </row>
    <row r="24" spans="1:8" ht="7.5" customHeight="1" x14ac:dyDescent="0.2">
      <c r="A24" s="3"/>
      <c r="B24" s="54">
        <f t="shared" si="0"/>
        <v>0</v>
      </c>
      <c r="C24" s="54"/>
      <c r="D24" s="93"/>
      <c r="E24" s="368"/>
      <c r="F24" s="93"/>
      <c r="G24" s="368">
        <f t="shared" si="1"/>
        <v>0</v>
      </c>
      <c r="H24" s="368">
        <f t="shared" si="2"/>
        <v>0</v>
      </c>
    </row>
    <row r="25" spans="1:8" x14ac:dyDescent="0.2">
      <c r="A25" s="92" t="s">
        <v>302</v>
      </c>
      <c r="B25" s="102">
        <f t="shared" ca="1" si="0"/>
        <v>1367295</v>
      </c>
      <c r="C25" s="102">
        <f>SUM(C26:C28)</f>
        <v>1200295</v>
      </c>
      <c r="D25" s="102">
        <f ca="1">SUM(D26:D28)</f>
        <v>167000</v>
      </c>
      <c r="E25" s="102">
        <f>SUM(E26:E28)</f>
        <v>25563</v>
      </c>
      <c r="F25" s="102">
        <f ca="1">SUM(F26:F28)</f>
        <v>0</v>
      </c>
      <c r="G25" s="102">
        <f t="shared" ca="1" si="1"/>
        <v>25563</v>
      </c>
      <c r="H25" s="102">
        <f t="shared" ca="1" si="2"/>
        <v>1392858</v>
      </c>
    </row>
    <row r="26" spans="1:8" x14ac:dyDescent="0.2">
      <c r="A26" s="95" t="s">
        <v>352</v>
      </c>
      <c r="B26" s="54">
        <f t="shared" si="0"/>
        <v>155775</v>
      </c>
      <c r="C26" s="54">
        <f>'2.1 LK TULUD'!B45</f>
        <v>155775</v>
      </c>
      <c r="D26" s="96"/>
      <c r="E26" s="368">
        <f>'2.1 LK TULUD'!C45</f>
        <v>0</v>
      </c>
      <c r="F26" s="96"/>
      <c r="G26" s="368">
        <f t="shared" si="1"/>
        <v>0</v>
      </c>
      <c r="H26" s="368">
        <f t="shared" si="2"/>
        <v>155775</v>
      </c>
    </row>
    <row r="27" spans="1:8" x14ac:dyDescent="0.2">
      <c r="A27" s="95" t="s">
        <v>353</v>
      </c>
      <c r="B27" s="54">
        <f t="shared" si="0"/>
        <v>967520</v>
      </c>
      <c r="C27" s="54">
        <f>'2.1 LK TULUD'!B48</f>
        <v>967520</v>
      </c>
      <c r="D27" s="96"/>
      <c r="E27" s="368">
        <f>'2.1 LK TULUD'!C48</f>
        <v>0</v>
      </c>
      <c r="F27" s="96"/>
      <c r="G27" s="368">
        <f t="shared" si="1"/>
        <v>0</v>
      </c>
      <c r="H27" s="368">
        <f t="shared" si="2"/>
        <v>967520</v>
      </c>
    </row>
    <row r="28" spans="1:8" x14ac:dyDescent="0.2">
      <c r="A28" s="95" t="s">
        <v>631</v>
      </c>
      <c r="B28" s="54">
        <f t="shared" ca="1" si="0"/>
        <v>244000</v>
      </c>
      <c r="C28" s="54">
        <f>'2.1 LK TULUD'!B53</f>
        <v>77000</v>
      </c>
      <c r="D28" s="54">
        <f ca="1">Sheet2!B12</f>
        <v>167000</v>
      </c>
      <c r="E28" s="368">
        <f>'2.1 LK TULUD'!C53</f>
        <v>25563</v>
      </c>
      <c r="F28" s="368">
        <f ca="1">Sheet2!C12</f>
        <v>0</v>
      </c>
      <c r="G28" s="368">
        <f t="shared" ca="1" si="1"/>
        <v>25563</v>
      </c>
      <c r="H28" s="368">
        <f t="shared" ca="1" si="2"/>
        <v>269563</v>
      </c>
    </row>
    <row r="29" spans="1:8" ht="8.25" customHeight="1" x14ac:dyDescent="0.2">
      <c r="A29" s="3"/>
      <c r="B29" s="54">
        <f t="shared" si="0"/>
        <v>0</v>
      </c>
      <c r="C29" s="54"/>
      <c r="D29" s="93"/>
      <c r="E29" s="368"/>
      <c r="F29" s="93"/>
      <c r="G29" s="368">
        <f t="shared" si="1"/>
        <v>0</v>
      </c>
      <c r="H29" s="368">
        <f t="shared" si="2"/>
        <v>0</v>
      </c>
    </row>
    <row r="30" spans="1:8" x14ac:dyDescent="0.2">
      <c r="A30" s="92" t="s">
        <v>303</v>
      </c>
      <c r="B30" s="102">
        <f t="shared" si="0"/>
        <v>200000</v>
      </c>
      <c r="C30" s="102">
        <f>C31</f>
        <v>200000</v>
      </c>
      <c r="D30" s="24"/>
      <c r="E30" s="102">
        <f>E31</f>
        <v>0</v>
      </c>
      <c r="F30" s="24"/>
      <c r="G30" s="102">
        <f t="shared" si="1"/>
        <v>0</v>
      </c>
      <c r="H30" s="102">
        <f t="shared" si="2"/>
        <v>200000</v>
      </c>
    </row>
    <row r="31" spans="1:8" x14ac:dyDescent="0.2">
      <c r="A31" s="95" t="s">
        <v>354</v>
      </c>
      <c r="B31" s="54">
        <f t="shared" si="0"/>
        <v>200000</v>
      </c>
      <c r="C31" s="54">
        <f>'2.1 LK TULUD'!B62</f>
        <v>200000</v>
      </c>
      <c r="D31" s="96"/>
      <c r="E31" s="368">
        <f>'2.1 LK TULUD'!C62</f>
        <v>0</v>
      </c>
      <c r="F31" s="96"/>
      <c r="G31" s="368">
        <f t="shared" si="1"/>
        <v>0</v>
      </c>
      <c r="H31" s="368">
        <f t="shared" si="2"/>
        <v>200000</v>
      </c>
    </row>
    <row r="32" spans="1:8" ht="9" customHeight="1" x14ac:dyDescent="0.2">
      <c r="A32" s="3"/>
      <c r="B32" s="54">
        <f t="shared" si="0"/>
        <v>0</v>
      </c>
      <c r="C32" s="54"/>
      <c r="D32" s="93"/>
      <c r="E32" s="368"/>
      <c r="F32" s="93"/>
      <c r="G32" s="368">
        <f t="shared" si="1"/>
        <v>0</v>
      </c>
      <c r="H32" s="368">
        <f t="shared" si="2"/>
        <v>0</v>
      </c>
    </row>
    <row r="33" spans="1:8" x14ac:dyDescent="0.2">
      <c r="A33" s="92" t="s">
        <v>355</v>
      </c>
      <c r="B33" s="102">
        <f t="shared" si="0"/>
        <v>2418400</v>
      </c>
      <c r="C33" s="102">
        <f>SUM(C34:C36)</f>
        <v>2418400</v>
      </c>
      <c r="D33" s="24"/>
      <c r="E33" s="102">
        <f>SUM(E34:E36)</f>
        <v>5368</v>
      </c>
      <c r="F33" s="24"/>
      <c r="G33" s="102">
        <f t="shared" si="1"/>
        <v>5368</v>
      </c>
      <c r="H33" s="102">
        <f t="shared" si="2"/>
        <v>2423768</v>
      </c>
    </row>
    <row r="34" spans="1:8" x14ac:dyDescent="0.2">
      <c r="A34" s="95" t="s">
        <v>380</v>
      </c>
      <c r="B34" s="54">
        <f t="shared" si="0"/>
        <v>5261400</v>
      </c>
      <c r="C34" s="54">
        <f>'2.1 LK TULUD'!B66</f>
        <v>5261400</v>
      </c>
      <c r="D34" s="93"/>
      <c r="E34" s="368">
        <f>'2.1 LK TULUD'!C66</f>
        <v>5368</v>
      </c>
      <c r="F34" s="93"/>
      <c r="G34" s="368">
        <f t="shared" si="1"/>
        <v>5368</v>
      </c>
      <c r="H34" s="368">
        <f t="shared" si="2"/>
        <v>5266768</v>
      </c>
    </row>
    <row r="35" spans="1:8" x14ac:dyDescent="0.2">
      <c r="A35" s="95" t="s">
        <v>62</v>
      </c>
      <c r="B35" s="54">
        <f t="shared" si="0"/>
        <v>-2830000</v>
      </c>
      <c r="C35" s="54">
        <f>'2.1 LK TULUD'!B69</f>
        <v>-2830000</v>
      </c>
      <c r="D35" s="93"/>
      <c r="E35" s="368">
        <f>'2.1 LK TULUD'!C69</f>
        <v>0</v>
      </c>
      <c r="F35" s="93"/>
      <c r="G35" s="368">
        <f t="shared" si="1"/>
        <v>0</v>
      </c>
      <c r="H35" s="368">
        <f t="shared" si="2"/>
        <v>-2830000</v>
      </c>
    </row>
    <row r="36" spans="1:8" x14ac:dyDescent="0.2">
      <c r="A36" s="95" t="s">
        <v>306</v>
      </c>
      <c r="B36" s="54">
        <f t="shared" si="0"/>
        <v>-13000</v>
      </c>
      <c r="C36" s="54">
        <f>'2.1 LK TULUD'!B70</f>
        <v>-13000</v>
      </c>
      <c r="D36" s="93"/>
      <c r="E36" s="368">
        <f>'2.1 LK TULUD'!C70</f>
        <v>0</v>
      </c>
      <c r="F36" s="93"/>
      <c r="G36" s="368">
        <f t="shared" si="1"/>
        <v>0</v>
      </c>
      <c r="H36" s="368">
        <f t="shared" si="2"/>
        <v>-13000</v>
      </c>
    </row>
    <row r="37" spans="1:8" s="370" customFormat="1" ht="6.75" customHeight="1" x14ac:dyDescent="0.2">
      <c r="A37" s="3"/>
      <c r="B37" s="368">
        <f t="shared" si="0"/>
        <v>0</v>
      </c>
      <c r="C37" s="368"/>
      <c r="D37" s="93"/>
      <c r="E37" s="368"/>
      <c r="F37" s="93"/>
      <c r="G37" s="368">
        <f t="shared" si="1"/>
        <v>0</v>
      </c>
      <c r="H37" s="368">
        <f t="shared" si="2"/>
        <v>0</v>
      </c>
    </row>
    <row r="38" spans="1:8" s="370" customFormat="1" ht="25.5" x14ac:dyDescent="0.2">
      <c r="A38" s="103" t="s">
        <v>709</v>
      </c>
      <c r="B38" s="102">
        <f t="shared" si="0"/>
        <v>25278</v>
      </c>
      <c r="C38" s="102">
        <f>SUM(C39:C40)</f>
        <v>25278</v>
      </c>
      <c r="D38" s="24"/>
      <c r="E38" s="102">
        <f>SUM(E39:E40)</f>
        <v>0</v>
      </c>
      <c r="F38" s="24"/>
      <c r="G38" s="102">
        <f t="shared" si="1"/>
        <v>0</v>
      </c>
      <c r="H38" s="102">
        <f t="shared" si="2"/>
        <v>25278</v>
      </c>
    </row>
    <row r="39" spans="1:8" s="370" customFormat="1" x14ac:dyDescent="0.2">
      <c r="A39" s="95" t="s">
        <v>380</v>
      </c>
      <c r="B39" s="368">
        <f t="shared" si="0"/>
        <v>1018055</v>
      </c>
      <c r="C39" s="368">
        <f>'2.1 LK TULUD'!B73</f>
        <v>1018055</v>
      </c>
      <c r="D39" s="93"/>
      <c r="E39" s="368">
        <f>'2.1 LK TULUD'!C73</f>
        <v>888315</v>
      </c>
      <c r="F39" s="93"/>
      <c r="G39" s="368">
        <f t="shared" si="1"/>
        <v>888315</v>
      </c>
      <c r="H39" s="368">
        <f t="shared" si="2"/>
        <v>1906370</v>
      </c>
    </row>
    <row r="40" spans="1:8" s="370" customFormat="1" x14ac:dyDescent="0.2">
      <c r="A40" s="95" t="s">
        <v>62</v>
      </c>
      <c r="B40" s="368">
        <f t="shared" si="0"/>
        <v>-992777</v>
      </c>
      <c r="C40" s="368">
        <f>'2.1 LK TULUD'!B77</f>
        <v>-992777</v>
      </c>
      <c r="D40" s="93"/>
      <c r="E40" s="368">
        <f>'2.1 LK TULUD'!C77</f>
        <v>-888315</v>
      </c>
      <c r="F40" s="93"/>
      <c r="G40" s="368">
        <f t="shared" si="1"/>
        <v>-888315</v>
      </c>
      <c r="H40" s="368">
        <f t="shared" si="2"/>
        <v>-1881092</v>
      </c>
    </row>
    <row r="41" spans="1:8" ht="9" customHeight="1" x14ac:dyDescent="0.2">
      <c r="A41" s="3"/>
      <c r="B41" s="54">
        <f t="shared" si="0"/>
        <v>0</v>
      </c>
      <c r="C41" s="54"/>
      <c r="D41" s="93"/>
      <c r="E41" s="368"/>
      <c r="F41" s="93"/>
      <c r="G41" s="368">
        <f t="shared" si="1"/>
        <v>0</v>
      </c>
      <c r="H41" s="368">
        <f t="shared" si="2"/>
        <v>0</v>
      </c>
    </row>
    <row r="42" spans="1:8" x14ac:dyDescent="0.2">
      <c r="A42" s="92" t="s">
        <v>307</v>
      </c>
      <c r="B42" s="102">
        <f t="shared" si="0"/>
        <v>314000</v>
      </c>
      <c r="C42" s="102">
        <f>SUM(C43:C44)</f>
        <v>314000</v>
      </c>
      <c r="D42" s="24"/>
      <c r="E42" s="102">
        <f>SUM(E43:E44)</f>
        <v>41789</v>
      </c>
      <c r="F42" s="24"/>
      <c r="G42" s="102">
        <f t="shared" si="1"/>
        <v>41789</v>
      </c>
      <c r="H42" s="102">
        <f t="shared" si="2"/>
        <v>355789</v>
      </c>
    </row>
    <row r="43" spans="1:8" x14ac:dyDescent="0.2">
      <c r="A43" s="95" t="s">
        <v>356</v>
      </c>
      <c r="B43" s="54">
        <f t="shared" si="0"/>
        <v>250000</v>
      </c>
      <c r="C43" s="54">
        <f>'2.1 LK TULUD'!B83</f>
        <v>250000</v>
      </c>
      <c r="D43" s="96"/>
      <c r="E43" s="368">
        <f>'2.1 LK TULUD'!C83</f>
        <v>0</v>
      </c>
      <c r="F43" s="96"/>
      <c r="G43" s="368">
        <f t="shared" si="1"/>
        <v>0</v>
      </c>
      <c r="H43" s="368">
        <f t="shared" si="2"/>
        <v>250000</v>
      </c>
    </row>
    <row r="44" spans="1:8" x14ac:dyDescent="0.2">
      <c r="A44" s="95" t="s">
        <v>292</v>
      </c>
      <c r="B44" s="54">
        <f t="shared" si="0"/>
        <v>64000</v>
      </c>
      <c r="C44" s="54">
        <f>'2.1 LK TULUD'!B85</f>
        <v>64000</v>
      </c>
      <c r="D44" s="96"/>
      <c r="E44" s="368">
        <f>'2.1 LK TULUD'!C85</f>
        <v>41789</v>
      </c>
      <c r="F44" s="96"/>
      <c r="G44" s="368">
        <f t="shared" si="1"/>
        <v>41789</v>
      </c>
      <c r="H44" s="368">
        <f t="shared" si="2"/>
        <v>105789</v>
      </c>
    </row>
    <row r="45" spans="1:8" ht="8.25" customHeight="1" x14ac:dyDescent="0.2">
      <c r="A45" s="3"/>
      <c r="B45" s="54">
        <f t="shared" si="0"/>
        <v>0</v>
      </c>
      <c r="C45" s="54"/>
      <c r="D45" s="93"/>
      <c r="E45" s="368"/>
      <c r="F45" s="93"/>
      <c r="G45" s="368">
        <f t="shared" si="1"/>
        <v>0</v>
      </c>
      <c r="H45" s="368">
        <f t="shared" si="2"/>
        <v>0</v>
      </c>
    </row>
    <row r="46" spans="1:8" x14ac:dyDescent="0.2">
      <c r="A46" s="92" t="s">
        <v>308</v>
      </c>
      <c r="B46" s="24">
        <f t="shared" si="0"/>
        <v>6470000</v>
      </c>
      <c r="C46" s="24">
        <f>'2.1 LK TULUD'!B92</f>
        <v>6470000</v>
      </c>
      <c r="D46" s="24"/>
      <c r="E46" s="24">
        <f>'2.1 LK TULUD'!C92</f>
        <v>-82357</v>
      </c>
      <c r="F46" s="24"/>
      <c r="G46" s="24">
        <f t="shared" si="1"/>
        <v>-82357</v>
      </c>
      <c r="H46" s="24">
        <f t="shared" si="2"/>
        <v>6387643</v>
      </c>
    </row>
    <row r="47" spans="1:8" ht="8.25" customHeight="1" x14ac:dyDescent="0.2">
      <c r="A47" s="92"/>
      <c r="B47" s="54">
        <f t="shared" si="0"/>
        <v>0</v>
      </c>
      <c r="C47" s="54"/>
      <c r="D47" s="24"/>
      <c r="E47" s="368"/>
      <c r="F47" s="24"/>
      <c r="G47" s="368">
        <f t="shared" si="1"/>
        <v>0</v>
      </c>
      <c r="H47" s="368">
        <f t="shared" si="2"/>
        <v>0</v>
      </c>
    </row>
    <row r="48" spans="1:8" x14ac:dyDescent="0.2">
      <c r="A48" s="103" t="s">
        <v>357</v>
      </c>
      <c r="B48" s="102">
        <f ca="1">B6+B17+B19+B25+B30+B33+B42+B46+B38</f>
        <v>353374342</v>
      </c>
      <c r="C48" s="102">
        <f>C6+C17+C19+C25+C30+C33+C42+C46+C38</f>
        <v>301245747</v>
      </c>
      <c r="D48" s="102">
        <f t="shared" ref="D48:F48" ca="1" si="3">D6+D17+D19+D25+D30+D33+D42+D46+D38</f>
        <v>52128595</v>
      </c>
      <c r="E48" s="102">
        <f>E6+E17+E19+E25+E30+E33+E42+E46+E38</f>
        <v>3941963</v>
      </c>
      <c r="F48" s="102">
        <f t="shared" ca="1" si="3"/>
        <v>1624296</v>
      </c>
      <c r="G48" s="102">
        <f t="shared" ca="1" si="1"/>
        <v>5566259</v>
      </c>
      <c r="H48" s="102">
        <f t="shared" ca="1" si="2"/>
        <v>358940601</v>
      </c>
    </row>
    <row r="49" spans="1:8" ht="7.5" customHeight="1" x14ac:dyDescent="0.2">
      <c r="A49" s="92"/>
      <c r="B49" s="54">
        <f t="shared" ref="B49:B55" si="4">C49+D49</f>
        <v>0</v>
      </c>
      <c r="C49" s="54"/>
      <c r="D49" s="24"/>
      <c r="E49" s="368"/>
      <c r="F49" s="24"/>
      <c r="G49" s="368">
        <f t="shared" si="1"/>
        <v>0</v>
      </c>
      <c r="H49" s="368">
        <f t="shared" si="2"/>
        <v>0</v>
      </c>
    </row>
    <row r="50" spans="1:8" x14ac:dyDescent="0.2">
      <c r="A50" s="92" t="s">
        <v>358</v>
      </c>
      <c r="B50" s="102">
        <f t="shared" si="4"/>
        <v>89083953</v>
      </c>
      <c r="C50" s="102">
        <f>SUM(C51:C53)</f>
        <v>88209460</v>
      </c>
      <c r="D50" s="102">
        <f>SUM(D51:D53)</f>
        <v>874493</v>
      </c>
      <c r="E50" s="102">
        <f>SUM(E51:E53)</f>
        <v>123641</v>
      </c>
      <c r="F50" s="102">
        <f>SUM(F51:F53)</f>
        <v>42753</v>
      </c>
      <c r="G50" s="102">
        <f t="shared" si="1"/>
        <v>166394</v>
      </c>
      <c r="H50" s="102">
        <f t="shared" si="2"/>
        <v>89250347</v>
      </c>
    </row>
    <row r="51" spans="1:8" x14ac:dyDescent="0.2">
      <c r="A51" s="3" t="s">
        <v>359</v>
      </c>
      <c r="B51" s="54">
        <f t="shared" si="4"/>
        <v>72832468</v>
      </c>
      <c r="C51" s="54">
        <f>'2.3 TOETUSED'!B4</f>
        <v>72832468</v>
      </c>
      <c r="D51" s="93"/>
      <c r="E51" s="368">
        <f>'2.3 TOETUSED'!C4</f>
        <v>-309591</v>
      </c>
      <c r="F51" s="93"/>
      <c r="G51" s="368">
        <f t="shared" si="1"/>
        <v>-309591</v>
      </c>
      <c r="H51" s="368">
        <f t="shared" si="2"/>
        <v>72522877</v>
      </c>
    </row>
    <row r="52" spans="1:8" x14ac:dyDescent="0.2">
      <c r="A52" s="95" t="s">
        <v>360</v>
      </c>
      <c r="B52" s="54">
        <f t="shared" si="4"/>
        <v>16243612</v>
      </c>
      <c r="C52" s="54">
        <f>'2.3 TOETUSED'!B75</f>
        <v>15376992</v>
      </c>
      <c r="D52" s="54">
        <f>'2.3 TOETUSED'!B25</f>
        <v>866620</v>
      </c>
      <c r="E52" s="368">
        <f>'2.3 TOETUSED'!C75</f>
        <v>113673</v>
      </c>
      <c r="F52" s="368">
        <f>'2.3 TOETUSED'!C25</f>
        <v>42752</v>
      </c>
      <c r="G52" s="368">
        <f t="shared" si="1"/>
        <v>156425</v>
      </c>
      <c r="H52" s="368">
        <f t="shared" si="2"/>
        <v>16400037</v>
      </c>
    </row>
    <row r="53" spans="1:8" x14ac:dyDescent="0.2">
      <c r="A53" s="95" t="s">
        <v>361</v>
      </c>
      <c r="B53" s="54">
        <f t="shared" si="4"/>
        <v>7873</v>
      </c>
      <c r="C53" s="54"/>
      <c r="D53" s="54">
        <f>'2.3 TOETUSED'!B13</f>
        <v>7873</v>
      </c>
      <c r="E53" s="368">
        <f>'2.3 TOETUSED'!C20</f>
        <v>319559</v>
      </c>
      <c r="F53" s="368">
        <f>'2.3 TOETUSED'!C13</f>
        <v>1</v>
      </c>
      <c r="G53" s="368">
        <f t="shared" si="1"/>
        <v>319560</v>
      </c>
      <c r="H53" s="368">
        <f t="shared" si="2"/>
        <v>327433</v>
      </c>
    </row>
    <row r="54" spans="1:8" ht="9.75" customHeight="1" x14ac:dyDescent="0.2">
      <c r="A54" s="3"/>
      <c r="B54" s="54">
        <f t="shared" si="4"/>
        <v>0</v>
      </c>
      <c r="C54" s="54"/>
      <c r="D54" s="93"/>
      <c r="E54" s="368"/>
      <c r="F54" s="93"/>
      <c r="G54" s="368">
        <f t="shared" si="1"/>
        <v>0</v>
      </c>
      <c r="H54" s="368">
        <f t="shared" si="2"/>
        <v>0</v>
      </c>
    </row>
    <row r="55" spans="1:8" x14ac:dyDescent="0.2">
      <c r="A55" s="92" t="s">
        <v>345</v>
      </c>
      <c r="B55" s="102">
        <f t="shared" ca="1" si="4"/>
        <v>442458295</v>
      </c>
      <c r="C55" s="102">
        <f>C48+C50</f>
        <v>389455207</v>
      </c>
      <c r="D55" s="102">
        <f ca="1">D48+D50</f>
        <v>53003088</v>
      </c>
      <c r="E55" s="102">
        <f>E48+E50</f>
        <v>4065604</v>
      </c>
      <c r="F55" s="102">
        <f ca="1">F48+F50</f>
        <v>1667049</v>
      </c>
      <c r="G55" s="102">
        <f t="shared" ca="1" si="1"/>
        <v>5732653</v>
      </c>
      <c r="H55" s="102">
        <f t="shared" ca="1" si="2"/>
        <v>448190948</v>
      </c>
    </row>
    <row r="56" spans="1:8" x14ac:dyDescent="0.2">
      <c r="B56" s="54"/>
      <c r="G56" s="368"/>
    </row>
    <row r="57" spans="1:8" x14ac:dyDescent="0.2">
      <c r="B57" s="368"/>
      <c r="G57" s="368"/>
    </row>
  </sheetData>
  <phoneticPr fontId="26" type="noConversion"/>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D98"/>
  <sheetViews>
    <sheetView showZeros="0" zoomScaleNormal="100" workbookViewId="0">
      <pane ySplit="3" topLeftCell="A4" activePane="bottomLeft" state="frozen"/>
      <selection pane="bottomLeft"/>
    </sheetView>
  </sheetViews>
  <sheetFormatPr defaultColWidth="9.140625" defaultRowHeight="12.75" x14ac:dyDescent="0.2"/>
  <cols>
    <col min="1" max="1" width="47.28515625" style="367" customWidth="1"/>
    <col min="2" max="2" width="13.28515625" style="367" customWidth="1"/>
    <col min="3" max="3" width="13.28515625" style="473" customWidth="1"/>
    <col min="4" max="4" width="13.28515625" style="367" customWidth="1"/>
    <col min="5" max="16384" width="9.140625" style="367"/>
  </cols>
  <sheetData>
    <row r="1" spans="1:4" ht="15" x14ac:dyDescent="0.25">
      <c r="A1" s="104" t="s">
        <v>362</v>
      </c>
    </row>
    <row r="2" spans="1:4" ht="15" x14ac:dyDescent="0.25">
      <c r="A2" s="104"/>
      <c r="D2" s="90" t="s">
        <v>294</v>
      </c>
    </row>
    <row r="3" spans="1:4" ht="24.75" customHeight="1" x14ac:dyDescent="0.2">
      <c r="A3" s="466"/>
      <c r="B3" s="485" t="s">
        <v>1065</v>
      </c>
      <c r="C3" s="485" t="s">
        <v>1048</v>
      </c>
      <c r="D3" s="485" t="s">
        <v>1064</v>
      </c>
    </row>
    <row r="4" spans="1:4" x14ac:dyDescent="0.2">
      <c r="A4" s="105"/>
      <c r="B4" s="119"/>
      <c r="C4" s="119"/>
      <c r="D4" s="119"/>
    </row>
    <row r="5" spans="1:4" x14ac:dyDescent="0.2">
      <c r="A5" s="106" t="s">
        <v>298</v>
      </c>
      <c r="B5" s="107">
        <f>B6+B9</f>
        <v>281573000</v>
      </c>
      <c r="C5" s="107">
        <f>C6+C9</f>
        <v>3900000</v>
      </c>
      <c r="D5" s="107">
        <f>B5+C5</f>
        <v>285473000</v>
      </c>
    </row>
    <row r="6" spans="1:4" ht="12.75" customHeight="1" x14ac:dyDescent="0.2">
      <c r="A6" s="105" t="s">
        <v>347</v>
      </c>
      <c r="B6" s="108">
        <f>B7</f>
        <v>256173000</v>
      </c>
      <c r="C6" s="559">
        <f>C7</f>
        <v>1300000</v>
      </c>
      <c r="D6" s="108">
        <f t="shared" ref="D6:D69" si="0">B6+C6</f>
        <v>257473000</v>
      </c>
    </row>
    <row r="7" spans="1:4" ht="12.75" customHeight="1" x14ac:dyDescent="0.2">
      <c r="A7" s="100" t="s">
        <v>343</v>
      </c>
      <c r="B7" s="109">
        <f>255700000+2000+10000+8000+75000+10000+15000+10000+10000+8000+75000+250000</f>
        <v>256173000</v>
      </c>
      <c r="C7" s="559">
        <f>850000+450000</f>
        <v>1300000</v>
      </c>
      <c r="D7" s="109">
        <f t="shared" si="0"/>
        <v>257473000</v>
      </c>
    </row>
    <row r="8" spans="1:4" x14ac:dyDescent="0.2">
      <c r="A8" s="100"/>
      <c r="B8" s="369"/>
      <c r="C8" s="105"/>
      <c r="D8" s="369">
        <f t="shared" si="0"/>
        <v>0</v>
      </c>
    </row>
    <row r="9" spans="1:4" ht="12.75" customHeight="1" x14ac:dyDescent="0.2">
      <c r="A9" s="105" t="s">
        <v>348</v>
      </c>
      <c r="B9" s="108">
        <f>B10</f>
        <v>25400000</v>
      </c>
      <c r="C9" s="108">
        <f>C10</f>
        <v>2600000</v>
      </c>
      <c r="D9" s="108">
        <f t="shared" si="0"/>
        <v>28000000</v>
      </c>
    </row>
    <row r="10" spans="1:4" ht="12.75" customHeight="1" x14ac:dyDescent="0.2">
      <c r="A10" s="100" t="s">
        <v>343</v>
      </c>
      <c r="B10" s="109">
        <v>25400000</v>
      </c>
      <c r="C10" s="108">
        <v>2600000</v>
      </c>
      <c r="D10" s="109">
        <f t="shared" si="0"/>
        <v>28000000</v>
      </c>
    </row>
    <row r="11" spans="1:4" x14ac:dyDescent="0.2">
      <c r="A11" s="105"/>
      <c r="B11" s="369"/>
      <c r="C11" s="105"/>
      <c r="D11" s="369">
        <f t="shared" si="0"/>
        <v>0</v>
      </c>
    </row>
    <row r="12" spans="1:4" x14ac:dyDescent="0.2">
      <c r="A12" s="106" t="s">
        <v>299</v>
      </c>
      <c r="B12" s="107">
        <f>B13+B16+B19</f>
        <v>7712000</v>
      </c>
      <c r="C12" s="107">
        <f>C13</f>
        <v>50000</v>
      </c>
      <c r="D12" s="107">
        <f t="shared" si="0"/>
        <v>7762000</v>
      </c>
    </row>
    <row r="13" spans="1:4" ht="12.75" customHeight="1" x14ac:dyDescent="0.2">
      <c r="A13" s="110" t="s">
        <v>349</v>
      </c>
      <c r="B13" s="111">
        <f>B14</f>
        <v>2500000</v>
      </c>
      <c r="C13" s="111">
        <f>C14</f>
        <v>50000</v>
      </c>
      <c r="D13" s="111">
        <f t="shared" si="0"/>
        <v>2550000</v>
      </c>
    </row>
    <row r="14" spans="1:4" ht="12.75" customHeight="1" x14ac:dyDescent="0.2">
      <c r="A14" s="113" t="s">
        <v>363</v>
      </c>
      <c r="B14" s="441">
        <f>2300000+200000</f>
        <v>2500000</v>
      </c>
      <c r="C14" s="441">
        <v>50000</v>
      </c>
      <c r="D14" s="441">
        <f t="shared" si="0"/>
        <v>2550000</v>
      </c>
    </row>
    <row r="15" spans="1:4" ht="12.75" customHeight="1" x14ac:dyDescent="0.2">
      <c r="A15" s="112"/>
      <c r="B15" s="110"/>
      <c r="C15" s="110"/>
      <c r="D15" s="110">
        <f t="shared" si="0"/>
        <v>0</v>
      </c>
    </row>
    <row r="16" spans="1:4" ht="12.75" customHeight="1" x14ac:dyDescent="0.2">
      <c r="A16" s="110" t="s">
        <v>350</v>
      </c>
      <c r="B16" s="111">
        <f>B17</f>
        <v>612000</v>
      </c>
      <c r="C16" s="111"/>
      <c r="D16" s="111">
        <f t="shared" si="0"/>
        <v>612000</v>
      </c>
    </row>
    <row r="17" spans="1:4" ht="12.75" customHeight="1" x14ac:dyDescent="0.2">
      <c r="A17" s="113" t="s">
        <v>364</v>
      </c>
      <c r="B17" s="441">
        <v>612000</v>
      </c>
      <c r="C17" s="441"/>
      <c r="D17" s="441">
        <f t="shared" si="0"/>
        <v>612000</v>
      </c>
    </row>
    <row r="18" spans="1:4" ht="12.75" customHeight="1" x14ac:dyDescent="0.2">
      <c r="A18" s="112"/>
      <c r="B18" s="110"/>
      <c r="C18" s="110"/>
      <c r="D18" s="110">
        <f t="shared" si="0"/>
        <v>0</v>
      </c>
    </row>
    <row r="19" spans="1:4" x14ac:dyDescent="0.2">
      <c r="A19" s="110" t="s">
        <v>351</v>
      </c>
      <c r="B19" s="111">
        <f>B20</f>
        <v>4600000</v>
      </c>
      <c r="C19" s="111"/>
      <c r="D19" s="111">
        <f t="shared" si="0"/>
        <v>4600000</v>
      </c>
    </row>
    <row r="20" spans="1:4" ht="12.75" customHeight="1" x14ac:dyDescent="0.2">
      <c r="A20" s="113" t="s">
        <v>364</v>
      </c>
      <c r="B20" s="441">
        <f>4500000+100000</f>
        <v>4600000</v>
      </c>
      <c r="C20" s="441"/>
      <c r="D20" s="441">
        <f t="shared" si="0"/>
        <v>4600000</v>
      </c>
    </row>
    <row r="21" spans="1:4" x14ac:dyDescent="0.2">
      <c r="A21" s="113"/>
      <c r="B21" s="110"/>
      <c r="C21" s="110"/>
      <c r="D21" s="110">
        <f t="shared" si="0"/>
        <v>0</v>
      </c>
    </row>
    <row r="22" spans="1:4" ht="12.75" customHeight="1" x14ac:dyDescent="0.2">
      <c r="A22" s="106" t="s">
        <v>300</v>
      </c>
      <c r="B22" s="107">
        <f>B23</f>
        <v>612036</v>
      </c>
      <c r="C22" s="107">
        <f>C23</f>
        <v>1600</v>
      </c>
      <c r="D22" s="107">
        <f t="shared" si="0"/>
        <v>613636</v>
      </c>
    </row>
    <row r="23" spans="1:4" ht="12.75" customHeight="1" x14ac:dyDescent="0.2">
      <c r="A23" s="110" t="s">
        <v>365</v>
      </c>
      <c r="B23" s="111">
        <f>SUM(B24:B34)</f>
        <v>612036</v>
      </c>
      <c r="C23" s="111">
        <f>SUM(C24:C34)</f>
        <v>1600</v>
      </c>
      <c r="D23" s="111">
        <f t="shared" si="0"/>
        <v>613636</v>
      </c>
    </row>
    <row r="24" spans="1:4" x14ac:dyDescent="0.2">
      <c r="A24" s="113" t="s">
        <v>366</v>
      </c>
      <c r="B24" s="441">
        <v>2800</v>
      </c>
      <c r="C24" s="441"/>
      <c r="D24" s="441">
        <f t="shared" si="0"/>
        <v>2800</v>
      </c>
    </row>
    <row r="25" spans="1:4" x14ac:dyDescent="0.2">
      <c r="A25" s="113" t="s">
        <v>364</v>
      </c>
      <c r="B25" s="441">
        <v>78605</v>
      </c>
      <c r="C25" s="441"/>
      <c r="D25" s="441">
        <f t="shared" si="0"/>
        <v>78605</v>
      </c>
    </row>
    <row r="26" spans="1:4" x14ac:dyDescent="0.2">
      <c r="A26" s="100" t="s">
        <v>367</v>
      </c>
      <c r="B26" s="109">
        <v>465000</v>
      </c>
      <c r="C26" s="109"/>
      <c r="D26" s="109">
        <f t="shared" si="0"/>
        <v>465000</v>
      </c>
    </row>
    <row r="27" spans="1:4" x14ac:dyDescent="0.2">
      <c r="A27" s="100" t="s">
        <v>383</v>
      </c>
      <c r="B27" s="109">
        <v>5000</v>
      </c>
      <c r="C27" s="109"/>
      <c r="D27" s="109">
        <f t="shared" si="0"/>
        <v>5000</v>
      </c>
    </row>
    <row r="28" spans="1:4" x14ac:dyDescent="0.2">
      <c r="A28" s="100" t="s">
        <v>368</v>
      </c>
      <c r="B28" s="109">
        <v>26500</v>
      </c>
      <c r="C28" s="109"/>
      <c r="D28" s="109">
        <f t="shared" si="0"/>
        <v>26500</v>
      </c>
    </row>
    <row r="29" spans="1:4" x14ac:dyDescent="0.2">
      <c r="A29" s="100" t="s">
        <v>369</v>
      </c>
      <c r="B29" s="109">
        <v>5200</v>
      </c>
      <c r="C29" s="109">
        <v>600</v>
      </c>
      <c r="D29" s="109">
        <f t="shared" si="0"/>
        <v>5800</v>
      </c>
    </row>
    <row r="30" spans="1:4" ht="12.75" customHeight="1" x14ac:dyDescent="0.2">
      <c r="A30" s="100" t="s">
        <v>379</v>
      </c>
      <c r="B30" s="109">
        <v>12782</v>
      </c>
      <c r="C30" s="109"/>
      <c r="D30" s="109">
        <f t="shared" si="0"/>
        <v>12782</v>
      </c>
    </row>
    <row r="31" spans="1:4" x14ac:dyDescent="0.2">
      <c r="A31" s="100" t="s">
        <v>370</v>
      </c>
      <c r="B31" s="109">
        <v>5300</v>
      </c>
      <c r="C31" s="109">
        <v>1000</v>
      </c>
      <c r="D31" s="109">
        <f t="shared" si="0"/>
        <v>6300</v>
      </c>
    </row>
    <row r="32" spans="1:4" ht="12.75" customHeight="1" x14ac:dyDescent="0.2">
      <c r="A32" s="100" t="s">
        <v>59</v>
      </c>
      <c r="B32" s="109">
        <v>3500</v>
      </c>
      <c r="C32" s="109"/>
      <c r="D32" s="109">
        <f t="shared" si="0"/>
        <v>3500</v>
      </c>
    </row>
    <row r="33" spans="1:4" ht="12.75" customHeight="1" x14ac:dyDescent="0.2">
      <c r="A33" s="100" t="s">
        <v>371</v>
      </c>
      <c r="B33" s="109">
        <v>1917</v>
      </c>
      <c r="C33" s="109"/>
      <c r="D33" s="109">
        <f t="shared" si="0"/>
        <v>1917</v>
      </c>
    </row>
    <row r="34" spans="1:4" ht="12.75" customHeight="1" x14ac:dyDescent="0.2">
      <c r="A34" s="100" t="s">
        <v>372</v>
      </c>
      <c r="B34" s="109">
        <v>5432</v>
      </c>
      <c r="C34" s="109"/>
      <c r="D34" s="109">
        <f t="shared" si="0"/>
        <v>5432</v>
      </c>
    </row>
    <row r="35" spans="1:4" ht="12.75" customHeight="1" x14ac:dyDescent="0.2">
      <c r="A35" s="113"/>
      <c r="B35" s="369"/>
      <c r="C35" s="105"/>
      <c r="D35" s="369">
        <f t="shared" si="0"/>
        <v>0</v>
      </c>
    </row>
    <row r="36" spans="1:4" x14ac:dyDescent="0.2">
      <c r="A36" s="106" t="s">
        <v>301</v>
      </c>
      <c r="B36" s="107">
        <f>B37</f>
        <v>720738</v>
      </c>
      <c r="C36" s="107"/>
      <c r="D36" s="107">
        <f t="shared" si="0"/>
        <v>720738</v>
      </c>
    </row>
    <row r="37" spans="1:4" x14ac:dyDescent="0.2">
      <c r="A37" s="66" t="s">
        <v>638</v>
      </c>
      <c r="B37" s="24">
        <f>B38+B40</f>
        <v>720738</v>
      </c>
      <c r="C37" s="24"/>
      <c r="D37" s="24">
        <f t="shared" si="0"/>
        <v>720738</v>
      </c>
    </row>
    <row r="38" spans="1:4" x14ac:dyDescent="0.2">
      <c r="A38" s="114" t="s">
        <v>373</v>
      </c>
      <c r="B38" s="93">
        <f>B39</f>
        <v>654585</v>
      </c>
      <c r="C38" s="108"/>
      <c r="D38" s="93">
        <f t="shared" si="0"/>
        <v>654585</v>
      </c>
    </row>
    <row r="39" spans="1:4" x14ac:dyDescent="0.2">
      <c r="A39" s="115" t="s">
        <v>374</v>
      </c>
      <c r="B39" s="109">
        <v>654585</v>
      </c>
      <c r="C39" s="109"/>
      <c r="D39" s="109">
        <f t="shared" si="0"/>
        <v>654585</v>
      </c>
    </row>
    <row r="40" spans="1:4" ht="12.75" customHeight="1" x14ac:dyDescent="0.2">
      <c r="A40" s="114" t="s">
        <v>375</v>
      </c>
      <c r="B40" s="93">
        <f>B41</f>
        <v>66153</v>
      </c>
      <c r="C40" s="108"/>
      <c r="D40" s="93">
        <f t="shared" si="0"/>
        <v>66153</v>
      </c>
    </row>
    <row r="41" spans="1:4" ht="12.75" customHeight="1" x14ac:dyDescent="0.2">
      <c r="A41" s="115" t="s">
        <v>374</v>
      </c>
      <c r="B41" s="109">
        <v>66153</v>
      </c>
      <c r="C41" s="109"/>
      <c r="D41" s="109">
        <f t="shared" si="0"/>
        <v>66153</v>
      </c>
    </row>
    <row r="42" spans="1:4" x14ac:dyDescent="0.2">
      <c r="A42" s="110"/>
      <c r="B42" s="369"/>
      <c r="C42" s="105"/>
      <c r="D42" s="369">
        <f t="shared" si="0"/>
        <v>0</v>
      </c>
    </row>
    <row r="43" spans="1:4" x14ac:dyDescent="0.2">
      <c r="A43" s="106" t="s">
        <v>302</v>
      </c>
      <c r="B43" s="24">
        <f>B45+B48+B53</f>
        <v>1200295</v>
      </c>
      <c r="C43" s="24">
        <f>C45+C48+C53</f>
        <v>25563</v>
      </c>
      <c r="D43" s="24">
        <f t="shared" si="0"/>
        <v>1225858</v>
      </c>
    </row>
    <row r="44" spans="1:4" ht="12.75" customHeight="1" x14ac:dyDescent="0.2">
      <c r="A44" s="106"/>
      <c r="B44" s="369"/>
      <c r="C44" s="105"/>
      <c r="D44" s="369">
        <f t="shared" si="0"/>
        <v>0</v>
      </c>
    </row>
    <row r="45" spans="1:4" ht="12.75" customHeight="1" x14ac:dyDescent="0.2">
      <c r="A45" s="110" t="s">
        <v>352</v>
      </c>
      <c r="B45" s="293">
        <f>B46</f>
        <v>155775</v>
      </c>
      <c r="C45" s="108"/>
      <c r="D45" s="293">
        <f t="shared" si="0"/>
        <v>155775</v>
      </c>
    </row>
    <row r="46" spans="1:4" x14ac:dyDescent="0.2">
      <c r="A46" s="100" t="s">
        <v>376</v>
      </c>
      <c r="B46" s="109">
        <v>155775</v>
      </c>
      <c r="C46" s="109"/>
      <c r="D46" s="109">
        <f t="shared" si="0"/>
        <v>155775</v>
      </c>
    </row>
    <row r="47" spans="1:4" x14ac:dyDescent="0.2">
      <c r="A47" s="113"/>
      <c r="B47" s="369"/>
      <c r="C47" s="105"/>
      <c r="D47" s="369">
        <f t="shared" si="0"/>
        <v>0</v>
      </c>
    </row>
    <row r="48" spans="1:4" x14ac:dyDescent="0.2">
      <c r="A48" s="110" t="s">
        <v>353</v>
      </c>
      <c r="B48" s="293">
        <f>SUM(B49:B51)</f>
        <v>967520</v>
      </c>
      <c r="C48" s="108"/>
      <c r="D48" s="293">
        <f t="shared" si="0"/>
        <v>967520</v>
      </c>
    </row>
    <row r="49" spans="1:4" x14ac:dyDescent="0.2">
      <c r="A49" s="100" t="s">
        <v>363</v>
      </c>
      <c r="B49" s="109">
        <v>10000</v>
      </c>
      <c r="C49" s="109"/>
      <c r="D49" s="109">
        <f t="shared" si="0"/>
        <v>10000</v>
      </c>
    </row>
    <row r="50" spans="1:4" x14ac:dyDescent="0.2">
      <c r="A50" s="100" t="s">
        <v>364</v>
      </c>
      <c r="B50" s="109">
        <v>57520</v>
      </c>
      <c r="C50" s="109"/>
      <c r="D50" s="109">
        <f t="shared" si="0"/>
        <v>57520</v>
      </c>
    </row>
    <row r="51" spans="1:4" x14ac:dyDescent="0.2">
      <c r="A51" s="100" t="s">
        <v>377</v>
      </c>
      <c r="B51" s="109">
        <v>900000</v>
      </c>
      <c r="C51" s="109"/>
      <c r="D51" s="109">
        <f t="shared" si="0"/>
        <v>900000</v>
      </c>
    </row>
    <row r="52" spans="1:4" x14ac:dyDescent="0.2">
      <c r="A52" s="112"/>
      <c r="B52" s="369"/>
      <c r="C52" s="105"/>
      <c r="D52" s="369">
        <f t="shared" si="0"/>
        <v>0</v>
      </c>
    </row>
    <row r="53" spans="1:4" x14ac:dyDescent="0.2">
      <c r="A53" s="110" t="s">
        <v>631</v>
      </c>
      <c r="B53" s="111">
        <f>B54+B56</f>
        <v>77000</v>
      </c>
      <c r="C53" s="111">
        <f t="shared" ref="C53" si="1">C54+C56</f>
        <v>25563</v>
      </c>
      <c r="D53" s="111">
        <f t="shared" si="0"/>
        <v>102563</v>
      </c>
    </row>
    <row r="54" spans="1:4" x14ac:dyDescent="0.2">
      <c r="A54" s="294" t="s">
        <v>60</v>
      </c>
      <c r="B54" s="111">
        <f>B55</f>
        <v>12000</v>
      </c>
      <c r="C54" s="111">
        <f>C55</f>
        <v>6000</v>
      </c>
      <c r="D54" s="111">
        <f t="shared" si="0"/>
        <v>18000</v>
      </c>
    </row>
    <row r="55" spans="1:4" x14ac:dyDescent="0.2">
      <c r="A55" s="100" t="s">
        <v>363</v>
      </c>
      <c r="B55" s="109">
        <v>12000</v>
      </c>
      <c r="C55" s="109">
        <v>6000</v>
      </c>
      <c r="D55" s="109">
        <f t="shared" si="0"/>
        <v>18000</v>
      </c>
    </row>
    <row r="56" spans="1:4" x14ac:dyDescent="0.2">
      <c r="A56" s="95" t="s">
        <v>61</v>
      </c>
      <c r="B56" s="111">
        <v>65000</v>
      </c>
      <c r="C56" s="111">
        <f>SUM(C57:C59)</f>
        <v>19563</v>
      </c>
      <c r="D56" s="111">
        <f t="shared" si="0"/>
        <v>84563</v>
      </c>
    </row>
    <row r="57" spans="1:4" x14ac:dyDescent="0.2">
      <c r="A57" s="100" t="s">
        <v>891</v>
      </c>
      <c r="B57" s="109"/>
      <c r="C57" s="109">
        <v>16255</v>
      </c>
      <c r="D57" s="109">
        <f t="shared" si="0"/>
        <v>16255</v>
      </c>
    </row>
    <row r="58" spans="1:4" x14ac:dyDescent="0.2">
      <c r="A58" s="100" t="s">
        <v>890</v>
      </c>
      <c r="B58" s="109"/>
      <c r="C58" s="109">
        <v>2464</v>
      </c>
      <c r="D58" s="109">
        <f t="shared" si="0"/>
        <v>2464</v>
      </c>
    </row>
    <row r="59" spans="1:4" x14ac:dyDescent="0.2">
      <c r="A59" s="100" t="s">
        <v>369</v>
      </c>
      <c r="B59" s="109"/>
      <c r="C59" s="109">
        <v>844</v>
      </c>
      <c r="D59" s="109">
        <f t="shared" si="0"/>
        <v>844</v>
      </c>
    </row>
    <row r="60" spans="1:4" x14ac:dyDescent="0.2">
      <c r="A60" s="112"/>
      <c r="B60" s="369"/>
      <c r="C60" s="105"/>
      <c r="D60" s="369">
        <f t="shared" si="0"/>
        <v>0</v>
      </c>
    </row>
    <row r="61" spans="1:4" x14ac:dyDescent="0.2">
      <c r="A61" s="106" t="s">
        <v>303</v>
      </c>
      <c r="B61" s="107">
        <f>B62</f>
        <v>200000</v>
      </c>
      <c r="C61" s="107"/>
      <c r="D61" s="107">
        <f t="shared" si="0"/>
        <v>200000</v>
      </c>
    </row>
    <row r="62" spans="1:4" x14ac:dyDescent="0.2">
      <c r="A62" s="110" t="s">
        <v>354</v>
      </c>
      <c r="B62" s="111">
        <f>B63</f>
        <v>200000</v>
      </c>
      <c r="C62" s="111"/>
      <c r="D62" s="111">
        <f t="shared" si="0"/>
        <v>200000</v>
      </c>
    </row>
    <row r="63" spans="1:4" x14ac:dyDescent="0.2">
      <c r="A63" s="100" t="s">
        <v>343</v>
      </c>
      <c r="B63" s="109">
        <v>200000</v>
      </c>
      <c r="C63" s="109"/>
      <c r="D63" s="109">
        <f t="shared" si="0"/>
        <v>200000</v>
      </c>
    </row>
    <row r="64" spans="1:4" x14ac:dyDescent="0.2">
      <c r="A64" s="110"/>
      <c r="B64" s="369"/>
      <c r="C64" s="105"/>
      <c r="D64" s="369">
        <f t="shared" si="0"/>
        <v>0</v>
      </c>
    </row>
    <row r="65" spans="1:4" x14ac:dyDescent="0.2">
      <c r="A65" s="106" t="s">
        <v>355</v>
      </c>
      <c r="B65" s="107">
        <f>SUM(B66:B70)</f>
        <v>2418400</v>
      </c>
      <c r="C65" s="107">
        <f>C66+C69</f>
        <v>5368</v>
      </c>
      <c r="D65" s="107">
        <f t="shared" si="0"/>
        <v>2423768</v>
      </c>
    </row>
    <row r="66" spans="1:4" x14ac:dyDescent="0.2">
      <c r="A66" s="483" t="s">
        <v>380</v>
      </c>
      <c r="B66" s="108">
        <f>3811400+250000+1200000</f>
        <v>5261400</v>
      </c>
      <c r="C66" s="108">
        <f>+C68+C67</f>
        <v>5368</v>
      </c>
      <c r="D66" s="108">
        <f t="shared" si="0"/>
        <v>5266768</v>
      </c>
    </row>
    <row r="67" spans="1:4" x14ac:dyDescent="0.2">
      <c r="A67" s="100" t="s">
        <v>891</v>
      </c>
      <c r="B67" s="108"/>
      <c r="C67" s="109">
        <v>368</v>
      </c>
      <c r="D67" s="109">
        <f t="shared" si="0"/>
        <v>368</v>
      </c>
    </row>
    <row r="68" spans="1:4" x14ac:dyDescent="0.2">
      <c r="A68" s="100" t="s">
        <v>901</v>
      </c>
      <c r="B68" s="108"/>
      <c r="C68" s="109">
        <v>5000</v>
      </c>
      <c r="D68" s="109">
        <f t="shared" si="0"/>
        <v>5000</v>
      </c>
    </row>
    <row r="69" spans="1:4" x14ac:dyDescent="0.2">
      <c r="A69" s="483" t="s">
        <v>62</v>
      </c>
      <c r="B69" s="108">
        <f>-1630000-200000-1000000</f>
        <v>-2830000</v>
      </c>
      <c r="C69" s="109"/>
      <c r="D69" s="108">
        <f t="shared" si="0"/>
        <v>-2830000</v>
      </c>
    </row>
    <row r="70" spans="1:4" x14ac:dyDescent="0.2">
      <c r="A70" s="483" t="s">
        <v>306</v>
      </c>
      <c r="B70" s="108">
        <f>-13000</f>
        <v>-13000</v>
      </c>
      <c r="C70" s="108"/>
      <c r="D70" s="108">
        <f t="shared" ref="D70:D95" si="2">B70+C70</f>
        <v>-13000</v>
      </c>
    </row>
    <row r="71" spans="1:4" s="369" customFormat="1" x14ac:dyDescent="0.2">
      <c r="A71" s="483"/>
      <c r="B71" s="108"/>
      <c r="C71" s="108"/>
      <c r="D71" s="108">
        <f t="shared" si="2"/>
        <v>0</v>
      </c>
    </row>
    <row r="72" spans="1:4" s="369" customFormat="1" x14ac:dyDescent="0.2">
      <c r="A72" s="92" t="s">
        <v>709</v>
      </c>
      <c r="B72" s="24">
        <f>B73+B77</f>
        <v>25278</v>
      </c>
      <c r="C72" s="24">
        <f>C73+C77</f>
        <v>0</v>
      </c>
      <c r="D72" s="24">
        <f t="shared" si="2"/>
        <v>25278</v>
      </c>
    </row>
    <row r="73" spans="1:4" s="369" customFormat="1" x14ac:dyDescent="0.2">
      <c r="A73" s="467" t="s">
        <v>710</v>
      </c>
      <c r="B73" s="108">
        <f>B75+B76</f>
        <v>1018055</v>
      </c>
      <c r="C73" s="108">
        <f>C75+C76+C74</f>
        <v>888315</v>
      </c>
      <c r="D73" s="108">
        <f t="shared" si="2"/>
        <v>1906370</v>
      </c>
    </row>
    <row r="74" spans="1:4" s="369" customFormat="1" x14ac:dyDescent="0.2">
      <c r="A74" s="468" t="s">
        <v>374</v>
      </c>
      <c r="B74" s="439"/>
      <c r="C74" s="439">
        <v>711000</v>
      </c>
      <c r="D74" s="439">
        <f t="shared" si="2"/>
        <v>711000</v>
      </c>
    </row>
    <row r="75" spans="1:4" s="369" customFormat="1" x14ac:dyDescent="0.2">
      <c r="A75" s="468" t="s">
        <v>59</v>
      </c>
      <c r="B75" s="439">
        <v>958055</v>
      </c>
      <c r="C75" s="439">
        <v>177315</v>
      </c>
      <c r="D75" s="439">
        <f t="shared" si="2"/>
        <v>1135370</v>
      </c>
    </row>
    <row r="76" spans="1:4" s="369" customFormat="1" x14ac:dyDescent="0.2">
      <c r="A76" s="468" t="s">
        <v>371</v>
      </c>
      <c r="B76" s="439">
        <v>60000</v>
      </c>
      <c r="C76" s="439"/>
      <c r="D76" s="439">
        <f t="shared" si="2"/>
        <v>60000</v>
      </c>
    </row>
    <row r="77" spans="1:4" s="369" customFormat="1" x14ac:dyDescent="0.2">
      <c r="A77" s="467" t="s">
        <v>711</v>
      </c>
      <c r="B77" s="108">
        <f>B79+B80</f>
        <v>-992777</v>
      </c>
      <c r="C77" s="108">
        <f>C79+C80+C78</f>
        <v>-888315</v>
      </c>
      <c r="D77" s="108">
        <f t="shared" si="2"/>
        <v>-1881092</v>
      </c>
    </row>
    <row r="78" spans="1:4" s="369" customFormat="1" x14ac:dyDescent="0.2">
      <c r="A78" s="468" t="s">
        <v>374</v>
      </c>
      <c r="B78" s="439"/>
      <c r="C78" s="439">
        <v>-711000</v>
      </c>
      <c r="D78" s="439">
        <f t="shared" si="2"/>
        <v>-711000</v>
      </c>
    </row>
    <row r="79" spans="1:4" s="369" customFormat="1" x14ac:dyDescent="0.2">
      <c r="A79" s="468" t="s">
        <v>59</v>
      </c>
      <c r="B79" s="439">
        <v>-940000</v>
      </c>
      <c r="C79" s="439">
        <v>-177315</v>
      </c>
      <c r="D79" s="439">
        <f t="shared" si="2"/>
        <v>-1117315</v>
      </c>
    </row>
    <row r="80" spans="1:4" s="369" customFormat="1" x14ac:dyDescent="0.2">
      <c r="A80" s="468" t="s">
        <v>371</v>
      </c>
      <c r="B80" s="439">
        <v>-52777</v>
      </c>
      <c r="C80" s="439"/>
      <c r="D80" s="439">
        <f t="shared" si="2"/>
        <v>-52777</v>
      </c>
    </row>
    <row r="81" spans="1:4" x14ac:dyDescent="0.2">
      <c r="A81" s="440"/>
      <c r="B81" s="105"/>
      <c r="C81" s="105"/>
      <c r="D81" s="105">
        <f t="shared" si="2"/>
        <v>0</v>
      </c>
    </row>
    <row r="82" spans="1:4" x14ac:dyDescent="0.2">
      <c r="A82" s="106" t="s">
        <v>307</v>
      </c>
      <c r="B82" s="107">
        <f>B83+B85</f>
        <v>314000</v>
      </c>
      <c r="C82" s="107">
        <f>C83+C85</f>
        <v>41789</v>
      </c>
      <c r="D82" s="107">
        <f t="shared" si="2"/>
        <v>355789</v>
      </c>
    </row>
    <row r="83" spans="1:4" x14ac:dyDescent="0.2">
      <c r="A83" s="110" t="s">
        <v>356</v>
      </c>
      <c r="B83" s="111">
        <f>B84</f>
        <v>250000</v>
      </c>
      <c r="C83" s="111"/>
      <c r="D83" s="111">
        <f t="shared" si="2"/>
        <v>250000</v>
      </c>
    </row>
    <row r="84" spans="1:4" ht="12.75" customHeight="1" x14ac:dyDescent="0.2">
      <c r="A84" s="100" t="s">
        <v>343</v>
      </c>
      <c r="B84" s="109">
        <v>250000</v>
      </c>
      <c r="C84" s="109"/>
      <c r="D84" s="109">
        <f t="shared" si="2"/>
        <v>250000</v>
      </c>
    </row>
    <row r="85" spans="1:4" x14ac:dyDescent="0.2">
      <c r="A85" s="110" t="s">
        <v>382</v>
      </c>
      <c r="B85" s="111">
        <v>64000</v>
      </c>
      <c r="C85" s="111">
        <f>SUM(C86:C90)</f>
        <v>41789</v>
      </c>
      <c r="D85" s="111">
        <f t="shared" si="2"/>
        <v>105789</v>
      </c>
    </row>
    <row r="86" spans="1:4" x14ac:dyDescent="0.2">
      <c r="A86" s="100" t="s">
        <v>445</v>
      </c>
      <c r="B86" s="111"/>
      <c r="C86" s="109">
        <v>190</v>
      </c>
      <c r="D86" s="109">
        <f t="shared" si="2"/>
        <v>190</v>
      </c>
    </row>
    <row r="87" spans="1:4" x14ac:dyDescent="0.2">
      <c r="A87" s="100" t="s">
        <v>363</v>
      </c>
      <c r="B87" s="111"/>
      <c r="C87" s="109">
        <v>38000</v>
      </c>
      <c r="D87" s="109"/>
    </row>
    <row r="88" spans="1:4" x14ac:dyDescent="0.2">
      <c r="A88" s="100" t="s">
        <v>379</v>
      </c>
      <c r="B88" s="111"/>
      <c r="C88" s="109">
        <v>1081</v>
      </c>
      <c r="D88" s="109">
        <f t="shared" si="2"/>
        <v>1081</v>
      </c>
    </row>
    <row r="89" spans="1:4" x14ac:dyDescent="0.2">
      <c r="A89" s="100" t="s">
        <v>369</v>
      </c>
      <c r="B89" s="111"/>
      <c r="C89" s="109">
        <v>163</v>
      </c>
      <c r="D89" s="109">
        <f t="shared" si="2"/>
        <v>163</v>
      </c>
    </row>
    <row r="90" spans="1:4" x14ac:dyDescent="0.2">
      <c r="A90" s="100" t="s">
        <v>370</v>
      </c>
      <c r="B90" s="111"/>
      <c r="C90" s="109">
        <f>1700+655</f>
        <v>2355</v>
      </c>
      <c r="D90" s="109">
        <f t="shared" si="2"/>
        <v>2355</v>
      </c>
    </row>
    <row r="91" spans="1:4" x14ac:dyDescent="0.2">
      <c r="A91" s="110"/>
      <c r="B91" s="369"/>
      <c r="C91" s="109"/>
      <c r="D91" s="109">
        <f t="shared" si="2"/>
        <v>0</v>
      </c>
    </row>
    <row r="92" spans="1:4" ht="12.75" customHeight="1" x14ac:dyDescent="0.2">
      <c r="A92" s="106" t="s">
        <v>308</v>
      </c>
      <c r="B92" s="107">
        <f>B93</f>
        <v>6470000</v>
      </c>
      <c r="C92" s="107">
        <f>C93</f>
        <v>-82357</v>
      </c>
      <c r="D92" s="107">
        <f t="shared" si="2"/>
        <v>6387643</v>
      </c>
    </row>
    <row r="93" spans="1:4" ht="28.5" customHeight="1" x14ac:dyDescent="0.2">
      <c r="A93" s="100" t="s">
        <v>363</v>
      </c>
      <c r="B93" s="109">
        <f>5970000+500000</f>
        <v>6470000</v>
      </c>
      <c r="C93" s="109">
        <v>-82357</v>
      </c>
      <c r="D93" s="109">
        <f t="shared" si="2"/>
        <v>6387643</v>
      </c>
    </row>
    <row r="94" spans="1:4" ht="12.75" customHeight="1" x14ac:dyDescent="0.2">
      <c r="A94" s="112"/>
      <c r="B94" s="369"/>
      <c r="C94" s="105"/>
      <c r="D94" s="369">
        <f t="shared" si="2"/>
        <v>0</v>
      </c>
    </row>
    <row r="95" spans="1:4" x14ac:dyDescent="0.2">
      <c r="A95" s="106" t="s">
        <v>293</v>
      </c>
      <c r="B95" s="24">
        <f>B5+B12+B22+B36+B43+B61+B65+B82+B92+B72</f>
        <v>301245747</v>
      </c>
      <c r="C95" s="24">
        <f>C5+C12+C22+C36+C43+C61+C65+C82+C92+C72</f>
        <v>3941963</v>
      </c>
      <c r="D95" s="24">
        <f t="shared" si="2"/>
        <v>305187710</v>
      </c>
    </row>
    <row r="96" spans="1:4" x14ac:dyDescent="0.2">
      <c r="B96" s="469"/>
      <c r="C96" s="559"/>
      <c r="D96" s="469"/>
    </row>
    <row r="97" spans="2:4" x14ac:dyDescent="0.2">
      <c r="B97" s="469"/>
      <c r="C97" s="559"/>
      <c r="D97" s="469"/>
    </row>
    <row r="98" spans="2:4" x14ac:dyDescent="0.2">
      <c r="B98" s="469"/>
      <c r="C98" s="559"/>
      <c r="D98" s="469"/>
    </row>
  </sheetData>
  <phoneticPr fontId="26" type="noConversion"/>
  <pageMargins left="1.1811023622047245" right="0.47244094488188981" top="0.47244094488188981" bottom="0.98425196850393704" header="0.51181102362204722" footer="0.51181102362204722"/>
  <pageSetup paperSize="9" scale="7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G30" sqref="G30"/>
    </sheetView>
  </sheetViews>
  <sheetFormatPr defaultRowHeight="12.75" x14ac:dyDescent="0.2"/>
  <cols>
    <col min="1" max="1" width="40" bestFit="1" customWidth="1"/>
    <col min="2" max="2" width="10.42578125" bestFit="1" customWidth="1"/>
    <col min="3" max="3" width="11.42578125" bestFit="1" customWidth="1"/>
    <col min="4" max="4" width="11.42578125" style="370" customWidth="1"/>
    <col min="5" max="5" width="11.42578125" bestFit="1" customWidth="1"/>
    <col min="6" max="6" width="10.42578125" bestFit="1" customWidth="1"/>
  </cols>
  <sheetData>
    <row r="1" spans="1:7" x14ac:dyDescent="0.2">
      <c r="A1" s="32" t="s">
        <v>291</v>
      </c>
      <c r="B1" s="43">
        <f ca="1">SUM(B2:B11)</f>
        <v>41429967</v>
      </c>
      <c r="C1" s="43">
        <f t="shared" ref="C1:E1" ca="1" si="0">SUM(C2:C11)</f>
        <v>1140306</v>
      </c>
      <c r="D1" s="43"/>
      <c r="E1" s="43">
        <f t="shared" ca="1" si="0"/>
        <v>42570273</v>
      </c>
      <c r="G1" s="368"/>
    </row>
    <row r="2" spans="1:7" x14ac:dyDescent="0.2">
      <c r="A2" s="33" t="s">
        <v>594</v>
      </c>
      <c r="B2" s="41">
        <f ca="1">SUMIF('2.2 OMATULUD'!$A$5:B$771,$A2,'2.2 OMATULUD'!B$5:B$771)</f>
        <v>19484716</v>
      </c>
      <c r="C2" s="41">
        <f ca="1">SUMIF('2.2 OMATULUD'!$A$5:C$771,$A2,'2.2 OMATULUD'!C$5:C$771)</f>
        <v>772733</v>
      </c>
      <c r="D2" s="41"/>
      <c r="E2" s="41">
        <f ca="1">SUMIF('2.2 OMATULUD'!$A$5:D$771,$A2,'2.2 OMATULUD'!D$5:D$771)</f>
        <v>20257449</v>
      </c>
      <c r="G2" s="368"/>
    </row>
    <row r="3" spans="1:7" x14ac:dyDescent="0.2">
      <c r="A3" s="33" t="s">
        <v>648</v>
      </c>
      <c r="B3" s="41">
        <f ca="1">SUMIF('2.2 OMATULUD'!$A$5:B$771,$A3,'2.2 OMATULUD'!B$5:B$771)</f>
        <v>4542935</v>
      </c>
      <c r="C3" s="41">
        <f ca="1">SUMIF('2.2 OMATULUD'!$A$5:C$771,$A3,'2.2 OMATULUD'!C$5:C$771)</f>
        <v>41950</v>
      </c>
      <c r="D3" s="41"/>
      <c r="E3" s="41">
        <f ca="1">SUMIF('2.2 OMATULUD'!$A$5:D$771,$A3,'2.2 OMATULUD'!D$5:D$771)</f>
        <v>4584885</v>
      </c>
      <c r="G3" s="368"/>
    </row>
    <row r="4" spans="1:7" x14ac:dyDescent="0.2">
      <c r="A4" s="33" t="s">
        <v>596</v>
      </c>
      <c r="B4" s="41">
        <f ca="1">SUMIF('2.2 OMATULUD'!$A$5:B$771,$A4,'2.2 OMATULUD'!B$5:B$771)</f>
        <v>3944179</v>
      </c>
      <c r="C4" s="41">
        <f ca="1">SUMIF('2.2 OMATULUD'!$A$5:C$771,$A4,'2.2 OMATULUD'!C$5:C$771)</f>
        <v>207375</v>
      </c>
      <c r="D4" s="41"/>
      <c r="E4" s="41">
        <f ca="1">SUMIF('2.2 OMATULUD'!$A$5:D$771,$A4,'2.2 OMATULUD'!D$5:D$771)</f>
        <v>4151554</v>
      </c>
      <c r="G4" s="368"/>
    </row>
    <row r="5" spans="1:7" x14ac:dyDescent="0.2">
      <c r="A5" s="33" t="s">
        <v>690</v>
      </c>
      <c r="B5" s="41">
        <f ca="1">SUMIF('2.2 OMATULUD'!$A$5:B$771,$A5,'2.2 OMATULUD'!B$5:B$771)</f>
        <v>1151000</v>
      </c>
      <c r="C5" s="41">
        <f ca="1">SUMIF('2.2 OMATULUD'!$A$5:C$771,$A5,'2.2 OMATULUD'!C$5:C$771)</f>
        <v>-250</v>
      </c>
      <c r="D5" s="41"/>
      <c r="E5" s="41">
        <f ca="1">SUMIF('2.2 OMATULUD'!$A$5:D$771,$A5,'2.2 OMATULUD'!D$5:D$771)</f>
        <v>1150750</v>
      </c>
      <c r="G5" s="368"/>
    </row>
    <row r="6" spans="1:7" x14ac:dyDescent="0.2">
      <c r="A6" s="33" t="s">
        <v>654</v>
      </c>
      <c r="B6" s="41">
        <f ca="1">SUMIF('2.2 OMATULUD'!$A$5:B$771,$A6,'2.2 OMATULUD'!B$5:B$771)</f>
        <v>0</v>
      </c>
      <c r="C6" s="41">
        <f ca="1">SUMIF('2.2 OMATULUD'!$A$5:C$771,$A6,'2.2 OMATULUD'!C$5:C$771)</f>
        <v>0</v>
      </c>
      <c r="D6" s="41"/>
      <c r="E6" s="41">
        <f ca="1">SUMIF('2.2 OMATULUD'!$A$5:D$771,$A6,'2.2 OMATULUD'!D$5:D$771)</f>
        <v>0</v>
      </c>
      <c r="G6" s="368"/>
    </row>
    <row r="7" spans="1:7" x14ac:dyDescent="0.2">
      <c r="A7" s="33" t="s">
        <v>656</v>
      </c>
      <c r="B7" s="41">
        <f ca="1">SUMIF('2.2 OMATULUD'!$A$5:B$771,$A7,'2.2 OMATULUD'!B$5:B$771)</f>
        <v>2140868</v>
      </c>
      <c r="C7" s="41">
        <f ca="1">SUMIF('2.2 OMATULUD'!$A$5:C$771,$A7,'2.2 OMATULUD'!C$5:C$771)</f>
        <v>4284</v>
      </c>
      <c r="D7" s="41"/>
      <c r="E7" s="41">
        <f ca="1">SUMIF('2.2 OMATULUD'!$A$5:D$771,$A7,'2.2 OMATULUD'!D$5:D$771)</f>
        <v>2145152</v>
      </c>
      <c r="G7" s="368"/>
    </row>
    <row r="8" spans="1:7" x14ac:dyDescent="0.2">
      <c r="A8" s="33" t="s">
        <v>598</v>
      </c>
      <c r="B8" s="41">
        <f ca="1">SUMIF('2.2 OMATULUD'!$A$5:B$771,$A8,'2.2 OMATULUD'!B$5:B$771)</f>
        <v>3272032</v>
      </c>
      <c r="C8" s="41">
        <f ca="1">SUMIF('2.2 OMATULUD'!$A$5:C$771,$A8,'2.2 OMATULUD'!C$5:C$771)</f>
        <v>114214</v>
      </c>
      <c r="D8" s="41"/>
      <c r="E8" s="41">
        <f ca="1">SUMIF('2.2 OMATULUD'!$A$5:D$771,$A8,'2.2 OMATULUD'!D$5:D$771)</f>
        <v>3386246</v>
      </c>
      <c r="G8" s="368"/>
    </row>
    <row r="9" spans="1:7" x14ac:dyDescent="0.2">
      <c r="A9" s="33" t="s">
        <v>669</v>
      </c>
      <c r="B9" s="41">
        <f ca="1">SUMIF('2.2 OMATULUD'!$A$5:B$771,$A9,'2.2 OMATULUD'!B$5:B$771)</f>
        <v>186669</v>
      </c>
      <c r="C9" s="41">
        <f ca="1">SUMIF('2.2 OMATULUD'!$A$5:C$771,$A9,'2.2 OMATULUD'!C$5:C$771)</f>
        <v>0</v>
      </c>
      <c r="D9" s="41"/>
      <c r="E9" s="41">
        <f ca="1">SUMIF('2.2 OMATULUD'!$A$5:D$771,$A9,'2.2 OMATULUD'!D$5:D$771)</f>
        <v>186669</v>
      </c>
      <c r="G9" s="368"/>
    </row>
    <row r="10" spans="1:7" x14ac:dyDescent="0.2">
      <c r="A10" s="33" t="s">
        <v>589</v>
      </c>
      <c r="B10" s="41">
        <f ca="1">SUMIF('2.2 OMATULUD'!$A$5:B$771,$A10,'2.2 OMATULUD'!B$5:B$771)</f>
        <v>161968</v>
      </c>
      <c r="C10" s="41">
        <f ca="1">SUMIF('2.2 OMATULUD'!$A$5:C$771,$A10,'2.2 OMATULUD'!C$5:C$771)</f>
        <v>0</v>
      </c>
      <c r="D10" s="41"/>
      <c r="E10" s="41">
        <f ca="1">SUMIF('2.2 OMATULUD'!$A$5:D$771,$A10,'2.2 OMATULUD'!D$5:D$771)</f>
        <v>161968</v>
      </c>
      <c r="G10" s="368"/>
    </row>
    <row r="11" spans="1:7" x14ac:dyDescent="0.2">
      <c r="A11" s="34" t="s">
        <v>678</v>
      </c>
      <c r="B11" s="41">
        <f ca="1">SUMIF('2.2 OMATULUD'!$A$5:B$771,$A11,'2.2 OMATULUD'!B$5:B$771)</f>
        <v>6545600</v>
      </c>
      <c r="C11" s="41">
        <f ca="1">SUMIF('2.2 OMATULUD'!$A$5:C$771,$A11,'2.2 OMATULUD'!C$5:C$771)</f>
        <v>0</v>
      </c>
      <c r="D11" s="41"/>
      <c r="E11" s="41">
        <f ca="1">SUMIF('2.2 OMATULUD'!$A$5:D$771,$A11,'2.2 OMATULUD'!D$5:D$771)</f>
        <v>6545600</v>
      </c>
      <c r="G11" s="368"/>
    </row>
    <row r="12" spans="1:7" x14ac:dyDescent="0.2">
      <c r="A12" s="32" t="s">
        <v>631</v>
      </c>
      <c r="B12" s="383">
        <f ca="1">SUMIF('2.2 OMATULUD'!$A$5:B$771,$A12,'2.2 OMATULUD'!B$5:B$771)</f>
        <v>167000</v>
      </c>
      <c r="C12" s="383">
        <f ca="1">SUMIF('2.2 OMATULUD'!$A$5:C$771,$A12,'2.2 OMATULUD'!C$5:C$771)</f>
        <v>0</v>
      </c>
      <c r="D12" s="383"/>
      <c r="E12" s="383">
        <f ca="1">SUMIF('2.2 OMATULUD'!$A$5:D$771,$A12,'2.2 OMATULUD'!D$5:D$771)</f>
        <v>167000</v>
      </c>
      <c r="G12" s="368"/>
    </row>
    <row r="13" spans="1:7" x14ac:dyDescent="0.2">
      <c r="A13" s="32" t="s">
        <v>585</v>
      </c>
      <c r="B13" s="383">
        <f ca="1">SUMIF('2.2 OMATULUD'!$A$5:B$771,$A13,'2.2 OMATULUD'!B$5:B$771)</f>
        <v>2387563</v>
      </c>
      <c r="C13" s="383">
        <f ca="1">SUMIF('2.2 OMATULUD'!$A$5:C$771,$A13,'2.2 OMATULUD'!C$5:C$771)</f>
        <v>271395</v>
      </c>
      <c r="D13" s="383"/>
      <c r="E13" s="383">
        <f ca="1">SUMIF('2.2 OMATULUD'!$A$5:D$771,$A13,'2.2 OMATULUD'!D$5:D$771)</f>
        <v>2658958</v>
      </c>
      <c r="G13" s="368"/>
    </row>
    <row r="14" spans="1:7" x14ac:dyDescent="0.2">
      <c r="A14" s="32" t="s">
        <v>638</v>
      </c>
      <c r="B14" s="383">
        <f ca="1">SUMIF('2.2 OMATULUD'!$A$5:B$771,$A14,'2.2 OMATULUD'!B$5:B$771)</f>
        <v>1834507</v>
      </c>
      <c r="C14" s="383">
        <f ca="1">SUMIF('2.2 OMATULUD'!$A$5:C$771,$A14,'2.2 OMATULUD'!C$5:C$771)</f>
        <v>17690</v>
      </c>
      <c r="D14" s="383"/>
      <c r="E14" s="383">
        <f ca="1">SUMIF('2.2 OMATULUD'!$A$5:D$771,$A14,'2.2 OMATULUD'!D$5:D$771)</f>
        <v>1852197</v>
      </c>
      <c r="G14" s="368"/>
    </row>
    <row r="15" spans="1:7" x14ac:dyDescent="0.2">
      <c r="A15" s="32" t="s">
        <v>581</v>
      </c>
      <c r="B15" s="383">
        <f ca="1">SUMIF('2.2 OMATULUD'!$A$5:B$771,$A15,'2.2 OMATULUD'!B$5:B$771)</f>
        <v>6309558</v>
      </c>
      <c r="C15" s="383">
        <f ca="1">SUMIF('2.2 OMATULUD'!$A$5:C$771,$A15,'2.2 OMATULUD'!C$5:C$771)</f>
        <v>194905</v>
      </c>
      <c r="D15" s="383"/>
      <c r="E15" s="383">
        <f ca="1">SUMIF('2.2 OMATULUD'!$A$5:D$771,$A15,'2.2 OMATULUD'!D$5:D$771)</f>
        <v>6504463</v>
      </c>
      <c r="G15" s="368"/>
    </row>
    <row r="16" spans="1:7" x14ac:dyDescent="0.2">
      <c r="A16" s="35" t="s">
        <v>292</v>
      </c>
      <c r="B16" s="383">
        <f ca="1">SUMIF('2.2 OMATULUD'!$A$5:B$771,$A16,'2.2 OMATULUD'!B$5:B$771)</f>
        <v>0</v>
      </c>
      <c r="C16" s="383">
        <f ca="1">SUMIF('2.2 OMATULUD'!$A$5:C$771,$A16,'2.2 OMATULUD'!C$5:C$771)</f>
        <v>0</v>
      </c>
      <c r="D16" s="383"/>
      <c r="E16" s="383">
        <f ca="1">SUMIF('2.2 OMATULUD'!$A$5:D$771,$A16,'2.2 OMATULUD'!D$5:D$771)</f>
        <v>0</v>
      </c>
      <c r="G16" s="368"/>
    </row>
    <row r="17" spans="1:12" x14ac:dyDescent="0.2">
      <c r="A17" s="23"/>
      <c r="B17" s="41"/>
      <c r="C17" s="41"/>
      <c r="D17" s="41"/>
      <c r="E17" s="41"/>
      <c r="G17" s="368"/>
    </row>
    <row r="18" spans="1:12" x14ac:dyDescent="0.2">
      <c r="A18" s="7" t="s">
        <v>293</v>
      </c>
      <c r="B18" s="44">
        <f ca="1">B12+B13+B14+B15+B1</f>
        <v>52128595</v>
      </c>
      <c r="C18" s="44">
        <f t="shared" ref="C18:E18" ca="1" si="1">C12+C13+C14+C15+C1</f>
        <v>1624296</v>
      </c>
      <c r="D18" s="44"/>
      <c r="E18" s="44">
        <f t="shared" ca="1" si="1"/>
        <v>53752891</v>
      </c>
      <c r="G18" s="368"/>
    </row>
    <row r="19" spans="1:12" x14ac:dyDescent="0.2">
      <c r="B19" s="368">
        <f ca="1">B18-'2.2 OMATULUD'!B771</f>
        <v>0</v>
      </c>
      <c r="C19" s="368">
        <f ca="1">C18-'2.2 OMATULUD'!C771</f>
        <v>0</v>
      </c>
      <c r="D19" s="368"/>
      <c r="E19" s="368">
        <f ca="1">E18-'2.2 OMATULUD'!D771</f>
        <v>0</v>
      </c>
    </row>
    <row r="20" spans="1:12" x14ac:dyDescent="0.2">
      <c r="C20" s="368"/>
      <c r="D20" s="368"/>
      <c r="E20" s="370"/>
    </row>
    <row r="21" spans="1:12" x14ac:dyDescent="0.2">
      <c r="C21" s="370"/>
      <c r="E21" s="370"/>
    </row>
    <row r="22" spans="1:12" x14ac:dyDescent="0.2">
      <c r="C22" s="370"/>
      <c r="E22" s="370"/>
    </row>
    <row r="23" spans="1:12" x14ac:dyDescent="0.2">
      <c r="A23" t="s">
        <v>862</v>
      </c>
      <c r="C23" s="370"/>
      <c r="E23" s="370"/>
    </row>
    <row r="24" spans="1:12" x14ac:dyDescent="0.2">
      <c r="A24" s="474" t="s">
        <v>394</v>
      </c>
      <c r="B24" s="475">
        <f ca="1">SUMIF('3 KULUD'!$A$6:B$1494,$A$24,'3 KULUD'!B$6:B$1494)-'3 KULUD'!B147-'3 KULUD'!B153-'3 KULUD'!B160-'3 KULUD'!B172-'3 KULUD'!B166-'3 KULUD'!B239-'3 KULUD'!B245-'3 KULUD'!B251-'3 KULUD'!B257-'3 KULUD'!B263-'3 KULUD'!B273-'3 KULUD'!B279-'3 KULUD'!B355-'3 KULUD'!B380-'3 KULUD'!B431-'3 KULUD'!B459-'3 KULUD'!B468-'3 KULUD'!B73-'3 KULUD'!B683-'3 KULUD'!B700-'3 KULUD'!B724-'3 KULUD'!B1466</f>
        <v>81605633</v>
      </c>
      <c r="C24" s="538">
        <f ca="1">SUMIF('3 KULUD'!$A$6:C$1494,$A$24,'3 KULUD'!C$6:C$1494)-'3 KULUD'!C147-'3 KULUD'!C153-'3 KULUD'!C160-'3 KULUD'!C172-'3 KULUD'!C166-'3 KULUD'!C239-'3 KULUD'!C245-'3 KULUD'!C251-'3 KULUD'!C257-'3 KULUD'!C263-'3 KULUD'!C273-'3 KULUD'!C279-'3 KULUD'!C355-'3 KULUD'!C380-'3 KULUD'!C431-'3 KULUD'!C459-'3 KULUD'!C468-'3 KULUD'!C73-'3 KULUD'!C683-'3 KULUD'!C700-'3 KULUD'!C724-'3 KULUD'!C1466</f>
        <v>1694229</v>
      </c>
      <c r="D24" s="475"/>
      <c r="E24" s="475"/>
      <c r="F24" s="475"/>
      <c r="H24" s="475"/>
      <c r="I24" s="475"/>
      <c r="J24" s="538"/>
      <c r="K24" s="538"/>
      <c r="L24" s="538"/>
    </row>
    <row r="25" spans="1:12" x14ac:dyDescent="0.2">
      <c r="E25" s="368"/>
    </row>
    <row r="26" spans="1:12" x14ac:dyDescent="0.2">
      <c r="C26" s="539">
        <f ca="1">C24+J24+K24+L24</f>
        <v>1694229</v>
      </c>
    </row>
    <row r="27" spans="1:12" x14ac:dyDescent="0.2">
      <c r="C27" s="368"/>
    </row>
    <row r="28" spans="1:12" x14ac:dyDescent="0.2">
      <c r="C28" s="368"/>
    </row>
  </sheetData>
  <phoneticPr fontId="2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F771"/>
  <sheetViews>
    <sheetView showZeros="0" zoomScaleNormal="100" workbookViewId="0">
      <pane ySplit="3" topLeftCell="A4" activePane="bottomLeft" state="frozen"/>
      <selection pane="bottomLeft"/>
    </sheetView>
  </sheetViews>
  <sheetFormatPr defaultColWidth="9.140625" defaultRowHeight="12.75" x14ac:dyDescent="0.2"/>
  <cols>
    <col min="1" max="1" width="53.140625" style="3" customWidth="1"/>
    <col min="2" max="2" width="10.140625" style="39" bestFit="1" customWidth="1"/>
    <col min="3" max="3" width="9.28515625" style="39" bestFit="1" customWidth="1"/>
    <col min="4" max="4" width="10.140625" style="39" bestFit="1" customWidth="1"/>
    <col min="5" max="5" width="12.85546875" style="2" hidden="1" customWidth="1"/>
    <col min="6" max="6" width="50.42578125" style="531" hidden="1" customWidth="1"/>
    <col min="7" max="21" width="9.140625" style="2" customWidth="1"/>
    <col min="22" max="16384" width="9.140625" style="2"/>
  </cols>
  <sheetData>
    <row r="1" spans="1:6" ht="15" x14ac:dyDescent="0.25">
      <c r="A1" s="1" t="s">
        <v>578</v>
      </c>
      <c r="B1" s="38"/>
      <c r="C1" s="38"/>
      <c r="D1" s="38"/>
    </row>
    <row r="2" spans="1:6" x14ac:dyDescent="0.2">
      <c r="B2" s="37"/>
      <c r="C2" s="37"/>
      <c r="D2" s="37" t="s">
        <v>294</v>
      </c>
      <c r="E2" s="37" t="s">
        <v>294</v>
      </c>
      <c r="F2" s="37" t="s">
        <v>294</v>
      </c>
    </row>
    <row r="3" spans="1:6" ht="38.25" x14ac:dyDescent="0.2">
      <c r="B3" s="485" t="s">
        <v>1065</v>
      </c>
      <c r="C3" s="485" t="s">
        <v>1048</v>
      </c>
      <c r="D3" s="485" t="s">
        <v>1064</v>
      </c>
      <c r="E3" s="485" t="s">
        <v>925</v>
      </c>
      <c r="F3" s="532" t="s">
        <v>900</v>
      </c>
    </row>
    <row r="5" spans="1:6" s="7" customFormat="1" x14ac:dyDescent="0.2">
      <c r="A5" s="5" t="s">
        <v>580</v>
      </c>
      <c r="B5" s="379">
        <f>B6</f>
        <v>19094</v>
      </c>
      <c r="C5" s="379">
        <f>C6</f>
        <v>9321</v>
      </c>
      <c r="D5" s="379">
        <f>B5+C5</f>
        <v>28415</v>
      </c>
      <c r="F5" s="533"/>
    </row>
    <row r="6" spans="1:6" s="10" customFormat="1" x14ac:dyDescent="0.2">
      <c r="A6" s="18" t="s">
        <v>581</v>
      </c>
      <c r="B6" s="380">
        <f>B7+B8</f>
        <v>19094</v>
      </c>
      <c r="C6" s="380">
        <f>C7+C8</f>
        <v>9321</v>
      </c>
      <c r="D6" s="380">
        <f t="shared" ref="D6:D69" si="0">B6+C6</f>
        <v>28415</v>
      </c>
      <c r="F6" s="531"/>
    </row>
    <row r="7" spans="1:6" s="7" customFormat="1" x14ac:dyDescent="0.2">
      <c r="A7" s="11" t="s">
        <v>582</v>
      </c>
      <c r="B7" s="116">
        <v>11555</v>
      </c>
      <c r="C7" s="116">
        <v>9321</v>
      </c>
      <c r="D7" s="116">
        <f t="shared" si="0"/>
        <v>20876</v>
      </c>
      <c r="F7" s="531" t="s">
        <v>961</v>
      </c>
    </row>
    <row r="8" spans="1:6" x14ac:dyDescent="0.2">
      <c r="A8" s="11" t="s">
        <v>583</v>
      </c>
      <c r="B8" s="116">
        <v>7539</v>
      </c>
      <c r="C8" s="116"/>
      <c r="D8" s="116">
        <f t="shared" si="0"/>
        <v>7539</v>
      </c>
    </row>
    <row r="9" spans="1:6" s="7" customFormat="1" x14ac:dyDescent="0.2">
      <c r="A9" s="11"/>
      <c r="B9" s="381"/>
      <c r="C9" s="381"/>
      <c r="D9" s="381">
        <f t="shared" si="0"/>
        <v>0</v>
      </c>
      <c r="F9" s="533"/>
    </row>
    <row r="10" spans="1:6" x14ac:dyDescent="0.2">
      <c r="A10" s="5" t="s">
        <v>584</v>
      </c>
      <c r="B10" s="6">
        <f>B11+B14</f>
        <v>531564</v>
      </c>
      <c r="C10" s="6"/>
      <c r="D10" s="6">
        <f t="shared" si="0"/>
        <v>531564</v>
      </c>
    </row>
    <row r="11" spans="1:6" s="7" customFormat="1" x14ac:dyDescent="0.2">
      <c r="A11" s="18" t="s">
        <v>585</v>
      </c>
      <c r="B11" s="9">
        <f>B12+B13</f>
        <v>132933</v>
      </c>
      <c r="C11" s="9"/>
      <c r="D11" s="9">
        <f t="shared" si="0"/>
        <v>132933</v>
      </c>
      <c r="F11" s="533"/>
    </row>
    <row r="12" spans="1:6" x14ac:dyDescent="0.2">
      <c r="A12" s="13" t="s">
        <v>586</v>
      </c>
      <c r="B12" s="14">
        <v>16933</v>
      </c>
      <c r="C12" s="14"/>
      <c r="D12" s="14">
        <f t="shared" si="0"/>
        <v>16933</v>
      </c>
    </row>
    <row r="13" spans="1:6" s="7" customFormat="1" x14ac:dyDescent="0.2">
      <c r="A13" s="13" t="s">
        <v>587</v>
      </c>
      <c r="B13" s="14">
        <v>116000</v>
      </c>
      <c r="C13" s="14"/>
      <c r="D13" s="14">
        <f t="shared" si="0"/>
        <v>116000</v>
      </c>
      <c r="F13" s="533"/>
    </row>
    <row r="14" spans="1:6" x14ac:dyDescent="0.2">
      <c r="A14" s="18" t="s">
        <v>581</v>
      </c>
      <c r="B14" s="9">
        <f>B15+B16</f>
        <v>398631</v>
      </c>
      <c r="C14" s="9"/>
      <c r="D14" s="9">
        <f t="shared" si="0"/>
        <v>398631</v>
      </c>
    </row>
    <row r="15" spans="1:6" x14ac:dyDescent="0.2">
      <c r="A15" s="11" t="s">
        <v>582</v>
      </c>
      <c r="B15" s="12">
        <v>335131</v>
      </c>
      <c r="C15" s="12"/>
      <c r="D15" s="12">
        <f t="shared" si="0"/>
        <v>335131</v>
      </c>
    </row>
    <row r="16" spans="1:6" s="10" customFormat="1" x14ac:dyDescent="0.2">
      <c r="A16" s="11" t="s">
        <v>583</v>
      </c>
      <c r="B16" s="12">
        <v>63500</v>
      </c>
      <c r="C16" s="12"/>
      <c r="D16" s="12">
        <f t="shared" si="0"/>
        <v>63500</v>
      </c>
      <c r="F16" s="531"/>
    </row>
    <row r="17" spans="1:6" x14ac:dyDescent="0.2">
      <c r="A17" s="11"/>
      <c r="B17" s="12"/>
      <c r="C17" s="12"/>
      <c r="D17" s="12">
        <f t="shared" si="0"/>
        <v>0</v>
      </c>
    </row>
    <row r="18" spans="1:6" s="7" customFormat="1" x14ac:dyDescent="0.2">
      <c r="A18" s="5" t="s">
        <v>588</v>
      </c>
      <c r="B18" s="6">
        <f>B19+B21</f>
        <v>25500</v>
      </c>
      <c r="C18" s="6">
        <f>C19+C21</f>
        <v>2700</v>
      </c>
      <c r="D18" s="6">
        <f t="shared" si="0"/>
        <v>28200</v>
      </c>
      <c r="F18" s="533"/>
    </row>
    <row r="19" spans="1:6" x14ac:dyDescent="0.2">
      <c r="A19" s="18" t="s">
        <v>589</v>
      </c>
      <c r="B19" s="9">
        <f>B20</f>
        <v>7480</v>
      </c>
      <c r="C19" s="9"/>
      <c r="D19" s="9">
        <f t="shared" si="0"/>
        <v>7480</v>
      </c>
    </row>
    <row r="20" spans="1:6" x14ac:dyDescent="0.2">
      <c r="A20" s="11" t="s">
        <v>590</v>
      </c>
      <c r="B20" s="12">
        <v>7480</v>
      </c>
      <c r="C20" s="12"/>
      <c r="D20" s="12">
        <f t="shared" si="0"/>
        <v>7480</v>
      </c>
    </row>
    <row r="21" spans="1:6" x14ac:dyDescent="0.2">
      <c r="A21" s="18" t="s">
        <v>581</v>
      </c>
      <c r="B21" s="9">
        <f>B22+B23</f>
        <v>18020</v>
      </c>
      <c r="C21" s="9">
        <f t="shared" ref="C21" si="1">C22+C23</f>
        <v>2700</v>
      </c>
      <c r="D21" s="9">
        <f t="shared" si="0"/>
        <v>20720</v>
      </c>
    </row>
    <row r="22" spans="1:6" x14ac:dyDescent="0.2">
      <c r="A22" s="11" t="s">
        <v>582</v>
      </c>
      <c r="B22" s="12">
        <v>13805</v>
      </c>
      <c r="C22" s="12">
        <v>800</v>
      </c>
      <c r="D22" s="12">
        <f t="shared" si="0"/>
        <v>14605</v>
      </c>
      <c r="F22" s="531" t="s">
        <v>962</v>
      </c>
    </row>
    <row r="23" spans="1:6" x14ac:dyDescent="0.2">
      <c r="A23" s="11" t="s">
        <v>583</v>
      </c>
      <c r="B23" s="12">
        <v>4215</v>
      </c>
      <c r="C23" s="12">
        <v>1900</v>
      </c>
      <c r="D23" s="12">
        <f t="shared" si="0"/>
        <v>6115</v>
      </c>
      <c r="F23" s="531" t="s">
        <v>976</v>
      </c>
    </row>
    <row r="24" spans="1:6" x14ac:dyDescent="0.2">
      <c r="A24" s="18"/>
      <c r="B24" s="9"/>
      <c r="C24" s="9"/>
      <c r="D24" s="9">
        <f t="shared" si="0"/>
        <v>0</v>
      </c>
    </row>
    <row r="25" spans="1:6" x14ac:dyDescent="0.2">
      <c r="A25" s="5" t="s">
        <v>591</v>
      </c>
      <c r="B25" s="6">
        <f>B26+B28</f>
        <v>168334</v>
      </c>
      <c r="C25" s="6"/>
      <c r="D25" s="6">
        <f t="shared" si="0"/>
        <v>168334</v>
      </c>
    </row>
    <row r="26" spans="1:6" x14ac:dyDescent="0.2">
      <c r="A26" s="18" t="s">
        <v>589</v>
      </c>
      <c r="B26" s="9">
        <f>B27</f>
        <v>148088</v>
      </c>
      <c r="C26" s="9"/>
      <c r="D26" s="9">
        <f t="shared" si="0"/>
        <v>148088</v>
      </c>
    </row>
    <row r="27" spans="1:6" x14ac:dyDescent="0.2">
      <c r="A27" s="11" t="s">
        <v>590</v>
      </c>
      <c r="B27" s="12">
        <v>148088</v>
      </c>
      <c r="C27" s="12"/>
      <c r="D27" s="12">
        <f t="shared" si="0"/>
        <v>148088</v>
      </c>
    </row>
    <row r="28" spans="1:6" x14ac:dyDescent="0.2">
      <c r="A28" s="18" t="s">
        <v>581</v>
      </c>
      <c r="B28" s="9">
        <f>B29+B30</f>
        <v>20246</v>
      </c>
      <c r="C28" s="9"/>
      <c r="D28" s="9">
        <f t="shared" si="0"/>
        <v>20246</v>
      </c>
    </row>
    <row r="29" spans="1:6" x14ac:dyDescent="0.2">
      <c r="A29" s="11" t="s">
        <v>582</v>
      </c>
      <c r="B29" s="12">
        <v>17951</v>
      </c>
      <c r="C29" s="12"/>
      <c r="D29" s="12">
        <f t="shared" si="0"/>
        <v>17951</v>
      </c>
    </row>
    <row r="30" spans="1:6" x14ac:dyDescent="0.2">
      <c r="A30" s="11" t="s">
        <v>583</v>
      </c>
      <c r="B30" s="12">
        <v>2295</v>
      </c>
      <c r="C30" s="12"/>
      <c r="D30" s="12">
        <f t="shared" si="0"/>
        <v>2295</v>
      </c>
    </row>
    <row r="31" spans="1:6" x14ac:dyDescent="0.2">
      <c r="A31" s="11"/>
      <c r="B31" s="12"/>
      <c r="C31" s="12"/>
      <c r="D31" s="12">
        <f t="shared" si="0"/>
        <v>0</v>
      </c>
    </row>
    <row r="32" spans="1:6" s="7" customFormat="1" x14ac:dyDescent="0.2">
      <c r="A32" s="5" t="s">
        <v>592</v>
      </c>
      <c r="B32" s="6">
        <f>B34+B57+B71+B79+B87+B95+B101+B114+B124+B134+B143+B47</f>
        <v>21892111</v>
      </c>
      <c r="C32" s="6">
        <f>C34+C57+C71+C79+C87+C95+C101+C114+C124+C134+C143+C47</f>
        <v>926496</v>
      </c>
      <c r="D32" s="6">
        <f t="shared" si="0"/>
        <v>22818607</v>
      </c>
      <c r="F32" s="533"/>
    </row>
    <row r="33" spans="1:5" x14ac:dyDescent="0.2">
      <c r="A33" s="15"/>
      <c r="B33" s="16"/>
      <c r="C33" s="16"/>
      <c r="D33" s="16">
        <f t="shared" si="0"/>
        <v>0</v>
      </c>
    </row>
    <row r="34" spans="1:5" x14ac:dyDescent="0.2">
      <c r="A34" s="18" t="s">
        <v>593</v>
      </c>
      <c r="B34" s="9">
        <f>B35+B37+B41+B44+B39</f>
        <v>4003678</v>
      </c>
      <c r="C34" s="9">
        <f>C35+C37+C41+C44+C39</f>
        <v>0</v>
      </c>
      <c r="D34" s="9">
        <f t="shared" si="0"/>
        <v>4003678</v>
      </c>
    </row>
    <row r="35" spans="1:5" x14ac:dyDescent="0.2">
      <c r="A35" s="18" t="s">
        <v>594</v>
      </c>
      <c r="B35" s="9">
        <f>B36</f>
        <v>3706620</v>
      </c>
      <c r="C35" s="9">
        <f>C36</f>
        <v>0</v>
      </c>
      <c r="D35" s="9">
        <f t="shared" si="0"/>
        <v>3706620</v>
      </c>
    </row>
    <row r="36" spans="1:5" ht="25.5" x14ac:dyDescent="0.2">
      <c r="A36" s="13" t="s">
        <v>595</v>
      </c>
      <c r="B36" s="14">
        <v>3706620</v>
      </c>
      <c r="C36" s="14"/>
      <c r="D36" s="14">
        <f t="shared" si="0"/>
        <v>3706620</v>
      </c>
    </row>
    <row r="37" spans="1:5" x14ac:dyDescent="0.2">
      <c r="A37" s="18" t="s">
        <v>596</v>
      </c>
      <c r="B37" s="9">
        <f>B38</f>
        <v>79240</v>
      </c>
      <c r="C37" s="9">
        <f>C38</f>
        <v>0</v>
      </c>
      <c r="D37" s="9">
        <f t="shared" si="0"/>
        <v>79240</v>
      </c>
    </row>
    <row r="38" spans="1:5" ht="25.5" x14ac:dyDescent="0.2">
      <c r="A38" s="13" t="s">
        <v>597</v>
      </c>
      <c r="B38" s="14">
        <v>79240</v>
      </c>
      <c r="C38" s="14"/>
      <c r="D38" s="14">
        <f t="shared" si="0"/>
        <v>79240</v>
      </c>
    </row>
    <row r="39" spans="1:5" x14ac:dyDescent="0.2">
      <c r="A39" s="18" t="s">
        <v>598</v>
      </c>
      <c r="B39" s="9">
        <f>B40</f>
        <v>94890</v>
      </c>
      <c r="C39" s="9">
        <f>C40</f>
        <v>0</v>
      </c>
      <c r="D39" s="9">
        <f t="shared" si="0"/>
        <v>94890</v>
      </c>
    </row>
    <row r="40" spans="1:5" ht="25.5" x14ac:dyDescent="0.2">
      <c r="A40" s="13" t="s">
        <v>597</v>
      </c>
      <c r="B40" s="14">
        <v>94890</v>
      </c>
      <c r="C40" s="14"/>
      <c r="D40" s="14">
        <f t="shared" si="0"/>
        <v>94890</v>
      </c>
    </row>
    <row r="41" spans="1:5" x14ac:dyDescent="0.2">
      <c r="A41" s="18" t="s">
        <v>581</v>
      </c>
      <c r="B41" s="9">
        <f>B42+B43</f>
        <v>122528</v>
      </c>
      <c r="C41" s="9">
        <f>C42+C43</f>
        <v>0</v>
      </c>
      <c r="D41" s="9">
        <f t="shared" si="0"/>
        <v>122528</v>
      </c>
    </row>
    <row r="42" spans="1:5" x14ac:dyDescent="0.2">
      <c r="A42" s="11" t="s">
        <v>582</v>
      </c>
      <c r="B42" s="12">
        <v>63168</v>
      </c>
      <c r="C42" s="12"/>
      <c r="D42" s="12">
        <f t="shared" si="0"/>
        <v>63168</v>
      </c>
    </row>
    <row r="43" spans="1:5" x14ac:dyDescent="0.2">
      <c r="A43" s="11" t="s">
        <v>583</v>
      </c>
      <c r="B43" s="12">
        <v>59360</v>
      </c>
      <c r="C43" s="12"/>
      <c r="D43" s="12">
        <f t="shared" si="0"/>
        <v>59360</v>
      </c>
    </row>
    <row r="44" spans="1:5" x14ac:dyDescent="0.2">
      <c r="A44" s="18" t="s">
        <v>585</v>
      </c>
      <c r="B44" s="9">
        <f>B45</f>
        <v>400</v>
      </c>
      <c r="C44" s="9">
        <f>C45</f>
        <v>0</v>
      </c>
      <c r="D44" s="9">
        <f t="shared" si="0"/>
        <v>400</v>
      </c>
    </row>
    <row r="45" spans="1:5" x14ac:dyDescent="0.2">
      <c r="A45" s="19" t="s">
        <v>587</v>
      </c>
      <c r="B45" s="17">
        <v>400</v>
      </c>
      <c r="C45" s="17"/>
      <c r="D45" s="17">
        <f t="shared" si="0"/>
        <v>400</v>
      </c>
    </row>
    <row r="46" spans="1:5" x14ac:dyDescent="0.2">
      <c r="A46" s="11"/>
      <c r="B46" s="12"/>
      <c r="C46" s="12"/>
      <c r="D46" s="12">
        <f t="shared" si="0"/>
        <v>0</v>
      </c>
    </row>
    <row r="47" spans="1:5" x14ac:dyDescent="0.2">
      <c r="A47" s="18" t="s">
        <v>601</v>
      </c>
      <c r="B47" s="9">
        <f>B48+B53</f>
        <v>13376876</v>
      </c>
      <c r="C47" s="9">
        <f>C48+C53</f>
        <v>648127</v>
      </c>
      <c r="D47" s="9">
        <f t="shared" si="0"/>
        <v>14025003</v>
      </c>
      <c r="E47" s="29"/>
    </row>
    <row r="48" spans="1:5" x14ac:dyDescent="0.2">
      <c r="A48" s="18" t="s">
        <v>594</v>
      </c>
      <c r="B48" s="9">
        <f>SUM(B49:B52)</f>
        <v>13305852</v>
      </c>
      <c r="C48" s="9">
        <f>SUM(C49:C52)</f>
        <v>634295</v>
      </c>
      <c r="D48" s="9">
        <f t="shared" si="0"/>
        <v>13940147</v>
      </c>
    </row>
    <row r="49" spans="1:6" x14ac:dyDescent="0.2">
      <c r="A49" s="13" t="s">
        <v>602</v>
      </c>
      <c r="B49" s="14">
        <v>5183276</v>
      </c>
      <c r="C49" s="14">
        <v>-20185</v>
      </c>
      <c r="D49" s="14">
        <f t="shared" si="0"/>
        <v>5163091</v>
      </c>
      <c r="F49" s="534" t="s">
        <v>926</v>
      </c>
    </row>
    <row r="50" spans="1:6" x14ac:dyDescent="0.2">
      <c r="A50" s="13" t="s">
        <v>603</v>
      </c>
      <c r="B50" s="14">
        <v>7659303</v>
      </c>
      <c r="C50" s="14">
        <f>531599+142153-319-23685</f>
        <v>649748</v>
      </c>
      <c r="D50" s="14">
        <f t="shared" si="0"/>
        <v>8309051</v>
      </c>
      <c r="F50" s="534" t="s">
        <v>927</v>
      </c>
    </row>
    <row r="51" spans="1:6" x14ac:dyDescent="0.2">
      <c r="A51" s="11" t="s">
        <v>604</v>
      </c>
      <c r="B51" s="12">
        <v>106009</v>
      </c>
      <c r="C51" s="12">
        <v>13549</v>
      </c>
      <c r="D51" s="12">
        <f t="shared" si="0"/>
        <v>119558</v>
      </c>
      <c r="F51" s="534" t="s">
        <v>928</v>
      </c>
    </row>
    <row r="52" spans="1:6" x14ac:dyDescent="0.2">
      <c r="A52" s="11" t="s">
        <v>590</v>
      </c>
      <c r="B52" s="12">
        <v>357264</v>
      </c>
      <c r="C52" s="12">
        <v>-8817</v>
      </c>
      <c r="D52" s="12">
        <f t="shared" si="0"/>
        <v>348447</v>
      </c>
      <c r="F52" s="534" t="s">
        <v>1000</v>
      </c>
    </row>
    <row r="53" spans="1:6" x14ac:dyDescent="0.2">
      <c r="A53" s="18" t="s">
        <v>581</v>
      </c>
      <c r="B53" s="9">
        <f>B54+B55</f>
        <v>71024</v>
      </c>
      <c r="C53" s="9">
        <f>C54+C55</f>
        <v>13832</v>
      </c>
      <c r="D53" s="9">
        <f t="shared" si="0"/>
        <v>84856</v>
      </c>
    </row>
    <row r="54" spans="1:6" x14ac:dyDescent="0.2">
      <c r="A54" s="11" t="s">
        <v>582</v>
      </c>
      <c r="B54" s="12">
        <v>36662</v>
      </c>
      <c r="C54" s="12">
        <v>319</v>
      </c>
      <c r="D54" s="12">
        <f t="shared" si="0"/>
        <v>36981</v>
      </c>
      <c r="F54" s="534" t="s">
        <v>929</v>
      </c>
    </row>
    <row r="55" spans="1:6" x14ac:dyDescent="0.2">
      <c r="A55" s="11" t="s">
        <v>583</v>
      </c>
      <c r="B55" s="12">
        <v>34362</v>
      </c>
      <c r="C55" s="12">
        <v>13513</v>
      </c>
      <c r="D55" s="12">
        <f t="shared" si="0"/>
        <v>47875</v>
      </c>
      <c r="F55" s="534" t="s">
        <v>930</v>
      </c>
    </row>
    <row r="56" spans="1:6" x14ac:dyDescent="0.2">
      <c r="A56" s="11"/>
      <c r="B56" s="12"/>
      <c r="C56" s="12"/>
      <c r="D56" s="12">
        <f t="shared" si="0"/>
        <v>0</v>
      </c>
    </row>
    <row r="57" spans="1:6" x14ac:dyDescent="0.2">
      <c r="A57" s="20" t="s">
        <v>605</v>
      </c>
      <c r="B57" s="21">
        <f>B58+B66</f>
        <v>2408467</v>
      </c>
      <c r="C57" s="21">
        <f>C58+C66</f>
        <v>110461</v>
      </c>
      <c r="D57" s="21">
        <f t="shared" si="0"/>
        <v>2518928</v>
      </c>
      <c r="E57" s="29"/>
    </row>
    <row r="58" spans="1:6" x14ac:dyDescent="0.2">
      <c r="A58" s="18" t="s">
        <v>594</v>
      </c>
      <c r="B58" s="9">
        <f>SUM(B59:B65)</f>
        <v>2048094</v>
      </c>
      <c r="C58" s="9">
        <f>SUM(C59:C65)</f>
        <v>100778</v>
      </c>
      <c r="D58" s="9">
        <f t="shared" si="0"/>
        <v>2148872</v>
      </c>
    </row>
    <row r="59" spans="1:6" x14ac:dyDescent="0.2">
      <c r="A59" s="13" t="s">
        <v>602</v>
      </c>
      <c r="B59" s="14">
        <v>78028</v>
      </c>
      <c r="C59" s="14">
        <v>-3500</v>
      </c>
      <c r="D59" s="14">
        <f t="shared" si="0"/>
        <v>74528</v>
      </c>
      <c r="F59" s="534" t="s">
        <v>931</v>
      </c>
    </row>
    <row r="60" spans="1:6" x14ac:dyDescent="0.2">
      <c r="A60" s="13" t="s">
        <v>603</v>
      </c>
      <c r="B60" s="14">
        <v>120856</v>
      </c>
      <c r="C60" s="14">
        <f>7394+781</f>
        <v>8175</v>
      </c>
      <c r="D60" s="14">
        <f t="shared" si="0"/>
        <v>129031</v>
      </c>
      <c r="F60" s="534" t="s">
        <v>927</v>
      </c>
    </row>
    <row r="61" spans="1:6" x14ac:dyDescent="0.2">
      <c r="A61" s="13" t="s">
        <v>606</v>
      </c>
      <c r="B61" s="14">
        <v>12843</v>
      </c>
      <c r="C61" s="14"/>
      <c r="D61" s="14">
        <f t="shared" si="0"/>
        <v>12843</v>
      </c>
    </row>
    <row r="62" spans="1:6" x14ac:dyDescent="0.2">
      <c r="A62" s="11" t="s">
        <v>617</v>
      </c>
      <c r="B62" s="12">
        <v>660989</v>
      </c>
      <c r="C62" s="12">
        <v>25640</v>
      </c>
      <c r="D62" s="12">
        <f t="shared" si="0"/>
        <v>686629</v>
      </c>
      <c r="F62" s="534" t="s">
        <v>1001</v>
      </c>
    </row>
    <row r="63" spans="1:6" x14ac:dyDescent="0.2">
      <c r="A63" s="11" t="s">
        <v>604</v>
      </c>
      <c r="B63" s="12">
        <v>1124030</v>
      </c>
      <c r="C63" s="12">
        <v>69897</v>
      </c>
      <c r="D63" s="12">
        <f t="shared" si="0"/>
        <v>1193927</v>
      </c>
      <c r="F63" s="534" t="s">
        <v>932</v>
      </c>
    </row>
    <row r="64" spans="1:6" x14ac:dyDescent="0.2">
      <c r="A64" s="13" t="s">
        <v>607</v>
      </c>
      <c r="B64" s="14">
        <v>28200</v>
      </c>
      <c r="C64" s="14">
        <v>566</v>
      </c>
      <c r="D64" s="14">
        <f t="shared" si="0"/>
        <v>28766</v>
      </c>
      <c r="F64" s="534" t="s">
        <v>933</v>
      </c>
    </row>
    <row r="65" spans="1:6" x14ac:dyDescent="0.2">
      <c r="A65" s="11" t="s">
        <v>590</v>
      </c>
      <c r="B65" s="12">
        <v>23148</v>
      </c>
      <c r="C65" s="12"/>
      <c r="D65" s="12">
        <f t="shared" si="0"/>
        <v>23148</v>
      </c>
    </row>
    <row r="66" spans="1:6" x14ac:dyDescent="0.2">
      <c r="A66" s="18" t="s">
        <v>581</v>
      </c>
      <c r="B66" s="9">
        <f>B67+B68+B69</f>
        <v>360373</v>
      </c>
      <c r="C66" s="9">
        <f>C67+C68+C69</f>
        <v>9683</v>
      </c>
      <c r="D66" s="9">
        <f t="shared" si="0"/>
        <v>370056</v>
      </c>
    </row>
    <row r="67" spans="1:6" x14ac:dyDescent="0.2">
      <c r="A67" s="11" t="s">
        <v>582</v>
      </c>
      <c r="B67" s="12">
        <v>11050</v>
      </c>
      <c r="C67" s="12">
        <v>4862</v>
      </c>
      <c r="D67" s="12">
        <f t="shared" si="0"/>
        <v>15912</v>
      </c>
      <c r="F67" s="534" t="s">
        <v>1002</v>
      </c>
    </row>
    <row r="68" spans="1:6" x14ac:dyDescent="0.2">
      <c r="A68" s="11" t="s">
        <v>583</v>
      </c>
      <c r="B68" s="12">
        <v>347803</v>
      </c>
      <c r="C68" s="12">
        <v>6341</v>
      </c>
      <c r="D68" s="12">
        <f t="shared" si="0"/>
        <v>354144</v>
      </c>
      <c r="F68" s="534" t="s">
        <v>930</v>
      </c>
    </row>
    <row r="69" spans="1:6" x14ac:dyDescent="0.2">
      <c r="A69" s="11" t="s">
        <v>599</v>
      </c>
      <c r="B69" s="12">
        <v>1520</v>
      </c>
      <c r="C69" s="12">
        <v>-1520</v>
      </c>
      <c r="D69" s="12">
        <f t="shared" si="0"/>
        <v>0</v>
      </c>
      <c r="F69" s="535" t="s">
        <v>934</v>
      </c>
    </row>
    <row r="70" spans="1:6" x14ac:dyDescent="0.2">
      <c r="A70" s="11"/>
      <c r="B70" s="12"/>
      <c r="C70" s="12"/>
      <c r="D70" s="12">
        <f t="shared" ref="D70:D133" si="2">B70+C70</f>
        <v>0</v>
      </c>
    </row>
    <row r="71" spans="1:6" x14ac:dyDescent="0.2">
      <c r="A71" s="20" t="s">
        <v>608</v>
      </c>
      <c r="B71" s="21">
        <f>B72+B74</f>
        <v>47044</v>
      </c>
      <c r="C71" s="21">
        <f>C72+C74</f>
        <v>14759</v>
      </c>
      <c r="D71" s="21">
        <f t="shared" si="2"/>
        <v>61803</v>
      </c>
    </row>
    <row r="72" spans="1:6" x14ac:dyDescent="0.2">
      <c r="A72" s="18" t="s">
        <v>594</v>
      </c>
      <c r="B72" s="9">
        <f>B73</f>
        <v>5986</v>
      </c>
      <c r="C72" s="9">
        <f>C73</f>
        <v>0</v>
      </c>
      <c r="D72" s="9">
        <f t="shared" si="2"/>
        <v>5986</v>
      </c>
    </row>
    <row r="73" spans="1:6" x14ac:dyDescent="0.2">
      <c r="A73" s="11" t="s">
        <v>604</v>
      </c>
      <c r="B73" s="12">
        <v>5986</v>
      </c>
      <c r="C73" s="12"/>
      <c r="D73" s="12">
        <f t="shared" si="2"/>
        <v>5986</v>
      </c>
    </row>
    <row r="74" spans="1:6" x14ac:dyDescent="0.2">
      <c r="A74" s="18" t="s">
        <v>581</v>
      </c>
      <c r="B74" s="9">
        <f>B75+B76+B77</f>
        <v>41058</v>
      </c>
      <c r="C74" s="9">
        <f>C75+C76+C77</f>
        <v>14759</v>
      </c>
      <c r="D74" s="9">
        <f t="shared" si="2"/>
        <v>55817</v>
      </c>
    </row>
    <row r="75" spans="1:6" x14ac:dyDescent="0.2">
      <c r="A75" s="11" t="s">
        <v>582</v>
      </c>
      <c r="B75" s="12">
        <v>16397</v>
      </c>
      <c r="C75" s="12">
        <v>11317</v>
      </c>
      <c r="D75" s="12">
        <f t="shared" si="2"/>
        <v>27714</v>
      </c>
      <c r="F75" s="534" t="s">
        <v>935</v>
      </c>
    </row>
    <row r="76" spans="1:6" x14ac:dyDescent="0.2">
      <c r="A76" s="11" t="s">
        <v>583</v>
      </c>
      <c r="B76" s="12">
        <v>22981</v>
      </c>
      <c r="C76" s="12">
        <v>5122</v>
      </c>
      <c r="D76" s="12">
        <f t="shared" si="2"/>
        <v>28103</v>
      </c>
      <c r="F76" s="534" t="s">
        <v>930</v>
      </c>
    </row>
    <row r="77" spans="1:6" x14ac:dyDescent="0.2">
      <c r="A77" s="11" t="s">
        <v>599</v>
      </c>
      <c r="B77" s="12">
        <v>1680</v>
      </c>
      <c r="C77" s="12">
        <v>-1680</v>
      </c>
      <c r="D77" s="12">
        <f t="shared" si="2"/>
        <v>0</v>
      </c>
      <c r="F77" s="535" t="s">
        <v>936</v>
      </c>
    </row>
    <row r="78" spans="1:6" x14ac:dyDescent="0.2">
      <c r="A78" s="13"/>
      <c r="B78" s="14">
        <v>0</v>
      </c>
      <c r="C78" s="14">
        <v>0</v>
      </c>
      <c r="D78" s="14">
        <f t="shared" si="2"/>
        <v>0</v>
      </c>
    </row>
    <row r="79" spans="1:6" x14ac:dyDescent="0.2">
      <c r="A79" s="18" t="s">
        <v>609</v>
      </c>
      <c r="B79" s="9">
        <f>B80+B84</f>
        <v>14250</v>
      </c>
      <c r="C79" s="9">
        <f>C80+C84</f>
        <v>0</v>
      </c>
      <c r="D79" s="9">
        <f t="shared" si="2"/>
        <v>14250</v>
      </c>
    </row>
    <row r="80" spans="1:6" x14ac:dyDescent="0.2">
      <c r="A80" s="18" t="s">
        <v>594</v>
      </c>
      <c r="B80" s="9">
        <f>B82+B83+B81</f>
        <v>10650</v>
      </c>
      <c r="C80" s="9">
        <f>C82+C83+C81</f>
        <v>0</v>
      </c>
      <c r="D80" s="9">
        <f t="shared" si="2"/>
        <v>10650</v>
      </c>
    </row>
    <row r="81" spans="1:6" x14ac:dyDescent="0.2">
      <c r="A81" s="13" t="s">
        <v>606</v>
      </c>
      <c r="B81" s="14">
        <v>2700</v>
      </c>
      <c r="C81" s="14"/>
      <c r="D81" s="14">
        <f t="shared" si="2"/>
        <v>2700</v>
      </c>
    </row>
    <row r="82" spans="1:6" x14ac:dyDescent="0.2">
      <c r="A82" s="11" t="s">
        <v>604</v>
      </c>
      <c r="B82" s="12">
        <v>6500</v>
      </c>
      <c r="C82" s="12"/>
      <c r="D82" s="12">
        <f t="shared" si="2"/>
        <v>6500</v>
      </c>
    </row>
    <row r="83" spans="1:6" x14ac:dyDescent="0.2">
      <c r="A83" s="11" t="s">
        <v>590</v>
      </c>
      <c r="B83" s="12">
        <v>1450</v>
      </c>
      <c r="C83" s="12"/>
      <c r="D83" s="12">
        <f t="shared" si="2"/>
        <v>1450</v>
      </c>
    </row>
    <row r="84" spans="1:6" x14ac:dyDescent="0.2">
      <c r="A84" s="18" t="s">
        <v>581</v>
      </c>
      <c r="B84" s="9">
        <f>B85</f>
        <v>3600</v>
      </c>
      <c r="C84" s="9">
        <f>C85</f>
        <v>0</v>
      </c>
      <c r="D84" s="9">
        <f t="shared" si="2"/>
        <v>3600</v>
      </c>
    </row>
    <row r="85" spans="1:6" x14ac:dyDescent="0.2">
      <c r="A85" s="11" t="s">
        <v>583</v>
      </c>
      <c r="B85" s="12">
        <v>3600</v>
      </c>
      <c r="C85" s="12"/>
      <c r="D85" s="12">
        <f t="shared" si="2"/>
        <v>3600</v>
      </c>
    </row>
    <row r="86" spans="1:6" x14ac:dyDescent="0.2">
      <c r="A86" s="11"/>
      <c r="B86" s="12"/>
      <c r="C86" s="12"/>
      <c r="D86" s="12">
        <f t="shared" si="2"/>
        <v>0</v>
      </c>
    </row>
    <row r="87" spans="1:6" x14ac:dyDescent="0.2">
      <c r="A87" s="20" t="s">
        <v>610</v>
      </c>
      <c r="B87" s="21">
        <f>B88+B92</f>
        <v>32000</v>
      </c>
      <c r="C87" s="21">
        <f>C88+C92</f>
        <v>30000</v>
      </c>
      <c r="D87" s="21">
        <f t="shared" si="2"/>
        <v>62000</v>
      </c>
    </row>
    <row r="88" spans="1:6" x14ac:dyDescent="0.2">
      <c r="A88" s="18" t="s">
        <v>594</v>
      </c>
      <c r="B88" s="9">
        <f>B90+B89+B91</f>
        <v>18000</v>
      </c>
      <c r="C88" s="9">
        <f>C90+C89+C91</f>
        <v>30000</v>
      </c>
      <c r="D88" s="9">
        <f t="shared" si="2"/>
        <v>48000</v>
      </c>
    </row>
    <row r="89" spans="1:6" x14ac:dyDescent="0.2">
      <c r="A89" s="13" t="s">
        <v>695</v>
      </c>
      <c r="B89" s="14">
        <v>7000</v>
      </c>
      <c r="C89" s="14"/>
      <c r="D89" s="14">
        <f t="shared" si="2"/>
        <v>7000</v>
      </c>
    </row>
    <row r="90" spans="1:6" x14ac:dyDescent="0.2">
      <c r="A90" s="13" t="s">
        <v>604</v>
      </c>
      <c r="B90" s="14">
        <v>10000</v>
      </c>
      <c r="C90" s="14">
        <v>30000</v>
      </c>
      <c r="D90" s="14">
        <f t="shared" si="2"/>
        <v>40000</v>
      </c>
      <c r="F90" s="535" t="s">
        <v>937</v>
      </c>
    </row>
    <row r="91" spans="1:6" x14ac:dyDescent="0.2">
      <c r="A91" s="13" t="s">
        <v>613</v>
      </c>
      <c r="B91" s="14">
        <v>1000</v>
      </c>
      <c r="C91" s="14"/>
      <c r="D91" s="14">
        <f t="shared" si="2"/>
        <v>1000</v>
      </c>
    </row>
    <row r="92" spans="1:6" x14ac:dyDescent="0.2">
      <c r="A92" s="18" t="s">
        <v>581</v>
      </c>
      <c r="B92" s="9">
        <f>B93</f>
        <v>14000</v>
      </c>
      <c r="C92" s="9">
        <f>C93</f>
        <v>0</v>
      </c>
      <c r="D92" s="9">
        <f t="shared" si="2"/>
        <v>14000</v>
      </c>
    </row>
    <row r="93" spans="1:6" x14ac:dyDescent="0.2">
      <c r="A93" s="11" t="s">
        <v>583</v>
      </c>
      <c r="B93" s="12">
        <v>14000</v>
      </c>
      <c r="C93" s="12"/>
      <c r="D93" s="12">
        <f t="shared" si="2"/>
        <v>14000</v>
      </c>
    </row>
    <row r="94" spans="1:6" x14ac:dyDescent="0.2">
      <c r="A94" s="11"/>
      <c r="B94" s="12">
        <v>0</v>
      </c>
      <c r="C94" s="12">
        <v>0</v>
      </c>
      <c r="D94" s="12">
        <f t="shared" si="2"/>
        <v>0</v>
      </c>
    </row>
    <row r="95" spans="1:6" x14ac:dyDescent="0.2">
      <c r="A95" s="18" t="s">
        <v>611</v>
      </c>
      <c r="B95" s="9">
        <f>B96+B98</f>
        <v>1180</v>
      </c>
      <c r="C95" s="9">
        <f>C96+C98</f>
        <v>0</v>
      </c>
      <c r="D95" s="9">
        <f t="shared" si="2"/>
        <v>1180</v>
      </c>
    </row>
    <row r="96" spans="1:6" x14ac:dyDescent="0.2">
      <c r="A96" s="18" t="s">
        <v>594</v>
      </c>
      <c r="B96" s="9">
        <f>B97</f>
        <v>834</v>
      </c>
      <c r="C96" s="9">
        <f>C97</f>
        <v>0</v>
      </c>
      <c r="D96" s="9">
        <f t="shared" si="2"/>
        <v>834</v>
      </c>
    </row>
    <row r="97" spans="1:6" x14ac:dyDescent="0.2">
      <c r="A97" s="11" t="s">
        <v>604</v>
      </c>
      <c r="B97" s="12">
        <v>834</v>
      </c>
      <c r="C97" s="12"/>
      <c r="D97" s="12">
        <f t="shared" si="2"/>
        <v>834</v>
      </c>
    </row>
    <row r="98" spans="1:6" x14ac:dyDescent="0.2">
      <c r="A98" s="18" t="s">
        <v>585</v>
      </c>
      <c r="B98" s="9">
        <f>B99</f>
        <v>346</v>
      </c>
      <c r="C98" s="9">
        <f>C99</f>
        <v>0</v>
      </c>
      <c r="D98" s="9">
        <f t="shared" si="2"/>
        <v>346</v>
      </c>
    </row>
    <row r="99" spans="1:6" x14ac:dyDescent="0.2">
      <c r="A99" s="19" t="s">
        <v>587</v>
      </c>
      <c r="B99" s="17">
        <v>346</v>
      </c>
      <c r="C99" s="17"/>
      <c r="D99" s="17">
        <f t="shared" si="2"/>
        <v>346</v>
      </c>
    </row>
    <row r="100" spans="1:6" x14ac:dyDescent="0.2">
      <c r="A100" s="11"/>
      <c r="B100" s="12">
        <v>0</v>
      </c>
      <c r="C100" s="12">
        <v>0</v>
      </c>
      <c r="D100" s="12">
        <f t="shared" si="2"/>
        <v>0</v>
      </c>
    </row>
    <row r="101" spans="1:6" x14ac:dyDescent="0.2">
      <c r="A101" s="18" t="s">
        <v>612</v>
      </c>
      <c r="B101" s="9">
        <f>B105+B110+B102+B108</f>
        <v>474373</v>
      </c>
      <c r="C101" s="9">
        <f>C105+C110+C102+C108</f>
        <v>4245</v>
      </c>
      <c r="D101" s="9">
        <f t="shared" si="2"/>
        <v>478618</v>
      </c>
      <c r="E101" s="29"/>
    </row>
    <row r="102" spans="1:6" x14ac:dyDescent="0.2">
      <c r="A102" s="18" t="s">
        <v>594</v>
      </c>
      <c r="B102" s="9">
        <f>B103+B104</f>
        <v>480</v>
      </c>
      <c r="C102" s="9">
        <f>C103+C104</f>
        <v>440</v>
      </c>
      <c r="D102" s="9">
        <f t="shared" si="2"/>
        <v>920</v>
      </c>
    </row>
    <row r="103" spans="1:6" x14ac:dyDescent="0.2">
      <c r="A103" s="13" t="s">
        <v>604</v>
      </c>
      <c r="B103" s="14">
        <v>350</v>
      </c>
      <c r="C103" s="14">
        <v>440</v>
      </c>
      <c r="D103" s="14">
        <f t="shared" si="2"/>
        <v>790</v>
      </c>
      <c r="F103" s="535" t="s">
        <v>938</v>
      </c>
    </row>
    <row r="104" spans="1:6" x14ac:dyDescent="0.2">
      <c r="A104" s="13" t="s">
        <v>613</v>
      </c>
      <c r="B104" s="14">
        <v>130</v>
      </c>
      <c r="C104" s="14"/>
      <c r="D104" s="14">
        <f t="shared" si="2"/>
        <v>130</v>
      </c>
    </row>
    <row r="105" spans="1:6" x14ac:dyDescent="0.2">
      <c r="A105" s="18" t="s">
        <v>596</v>
      </c>
      <c r="B105" s="9">
        <f>B106+B107</f>
        <v>457617</v>
      </c>
      <c r="C105" s="9">
        <f>C106+C107</f>
        <v>3805</v>
      </c>
      <c r="D105" s="9">
        <f t="shared" si="2"/>
        <v>461422</v>
      </c>
    </row>
    <row r="106" spans="1:6" x14ac:dyDescent="0.2">
      <c r="A106" s="13" t="s">
        <v>614</v>
      </c>
      <c r="B106" s="14">
        <v>454139</v>
      </c>
      <c r="C106" s="14">
        <v>3625</v>
      </c>
      <c r="D106" s="14">
        <f t="shared" si="2"/>
        <v>457764</v>
      </c>
      <c r="F106" s="535" t="s">
        <v>939</v>
      </c>
    </row>
    <row r="107" spans="1:6" x14ac:dyDescent="0.2">
      <c r="A107" s="11" t="s">
        <v>590</v>
      </c>
      <c r="B107" s="12">
        <v>3478</v>
      </c>
      <c r="C107" s="12">
        <v>180</v>
      </c>
      <c r="D107" s="12">
        <f t="shared" si="2"/>
        <v>3658</v>
      </c>
      <c r="F107" s="535" t="s">
        <v>940</v>
      </c>
    </row>
    <row r="108" spans="1:6" x14ac:dyDescent="0.2">
      <c r="A108" s="18" t="s">
        <v>598</v>
      </c>
      <c r="B108" s="9">
        <f>B109</f>
        <v>12688</v>
      </c>
      <c r="C108" s="9">
        <f>C109</f>
        <v>0</v>
      </c>
      <c r="D108" s="9">
        <f t="shared" si="2"/>
        <v>12688</v>
      </c>
    </row>
    <row r="109" spans="1:6" x14ac:dyDescent="0.2">
      <c r="A109" s="11" t="s">
        <v>615</v>
      </c>
      <c r="B109" s="12">
        <v>12688</v>
      </c>
      <c r="C109" s="12"/>
      <c r="D109" s="12">
        <f t="shared" si="2"/>
        <v>12688</v>
      </c>
    </row>
    <row r="110" spans="1:6" x14ac:dyDescent="0.2">
      <c r="A110" s="2" t="s">
        <v>581</v>
      </c>
      <c r="B110" s="40">
        <f>B111+B112</f>
        <v>3588</v>
      </c>
      <c r="C110" s="40">
        <f>C111+C112</f>
        <v>0</v>
      </c>
      <c r="D110" s="40">
        <f t="shared" si="2"/>
        <v>3588</v>
      </c>
    </row>
    <row r="111" spans="1:6" x14ac:dyDescent="0.2">
      <c r="A111" s="11" t="s">
        <v>582</v>
      </c>
      <c r="B111" s="12">
        <v>1188</v>
      </c>
      <c r="C111" s="12"/>
      <c r="D111" s="12">
        <f t="shared" si="2"/>
        <v>1188</v>
      </c>
    </row>
    <row r="112" spans="1:6" x14ac:dyDescent="0.2">
      <c r="A112" s="11" t="s">
        <v>583</v>
      </c>
      <c r="B112" s="12">
        <v>2400</v>
      </c>
      <c r="C112" s="12"/>
      <c r="D112" s="12">
        <f t="shared" si="2"/>
        <v>2400</v>
      </c>
    </row>
    <row r="113" spans="1:6" x14ac:dyDescent="0.2">
      <c r="A113" s="13"/>
      <c r="B113" s="14">
        <v>0</v>
      </c>
      <c r="C113" s="14">
        <v>0</v>
      </c>
      <c r="D113" s="14">
        <f t="shared" si="2"/>
        <v>0</v>
      </c>
    </row>
    <row r="114" spans="1:6" x14ac:dyDescent="0.2">
      <c r="A114" s="18" t="s">
        <v>616</v>
      </c>
      <c r="B114" s="9">
        <f>B115+B120</f>
        <v>493173</v>
      </c>
      <c r="C114" s="9">
        <f>C115+C120</f>
        <v>4084</v>
      </c>
      <c r="D114" s="9">
        <f t="shared" si="2"/>
        <v>497257</v>
      </c>
    </row>
    <row r="115" spans="1:6" x14ac:dyDescent="0.2">
      <c r="A115" s="18" t="s">
        <v>598</v>
      </c>
      <c r="B115" s="9">
        <f>B116+B118+B119+B117</f>
        <v>481553</v>
      </c>
      <c r="C115" s="9">
        <f>C116+C118+C119+C117</f>
        <v>4084</v>
      </c>
      <c r="D115" s="9">
        <f t="shared" si="2"/>
        <v>485637</v>
      </c>
    </row>
    <row r="116" spans="1:6" x14ac:dyDescent="0.2">
      <c r="A116" s="13" t="s">
        <v>617</v>
      </c>
      <c r="B116" s="14">
        <v>435047</v>
      </c>
      <c r="C116" s="14">
        <v>4084</v>
      </c>
      <c r="D116" s="14">
        <f t="shared" si="2"/>
        <v>439131</v>
      </c>
      <c r="F116" s="535" t="s">
        <v>941</v>
      </c>
    </row>
    <row r="117" spans="1:6" x14ac:dyDescent="0.2">
      <c r="A117" s="11" t="s">
        <v>618</v>
      </c>
      <c r="B117" s="12">
        <v>550</v>
      </c>
      <c r="C117" s="12"/>
      <c r="D117" s="12">
        <f t="shared" si="2"/>
        <v>550</v>
      </c>
    </row>
    <row r="118" spans="1:6" x14ac:dyDescent="0.2">
      <c r="A118" s="11" t="s">
        <v>619</v>
      </c>
      <c r="B118" s="12">
        <v>8956</v>
      </c>
      <c r="C118" s="12"/>
      <c r="D118" s="12">
        <f t="shared" si="2"/>
        <v>8956</v>
      </c>
    </row>
    <row r="119" spans="1:6" x14ac:dyDescent="0.2">
      <c r="A119" s="11" t="s">
        <v>615</v>
      </c>
      <c r="B119" s="12">
        <v>37000</v>
      </c>
      <c r="C119" s="12"/>
      <c r="D119" s="12">
        <f t="shared" si="2"/>
        <v>37000</v>
      </c>
    </row>
    <row r="120" spans="1:6" x14ac:dyDescent="0.2">
      <c r="A120" s="18" t="s">
        <v>581</v>
      </c>
      <c r="B120" s="9">
        <f>B121+B122</f>
        <v>11620</v>
      </c>
      <c r="C120" s="9">
        <f>C121+C122</f>
        <v>0</v>
      </c>
      <c r="D120" s="9">
        <f t="shared" si="2"/>
        <v>11620</v>
      </c>
    </row>
    <row r="121" spans="1:6" x14ac:dyDescent="0.2">
      <c r="A121" s="11" t="s">
        <v>582</v>
      </c>
      <c r="B121" s="12">
        <v>10250</v>
      </c>
      <c r="C121" s="12"/>
      <c r="D121" s="12">
        <f t="shared" si="2"/>
        <v>10250</v>
      </c>
    </row>
    <row r="122" spans="1:6" x14ac:dyDescent="0.2">
      <c r="A122" s="11" t="s">
        <v>583</v>
      </c>
      <c r="B122" s="12">
        <v>1370</v>
      </c>
      <c r="C122" s="12"/>
      <c r="D122" s="12">
        <f t="shared" si="2"/>
        <v>1370</v>
      </c>
    </row>
    <row r="123" spans="1:6" x14ac:dyDescent="0.2">
      <c r="A123" s="13"/>
      <c r="B123" s="14">
        <v>0</v>
      </c>
      <c r="C123" s="14">
        <v>0</v>
      </c>
      <c r="D123" s="14">
        <f t="shared" si="2"/>
        <v>0</v>
      </c>
    </row>
    <row r="124" spans="1:6" x14ac:dyDescent="0.2">
      <c r="A124" s="20" t="s">
        <v>620</v>
      </c>
      <c r="B124" s="21">
        <f>B125+B130</f>
        <v>536800</v>
      </c>
      <c r="C124" s="21">
        <f>C125+C130</f>
        <v>115400</v>
      </c>
      <c r="D124" s="21">
        <f t="shared" si="2"/>
        <v>652200</v>
      </c>
    </row>
    <row r="125" spans="1:6" x14ac:dyDescent="0.2">
      <c r="A125" s="18" t="s">
        <v>598</v>
      </c>
      <c r="B125" s="9">
        <f>SUM(B126:B129)</f>
        <v>463440</v>
      </c>
      <c r="C125" s="9">
        <f>SUM(C126:C129)</f>
        <v>115400</v>
      </c>
      <c r="D125" s="9">
        <f t="shared" si="2"/>
        <v>578840</v>
      </c>
    </row>
    <row r="126" spans="1:6" x14ac:dyDescent="0.2">
      <c r="A126" s="13" t="s">
        <v>617</v>
      </c>
      <c r="B126" s="14">
        <v>375000</v>
      </c>
      <c r="C126" s="14">
        <v>100900</v>
      </c>
      <c r="D126" s="14">
        <f t="shared" si="2"/>
        <v>475900</v>
      </c>
      <c r="F126" s="535" t="s">
        <v>942</v>
      </c>
    </row>
    <row r="127" spans="1:6" x14ac:dyDescent="0.2">
      <c r="A127" s="11" t="s">
        <v>618</v>
      </c>
      <c r="B127" s="12">
        <v>13040</v>
      </c>
      <c r="C127" s="12"/>
      <c r="D127" s="12">
        <f t="shared" si="2"/>
        <v>13040</v>
      </c>
    </row>
    <row r="128" spans="1:6" x14ac:dyDescent="0.2">
      <c r="A128" s="11" t="s">
        <v>619</v>
      </c>
      <c r="B128" s="12">
        <v>3900</v>
      </c>
      <c r="C128" s="12"/>
      <c r="D128" s="12">
        <f t="shared" si="2"/>
        <v>3900</v>
      </c>
    </row>
    <row r="129" spans="1:6" x14ac:dyDescent="0.2">
      <c r="A129" s="11" t="s">
        <v>615</v>
      </c>
      <c r="B129" s="12">
        <v>71500</v>
      </c>
      <c r="C129" s="12">
        <v>14500</v>
      </c>
      <c r="D129" s="12">
        <f t="shared" si="2"/>
        <v>86000</v>
      </c>
      <c r="F129" s="535" t="s">
        <v>943</v>
      </c>
    </row>
    <row r="130" spans="1:6" x14ac:dyDescent="0.2">
      <c r="A130" s="18" t="s">
        <v>581</v>
      </c>
      <c r="B130" s="9">
        <f>SUM(B131:B132)</f>
        <v>73360</v>
      </c>
      <c r="C130" s="9">
        <f>SUM(C131:C132)</f>
        <v>0</v>
      </c>
      <c r="D130" s="9">
        <f t="shared" si="2"/>
        <v>73360</v>
      </c>
    </row>
    <row r="131" spans="1:6" x14ac:dyDescent="0.2">
      <c r="A131" s="11" t="s">
        <v>582</v>
      </c>
      <c r="B131" s="12">
        <v>58360</v>
      </c>
      <c r="C131" s="12"/>
      <c r="D131" s="12">
        <f t="shared" si="2"/>
        <v>58360</v>
      </c>
    </row>
    <row r="132" spans="1:6" x14ac:dyDescent="0.2">
      <c r="A132" s="11" t="s">
        <v>583</v>
      </c>
      <c r="B132" s="12">
        <v>15000</v>
      </c>
      <c r="C132" s="12"/>
      <c r="D132" s="12">
        <f t="shared" si="2"/>
        <v>15000</v>
      </c>
    </row>
    <row r="133" spans="1:6" x14ac:dyDescent="0.2">
      <c r="A133" s="13"/>
      <c r="B133" s="14">
        <v>0</v>
      </c>
      <c r="C133" s="14">
        <v>0</v>
      </c>
      <c r="D133" s="14">
        <f t="shared" si="2"/>
        <v>0</v>
      </c>
    </row>
    <row r="134" spans="1:6" x14ac:dyDescent="0.2">
      <c r="A134" s="18" t="s">
        <v>621</v>
      </c>
      <c r="B134" s="9">
        <f>B135+B139</f>
        <v>246100</v>
      </c>
      <c r="C134" s="9">
        <f>C135+C139</f>
        <v>0</v>
      </c>
      <c r="D134" s="9">
        <f t="shared" ref="D134:D197" si="3">B134+C134</f>
        <v>246100</v>
      </c>
    </row>
    <row r="135" spans="1:6" x14ac:dyDescent="0.2">
      <c r="A135" s="22" t="s">
        <v>594</v>
      </c>
      <c r="B135" s="40">
        <f>B136+B137+B138</f>
        <v>160470</v>
      </c>
      <c r="C135" s="40">
        <f>C136+C137+C138</f>
        <v>0</v>
      </c>
      <c r="D135" s="40">
        <f t="shared" si="3"/>
        <v>160470</v>
      </c>
    </row>
    <row r="136" spans="1:6" x14ac:dyDescent="0.2">
      <c r="A136" s="11" t="s">
        <v>604</v>
      </c>
      <c r="B136" s="12">
        <v>80000</v>
      </c>
      <c r="C136" s="12"/>
      <c r="D136" s="12">
        <f t="shared" si="3"/>
        <v>80000</v>
      </c>
    </row>
    <row r="137" spans="1:6" x14ac:dyDescent="0.2">
      <c r="A137" s="11" t="s">
        <v>607</v>
      </c>
      <c r="B137" s="12">
        <v>1700</v>
      </c>
      <c r="C137" s="12"/>
      <c r="D137" s="12">
        <f t="shared" si="3"/>
        <v>1700</v>
      </c>
    </row>
    <row r="138" spans="1:6" x14ac:dyDescent="0.2">
      <c r="A138" s="11" t="s">
        <v>613</v>
      </c>
      <c r="B138" s="12">
        <v>78770</v>
      </c>
      <c r="C138" s="12"/>
      <c r="D138" s="12">
        <f t="shared" si="3"/>
        <v>78770</v>
      </c>
    </row>
    <row r="139" spans="1:6" x14ac:dyDescent="0.2">
      <c r="A139" s="18" t="s">
        <v>581</v>
      </c>
      <c r="B139" s="9">
        <f>B140+B141</f>
        <v>85630</v>
      </c>
      <c r="C139" s="9">
        <f>C140+C141</f>
        <v>0</v>
      </c>
      <c r="D139" s="9">
        <f t="shared" si="3"/>
        <v>85630</v>
      </c>
    </row>
    <row r="140" spans="1:6" x14ac:dyDescent="0.2">
      <c r="A140" s="11" t="s">
        <v>582</v>
      </c>
      <c r="B140" s="12">
        <v>67830</v>
      </c>
      <c r="C140" s="12"/>
      <c r="D140" s="12">
        <f t="shared" si="3"/>
        <v>67830</v>
      </c>
    </row>
    <row r="141" spans="1:6" x14ac:dyDescent="0.2">
      <c r="A141" s="11" t="s">
        <v>583</v>
      </c>
      <c r="B141" s="12">
        <v>17800</v>
      </c>
      <c r="C141" s="12"/>
      <c r="D141" s="12">
        <f t="shared" si="3"/>
        <v>17800</v>
      </c>
    </row>
    <row r="142" spans="1:6" x14ac:dyDescent="0.2">
      <c r="A142" s="11"/>
      <c r="B142" s="12">
        <v>0</v>
      </c>
      <c r="C142" s="12">
        <v>0</v>
      </c>
      <c r="D142" s="12">
        <f t="shared" si="3"/>
        <v>0</v>
      </c>
    </row>
    <row r="143" spans="1:6" x14ac:dyDescent="0.2">
      <c r="A143" s="18" t="s">
        <v>622</v>
      </c>
      <c r="B143" s="9">
        <f>B144+B149</f>
        <v>258170</v>
      </c>
      <c r="C143" s="9">
        <f>C144+C149</f>
        <v>-580</v>
      </c>
      <c r="D143" s="9">
        <f t="shared" si="3"/>
        <v>257590</v>
      </c>
    </row>
    <row r="144" spans="1:6" x14ac:dyDescent="0.2">
      <c r="A144" s="18" t="s">
        <v>594</v>
      </c>
      <c r="B144" s="9">
        <f>SUM(B145:B148)</f>
        <v>227730</v>
      </c>
      <c r="C144" s="9">
        <f>SUM(C145:C148)</f>
        <v>7220</v>
      </c>
      <c r="D144" s="9">
        <f t="shared" si="3"/>
        <v>234950</v>
      </c>
    </row>
    <row r="145" spans="1:6" x14ac:dyDescent="0.2">
      <c r="A145" s="13" t="s">
        <v>623</v>
      </c>
      <c r="B145" s="14">
        <v>215896</v>
      </c>
      <c r="C145" s="14">
        <v>6553</v>
      </c>
      <c r="D145" s="14">
        <f t="shared" si="3"/>
        <v>222449</v>
      </c>
      <c r="F145" s="535" t="s">
        <v>944</v>
      </c>
    </row>
    <row r="146" spans="1:6" x14ac:dyDescent="0.2">
      <c r="A146" s="11" t="s">
        <v>604</v>
      </c>
      <c r="B146" s="12">
        <v>6500</v>
      </c>
      <c r="C146" s="12">
        <v>667</v>
      </c>
      <c r="D146" s="12">
        <f t="shared" si="3"/>
        <v>7167</v>
      </c>
      <c r="F146" s="535" t="s">
        <v>945</v>
      </c>
    </row>
    <row r="147" spans="1:6" x14ac:dyDescent="0.2">
      <c r="A147" s="11" t="s">
        <v>624</v>
      </c>
      <c r="B147" s="12">
        <v>2358</v>
      </c>
      <c r="C147" s="12"/>
      <c r="D147" s="12">
        <f t="shared" si="3"/>
        <v>2358</v>
      </c>
    </row>
    <row r="148" spans="1:6" x14ac:dyDescent="0.2">
      <c r="A148" s="11" t="s">
        <v>625</v>
      </c>
      <c r="B148" s="12">
        <v>2976</v>
      </c>
      <c r="C148" s="12"/>
      <c r="D148" s="12">
        <f t="shared" si="3"/>
        <v>2976</v>
      </c>
    </row>
    <row r="149" spans="1:6" x14ac:dyDescent="0.2">
      <c r="A149" s="18" t="s">
        <v>581</v>
      </c>
      <c r="B149" s="9">
        <f>SUM(B150:B151)</f>
        <v>30440</v>
      </c>
      <c r="C149" s="9">
        <f>SUM(C150:C151)</f>
        <v>-7800</v>
      </c>
      <c r="D149" s="9">
        <f t="shared" si="3"/>
        <v>22640</v>
      </c>
    </row>
    <row r="150" spans="1:6" x14ac:dyDescent="0.2">
      <c r="A150" s="11" t="s">
        <v>582</v>
      </c>
      <c r="B150" s="12">
        <v>4440</v>
      </c>
      <c r="C150" s="12">
        <v>2200</v>
      </c>
      <c r="D150" s="12">
        <f t="shared" si="3"/>
        <v>6640</v>
      </c>
      <c r="F150" s="535" t="s">
        <v>946</v>
      </c>
    </row>
    <row r="151" spans="1:6" x14ac:dyDescent="0.2">
      <c r="A151" s="11" t="s">
        <v>583</v>
      </c>
      <c r="B151" s="12">
        <v>26000</v>
      </c>
      <c r="C151" s="12">
        <v>-10000</v>
      </c>
      <c r="D151" s="12">
        <f t="shared" si="3"/>
        <v>16000</v>
      </c>
      <c r="F151" s="535" t="s">
        <v>947</v>
      </c>
    </row>
    <row r="152" spans="1:6" x14ac:dyDescent="0.2">
      <c r="A152" s="13"/>
      <c r="B152" s="14"/>
      <c r="C152" s="14"/>
      <c r="D152" s="14">
        <f t="shared" si="3"/>
        <v>0</v>
      </c>
    </row>
    <row r="153" spans="1:6" x14ac:dyDescent="0.2">
      <c r="A153" s="5" t="s">
        <v>626</v>
      </c>
      <c r="B153" s="6">
        <f>B155+B165+B173+B180+B187+B199+B213+B225+B238+B246</f>
        <v>3290750</v>
      </c>
      <c r="C153" s="6">
        <f>C155+C165+C173+C180+C187+C199+C213+C225+C238+C246</f>
        <v>413060</v>
      </c>
      <c r="D153" s="6">
        <f t="shared" si="3"/>
        <v>3703810</v>
      </c>
    </row>
    <row r="154" spans="1:6" x14ac:dyDescent="0.2">
      <c r="A154" s="15"/>
      <c r="B154" s="16"/>
      <c r="C154" s="16"/>
      <c r="D154" s="16">
        <f t="shared" si="3"/>
        <v>0</v>
      </c>
    </row>
    <row r="155" spans="1:6" x14ac:dyDescent="0.2">
      <c r="A155" s="18" t="s">
        <v>627</v>
      </c>
      <c r="B155" s="9">
        <f>B158+B161</f>
        <v>99000</v>
      </c>
      <c r="C155" s="9">
        <f>C158+C161+C156</f>
        <v>74100</v>
      </c>
      <c r="D155" s="9">
        <f t="shared" si="3"/>
        <v>173100</v>
      </c>
    </row>
    <row r="156" spans="1:6" x14ac:dyDescent="0.2">
      <c r="A156" s="18" t="s">
        <v>596</v>
      </c>
      <c r="B156" s="14"/>
      <c r="C156" s="503">
        <f>C157</f>
        <v>600</v>
      </c>
      <c r="D156" s="503">
        <f t="shared" si="3"/>
        <v>600</v>
      </c>
    </row>
    <row r="157" spans="1:6" x14ac:dyDescent="0.2">
      <c r="A157" s="11" t="s">
        <v>633</v>
      </c>
      <c r="B157" s="14"/>
      <c r="C157" s="14">
        <v>600</v>
      </c>
      <c r="D157" s="14">
        <f t="shared" si="3"/>
        <v>600</v>
      </c>
      <c r="F157" s="535" t="s">
        <v>948</v>
      </c>
    </row>
    <row r="158" spans="1:6" x14ac:dyDescent="0.2">
      <c r="A158" s="18" t="s">
        <v>581</v>
      </c>
      <c r="B158" s="9">
        <f>B159+B160</f>
        <v>86000</v>
      </c>
      <c r="C158" s="9">
        <f>C159+C160</f>
        <v>3500</v>
      </c>
      <c r="D158" s="9">
        <f t="shared" si="3"/>
        <v>89500</v>
      </c>
    </row>
    <row r="159" spans="1:6" x14ac:dyDescent="0.2">
      <c r="A159" s="11" t="s">
        <v>582</v>
      </c>
      <c r="B159" s="12">
        <v>85000</v>
      </c>
      <c r="C159" s="12"/>
      <c r="D159" s="12">
        <f t="shared" si="3"/>
        <v>85000</v>
      </c>
    </row>
    <row r="160" spans="1:6" x14ac:dyDescent="0.2">
      <c r="A160" s="11" t="s">
        <v>583</v>
      </c>
      <c r="B160" s="12">
        <v>1000</v>
      </c>
      <c r="C160" s="12">
        <v>3500</v>
      </c>
      <c r="D160" s="12">
        <f t="shared" si="3"/>
        <v>4500</v>
      </c>
      <c r="F160" s="535" t="s">
        <v>949</v>
      </c>
    </row>
    <row r="161" spans="1:6" x14ac:dyDescent="0.2">
      <c r="A161" s="18" t="s">
        <v>585</v>
      </c>
      <c r="B161" s="9">
        <f>+B162+B163</f>
        <v>13000</v>
      </c>
      <c r="C161" s="9">
        <f>+C162+C163</f>
        <v>70000</v>
      </c>
      <c r="D161" s="9">
        <f t="shared" si="3"/>
        <v>83000</v>
      </c>
    </row>
    <row r="162" spans="1:6" x14ac:dyDescent="0.2">
      <c r="A162" s="19" t="s">
        <v>628</v>
      </c>
      <c r="B162" s="17">
        <v>3000</v>
      </c>
      <c r="C162" s="17">
        <v>15000</v>
      </c>
      <c r="D162" s="17">
        <f t="shared" si="3"/>
        <v>18000</v>
      </c>
      <c r="F162" s="535" t="s">
        <v>950</v>
      </c>
    </row>
    <row r="163" spans="1:6" x14ac:dyDescent="0.2">
      <c r="A163" s="13" t="s">
        <v>640</v>
      </c>
      <c r="B163" s="14">
        <v>10000</v>
      </c>
      <c r="C163" s="14">
        <v>55000</v>
      </c>
      <c r="D163" s="14">
        <f t="shared" si="3"/>
        <v>65000</v>
      </c>
      <c r="F163" s="535" t="s">
        <v>951</v>
      </c>
    </row>
    <row r="164" spans="1:6" x14ac:dyDescent="0.2">
      <c r="A164" s="11"/>
      <c r="B164" s="12">
        <v>0</v>
      </c>
      <c r="C164" s="12"/>
      <c r="D164" s="12">
        <f t="shared" si="3"/>
        <v>0</v>
      </c>
    </row>
    <row r="165" spans="1:6" x14ac:dyDescent="0.2">
      <c r="A165" s="18" t="s">
        <v>629</v>
      </c>
      <c r="B165" s="9">
        <f>B166+B170</f>
        <v>131000</v>
      </c>
      <c r="C165" s="9">
        <f>C166+C170</f>
        <v>10700</v>
      </c>
      <c r="D165" s="9">
        <f t="shared" si="3"/>
        <v>141700</v>
      </c>
    </row>
    <row r="166" spans="1:6" x14ac:dyDescent="0.2">
      <c r="A166" s="18" t="s">
        <v>596</v>
      </c>
      <c r="B166" s="9">
        <f>SUM(B167:B169)</f>
        <v>106150</v>
      </c>
      <c r="C166" s="9">
        <f>SUM(C167:C169)</f>
        <v>7700</v>
      </c>
      <c r="D166" s="9">
        <f t="shared" si="3"/>
        <v>113850</v>
      </c>
    </row>
    <row r="167" spans="1:6" x14ac:dyDescent="0.2">
      <c r="A167" s="13" t="s">
        <v>590</v>
      </c>
      <c r="B167" s="14">
        <v>102906</v>
      </c>
      <c r="C167" s="14">
        <v>7094</v>
      </c>
      <c r="D167" s="14">
        <f t="shared" si="3"/>
        <v>110000</v>
      </c>
      <c r="F167" s="535" t="s">
        <v>952</v>
      </c>
    </row>
    <row r="168" spans="1:6" x14ac:dyDescent="0.2">
      <c r="A168" s="13" t="s">
        <v>630</v>
      </c>
      <c r="B168" s="14">
        <v>2594</v>
      </c>
      <c r="C168" s="14">
        <v>1006</v>
      </c>
      <c r="D168" s="14">
        <f t="shared" si="3"/>
        <v>3600</v>
      </c>
      <c r="F168" s="535" t="s">
        <v>953</v>
      </c>
    </row>
    <row r="169" spans="1:6" x14ac:dyDescent="0.2">
      <c r="A169" s="13" t="s">
        <v>607</v>
      </c>
      <c r="B169" s="14">
        <v>650</v>
      </c>
      <c r="C169" s="14">
        <v>-400</v>
      </c>
      <c r="D169" s="14">
        <f t="shared" si="3"/>
        <v>250</v>
      </c>
      <c r="F169" s="535" t="s">
        <v>954</v>
      </c>
    </row>
    <row r="170" spans="1:6" x14ac:dyDescent="0.2">
      <c r="A170" s="18" t="s">
        <v>581</v>
      </c>
      <c r="B170" s="9">
        <f>B171</f>
        <v>24850</v>
      </c>
      <c r="C170" s="9">
        <f>C171</f>
        <v>3000</v>
      </c>
      <c r="D170" s="9">
        <f t="shared" si="3"/>
        <v>27850</v>
      </c>
    </row>
    <row r="171" spans="1:6" x14ac:dyDescent="0.2">
      <c r="A171" s="11" t="s">
        <v>583</v>
      </c>
      <c r="B171" s="12">
        <v>24850</v>
      </c>
      <c r="C171" s="12">
        <v>3000</v>
      </c>
      <c r="D171" s="12">
        <f t="shared" si="3"/>
        <v>27850</v>
      </c>
      <c r="F171" s="534" t="s">
        <v>930</v>
      </c>
    </row>
    <row r="172" spans="1:6" x14ac:dyDescent="0.2">
      <c r="A172" s="13"/>
      <c r="B172" s="14">
        <v>0</v>
      </c>
      <c r="C172" s="14"/>
      <c r="D172" s="14">
        <f t="shared" si="3"/>
        <v>0</v>
      </c>
    </row>
    <row r="173" spans="1:6" x14ac:dyDescent="0.2">
      <c r="A173" s="374" t="s">
        <v>632</v>
      </c>
      <c r="B173" s="9">
        <f>B174</f>
        <v>19000</v>
      </c>
      <c r="C173" s="9"/>
      <c r="D173" s="9">
        <f t="shared" si="3"/>
        <v>19000</v>
      </c>
    </row>
    <row r="174" spans="1:6" x14ac:dyDescent="0.2">
      <c r="A174" s="18" t="s">
        <v>596</v>
      </c>
      <c r="B174" s="9">
        <f>SUM(B175:B178)</f>
        <v>19000</v>
      </c>
      <c r="C174" s="9"/>
      <c r="D174" s="9">
        <f t="shared" si="3"/>
        <v>19000</v>
      </c>
    </row>
    <row r="175" spans="1:6" x14ac:dyDescent="0.2">
      <c r="A175" s="11" t="s">
        <v>633</v>
      </c>
      <c r="B175" s="12">
        <v>18000</v>
      </c>
      <c r="C175" s="12"/>
      <c r="D175" s="12">
        <f t="shared" si="3"/>
        <v>18000</v>
      </c>
    </row>
    <row r="176" spans="1:6" x14ac:dyDescent="0.2">
      <c r="A176" s="11" t="s">
        <v>618</v>
      </c>
      <c r="B176" s="12">
        <v>100</v>
      </c>
      <c r="C176" s="12"/>
      <c r="D176" s="12">
        <f t="shared" si="3"/>
        <v>100</v>
      </c>
    </row>
    <row r="177" spans="1:6" x14ac:dyDescent="0.2">
      <c r="A177" s="13" t="s">
        <v>590</v>
      </c>
      <c r="B177" s="14">
        <v>800</v>
      </c>
      <c r="C177" s="14"/>
      <c r="D177" s="14">
        <f t="shared" si="3"/>
        <v>800</v>
      </c>
    </row>
    <row r="178" spans="1:6" x14ac:dyDescent="0.2">
      <c r="A178" s="13" t="s">
        <v>630</v>
      </c>
      <c r="B178" s="14">
        <v>100</v>
      </c>
      <c r="C178" s="14"/>
      <c r="D178" s="14">
        <f t="shared" si="3"/>
        <v>100</v>
      </c>
    </row>
    <row r="179" spans="1:6" x14ac:dyDescent="0.2">
      <c r="A179" s="13"/>
      <c r="B179" s="14">
        <v>0</v>
      </c>
      <c r="C179" s="14"/>
      <c r="D179" s="14">
        <f t="shared" si="3"/>
        <v>0</v>
      </c>
    </row>
    <row r="180" spans="1:6" x14ac:dyDescent="0.2">
      <c r="A180" s="18" t="s">
        <v>634</v>
      </c>
      <c r="B180" s="9">
        <f>B181</f>
        <v>15000</v>
      </c>
      <c r="C180" s="9">
        <f>C181</f>
        <v>-7000</v>
      </c>
      <c r="D180" s="9">
        <f t="shared" si="3"/>
        <v>8000</v>
      </c>
      <c r="F180" s="535" t="s">
        <v>955</v>
      </c>
    </row>
    <row r="181" spans="1:6" x14ac:dyDescent="0.2">
      <c r="A181" s="18" t="s">
        <v>596</v>
      </c>
      <c r="B181" s="9">
        <f>SUM(B182:B185)</f>
        <v>15000</v>
      </c>
      <c r="C181" s="9">
        <f>SUM(C182:C185)</f>
        <v>-7000</v>
      </c>
      <c r="D181" s="9">
        <f t="shared" si="3"/>
        <v>8000</v>
      </c>
    </row>
    <row r="182" spans="1:6" x14ac:dyDescent="0.2">
      <c r="A182" s="11" t="s">
        <v>633</v>
      </c>
      <c r="B182" s="12">
        <v>6000</v>
      </c>
      <c r="C182" s="12">
        <v>-3000</v>
      </c>
      <c r="D182" s="12">
        <f t="shared" si="3"/>
        <v>3000</v>
      </c>
    </row>
    <row r="183" spans="1:6" x14ac:dyDescent="0.2">
      <c r="A183" s="11" t="s">
        <v>618</v>
      </c>
      <c r="B183" s="12">
        <v>1500</v>
      </c>
      <c r="C183" s="12">
        <v>-1000</v>
      </c>
      <c r="D183" s="12">
        <f t="shared" si="3"/>
        <v>500</v>
      </c>
    </row>
    <row r="184" spans="1:6" x14ac:dyDescent="0.2">
      <c r="A184" s="13" t="s">
        <v>590</v>
      </c>
      <c r="B184" s="14">
        <v>1500</v>
      </c>
      <c r="C184" s="14">
        <v>-1000</v>
      </c>
      <c r="D184" s="14">
        <f t="shared" si="3"/>
        <v>500</v>
      </c>
    </row>
    <row r="185" spans="1:6" x14ac:dyDescent="0.2">
      <c r="A185" s="13" t="s">
        <v>630</v>
      </c>
      <c r="B185" s="14">
        <v>6000</v>
      </c>
      <c r="C185" s="14">
        <v>-2000</v>
      </c>
      <c r="D185" s="14">
        <f t="shared" si="3"/>
        <v>4000</v>
      </c>
    </row>
    <row r="186" spans="1:6" x14ac:dyDescent="0.2">
      <c r="A186" s="13"/>
      <c r="B186" s="14">
        <v>0</v>
      </c>
      <c r="C186" s="14"/>
      <c r="D186" s="14">
        <f t="shared" si="3"/>
        <v>0</v>
      </c>
    </row>
    <row r="187" spans="1:6" x14ac:dyDescent="0.2">
      <c r="A187" s="18" t="s">
        <v>635</v>
      </c>
      <c r="B187" s="9">
        <f>B188+B194+B196</f>
        <v>462150</v>
      </c>
      <c r="C187" s="9">
        <f>C188+C194+C196</f>
        <v>145260</v>
      </c>
      <c r="D187" s="9">
        <f t="shared" si="3"/>
        <v>607410</v>
      </c>
    </row>
    <row r="188" spans="1:6" x14ac:dyDescent="0.2">
      <c r="A188" s="18" t="s">
        <v>596</v>
      </c>
      <c r="B188" s="9">
        <f>SUM(B189:B193)</f>
        <v>450946</v>
      </c>
      <c r="C188" s="9">
        <f>SUM(C189:C193)</f>
        <v>0</v>
      </c>
      <c r="D188" s="9">
        <f t="shared" si="3"/>
        <v>450946</v>
      </c>
    </row>
    <row r="189" spans="1:6" x14ac:dyDescent="0.2">
      <c r="A189" s="11" t="s">
        <v>618</v>
      </c>
      <c r="B189" s="12">
        <f>280946+40000</f>
        <v>320946</v>
      </c>
      <c r="C189" s="12"/>
      <c r="D189" s="12">
        <f t="shared" si="3"/>
        <v>320946</v>
      </c>
    </row>
    <row r="190" spans="1:6" x14ac:dyDescent="0.2">
      <c r="A190" s="13" t="s">
        <v>590</v>
      </c>
      <c r="B190" s="14">
        <v>5000</v>
      </c>
      <c r="C190" s="14"/>
      <c r="D190" s="14">
        <f t="shared" si="3"/>
        <v>5000</v>
      </c>
    </row>
    <row r="191" spans="1:6" x14ac:dyDescent="0.2">
      <c r="A191" s="13" t="s">
        <v>630</v>
      </c>
      <c r="B191" s="14">
        <f>40000+5000</f>
        <v>45000</v>
      </c>
      <c r="C191" s="14"/>
      <c r="D191" s="14">
        <f t="shared" si="3"/>
        <v>45000</v>
      </c>
    </row>
    <row r="192" spans="1:6" x14ac:dyDescent="0.2">
      <c r="A192" s="13" t="s">
        <v>607</v>
      </c>
      <c r="B192" s="14">
        <v>1000</v>
      </c>
      <c r="C192" s="14"/>
      <c r="D192" s="14">
        <f t="shared" si="3"/>
        <v>1000</v>
      </c>
    </row>
    <row r="193" spans="1:6" x14ac:dyDescent="0.2">
      <c r="A193" s="13" t="s">
        <v>636</v>
      </c>
      <c r="B193" s="14">
        <f>73000+6000</f>
        <v>79000</v>
      </c>
      <c r="C193" s="14"/>
      <c r="D193" s="14">
        <f t="shared" si="3"/>
        <v>79000</v>
      </c>
    </row>
    <row r="194" spans="1:6" x14ac:dyDescent="0.2">
      <c r="A194" s="18" t="s">
        <v>581</v>
      </c>
      <c r="B194" s="9">
        <f>B195</f>
        <v>7004</v>
      </c>
      <c r="C194" s="9"/>
      <c r="D194" s="9">
        <f t="shared" si="3"/>
        <v>7004</v>
      </c>
    </row>
    <row r="195" spans="1:6" x14ac:dyDescent="0.2">
      <c r="A195" s="11" t="s">
        <v>582</v>
      </c>
      <c r="B195" s="12">
        <f>3004+4000</f>
        <v>7004</v>
      </c>
      <c r="C195" s="12"/>
      <c r="D195" s="12">
        <f t="shared" si="3"/>
        <v>7004</v>
      </c>
    </row>
    <row r="196" spans="1:6" x14ac:dyDescent="0.2">
      <c r="A196" s="2" t="s">
        <v>585</v>
      </c>
      <c r="B196" s="40">
        <f>B197</f>
        <v>4200</v>
      </c>
      <c r="C196" s="40">
        <f>C197</f>
        <v>145260</v>
      </c>
      <c r="D196" s="40">
        <f t="shared" si="3"/>
        <v>149460</v>
      </c>
    </row>
    <row r="197" spans="1:6" x14ac:dyDescent="0.2">
      <c r="A197" s="11" t="s">
        <v>628</v>
      </c>
      <c r="B197" s="12">
        <v>4200</v>
      </c>
      <c r="C197" s="12">
        <v>145260</v>
      </c>
      <c r="D197" s="12">
        <f t="shared" si="3"/>
        <v>149460</v>
      </c>
      <c r="F197" s="535" t="s">
        <v>956</v>
      </c>
    </row>
    <row r="198" spans="1:6" x14ac:dyDescent="0.2">
      <c r="A198" s="13"/>
      <c r="B198" s="14">
        <v>0</v>
      </c>
      <c r="C198" s="14"/>
      <c r="D198" s="14">
        <f t="shared" ref="D198:D259" si="4">B198+C198</f>
        <v>0</v>
      </c>
    </row>
    <row r="199" spans="1:6" x14ac:dyDescent="0.2">
      <c r="A199" s="18" t="s">
        <v>637</v>
      </c>
      <c r="B199" s="9">
        <f>B200+B204+B206+B208</f>
        <v>921600</v>
      </c>
      <c r="C199" s="9"/>
      <c r="D199" s="9">
        <f t="shared" si="4"/>
        <v>921600</v>
      </c>
    </row>
    <row r="200" spans="1:6" x14ac:dyDescent="0.2">
      <c r="A200" s="18" t="s">
        <v>596</v>
      </c>
      <c r="B200" s="9">
        <f>SUM(B201:B203)</f>
        <v>844100</v>
      </c>
      <c r="C200" s="9"/>
      <c r="D200" s="9">
        <f t="shared" si="4"/>
        <v>844100</v>
      </c>
    </row>
    <row r="201" spans="1:6" x14ac:dyDescent="0.2">
      <c r="A201" s="11" t="s">
        <v>618</v>
      </c>
      <c r="B201" s="12">
        <v>773500</v>
      </c>
      <c r="C201" s="12"/>
      <c r="D201" s="12">
        <f t="shared" si="4"/>
        <v>773500</v>
      </c>
    </row>
    <row r="202" spans="1:6" x14ac:dyDescent="0.2">
      <c r="A202" s="13" t="s">
        <v>590</v>
      </c>
      <c r="B202" s="14">
        <v>69400</v>
      </c>
      <c r="C202" s="14"/>
      <c r="D202" s="14">
        <f t="shared" si="4"/>
        <v>69400</v>
      </c>
    </row>
    <row r="203" spans="1:6" x14ac:dyDescent="0.2">
      <c r="A203" s="13" t="s">
        <v>636</v>
      </c>
      <c r="B203" s="14">
        <v>1200</v>
      </c>
      <c r="C203" s="14"/>
      <c r="D203" s="14">
        <f t="shared" si="4"/>
        <v>1200</v>
      </c>
    </row>
    <row r="204" spans="1:6" x14ac:dyDescent="0.2">
      <c r="A204" s="20" t="s">
        <v>638</v>
      </c>
      <c r="B204" s="21">
        <f>B205</f>
        <v>33000</v>
      </c>
      <c r="C204" s="21"/>
      <c r="D204" s="21">
        <f t="shared" si="4"/>
        <v>33000</v>
      </c>
    </row>
    <row r="205" spans="1:6" x14ac:dyDescent="0.2">
      <c r="A205" s="11" t="s">
        <v>639</v>
      </c>
      <c r="B205" s="12">
        <v>33000</v>
      </c>
      <c r="C205" s="12"/>
      <c r="D205" s="12">
        <f t="shared" si="4"/>
        <v>33000</v>
      </c>
    </row>
    <row r="206" spans="1:6" x14ac:dyDescent="0.2">
      <c r="A206" s="18" t="s">
        <v>581</v>
      </c>
      <c r="B206" s="9">
        <f>B207</f>
        <v>3300</v>
      </c>
      <c r="C206" s="9"/>
      <c r="D206" s="9">
        <f t="shared" si="4"/>
        <v>3300</v>
      </c>
    </row>
    <row r="207" spans="1:6" x14ac:dyDescent="0.2">
      <c r="A207" s="11" t="s">
        <v>583</v>
      </c>
      <c r="B207" s="12">
        <v>3300</v>
      </c>
      <c r="C207" s="12"/>
      <c r="D207" s="12">
        <f t="shared" si="4"/>
        <v>3300</v>
      </c>
    </row>
    <row r="208" spans="1:6" x14ac:dyDescent="0.2">
      <c r="A208" s="18" t="s">
        <v>585</v>
      </c>
      <c r="B208" s="9">
        <f>SUM(B209:B211)</f>
        <v>41200</v>
      </c>
      <c r="C208" s="9"/>
      <c r="D208" s="9">
        <f t="shared" si="4"/>
        <v>41200</v>
      </c>
    </row>
    <row r="209" spans="1:6" x14ac:dyDescent="0.2">
      <c r="A209" s="13" t="s">
        <v>640</v>
      </c>
      <c r="B209" s="14">
        <v>5200</v>
      </c>
      <c r="C209" s="14"/>
      <c r="D209" s="14">
        <f t="shared" si="4"/>
        <v>5200</v>
      </c>
    </row>
    <row r="210" spans="1:6" x14ac:dyDescent="0.2">
      <c r="A210" s="13" t="s">
        <v>641</v>
      </c>
      <c r="B210" s="14">
        <v>12500</v>
      </c>
      <c r="C210" s="14"/>
      <c r="D210" s="14">
        <f t="shared" si="4"/>
        <v>12500</v>
      </c>
    </row>
    <row r="211" spans="1:6" x14ac:dyDescent="0.2">
      <c r="A211" s="13" t="s">
        <v>587</v>
      </c>
      <c r="B211" s="14">
        <v>23500</v>
      </c>
      <c r="C211" s="14"/>
      <c r="D211" s="14">
        <f t="shared" si="4"/>
        <v>23500</v>
      </c>
    </row>
    <row r="212" spans="1:6" x14ac:dyDescent="0.2">
      <c r="A212" s="13"/>
      <c r="B212" s="14">
        <v>0</v>
      </c>
      <c r="C212" s="14"/>
      <c r="D212" s="14">
        <f t="shared" si="4"/>
        <v>0</v>
      </c>
    </row>
    <row r="213" spans="1:6" x14ac:dyDescent="0.2">
      <c r="A213" s="18" t="s">
        <v>642</v>
      </c>
      <c r="B213" s="9">
        <f>B214+B219+B222</f>
        <v>882000</v>
      </c>
      <c r="C213" s="9">
        <f>C214+C219+C222</f>
        <v>166000</v>
      </c>
      <c r="D213" s="9">
        <f t="shared" si="4"/>
        <v>1048000</v>
      </c>
    </row>
    <row r="214" spans="1:6" x14ac:dyDescent="0.2">
      <c r="A214" s="18" t="s">
        <v>596</v>
      </c>
      <c r="B214" s="9">
        <f>SUM(B215:B218)</f>
        <v>797150</v>
      </c>
      <c r="C214" s="9">
        <f>SUM(C215:C218)</f>
        <v>165170</v>
      </c>
      <c r="D214" s="9">
        <f t="shared" si="4"/>
        <v>962320</v>
      </c>
    </row>
    <row r="215" spans="1:6" x14ac:dyDescent="0.2">
      <c r="A215" s="11" t="s">
        <v>618</v>
      </c>
      <c r="B215" s="12">
        <f>724950+9500</f>
        <v>734450</v>
      </c>
      <c r="C215" s="12">
        <f>57170+108000</f>
        <v>165170</v>
      </c>
      <c r="D215" s="12">
        <f t="shared" si="4"/>
        <v>899620</v>
      </c>
      <c r="F215" s="535" t="s">
        <v>957</v>
      </c>
    </row>
    <row r="216" spans="1:6" x14ac:dyDescent="0.2">
      <c r="A216" s="13" t="s">
        <v>590</v>
      </c>
      <c r="B216" s="14">
        <v>40800</v>
      </c>
      <c r="C216" s="14"/>
      <c r="D216" s="14">
        <f t="shared" si="4"/>
        <v>40800</v>
      </c>
    </row>
    <row r="217" spans="1:6" x14ac:dyDescent="0.2">
      <c r="A217" s="13" t="s">
        <v>630</v>
      </c>
      <c r="B217" s="14">
        <v>21200</v>
      </c>
      <c r="C217" s="14"/>
      <c r="D217" s="14">
        <f t="shared" si="4"/>
        <v>21200</v>
      </c>
    </row>
    <row r="218" spans="1:6" x14ac:dyDescent="0.2">
      <c r="A218" s="13" t="s">
        <v>613</v>
      </c>
      <c r="B218" s="14">
        <v>700</v>
      </c>
      <c r="C218" s="14"/>
      <c r="D218" s="14">
        <f t="shared" si="4"/>
        <v>700</v>
      </c>
    </row>
    <row r="219" spans="1:6" x14ac:dyDescent="0.2">
      <c r="A219" s="18" t="s">
        <v>581</v>
      </c>
      <c r="B219" s="9">
        <f>B220+B221</f>
        <v>58750</v>
      </c>
      <c r="C219" s="9">
        <f>C220+C221</f>
        <v>830</v>
      </c>
      <c r="D219" s="9">
        <f t="shared" si="4"/>
        <v>59580</v>
      </c>
    </row>
    <row r="220" spans="1:6" x14ac:dyDescent="0.2">
      <c r="A220" s="11" t="s">
        <v>582</v>
      </c>
      <c r="B220" s="12">
        <f>32050+500</f>
        <v>32550</v>
      </c>
      <c r="C220" s="12">
        <v>830</v>
      </c>
      <c r="D220" s="12">
        <f t="shared" si="4"/>
        <v>33380</v>
      </c>
      <c r="F220" s="535" t="s">
        <v>958</v>
      </c>
    </row>
    <row r="221" spans="1:6" x14ac:dyDescent="0.2">
      <c r="A221" s="11" t="s">
        <v>583</v>
      </c>
      <c r="B221" s="12">
        <v>26200</v>
      </c>
      <c r="C221" s="12"/>
      <c r="D221" s="12">
        <f t="shared" si="4"/>
        <v>26200</v>
      </c>
    </row>
    <row r="222" spans="1:6" x14ac:dyDescent="0.2">
      <c r="A222" s="18" t="s">
        <v>585</v>
      </c>
      <c r="B222" s="9">
        <f>B223</f>
        <v>26100</v>
      </c>
      <c r="C222" s="9"/>
      <c r="D222" s="9">
        <f t="shared" si="4"/>
        <v>26100</v>
      </c>
    </row>
    <row r="223" spans="1:6" x14ac:dyDescent="0.2">
      <c r="A223" s="13" t="s">
        <v>640</v>
      </c>
      <c r="B223" s="14">
        <v>26100</v>
      </c>
      <c r="C223" s="14"/>
      <c r="D223" s="14">
        <f t="shared" si="4"/>
        <v>26100</v>
      </c>
      <c r="F223" s="535"/>
    </row>
    <row r="224" spans="1:6" x14ac:dyDescent="0.2">
      <c r="A224" s="13"/>
      <c r="B224" s="14">
        <v>0</v>
      </c>
      <c r="C224" s="14"/>
      <c r="D224" s="14">
        <f t="shared" si="4"/>
        <v>0</v>
      </c>
    </row>
    <row r="225" spans="1:6" x14ac:dyDescent="0.2">
      <c r="A225" s="18" t="s">
        <v>643</v>
      </c>
      <c r="B225" s="9">
        <f>B226+B231+B233+B235</f>
        <v>465000</v>
      </c>
      <c r="C225" s="9">
        <f>C226+C231+C233+C235</f>
        <v>17000</v>
      </c>
      <c r="D225" s="9">
        <f t="shared" si="4"/>
        <v>482000</v>
      </c>
    </row>
    <row r="226" spans="1:6" x14ac:dyDescent="0.2">
      <c r="A226" s="18" t="s">
        <v>596</v>
      </c>
      <c r="B226" s="9">
        <f>B227+B228+B229+B230</f>
        <v>378500</v>
      </c>
      <c r="C226" s="9">
        <f>C227+C228+C229+C230</f>
        <v>17000</v>
      </c>
      <c r="D226" s="9">
        <f t="shared" si="4"/>
        <v>395500</v>
      </c>
    </row>
    <row r="227" spans="1:6" x14ac:dyDescent="0.2">
      <c r="A227" s="11" t="s">
        <v>618</v>
      </c>
      <c r="B227" s="12">
        <v>193000</v>
      </c>
      <c r="C227" s="12">
        <v>17000</v>
      </c>
      <c r="D227" s="12">
        <f t="shared" si="4"/>
        <v>210000</v>
      </c>
      <c r="F227" s="535" t="s">
        <v>959</v>
      </c>
    </row>
    <row r="228" spans="1:6" x14ac:dyDescent="0.2">
      <c r="A228" s="13" t="s">
        <v>590</v>
      </c>
      <c r="B228" s="14">
        <v>75000</v>
      </c>
      <c r="C228" s="14"/>
      <c r="D228" s="14">
        <f t="shared" si="4"/>
        <v>75000</v>
      </c>
    </row>
    <row r="229" spans="1:6" x14ac:dyDescent="0.2">
      <c r="A229" s="13" t="s">
        <v>607</v>
      </c>
      <c r="B229" s="14">
        <v>5500</v>
      </c>
      <c r="C229" s="14"/>
      <c r="D229" s="14">
        <f t="shared" si="4"/>
        <v>5500</v>
      </c>
    </row>
    <row r="230" spans="1:6" x14ac:dyDescent="0.2">
      <c r="A230" s="13" t="s">
        <v>630</v>
      </c>
      <c r="B230" s="14">
        <v>105000</v>
      </c>
      <c r="C230" s="14"/>
      <c r="D230" s="14">
        <f t="shared" si="4"/>
        <v>105000</v>
      </c>
    </row>
    <row r="231" spans="1:6" x14ac:dyDescent="0.2">
      <c r="A231" s="20" t="s">
        <v>638</v>
      </c>
      <c r="B231" s="21">
        <f>B232</f>
        <v>2500</v>
      </c>
      <c r="C231" s="21"/>
      <c r="D231" s="21">
        <f t="shared" si="4"/>
        <v>2500</v>
      </c>
    </row>
    <row r="232" spans="1:6" x14ac:dyDescent="0.2">
      <c r="A232" s="11" t="s">
        <v>639</v>
      </c>
      <c r="B232" s="12">
        <v>2500</v>
      </c>
      <c r="C232" s="12"/>
      <c r="D232" s="12">
        <f t="shared" si="4"/>
        <v>2500</v>
      </c>
    </row>
    <row r="233" spans="1:6" x14ac:dyDescent="0.2">
      <c r="A233" s="18" t="s">
        <v>581</v>
      </c>
      <c r="B233" s="9">
        <f>B234</f>
        <v>44000</v>
      </c>
      <c r="C233" s="9"/>
      <c r="D233" s="9">
        <f t="shared" si="4"/>
        <v>44000</v>
      </c>
    </row>
    <row r="234" spans="1:6" x14ac:dyDescent="0.2">
      <c r="A234" s="11" t="s">
        <v>583</v>
      </c>
      <c r="B234" s="12">
        <v>44000</v>
      </c>
      <c r="C234" s="12"/>
      <c r="D234" s="12">
        <f t="shared" si="4"/>
        <v>44000</v>
      </c>
    </row>
    <row r="235" spans="1:6" x14ac:dyDescent="0.2">
      <c r="A235" s="18" t="s">
        <v>585</v>
      </c>
      <c r="B235" s="9">
        <f>B236</f>
        <v>40000</v>
      </c>
      <c r="C235" s="9"/>
      <c r="D235" s="9">
        <f t="shared" si="4"/>
        <v>40000</v>
      </c>
    </row>
    <row r="236" spans="1:6" x14ac:dyDescent="0.2">
      <c r="A236" s="13" t="s">
        <v>640</v>
      </c>
      <c r="B236" s="14">
        <v>40000</v>
      </c>
      <c r="C236" s="14"/>
      <c r="D236" s="14">
        <f t="shared" si="4"/>
        <v>40000</v>
      </c>
    </row>
    <row r="237" spans="1:6" x14ac:dyDescent="0.2">
      <c r="A237" s="13"/>
      <c r="B237" s="14">
        <v>0</v>
      </c>
      <c r="C237" s="14"/>
      <c r="D237" s="14">
        <f t="shared" si="4"/>
        <v>0</v>
      </c>
    </row>
    <row r="238" spans="1:6" x14ac:dyDescent="0.2">
      <c r="A238" s="18" t="s">
        <v>644</v>
      </c>
      <c r="B238" s="9">
        <f>B239</f>
        <v>141000</v>
      </c>
      <c r="C238" s="9">
        <f>C239</f>
        <v>7000</v>
      </c>
      <c r="D238" s="9">
        <f t="shared" si="4"/>
        <v>148000</v>
      </c>
      <c r="F238" s="535" t="s">
        <v>960</v>
      </c>
    </row>
    <row r="239" spans="1:6" x14ac:dyDescent="0.2">
      <c r="A239" s="18" t="s">
        <v>596</v>
      </c>
      <c r="B239" s="9">
        <f>B240+B241</f>
        <v>141000</v>
      </c>
      <c r="C239" s="9">
        <f>C240+C241+C242+C243+C244</f>
        <v>7000</v>
      </c>
      <c r="D239" s="9">
        <f t="shared" si="4"/>
        <v>148000</v>
      </c>
    </row>
    <row r="240" spans="1:6" x14ac:dyDescent="0.2">
      <c r="A240" s="13" t="s">
        <v>623</v>
      </c>
      <c r="B240" s="14">
        <v>138000</v>
      </c>
      <c r="C240" s="14"/>
      <c r="D240" s="14">
        <f t="shared" si="4"/>
        <v>138000</v>
      </c>
    </row>
    <row r="241" spans="1:4" x14ac:dyDescent="0.2">
      <c r="A241" s="13" t="s">
        <v>630</v>
      </c>
      <c r="B241" s="14">
        <v>3000</v>
      </c>
      <c r="C241" s="14">
        <v>2000</v>
      </c>
      <c r="D241" s="14">
        <f t="shared" si="4"/>
        <v>5000</v>
      </c>
    </row>
    <row r="242" spans="1:4" x14ac:dyDescent="0.2">
      <c r="A242" s="11" t="s">
        <v>633</v>
      </c>
      <c r="B242" s="14"/>
      <c r="C242" s="14">
        <v>3000</v>
      </c>
      <c r="D242" s="14">
        <f t="shared" si="4"/>
        <v>3000</v>
      </c>
    </row>
    <row r="243" spans="1:4" x14ac:dyDescent="0.2">
      <c r="A243" s="11" t="s">
        <v>618</v>
      </c>
      <c r="B243" s="14"/>
      <c r="C243" s="14">
        <v>1000</v>
      </c>
      <c r="D243" s="14">
        <f t="shared" si="4"/>
        <v>1000</v>
      </c>
    </row>
    <row r="244" spans="1:4" x14ac:dyDescent="0.2">
      <c r="A244" s="13" t="s">
        <v>590</v>
      </c>
      <c r="B244" s="14"/>
      <c r="C244" s="14">
        <v>1000</v>
      </c>
      <c r="D244" s="14">
        <f t="shared" si="4"/>
        <v>1000</v>
      </c>
    </row>
    <row r="245" spans="1:4" x14ac:dyDescent="0.2">
      <c r="A245" s="13"/>
      <c r="B245" s="14">
        <v>0</v>
      </c>
      <c r="C245" s="14"/>
      <c r="D245" s="14">
        <f t="shared" si="4"/>
        <v>0</v>
      </c>
    </row>
    <row r="246" spans="1:4" x14ac:dyDescent="0.2">
      <c r="A246" s="18" t="s">
        <v>645</v>
      </c>
      <c r="B246" s="9">
        <f>B247+B252</f>
        <v>155000</v>
      </c>
      <c r="C246" s="9"/>
      <c r="D246" s="9">
        <f t="shared" si="4"/>
        <v>155000</v>
      </c>
    </row>
    <row r="247" spans="1:4" x14ac:dyDescent="0.2">
      <c r="A247" s="18" t="s">
        <v>596</v>
      </c>
      <c r="B247" s="9">
        <f>SUM(B248:B251)</f>
        <v>138000</v>
      </c>
      <c r="C247" s="9"/>
      <c r="D247" s="9">
        <f t="shared" si="4"/>
        <v>138000</v>
      </c>
    </row>
    <row r="248" spans="1:4" x14ac:dyDescent="0.2">
      <c r="A248" s="19" t="s">
        <v>633</v>
      </c>
      <c r="B248" s="17">
        <v>8000</v>
      </c>
      <c r="C248" s="17"/>
      <c r="D248" s="17">
        <f t="shared" si="4"/>
        <v>8000</v>
      </c>
    </row>
    <row r="249" spans="1:4" x14ac:dyDescent="0.2">
      <c r="A249" s="19" t="s">
        <v>618</v>
      </c>
      <c r="B249" s="17">
        <f>36360+6000</f>
        <v>42360</v>
      </c>
      <c r="C249" s="17"/>
      <c r="D249" s="17">
        <f t="shared" si="4"/>
        <v>42360</v>
      </c>
    </row>
    <row r="250" spans="1:4" x14ac:dyDescent="0.2">
      <c r="A250" s="13" t="s">
        <v>630</v>
      </c>
      <c r="B250" s="14">
        <f>81000+6000</f>
        <v>87000</v>
      </c>
      <c r="C250" s="14"/>
      <c r="D250" s="14">
        <f t="shared" si="4"/>
        <v>87000</v>
      </c>
    </row>
    <row r="251" spans="1:4" x14ac:dyDescent="0.2">
      <c r="A251" s="13" t="s">
        <v>607</v>
      </c>
      <c r="B251" s="14">
        <v>640</v>
      </c>
      <c r="C251" s="14"/>
      <c r="D251" s="14">
        <f t="shared" si="4"/>
        <v>640</v>
      </c>
    </row>
    <row r="252" spans="1:4" x14ac:dyDescent="0.2">
      <c r="A252" s="18" t="s">
        <v>581</v>
      </c>
      <c r="B252" s="9">
        <f>B253+B254</f>
        <v>17000</v>
      </c>
      <c r="C252" s="9"/>
      <c r="D252" s="9">
        <f t="shared" si="4"/>
        <v>17000</v>
      </c>
    </row>
    <row r="253" spans="1:4" x14ac:dyDescent="0.2">
      <c r="A253" s="11" t="s">
        <v>582</v>
      </c>
      <c r="B253" s="12">
        <v>6000</v>
      </c>
      <c r="C253" s="12"/>
      <c r="D253" s="12">
        <f t="shared" si="4"/>
        <v>6000</v>
      </c>
    </row>
    <row r="254" spans="1:4" x14ac:dyDescent="0.2">
      <c r="A254" s="11" t="s">
        <v>583</v>
      </c>
      <c r="B254" s="12">
        <v>11000</v>
      </c>
      <c r="C254" s="12"/>
      <c r="D254" s="12">
        <f t="shared" si="4"/>
        <v>11000</v>
      </c>
    </row>
    <row r="255" spans="1:4" x14ac:dyDescent="0.2">
      <c r="A255" s="11"/>
      <c r="B255" s="12"/>
      <c r="C255" s="12"/>
      <c r="D255" s="12">
        <f t="shared" si="4"/>
        <v>0</v>
      </c>
    </row>
    <row r="256" spans="1:4" x14ac:dyDescent="0.2">
      <c r="A256" s="5" t="s">
        <v>646</v>
      </c>
      <c r="B256" s="6">
        <f>B265+B276+B287+B298++B308+B258+B318</f>
        <v>2339538</v>
      </c>
      <c r="C256" s="6">
        <f>C265+C276+C287+C298++C308+C258+C318</f>
        <v>6363</v>
      </c>
      <c r="D256" s="6">
        <f t="shared" si="4"/>
        <v>2345901</v>
      </c>
    </row>
    <row r="257" spans="1:6" x14ac:dyDescent="0.2">
      <c r="A257" s="11"/>
      <c r="B257" s="12"/>
      <c r="C257" s="12"/>
      <c r="D257" s="12">
        <f t="shared" si="4"/>
        <v>0</v>
      </c>
    </row>
    <row r="258" spans="1:6" x14ac:dyDescent="0.2">
      <c r="A258" s="471" t="s">
        <v>845</v>
      </c>
      <c r="B258" s="21">
        <f>B259+B262</f>
        <v>18267</v>
      </c>
      <c r="C258" s="21">
        <v>11323</v>
      </c>
      <c r="D258" s="21">
        <f t="shared" si="4"/>
        <v>29590</v>
      </c>
    </row>
    <row r="259" spans="1:6" x14ac:dyDescent="0.2">
      <c r="A259" s="18" t="s">
        <v>598</v>
      </c>
      <c r="B259" s="9">
        <f>B260+B261</f>
        <v>17500</v>
      </c>
      <c r="C259" s="9">
        <v>-1500</v>
      </c>
      <c r="D259" s="9">
        <f t="shared" si="4"/>
        <v>16000</v>
      </c>
      <c r="F259" s="534"/>
    </row>
    <row r="260" spans="1:6" x14ac:dyDescent="0.2">
      <c r="A260" s="13" t="s">
        <v>590</v>
      </c>
      <c r="B260" s="14">
        <v>12500</v>
      </c>
      <c r="C260" s="14">
        <v>-2000</v>
      </c>
      <c r="D260" s="14">
        <f t="shared" ref="D260:D325" si="5">B260+C260</f>
        <v>10500</v>
      </c>
      <c r="F260" s="534" t="s">
        <v>1003</v>
      </c>
    </row>
    <row r="261" spans="1:6" x14ac:dyDescent="0.2">
      <c r="A261" s="13" t="s">
        <v>615</v>
      </c>
      <c r="B261" s="14">
        <v>5000</v>
      </c>
      <c r="C261" s="14">
        <v>500</v>
      </c>
      <c r="D261" s="14">
        <f t="shared" si="5"/>
        <v>5500</v>
      </c>
      <c r="F261" s="531" t="s">
        <v>963</v>
      </c>
    </row>
    <row r="262" spans="1:6" x14ac:dyDescent="0.2">
      <c r="A262" s="18" t="s">
        <v>581</v>
      </c>
      <c r="B262" s="9">
        <f>B263</f>
        <v>767</v>
      </c>
      <c r="C262" s="9">
        <v>12823</v>
      </c>
      <c r="D262" s="9">
        <f t="shared" si="5"/>
        <v>13590</v>
      </c>
    </row>
    <row r="263" spans="1:6" x14ac:dyDescent="0.2">
      <c r="A263" s="11" t="s">
        <v>582</v>
      </c>
      <c r="B263" s="12">
        <v>767</v>
      </c>
      <c r="C263" s="12">
        <v>12823</v>
      </c>
      <c r="D263" s="12">
        <f t="shared" si="5"/>
        <v>13590</v>
      </c>
      <c r="F263" s="531" t="s">
        <v>964</v>
      </c>
    </row>
    <row r="264" spans="1:6" x14ac:dyDescent="0.2">
      <c r="A264" s="11"/>
      <c r="B264" s="12"/>
      <c r="C264" s="12"/>
      <c r="D264" s="12">
        <f t="shared" si="5"/>
        <v>0</v>
      </c>
    </row>
    <row r="265" spans="1:6" x14ac:dyDescent="0.2">
      <c r="A265" s="8" t="s">
        <v>846</v>
      </c>
      <c r="B265" s="9">
        <f>B266+B270+B273</f>
        <v>355348</v>
      </c>
      <c r="C265" s="9">
        <v>0</v>
      </c>
      <c r="D265" s="9">
        <f t="shared" si="5"/>
        <v>355348</v>
      </c>
    </row>
    <row r="266" spans="1:6" x14ac:dyDescent="0.2">
      <c r="A266" s="18" t="s">
        <v>598</v>
      </c>
      <c r="B266" s="9">
        <f>B267+B268+B269</f>
        <v>335248</v>
      </c>
      <c r="C266" s="9">
        <v>-4400</v>
      </c>
      <c r="D266" s="9">
        <f t="shared" si="5"/>
        <v>330848</v>
      </c>
    </row>
    <row r="267" spans="1:6" x14ac:dyDescent="0.2">
      <c r="A267" s="11" t="s">
        <v>590</v>
      </c>
      <c r="B267" s="12">
        <v>265448</v>
      </c>
      <c r="C267" s="12">
        <v>-21050</v>
      </c>
      <c r="D267" s="12">
        <f t="shared" si="5"/>
        <v>244398</v>
      </c>
      <c r="F267" s="531" t="s">
        <v>965</v>
      </c>
    </row>
    <row r="268" spans="1:6" x14ac:dyDescent="0.2">
      <c r="A268" s="11" t="s">
        <v>647</v>
      </c>
      <c r="B268" s="12">
        <v>22300</v>
      </c>
      <c r="C268" s="12">
        <v>2450</v>
      </c>
      <c r="D268" s="12">
        <f t="shared" si="5"/>
        <v>24750</v>
      </c>
      <c r="F268" s="531" t="s">
        <v>966</v>
      </c>
    </row>
    <row r="269" spans="1:6" x14ac:dyDescent="0.2">
      <c r="A269" s="11" t="s">
        <v>613</v>
      </c>
      <c r="B269" s="12">
        <v>47500</v>
      </c>
      <c r="C269" s="12">
        <v>14200</v>
      </c>
      <c r="D269" s="12">
        <f t="shared" si="5"/>
        <v>61700</v>
      </c>
      <c r="F269" s="531" t="s">
        <v>967</v>
      </c>
    </row>
    <row r="270" spans="1:6" x14ac:dyDescent="0.2">
      <c r="A270" s="18" t="s">
        <v>581</v>
      </c>
      <c r="B270" s="9">
        <f>B271+B272</f>
        <v>18500</v>
      </c>
      <c r="C270" s="9">
        <v>3400</v>
      </c>
      <c r="D270" s="9">
        <f t="shared" si="5"/>
        <v>21900</v>
      </c>
    </row>
    <row r="271" spans="1:6" x14ac:dyDescent="0.2">
      <c r="A271" s="11" t="s">
        <v>582</v>
      </c>
      <c r="B271" s="12">
        <v>11500</v>
      </c>
      <c r="C271" s="12">
        <v>400</v>
      </c>
      <c r="D271" s="12">
        <f t="shared" si="5"/>
        <v>11900</v>
      </c>
      <c r="F271" s="531" t="s">
        <v>968</v>
      </c>
    </row>
    <row r="272" spans="1:6" x14ac:dyDescent="0.2">
      <c r="A272" s="11" t="s">
        <v>583</v>
      </c>
      <c r="B272" s="12">
        <v>7000</v>
      </c>
      <c r="C272" s="12">
        <v>3000</v>
      </c>
      <c r="D272" s="12">
        <f t="shared" si="5"/>
        <v>10000</v>
      </c>
      <c r="F272" s="531" t="s">
        <v>969</v>
      </c>
    </row>
    <row r="273" spans="1:6" x14ac:dyDescent="0.2">
      <c r="A273" s="18" t="s">
        <v>585</v>
      </c>
      <c r="B273" s="9">
        <f>B274</f>
        <v>1600</v>
      </c>
      <c r="C273" s="9">
        <v>1000</v>
      </c>
      <c r="D273" s="9">
        <f t="shared" si="5"/>
        <v>2600</v>
      </c>
    </row>
    <row r="274" spans="1:6" x14ac:dyDescent="0.2">
      <c r="A274" s="13" t="s">
        <v>640</v>
      </c>
      <c r="B274" s="14">
        <v>1600</v>
      </c>
      <c r="C274" s="14">
        <v>1000</v>
      </c>
      <c r="D274" s="14">
        <f t="shared" si="5"/>
        <v>2600</v>
      </c>
      <c r="F274" s="531" t="s">
        <v>970</v>
      </c>
    </row>
    <row r="275" spans="1:6" x14ac:dyDescent="0.2">
      <c r="A275" s="18"/>
      <c r="B275" s="9"/>
      <c r="C275" s="9"/>
      <c r="D275" s="9">
        <f t="shared" si="5"/>
        <v>0</v>
      </c>
    </row>
    <row r="276" spans="1:6" x14ac:dyDescent="0.2">
      <c r="A276" s="8" t="s">
        <v>847</v>
      </c>
      <c r="B276" s="9">
        <f>B277+B281+B284</f>
        <v>1412350</v>
      </c>
      <c r="C276" s="9">
        <v>0</v>
      </c>
      <c r="D276" s="9">
        <f t="shared" si="5"/>
        <v>1412350</v>
      </c>
    </row>
    <row r="277" spans="1:6" x14ac:dyDescent="0.2">
      <c r="A277" s="18" t="s">
        <v>598</v>
      </c>
      <c r="B277" s="9">
        <f>B278+B279+B280</f>
        <v>1327200</v>
      </c>
      <c r="C277" s="9">
        <v>-2000</v>
      </c>
      <c r="D277" s="9">
        <f t="shared" si="5"/>
        <v>1325200</v>
      </c>
    </row>
    <row r="278" spans="1:6" x14ac:dyDescent="0.2">
      <c r="A278" s="11" t="s">
        <v>590</v>
      </c>
      <c r="B278" s="12">
        <v>1279000</v>
      </c>
      <c r="C278" s="12">
        <v>-12000</v>
      </c>
      <c r="D278" s="12">
        <f t="shared" si="5"/>
        <v>1267000</v>
      </c>
      <c r="F278" s="536" t="s">
        <v>971</v>
      </c>
    </row>
    <row r="279" spans="1:6" x14ac:dyDescent="0.2">
      <c r="A279" s="11" t="s">
        <v>647</v>
      </c>
      <c r="B279" s="12">
        <v>33500</v>
      </c>
      <c r="C279" s="12">
        <v>10000</v>
      </c>
      <c r="D279" s="12">
        <f t="shared" si="5"/>
        <v>43500</v>
      </c>
      <c r="F279" s="536" t="s">
        <v>972</v>
      </c>
    </row>
    <row r="280" spans="1:6" x14ac:dyDescent="0.2">
      <c r="A280" s="11" t="s">
        <v>613</v>
      </c>
      <c r="B280" s="12">
        <v>14700</v>
      </c>
      <c r="C280" s="12"/>
      <c r="D280" s="12">
        <f t="shared" si="5"/>
        <v>14700</v>
      </c>
    </row>
    <row r="281" spans="1:6" x14ac:dyDescent="0.2">
      <c r="A281" s="18" t="s">
        <v>581</v>
      </c>
      <c r="B281" s="9">
        <f>B282+B283</f>
        <v>78370</v>
      </c>
      <c r="C281" s="9">
        <v>0</v>
      </c>
      <c r="D281" s="9">
        <f t="shared" si="5"/>
        <v>78370</v>
      </c>
    </row>
    <row r="282" spans="1:6" x14ac:dyDescent="0.2">
      <c r="A282" s="11" t="s">
        <v>582</v>
      </c>
      <c r="B282" s="12">
        <v>35000</v>
      </c>
      <c r="C282" s="12"/>
      <c r="D282" s="12">
        <f t="shared" si="5"/>
        <v>35000</v>
      </c>
    </row>
    <row r="283" spans="1:6" x14ac:dyDescent="0.2">
      <c r="A283" s="11" t="s">
        <v>583</v>
      </c>
      <c r="B283" s="12">
        <v>43370</v>
      </c>
      <c r="C283" s="12"/>
      <c r="D283" s="12">
        <f t="shared" si="5"/>
        <v>43370</v>
      </c>
    </row>
    <row r="284" spans="1:6" x14ac:dyDescent="0.2">
      <c r="A284" s="18" t="s">
        <v>585</v>
      </c>
      <c r="B284" s="9">
        <f>B285</f>
        <v>6780</v>
      </c>
      <c r="C284" s="9">
        <v>2000</v>
      </c>
      <c r="D284" s="9">
        <f t="shared" si="5"/>
        <v>8780</v>
      </c>
    </row>
    <row r="285" spans="1:6" x14ac:dyDescent="0.2">
      <c r="A285" s="13" t="s">
        <v>640</v>
      </c>
      <c r="B285" s="14">
        <v>6780</v>
      </c>
      <c r="C285" s="14">
        <v>2000</v>
      </c>
      <c r="D285" s="14">
        <f t="shared" si="5"/>
        <v>8780</v>
      </c>
      <c r="F285" s="536" t="s">
        <v>973</v>
      </c>
    </row>
    <row r="286" spans="1:6" x14ac:dyDescent="0.2">
      <c r="A286" s="18"/>
      <c r="B286" s="9"/>
      <c r="C286" s="9"/>
      <c r="D286" s="9">
        <f t="shared" si="5"/>
        <v>0</v>
      </c>
    </row>
    <row r="287" spans="1:6" x14ac:dyDescent="0.2">
      <c r="A287" s="8" t="s">
        <v>848</v>
      </c>
      <c r="B287" s="9">
        <f>B288+B292+B295</f>
        <v>85641</v>
      </c>
      <c r="C287" s="9">
        <v>0</v>
      </c>
      <c r="D287" s="9">
        <f t="shared" si="5"/>
        <v>85641</v>
      </c>
    </row>
    <row r="288" spans="1:6" x14ac:dyDescent="0.2">
      <c r="A288" s="18" t="s">
        <v>598</v>
      </c>
      <c r="B288" s="9">
        <f>B289+B290+B291</f>
        <v>74036</v>
      </c>
      <c r="C288" s="9">
        <v>0</v>
      </c>
      <c r="D288" s="9">
        <f t="shared" si="5"/>
        <v>74036</v>
      </c>
    </row>
    <row r="289" spans="1:6" x14ac:dyDescent="0.2">
      <c r="A289" s="11" t="s">
        <v>590</v>
      </c>
      <c r="B289" s="12">
        <v>73461</v>
      </c>
      <c r="C289" s="12"/>
      <c r="D289" s="12">
        <f t="shared" si="5"/>
        <v>73461</v>
      </c>
    </row>
    <row r="290" spans="1:6" x14ac:dyDescent="0.2">
      <c r="A290" s="11" t="s">
        <v>647</v>
      </c>
      <c r="B290" s="12">
        <v>64</v>
      </c>
      <c r="C290" s="12"/>
      <c r="D290" s="12">
        <f t="shared" si="5"/>
        <v>64</v>
      </c>
    </row>
    <row r="291" spans="1:6" x14ac:dyDescent="0.2">
      <c r="A291" s="11" t="s">
        <v>613</v>
      </c>
      <c r="B291" s="12">
        <v>511</v>
      </c>
      <c r="C291" s="12"/>
      <c r="D291" s="12">
        <f t="shared" si="5"/>
        <v>511</v>
      </c>
    </row>
    <row r="292" spans="1:6" x14ac:dyDescent="0.2">
      <c r="A292" s="18" t="s">
        <v>648</v>
      </c>
      <c r="B292" s="9">
        <f>B293+B294</f>
        <v>1177</v>
      </c>
      <c r="C292" s="9">
        <v>0</v>
      </c>
      <c r="D292" s="9">
        <f t="shared" si="5"/>
        <v>1177</v>
      </c>
    </row>
    <row r="293" spans="1:6" x14ac:dyDescent="0.2">
      <c r="A293" s="11" t="s">
        <v>649</v>
      </c>
      <c r="B293" s="12">
        <v>474</v>
      </c>
      <c r="C293" s="12"/>
      <c r="D293" s="12">
        <f t="shared" si="5"/>
        <v>474</v>
      </c>
    </row>
    <row r="294" spans="1:6" x14ac:dyDescent="0.2">
      <c r="A294" s="11" t="s">
        <v>583</v>
      </c>
      <c r="B294" s="12">
        <v>703</v>
      </c>
      <c r="C294" s="12"/>
      <c r="D294" s="12">
        <f t="shared" si="5"/>
        <v>703</v>
      </c>
    </row>
    <row r="295" spans="1:6" x14ac:dyDescent="0.2">
      <c r="A295" s="18" t="s">
        <v>581</v>
      </c>
      <c r="B295" s="9">
        <f>B296</f>
        <v>10428</v>
      </c>
      <c r="C295" s="9">
        <v>0</v>
      </c>
      <c r="D295" s="9">
        <f t="shared" si="5"/>
        <v>10428</v>
      </c>
    </row>
    <row r="296" spans="1:6" x14ac:dyDescent="0.2">
      <c r="A296" s="11" t="s">
        <v>582</v>
      </c>
      <c r="B296" s="12">
        <v>10428</v>
      </c>
      <c r="C296" s="12"/>
      <c r="D296" s="12">
        <f t="shared" si="5"/>
        <v>10428</v>
      </c>
    </row>
    <row r="297" spans="1:6" x14ac:dyDescent="0.2">
      <c r="A297" s="18"/>
      <c r="B297" s="9"/>
      <c r="C297" s="9"/>
      <c r="D297" s="9">
        <f t="shared" si="5"/>
        <v>0</v>
      </c>
    </row>
    <row r="298" spans="1:6" x14ac:dyDescent="0.2">
      <c r="A298" s="8" t="s">
        <v>849</v>
      </c>
      <c r="B298" s="9">
        <f>B299+B305</f>
        <v>34682</v>
      </c>
      <c r="C298" s="9">
        <v>-7060</v>
      </c>
      <c r="D298" s="9">
        <f t="shared" si="5"/>
        <v>27622</v>
      </c>
    </row>
    <row r="299" spans="1:6" x14ac:dyDescent="0.2">
      <c r="A299" s="18" t="s">
        <v>598</v>
      </c>
      <c r="B299" s="9">
        <f>B300+B301+B302+B303+B304</f>
        <v>33416</v>
      </c>
      <c r="C299" s="9">
        <v>-7060</v>
      </c>
      <c r="D299" s="9">
        <f t="shared" si="5"/>
        <v>26356</v>
      </c>
    </row>
    <row r="300" spans="1:6" x14ac:dyDescent="0.2">
      <c r="A300" s="13" t="s">
        <v>617</v>
      </c>
      <c r="B300" s="14">
        <v>2556</v>
      </c>
      <c r="C300" s="14">
        <v>-256</v>
      </c>
      <c r="D300" s="14">
        <f t="shared" si="5"/>
        <v>2300</v>
      </c>
      <c r="F300" s="537" t="s">
        <v>889</v>
      </c>
    </row>
    <row r="301" spans="1:6" x14ac:dyDescent="0.2">
      <c r="A301" s="13" t="s">
        <v>650</v>
      </c>
      <c r="B301" s="14">
        <v>320</v>
      </c>
      <c r="C301" s="14">
        <v>-54</v>
      </c>
      <c r="D301" s="14">
        <f t="shared" si="5"/>
        <v>266</v>
      </c>
      <c r="F301" s="537" t="s">
        <v>889</v>
      </c>
    </row>
    <row r="302" spans="1:6" x14ac:dyDescent="0.2">
      <c r="A302" s="13" t="s">
        <v>619</v>
      </c>
      <c r="B302" s="14">
        <v>10865</v>
      </c>
      <c r="C302" s="14">
        <v>-1438</v>
      </c>
      <c r="D302" s="14">
        <f t="shared" si="5"/>
        <v>9427</v>
      </c>
      <c r="F302" s="537" t="s">
        <v>889</v>
      </c>
    </row>
    <row r="303" spans="1:6" x14ac:dyDescent="0.2">
      <c r="A303" s="13" t="s">
        <v>99</v>
      </c>
      <c r="B303" s="14">
        <v>5615</v>
      </c>
      <c r="C303" s="14">
        <v>-2237</v>
      </c>
      <c r="D303" s="14">
        <f t="shared" si="5"/>
        <v>3378</v>
      </c>
      <c r="F303" s="537" t="s">
        <v>889</v>
      </c>
    </row>
    <row r="304" spans="1:6" x14ac:dyDescent="0.2">
      <c r="A304" s="13" t="s">
        <v>615</v>
      </c>
      <c r="B304" s="14">
        <v>14060</v>
      </c>
      <c r="C304" s="14">
        <v>-3075</v>
      </c>
      <c r="D304" s="14">
        <f t="shared" si="5"/>
        <v>10985</v>
      </c>
      <c r="F304" s="537" t="s">
        <v>889</v>
      </c>
    </row>
    <row r="305" spans="1:6" x14ac:dyDescent="0.2">
      <c r="A305" s="18" t="s">
        <v>581</v>
      </c>
      <c r="B305" s="9">
        <f>B306</f>
        <v>1266</v>
      </c>
      <c r="C305" s="9">
        <v>0</v>
      </c>
      <c r="D305" s="9">
        <f t="shared" si="5"/>
        <v>1266</v>
      </c>
    </row>
    <row r="306" spans="1:6" x14ac:dyDescent="0.2">
      <c r="A306" s="11" t="s">
        <v>582</v>
      </c>
      <c r="B306" s="12">
        <v>1266</v>
      </c>
      <c r="C306" s="12"/>
      <c r="D306" s="12">
        <f t="shared" si="5"/>
        <v>1266</v>
      </c>
    </row>
    <row r="307" spans="1:6" x14ac:dyDescent="0.2">
      <c r="A307" s="18"/>
      <c r="B307" s="9"/>
      <c r="C307" s="9"/>
      <c r="D307" s="9">
        <f t="shared" si="5"/>
        <v>0</v>
      </c>
    </row>
    <row r="308" spans="1:6" x14ac:dyDescent="0.2">
      <c r="A308" s="471" t="s">
        <v>850</v>
      </c>
      <c r="B308" s="21">
        <f>B309+B312+B315</f>
        <v>165050</v>
      </c>
      <c r="C308" s="21">
        <v>2100</v>
      </c>
      <c r="D308" s="21">
        <f t="shared" si="5"/>
        <v>167150</v>
      </c>
    </row>
    <row r="309" spans="1:6" x14ac:dyDescent="0.2">
      <c r="A309" s="18" t="s">
        <v>598</v>
      </c>
      <c r="B309" s="9">
        <f>B310+B311</f>
        <v>132250</v>
      </c>
      <c r="C309" s="9">
        <v>0</v>
      </c>
      <c r="D309" s="9">
        <f t="shared" si="5"/>
        <v>132250</v>
      </c>
    </row>
    <row r="310" spans="1:6" x14ac:dyDescent="0.2">
      <c r="A310" s="11" t="s">
        <v>590</v>
      </c>
      <c r="B310" s="12">
        <v>132000</v>
      </c>
      <c r="C310" s="12"/>
      <c r="D310" s="12">
        <f t="shared" si="5"/>
        <v>132000</v>
      </c>
    </row>
    <row r="311" spans="1:6" x14ac:dyDescent="0.2">
      <c r="A311" s="11" t="s">
        <v>613</v>
      </c>
      <c r="B311" s="12">
        <v>250</v>
      </c>
      <c r="C311" s="12"/>
      <c r="D311" s="12">
        <f t="shared" si="5"/>
        <v>250</v>
      </c>
    </row>
    <row r="312" spans="1:6" x14ac:dyDescent="0.2">
      <c r="A312" s="18" t="s">
        <v>581</v>
      </c>
      <c r="B312" s="9">
        <f>B313+B314</f>
        <v>30800</v>
      </c>
      <c r="C312" s="9">
        <v>2100</v>
      </c>
      <c r="D312" s="9">
        <f t="shared" si="5"/>
        <v>32900</v>
      </c>
    </row>
    <row r="313" spans="1:6" x14ac:dyDescent="0.2">
      <c r="A313" s="11" t="s">
        <v>582</v>
      </c>
      <c r="B313" s="12">
        <v>26000</v>
      </c>
      <c r="C313" s="12"/>
      <c r="D313" s="12">
        <f t="shared" si="5"/>
        <v>26000</v>
      </c>
    </row>
    <row r="314" spans="1:6" x14ac:dyDescent="0.2">
      <c r="A314" s="11" t="s">
        <v>583</v>
      </c>
      <c r="B314" s="12">
        <v>4800</v>
      </c>
      <c r="C314" s="12">
        <v>2100</v>
      </c>
      <c r="D314" s="12">
        <f t="shared" si="5"/>
        <v>6900</v>
      </c>
      <c r="F314" s="536" t="s">
        <v>974</v>
      </c>
    </row>
    <row r="315" spans="1:6" x14ac:dyDescent="0.2">
      <c r="A315" s="2" t="s">
        <v>585</v>
      </c>
      <c r="B315" s="40">
        <f>B316</f>
        <v>2000</v>
      </c>
      <c r="C315" s="40">
        <v>0</v>
      </c>
      <c r="D315" s="40">
        <f t="shared" si="5"/>
        <v>2000</v>
      </c>
    </row>
    <row r="316" spans="1:6" x14ac:dyDescent="0.2">
      <c r="A316" s="13" t="s">
        <v>640</v>
      </c>
      <c r="B316" s="14">
        <v>2000</v>
      </c>
      <c r="C316" s="14"/>
      <c r="D316" s="14">
        <f t="shared" si="5"/>
        <v>2000</v>
      </c>
    </row>
    <row r="317" spans="1:6" x14ac:dyDescent="0.2">
      <c r="A317" s="11"/>
      <c r="B317" s="12"/>
      <c r="C317" s="12"/>
      <c r="D317" s="12">
        <f t="shared" si="5"/>
        <v>0</v>
      </c>
    </row>
    <row r="318" spans="1:6" x14ac:dyDescent="0.2">
      <c r="A318" s="375" t="s">
        <v>696</v>
      </c>
      <c r="B318" s="382">
        <f>B319+B323+B326</f>
        <v>268200</v>
      </c>
      <c r="C318" s="382">
        <v>0</v>
      </c>
      <c r="D318" s="382">
        <f t="shared" si="5"/>
        <v>268200</v>
      </c>
    </row>
    <row r="319" spans="1:6" x14ac:dyDescent="0.2">
      <c r="A319" s="18" t="s">
        <v>598</v>
      </c>
      <c r="B319" s="9">
        <f>B320</f>
        <v>212700</v>
      </c>
      <c r="C319" s="9">
        <v>0</v>
      </c>
      <c r="D319" s="9">
        <f t="shared" si="5"/>
        <v>212700</v>
      </c>
    </row>
    <row r="320" spans="1:6" x14ac:dyDescent="0.2">
      <c r="A320" s="13" t="s">
        <v>590</v>
      </c>
      <c r="B320" s="14">
        <v>212700</v>
      </c>
      <c r="C320" s="14">
        <v>-49200</v>
      </c>
      <c r="D320" s="14">
        <f t="shared" si="5"/>
        <v>163500</v>
      </c>
      <c r="F320" s="536" t="s">
        <v>975</v>
      </c>
    </row>
    <row r="321" spans="1:6" x14ac:dyDescent="0.2">
      <c r="A321" s="11" t="s">
        <v>647</v>
      </c>
      <c r="B321" s="14"/>
      <c r="C321" s="14">
        <v>4200</v>
      </c>
      <c r="D321" s="14">
        <f t="shared" si="5"/>
        <v>4200</v>
      </c>
      <c r="F321" s="536" t="s">
        <v>975</v>
      </c>
    </row>
    <row r="322" spans="1:6" x14ac:dyDescent="0.2">
      <c r="A322" s="11" t="s">
        <v>613</v>
      </c>
      <c r="B322" s="14"/>
      <c r="C322" s="14">
        <v>45000</v>
      </c>
      <c r="D322" s="14">
        <f t="shared" si="5"/>
        <v>45000</v>
      </c>
      <c r="F322" s="536" t="s">
        <v>975</v>
      </c>
    </row>
    <row r="323" spans="1:6" x14ac:dyDescent="0.2">
      <c r="A323" s="18" t="s">
        <v>581</v>
      </c>
      <c r="B323" s="9">
        <f>B324+B325</f>
        <v>53000</v>
      </c>
      <c r="C323" s="14"/>
      <c r="D323" s="9">
        <f t="shared" si="5"/>
        <v>53000</v>
      </c>
    </row>
    <row r="324" spans="1:6" x14ac:dyDescent="0.2">
      <c r="A324" s="11" t="s">
        <v>582</v>
      </c>
      <c r="B324" s="12">
        <v>40000</v>
      </c>
      <c r="C324" s="12"/>
      <c r="D324" s="12">
        <f t="shared" si="5"/>
        <v>40000</v>
      </c>
    </row>
    <row r="325" spans="1:6" x14ac:dyDescent="0.2">
      <c r="A325" s="11" t="s">
        <v>583</v>
      </c>
      <c r="B325" s="12">
        <v>13000</v>
      </c>
      <c r="C325" s="12"/>
      <c r="D325" s="12">
        <f t="shared" si="5"/>
        <v>13000</v>
      </c>
    </row>
    <row r="326" spans="1:6" x14ac:dyDescent="0.2">
      <c r="A326" s="18" t="s">
        <v>585</v>
      </c>
      <c r="B326" s="9">
        <f>B327</f>
        <v>2500</v>
      </c>
      <c r="C326" s="9"/>
      <c r="D326" s="9">
        <f t="shared" ref="D326:D389" si="6">B326+C326</f>
        <v>2500</v>
      </c>
    </row>
    <row r="327" spans="1:6" x14ac:dyDescent="0.2">
      <c r="A327" s="11" t="s">
        <v>628</v>
      </c>
      <c r="B327" s="12">
        <v>2500</v>
      </c>
      <c r="C327" s="12"/>
      <c r="D327" s="12">
        <f t="shared" si="6"/>
        <v>2500</v>
      </c>
    </row>
    <row r="328" spans="1:6" x14ac:dyDescent="0.2">
      <c r="A328" s="11"/>
      <c r="B328" s="12"/>
      <c r="C328" s="12"/>
      <c r="D328" s="12">
        <f t="shared" si="6"/>
        <v>0</v>
      </c>
    </row>
    <row r="329" spans="1:6" x14ac:dyDescent="0.2">
      <c r="A329" s="5" t="s">
        <v>652</v>
      </c>
      <c r="B329" s="6">
        <f>B331+B337+B346+B354+B359+B367+B378+B385</f>
        <v>2118686</v>
      </c>
      <c r="C329" s="6">
        <f>C331+C337+C346+C354+C359+C367+C378+C385</f>
        <v>-22909</v>
      </c>
      <c r="D329" s="6">
        <f t="shared" si="6"/>
        <v>2095777</v>
      </c>
    </row>
    <row r="330" spans="1:6" x14ac:dyDescent="0.2">
      <c r="A330" s="18"/>
      <c r="B330" s="9"/>
      <c r="C330" s="9"/>
      <c r="D330" s="9">
        <f t="shared" si="6"/>
        <v>0</v>
      </c>
    </row>
    <row r="331" spans="1:6" x14ac:dyDescent="0.2">
      <c r="A331" s="18" t="s">
        <v>653</v>
      </c>
      <c r="B331" s="9">
        <f>B332</f>
        <v>18644</v>
      </c>
      <c r="C331" s="9">
        <f>C332</f>
        <v>0</v>
      </c>
      <c r="D331" s="9">
        <f t="shared" si="6"/>
        <v>18644</v>
      </c>
    </row>
    <row r="332" spans="1:6" x14ac:dyDescent="0.2">
      <c r="A332" s="18" t="s">
        <v>581</v>
      </c>
      <c r="B332" s="9">
        <f>B333+B334+B335</f>
        <v>18644</v>
      </c>
      <c r="C332" s="9">
        <f>C333+C334+C335</f>
        <v>0</v>
      </c>
      <c r="D332" s="9">
        <f t="shared" si="6"/>
        <v>18644</v>
      </c>
    </row>
    <row r="333" spans="1:6" x14ac:dyDescent="0.2">
      <c r="A333" s="11" t="s">
        <v>582</v>
      </c>
      <c r="B333" s="12">
        <v>13294</v>
      </c>
      <c r="C333" s="12"/>
      <c r="D333" s="12">
        <f t="shared" si="6"/>
        <v>13294</v>
      </c>
    </row>
    <row r="334" spans="1:6" x14ac:dyDescent="0.2">
      <c r="A334" s="11" t="s">
        <v>583</v>
      </c>
      <c r="B334" s="12">
        <v>4440</v>
      </c>
      <c r="C334" s="12"/>
      <c r="D334" s="12">
        <f t="shared" si="6"/>
        <v>4440</v>
      </c>
    </row>
    <row r="335" spans="1:6" x14ac:dyDescent="0.2">
      <c r="A335" s="11" t="s">
        <v>600</v>
      </c>
      <c r="B335" s="12">
        <v>910</v>
      </c>
      <c r="C335" s="12"/>
      <c r="D335" s="12">
        <f t="shared" si="6"/>
        <v>910</v>
      </c>
    </row>
    <row r="336" spans="1:6" x14ac:dyDescent="0.2">
      <c r="A336" s="18"/>
      <c r="B336" s="9"/>
      <c r="C336" s="9"/>
      <c r="D336" s="9">
        <f t="shared" si="6"/>
        <v>0</v>
      </c>
    </row>
    <row r="337" spans="1:6" x14ac:dyDescent="0.2">
      <c r="A337" s="18" t="s">
        <v>655</v>
      </c>
      <c r="B337" s="9">
        <f>B338+B342</f>
        <v>92527</v>
      </c>
      <c r="C337" s="9">
        <f>C338+C342</f>
        <v>0</v>
      </c>
      <c r="D337" s="9">
        <f t="shared" si="6"/>
        <v>92527</v>
      </c>
    </row>
    <row r="338" spans="1:6" x14ac:dyDescent="0.2">
      <c r="A338" s="18" t="s">
        <v>656</v>
      </c>
      <c r="B338" s="9">
        <f>B339+B340+B341</f>
        <v>88600</v>
      </c>
      <c r="C338" s="9">
        <f>C339+C340+C341</f>
        <v>0</v>
      </c>
      <c r="D338" s="9">
        <f t="shared" si="6"/>
        <v>88600</v>
      </c>
    </row>
    <row r="339" spans="1:6" x14ac:dyDescent="0.2">
      <c r="A339" s="13" t="s">
        <v>657</v>
      </c>
      <c r="B339" s="14">
        <v>50000</v>
      </c>
      <c r="C339" s="14"/>
      <c r="D339" s="14">
        <f t="shared" si="6"/>
        <v>50000</v>
      </c>
    </row>
    <row r="340" spans="1:6" x14ac:dyDescent="0.2">
      <c r="A340" s="13" t="s">
        <v>658</v>
      </c>
      <c r="B340" s="14">
        <v>36000</v>
      </c>
      <c r="C340" s="14"/>
      <c r="D340" s="14">
        <f t="shared" si="6"/>
        <v>36000</v>
      </c>
    </row>
    <row r="341" spans="1:6" x14ac:dyDescent="0.2">
      <c r="A341" s="13" t="s">
        <v>659</v>
      </c>
      <c r="B341" s="14">
        <v>2600</v>
      </c>
      <c r="C341" s="14"/>
      <c r="D341" s="14">
        <f t="shared" si="6"/>
        <v>2600</v>
      </c>
    </row>
    <row r="342" spans="1:6" x14ac:dyDescent="0.2">
      <c r="A342" s="20" t="s">
        <v>581</v>
      </c>
      <c r="B342" s="21">
        <f>B343+B344</f>
        <v>3927</v>
      </c>
      <c r="C342" s="21">
        <f>C343+C344</f>
        <v>0</v>
      </c>
      <c r="D342" s="21">
        <f t="shared" si="6"/>
        <v>3927</v>
      </c>
    </row>
    <row r="343" spans="1:6" x14ac:dyDescent="0.2">
      <c r="A343" s="13" t="s">
        <v>583</v>
      </c>
      <c r="B343" s="14">
        <v>2300</v>
      </c>
      <c r="C343" s="14"/>
      <c r="D343" s="14">
        <f t="shared" si="6"/>
        <v>2300</v>
      </c>
    </row>
    <row r="344" spans="1:6" x14ac:dyDescent="0.2">
      <c r="A344" s="13" t="s">
        <v>582</v>
      </c>
      <c r="B344" s="14">
        <v>1627</v>
      </c>
      <c r="C344" s="14"/>
      <c r="D344" s="14">
        <f t="shared" si="6"/>
        <v>1627</v>
      </c>
    </row>
    <row r="345" spans="1:6" x14ac:dyDescent="0.2">
      <c r="A345" s="13"/>
      <c r="B345" s="14"/>
      <c r="C345" s="14"/>
      <c r="D345" s="14">
        <f t="shared" si="6"/>
        <v>0</v>
      </c>
    </row>
    <row r="346" spans="1:6" x14ac:dyDescent="0.2">
      <c r="A346" s="20" t="s">
        <v>660</v>
      </c>
      <c r="B346" s="21">
        <f>B347+B350</f>
        <v>256287</v>
      </c>
      <c r="C346" s="21">
        <f>C347+C350</f>
        <v>-23826</v>
      </c>
      <c r="D346" s="21">
        <f t="shared" si="6"/>
        <v>232461</v>
      </c>
    </row>
    <row r="347" spans="1:6" x14ac:dyDescent="0.2">
      <c r="A347" s="18" t="s">
        <v>656</v>
      </c>
      <c r="B347" s="9">
        <f>B348+B349</f>
        <v>242605</v>
      </c>
      <c r="C347" s="9">
        <f>C348+C349</f>
        <v>-23826</v>
      </c>
      <c r="D347" s="9">
        <f t="shared" si="6"/>
        <v>218779</v>
      </c>
    </row>
    <row r="348" spans="1:6" x14ac:dyDescent="0.2">
      <c r="A348" s="11" t="s">
        <v>657</v>
      </c>
      <c r="B348" s="12">
        <v>241405</v>
      </c>
      <c r="C348" s="12">
        <v>-23826</v>
      </c>
      <c r="D348" s="12">
        <f t="shared" si="6"/>
        <v>217579</v>
      </c>
      <c r="F348" s="531" t="s">
        <v>1004</v>
      </c>
    </row>
    <row r="349" spans="1:6" x14ac:dyDescent="0.2">
      <c r="A349" s="11" t="s">
        <v>658</v>
      </c>
      <c r="B349" s="12">
        <v>1200</v>
      </c>
      <c r="C349" s="12"/>
      <c r="D349" s="12">
        <f t="shared" si="6"/>
        <v>1200</v>
      </c>
    </row>
    <row r="350" spans="1:6" x14ac:dyDescent="0.2">
      <c r="A350" s="20" t="s">
        <v>581</v>
      </c>
      <c r="B350" s="21">
        <f>B351+B352</f>
        <v>13682</v>
      </c>
      <c r="C350" s="21">
        <f>C351+C352</f>
        <v>0</v>
      </c>
      <c r="D350" s="21">
        <f t="shared" si="6"/>
        <v>13682</v>
      </c>
    </row>
    <row r="351" spans="1:6" x14ac:dyDescent="0.2">
      <c r="A351" s="13" t="s">
        <v>583</v>
      </c>
      <c r="B351" s="14">
        <f>14100-2300</f>
        <v>11800</v>
      </c>
      <c r="C351" s="14"/>
      <c r="D351" s="14">
        <f t="shared" si="6"/>
        <v>11800</v>
      </c>
    </row>
    <row r="352" spans="1:6" x14ac:dyDescent="0.2">
      <c r="A352" s="13" t="s">
        <v>582</v>
      </c>
      <c r="B352" s="14">
        <f>3509-1627</f>
        <v>1882</v>
      </c>
      <c r="C352" s="14"/>
      <c r="D352" s="14">
        <f t="shared" si="6"/>
        <v>1882</v>
      </c>
    </row>
    <row r="353" spans="1:6" x14ac:dyDescent="0.2">
      <c r="A353" s="18"/>
      <c r="B353" s="9"/>
      <c r="C353" s="9"/>
      <c r="D353" s="9">
        <f t="shared" si="6"/>
        <v>0</v>
      </c>
    </row>
    <row r="354" spans="1:6" x14ac:dyDescent="0.2">
      <c r="A354" s="18" t="s">
        <v>661</v>
      </c>
      <c r="B354" s="9">
        <f>B355</f>
        <v>19635</v>
      </c>
      <c r="C354" s="9">
        <f>C355</f>
        <v>3200</v>
      </c>
      <c r="D354" s="9">
        <f t="shared" si="6"/>
        <v>22835</v>
      </c>
    </row>
    <row r="355" spans="1:6" x14ac:dyDescent="0.2">
      <c r="A355" s="18" t="s">
        <v>656</v>
      </c>
      <c r="B355" s="9">
        <f>B356+B357</f>
        <v>19635</v>
      </c>
      <c r="C355" s="9">
        <f>C356+C357</f>
        <v>3200</v>
      </c>
      <c r="D355" s="9">
        <f t="shared" si="6"/>
        <v>22835</v>
      </c>
    </row>
    <row r="356" spans="1:6" x14ac:dyDescent="0.2">
      <c r="A356" s="13" t="s">
        <v>665</v>
      </c>
      <c r="B356" s="14">
        <v>18300</v>
      </c>
      <c r="C356" s="14">
        <v>3200</v>
      </c>
      <c r="D356" s="14">
        <f t="shared" si="6"/>
        <v>21500</v>
      </c>
      <c r="F356" s="531" t="s">
        <v>1005</v>
      </c>
    </row>
    <row r="357" spans="1:6" x14ac:dyDescent="0.2">
      <c r="A357" s="13" t="s">
        <v>662</v>
      </c>
      <c r="B357" s="14">
        <v>1335</v>
      </c>
      <c r="C357" s="14"/>
      <c r="D357" s="14">
        <f t="shared" si="6"/>
        <v>1335</v>
      </c>
    </row>
    <row r="358" spans="1:6" x14ac:dyDescent="0.2">
      <c r="A358" s="18"/>
      <c r="B358" s="9"/>
      <c r="C358" s="9"/>
      <c r="D358" s="9">
        <f t="shared" si="6"/>
        <v>0</v>
      </c>
    </row>
    <row r="359" spans="1:6" x14ac:dyDescent="0.2">
      <c r="A359" s="18" t="s">
        <v>663</v>
      </c>
      <c r="B359" s="9">
        <f>B360+B363</f>
        <v>1388790</v>
      </c>
      <c r="C359" s="9">
        <f>C360+C363</f>
        <v>0</v>
      </c>
      <c r="D359" s="9">
        <f t="shared" si="6"/>
        <v>1388790</v>
      </c>
    </row>
    <row r="360" spans="1:6" x14ac:dyDescent="0.2">
      <c r="A360" s="18" t="s">
        <v>581</v>
      </c>
      <c r="B360" s="9">
        <f>B361+B362</f>
        <v>10730</v>
      </c>
      <c r="C360" s="9">
        <f>C361+C362</f>
        <v>0</v>
      </c>
      <c r="D360" s="9">
        <f t="shared" si="6"/>
        <v>10730</v>
      </c>
    </row>
    <row r="361" spans="1:6" x14ac:dyDescent="0.2">
      <c r="A361" s="11" t="s">
        <v>582</v>
      </c>
      <c r="B361" s="12">
        <v>7030</v>
      </c>
      <c r="C361" s="12"/>
      <c r="D361" s="12">
        <f t="shared" si="6"/>
        <v>7030</v>
      </c>
    </row>
    <row r="362" spans="1:6" x14ac:dyDescent="0.2">
      <c r="A362" s="11" t="s">
        <v>583</v>
      </c>
      <c r="B362" s="12">
        <v>3700</v>
      </c>
      <c r="C362" s="12"/>
      <c r="D362" s="12">
        <f t="shared" si="6"/>
        <v>3700</v>
      </c>
    </row>
    <row r="363" spans="1:6" x14ac:dyDescent="0.2">
      <c r="A363" s="18" t="s">
        <v>656</v>
      </c>
      <c r="B363" s="9">
        <f>B364+B365</f>
        <v>1378060</v>
      </c>
      <c r="C363" s="9">
        <f>C364+C365</f>
        <v>0</v>
      </c>
      <c r="D363" s="9">
        <f t="shared" si="6"/>
        <v>1378060</v>
      </c>
    </row>
    <row r="364" spans="1:6" x14ac:dyDescent="0.2">
      <c r="A364" s="13" t="s">
        <v>657</v>
      </c>
      <c r="B364" s="14">
        <f>1336060+20000</f>
        <v>1356060</v>
      </c>
      <c r="C364" s="14"/>
      <c r="D364" s="14">
        <f t="shared" si="6"/>
        <v>1356060</v>
      </c>
    </row>
    <row r="365" spans="1:6" x14ac:dyDescent="0.2">
      <c r="A365" s="13" t="s">
        <v>658</v>
      </c>
      <c r="B365" s="14">
        <v>22000</v>
      </c>
      <c r="C365" s="14"/>
      <c r="D365" s="14">
        <f t="shared" si="6"/>
        <v>22000</v>
      </c>
    </row>
    <row r="366" spans="1:6" x14ac:dyDescent="0.2">
      <c r="A366" s="18"/>
      <c r="B366" s="9"/>
      <c r="C366" s="9"/>
      <c r="D366" s="9">
        <f t="shared" si="6"/>
        <v>0</v>
      </c>
    </row>
    <row r="367" spans="1:6" x14ac:dyDescent="0.2">
      <c r="A367" s="18" t="s">
        <v>664</v>
      </c>
      <c r="B367" s="9">
        <f>B368+B372+B374</f>
        <v>84730</v>
      </c>
      <c r="C367" s="9">
        <f>C368+C372+C374</f>
        <v>-2283</v>
      </c>
      <c r="D367" s="9">
        <f t="shared" si="6"/>
        <v>82447</v>
      </c>
    </row>
    <row r="368" spans="1:6" x14ac:dyDescent="0.2">
      <c r="A368" s="18" t="s">
        <v>656</v>
      </c>
      <c r="B368" s="9">
        <f>B369+B370+B371</f>
        <v>62444</v>
      </c>
      <c r="C368" s="9">
        <f>C369+C370+C371</f>
        <v>-5890</v>
      </c>
      <c r="D368" s="9">
        <f t="shared" si="6"/>
        <v>56554</v>
      </c>
    </row>
    <row r="369" spans="1:6" x14ac:dyDescent="0.2">
      <c r="A369" s="13" t="s">
        <v>657</v>
      </c>
      <c r="B369" s="14">
        <v>11220</v>
      </c>
      <c r="C369" s="14">
        <v>-2210</v>
      </c>
      <c r="D369" s="14">
        <f t="shared" si="6"/>
        <v>9010</v>
      </c>
      <c r="F369" s="531" t="s">
        <v>1006</v>
      </c>
    </row>
    <row r="370" spans="1:6" x14ac:dyDescent="0.2">
      <c r="A370" s="13" t="s">
        <v>658</v>
      </c>
      <c r="B370" s="14">
        <v>47000</v>
      </c>
      <c r="C370" s="14">
        <v>-4000</v>
      </c>
      <c r="D370" s="14">
        <f t="shared" si="6"/>
        <v>43000</v>
      </c>
      <c r="F370" s="531" t="s">
        <v>1007</v>
      </c>
    </row>
    <row r="371" spans="1:6" x14ac:dyDescent="0.2">
      <c r="A371" s="13" t="s">
        <v>665</v>
      </c>
      <c r="B371" s="14">
        <v>4224</v>
      </c>
      <c r="C371" s="14">
        <v>320</v>
      </c>
      <c r="D371" s="14">
        <f t="shared" si="6"/>
        <v>4544</v>
      </c>
      <c r="F371" s="531" t="s">
        <v>1008</v>
      </c>
    </row>
    <row r="372" spans="1:6" x14ac:dyDescent="0.2">
      <c r="A372" s="376" t="s">
        <v>585</v>
      </c>
      <c r="B372" s="305">
        <f>B373</f>
        <v>6391</v>
      </c>
      <c r="C372" s="305">
        <f>C373</f>
        <v>1500</v>
      </c>
      <c r="D372" s="305">
        <f t="shared" si="6"/>
        <v>7891</v>
      </c>
    </row>
    <row r="373" spans="1:6" x14ac:dyDescent="0.2">
      <c r="A373" s="13" t="s">
        <v>587</v>
      </c>
      <c r="B373" s="14">
        <v>6391</v>
      </c>
      <c r="C373" s="14">
        <v>1500</v>
      </c>
      <c r="D373" s="14">
        <f t="shared" si="6"/>
        <v>7891</v>
      </c>
      <c r="F373" s="531" t="s">
        <v>1009</v>
      </c>
    </row>
    <row r="374" spans="1:6" x14ac:dyDescent="0.2">
      <c r="A374" s="18" t="s">
        <v>581</v>
      </c>
      <c r="B374" s="9">
        <f>B375+B376</f>
        <v>15895</v>
      </c>
      <c r="C374" s="9">
        <f>C375+C376</f>
        <v>2107</v>
      </c>
      <c r="D374" s="9">
        <f t="shared" si="6"/>
        <v>18002</v>
      </c>
    </row>
    <row r="375" spans="1:6" x14ac:dyDescent="0.2">
      <c r="A375" s="11" t="s">
        <v>582</v>
      </c>
      <c r="B375" s="12">
        <v>9395</v>
      </c>
      <c r="C375" s="12">
        <v>107</v>
      </c>
      <c r="D375" s="12">
        <f t="shared" si="6"/>
        <v>9502</v>
      </c>
      <c r="F375" s="531" t="s">
        <v>1010</v>
      </c>
    </row>
    <row r="376" spans="1:6" x14ac:dyDescent="0.2">
      <c r="A376" s="11" t="s">
        <v>583</v>
      </c>
      <c r="B376" s="12">
        <v>6500</v>
      </c>
      <c r="C376" s="12">
        <v>2000</v>
      </c>
      <c r="D376" s="12">
        <f t="shared" si="6"/>
        <v>8500</v>
      </c>
      <c r="F376" s="536" t="s">
        <v>1011</v>
      </c>
    </row>
    <row r="377" spans="1:6" x14ac:dyDescent="0.2">
      <c r="A377" s="13"/>
      <c r="B377" s="14"/>
      <c r="C377" s="14"/>
      <c r="D377" s="14">
        <f t="shared" si="6"/>
        <v>0</v>
      </c>
    </row>
    <row r="378" spans="1:6" x14ac:dyDescent="0.2">
      <c r="A378" s="18" t="s">
        <v>666</v>
      </c>
      <c r="B378" s="9">
        <f>B379</f>
        <v>64784</v>
      </c>
      <c r="C378" s="9">
        <f>C379</f>
        <v>0</v>
      </c>
      <c r="D378" s="9">
        <f t="shared" si="6"/>
        <v>64784</v>
      </c>
    </row>
    <row r="379" spans="1:6" x14ac:dyDescent="0.2">
      <c r="A379" s="18" t="s">
        <v>656</v>
      </c>
      <c r="B379" s="9">
        <f>B380+B381+B382+B383</f>
        <v>64784</v>
      </c>
      <c r="C379" s="9">
        <f>C380+C381+C382+C383</f>
        <v>0</v>
      </c>
      <c r="D379" s="9">
        <f t="shared" si="6"/>
        <v>64784</v>
      </c>
    </row>
    <row r="380" spans="1:6" x14ac:dyDescent="0.2">
      <c r="A380" s="13" t="s">
        <v>590</v>
      </c>
      <c r="B380" s="14">
        <v>10200</v>
      </c>
      <c r="C380" s="14"/>
      <c r="D380" s="14">
        <f t="shared" si="6"/>
        <v>10200</v>
      </c>
    </row>
    <row r="381" spans="1:6" x14ac:dyDescent="0.2">
      <c r="A381" s="13" t="s">
        <v>662</v>
      </c>
      <c r="B381" s="14">
        <v>6400</v>
      </c>
      <c r="C381" s="14">
        <v>-3225</v>
      </c>
      <c r="D381" s="14">
        <f t="shared" si="6"/>
        <v>3175</v>
      </c>
      <c r="F381" s="536" t="s">
        <v>1012</v>
      </c>
    </row>
    <row r="382" spans="1:6" x14ac:dyDescent="0.2">
      <c r="A382" s="13" t="s">
        <v>657</v>
      </c>
      <c r="B382" s="14">
        <v>43774</v>
      </c>
      <c r="C382" s="14">
        <v>3225</v>
      </c>
      <c r="D382" s="14">
        <f t="shared" si="6"/>
        <v>46999</v>
      </c>
      <c r="F382" s="536" t="s">
        <v>1013</v>
      </c>
    </row>
    <row r="383" spans="1:6" x14ac:dyDescent="0.2">
      <c r="A383" s="13" t="s">
        <v>667</v>
      </c>
      <c r="B383" s="14">
        <v>4410</v>
      </c>
      <c r="C383" s="14"/>
      <c r="D383" s="14">
        <f t="shared" si="6"/>
        <v>4410</v>
      </c>
    </row>
    <row r="384" spans="1:6" x14ac:dyDescent="0.2">
      <c r="A384" s="13"/>
      <c r="B384" s="14"/>
      <c r="C384" s="14"/>
      <c r="D384" s="14">
        <f t="shared" si="6"/>
        <v>0</v>
      </c>
    </row>
    <row r="385" spans="1:4" x14ac:dyDescent="0.2">
      <c r="A385" s="18" t="s">
        <v>668</v>
      </c>
      <c r="B385" s="9">
        <f>B386+B388</f>
        <v>193289</v>
      </c>
      <c r="C385" s="9">
        <f>C386+C388</f>
        <v>0</v>
      </c>
      <c r="D385" s="9">
        <f t="shared" si="6"/>
        <v>193289</v>
      </c>
    </row>
    <row r="386" spans="1:4" x14ac:dyDescent="0.2">
      <c r="A386" s="18" t="s">
        <v>669</v>
      </c>
      <c r="B386" s="9">
        <f>B387</f>
        <v>186669</v>
      </c>
      <c r="C386" s="9">
        <f>C387</f>
        <v>0</v>
      </c>
      <c r="D386" s="9">
        <f t="shared" si="6"/>
        <v>186669</v>
      </c>
    </row>
    <row r="387" spans="1:4" x14ac:dyDescent="0.2">
      <c r="A387" s="13" t="s">
        <v>590</v>
      </c>
      <c r="B387" s="14">
        <v>186669</v>
      </c>
      <c r="C387" s="14"/>
      <c r="D387" s="14">
        <f t="shared" si="6"/>
        <v>186669</v>
      </c>
    </row>
    <row r="388" spans="1:4" x14ac:dyDescent="0.2">
      <c r="A388" s="20" t="s">
        <v>581</v>
      </c>
      <c r="B388" s="21">
        <f>B389+B390</f>
        <v>6620</v>
      </c>
      <c r="C388" s="21">
        <f>C389+C390</f>
        <v>0</v>
      </c>
      <c r="D388" s="21">
        <f t="shared" si="6"/>
        <v>6620</v>
      </c>
    </row>
    <row r="389" spans="1:4" x14ac:dyDescent="0.2">
      <c r="A389" s="13" t="s">
        <v>582</v>
      </c>
      <c r="B389" s="14">
        <v>339</v>
      </c>
      <c r="C389" s="14"/>
      <c r="D389" s="14">
        <f t="shared" si="6"/>
        <v>339</v>
      </c>
    </row>
    <row r="390" spans="1:4" x14ac:dyDescent="0.2">
      <c r="A390" s="11" t="s">
        <v>583</v>
      </c>
      <c r="B390" s="12">
        <v>6281</v>
      </c>
      <c r="C390" s="12"/>
      <c r="D390" s="12">
        <f t="shared" ref="D390:D453" si="7">B390+C390</f>
        <v>6281</v>
      </c>
    </row>
    <row r="391" spans="1:4" x14ac:dyDescent="0.2">
      <c r="A391" s="11"/>
      <c r="B391" s="12"/>
      <c r="C391" s="12"/>
      <c r="D391" s="12">
        <f t="shared" si="7"/>
        <v>0</v>
      </c>
    </row>
    <row r="392" spans="1:4" x14ac:dyDescent="0.2">
      <c r="A392" s="5" t="s">
        <v>670</v>
      </c>
      <c r="B392" s="6">
        <f>SUM(B393,B398,B400)</f>
        <v>3368610</v>
      </c>
      <c r="C392" s="6"/>
      <c r="D392" s="6">
        <f t="shared" si="7"/>
        <v>3368610</v>
      </c>
    </row>
    <row r="393" spans="1:4" x14ac:dyDescent="0.2">
      <c r="A393" s="18" t="s">
        <v>648</v>
      </c>
      <c r="B393" s="9">
        <f>B394+B395+B396+B397</f>
        <v>3335410</v>
      </c>
      <c r="C393" s="9"/>
      <c r="D393" s="9">
        <f t="shared" si="7"/>
        <v>3335410</v>
      </c>
    </row>
    <row r="394" spans="1:4" x14ac:dyDescent="0.2">
      <c r="A394" s="11" t="s">
        <v>649</v>
      </c>
      <c r="B394" s="12">
        <v>1139750</v>
      </c>
      <c r="C394" s="12"/>
      <c r="D394" s="12">
        <f t="shared" si="7"/>
        <v>1139750</v>
      </c>
    </row>
    <row r="395" spans="1:4" x14ac:dyDescent="0.2">
      <c r="A395" s="11" t="s">
        <v>583</v>
      </c>
      <c r="B395" s="12">
        <v>2040060</v>
      </c>
      <c r="C395" s="12"/>
      <c r="D395" s="12">
        <f t="shared" si="7"/>
        <v>2040060</v>
      </c>
    </row>
    <row r="396" spans="1:4" x14ac:dyDescent="0.2">
      <c r="A396" s="11" t="s">
        <v>671</v>
      </c>
      <c r="B396" s="12">
        <v>139000</v>
      </c>
      <c r="C396" s="12"/>
      <c r="D396" s="12">
        <f t="shared" si="7"/>
        <v>139000</v>
      </c>
    </row>
    <row r="397" spans="1:4" x14ac:dyDescent="0.2">
      <c r="A397" s="11" t="s">
        <v>672</v>
      </c>
      <c r="B397" s="12">
        <v>16600</v>
      </c>
      <c r="C397" s="12"/>
      <c r="D397" s="12">
        <f t="shared" si="7"/>
        <v>16600</v>
      </c>
    </row>
    <row r="398" spans="1:4" x14ac:dyDescent="0.2">
      <c r="A398" s="18" t="s">
        <v>581</v>
      </c>
      <c r="B398" s="9">
        <f>B399</f>
        <v>32100</v>
      </c>
      <c r="C398" s="9"/>
      <c r="D398" s="9">
        <f t="shared" si="7"/>
        <v>32100</v>
      </c>
    </row>
    <row r="399" spans="1:4" x14ac:dyDescent="0.2">
      <c r="A399" s="11" t="s">
        <v>582</v>
      </c>
      <c r="B399" s="12">
        <v>32100</v>
      </c>
      <c r="C399" s="12"/>
      <c r="D399" s="12">
        <f t="shared" si="7"/>
        <v>32100</v>
      </c>
    </row>
    <row r="400" spans="1:4" x14ac:dyDescent="0.2">
      <c r="A400" s="377" t="s">
        <v>589</v>
      </c>
      <c r="B400" s="40">
        <f>B401</f>
        <v>1100</v>
      </c>
      <c r="C400" s="40"/>
      <c r="D400" s="40">
        <f t="shared" si="7"/>
        <v>1100</v>
      </c>
    </row>
    <row r="401" spans="1:6" x14ac:dyDescent="0.2">
      <c r="A401" s="11" t="s">
        <v>590</v>
      </c>
      <c r="B401" s="12">
        <v>1100</v>
      </c>
      <c r="C401" s="12"/>
      <c r="D401" s="12">
        <f t="shared" si="7"/>
        <v>1100</v>
      </c>
    </row>
    <row r="402" spans="1:6" x14ac:dyDescent="0.2">
      <c r="A402" s="11"/>
      <c r="B402" s="12"/>
      <c r="C402" s="12"/>
      <c r="D402" s="12">
        <f t="shared" si="7"/>
        <v>0</v>
      </c>
    </row>
    <row r="403" spans="1:6" x14ac:dyDescent="0.2">
      <c r="A403" s="5" t="s">
        <v>863</v>
      </c>
      <c r="B403" s="6">
        <f>B405+B413</f>
        <v>1078914</v>
      </c>
      <c r="C403" s="6">
        <f>C405+C413</f>
        <v>-85500</v>
      </c>
      <c r="D403" s="6">
        <f t="shared" si="7"/>
        <v>993414</v>
      </c>
    </row>
    <row r="404" spans="1:6" x14ac:dyDescent="0.2">
      <c r="A404" s="5"/>
      <c r="B404" s="6"/>
      <c r="C404" s="6"/>
      <c r="D404" s="6">
        <f t="shared" si="7"/>
        <v>0</v>
      </c>
    </row>
    <row r="405" spans="1:6" x14ac:dyDescent="0.2">
      <c r="A405" s="18" t="s">
        <v>673</v>
      </c>
      <c r="B405" s="9">
        <f>B406+B410</f>
        <v>506414</v>
      </c>
      <c r="C405" s="9">
        <f>C406+C410</f>
        <v>0</v>
      </c>
      <c r="D405" s="9">
        <f t="shared" si="7"/>
        <v>506414</v>
      </c>
    </row>
    <row r="406" spans="1:6" x14ac:dyDescent="0.2">
      <c r="A406" s="18" t="s">
        <v>585</v>
      </c>
      <c r="B406" s="9">
        <f>B407+B408+B409</f>
        <v>495907</v>
      </c>
      <c r="C406" s="9">
        <f>C407+C408+C409</f>
        <v>0</v>
      </c>
      <c r="D406" s="9">
        <f t="shared" si="7"/>
        <v>495907</v>
      </c>
    </row>
    <row r="407" spans="1:6" x14ac:dyDescent="0.2">
      <c r="A407" s="11" t="s">
        <v>628</v>
      </c>
      <c r="B407" s="12">
        <v>327950</v>
      </c>
      <c r="C407" s="12"/>
      <c r="D407" s="12">
        <f t="shared" si="7"/>
        <v>327950</v>
      </c>
    </row>
    <row r="408" spans="1:6" x14ac:dyDescent="0.2">
      <c r="A408" s="11" t="s">
        <v>590</v>
      </c>
      <c r="B408" s="12">
        <v>40780</v>
      </c>
      <c r="C408" s="12"/>
      <c r="D408" s="12">
        <f t="shared" si="7"/>
        <v>40780</v>
      </c>
    </row>
    <row r="409" spans="1:6" x14ac:dyDescent="0.2">
      <c r="A409" s="11" t="s">
        <v>7</v>
      </c>
      <c r="B409" s="12">
        <v>127177</v>
      </c>
      <c r="C409" s="12"/>
      <c r="D409" s="12">
        <f t="shared" si="7"/>
        <v>127177</v>
      </c>
    </row>
    <row r="410" spans="1:6" x14ac:dyDescent="0.2">
      <c r="A410" s="25" t="s">
        <v>638</v>
      </c>
      <c r="B410" s="9">
        <f>B411</f>
        <v>10507</v>
      </c>
      <c r="C410" s="9">
        <f>C411</f>
        <v>0</v>
      </c>
      <c r="D410" s="9">
        <f t="shared" si="7"/>
        <v>10507</v>
      </c>
    </row>
    <row r="411" spans="1:6" x14ac:dyDescent="0.2">
      <c r="A411" s="11" t="s">
        <v>674</v>
      </c>
      <c r="B411" s="12">
        <v>10507</v>
      </c>
      <c r="C411" s="12"/>
      <c r="D411" s="12">
        <f t="shared" si="7"/>
        <v>10507</v>
      </c>
    </row>
    <row r="412" spans="1:6" x14ac:dyDescent="0.2">
      <c r="A412" s="11"/>
      <c r="B412" s="12"/>
      <c r="C412" s="12"/>
      <c r="D412" s="12">
        <f t="shared" si="7"/>
        <v>0</v>
      </c>
    </row>
    <row r="413" spans="1:6" x14ac:dyDescent="0.2">
      <c r="A413" s="20" t="s">
        <v>675</v>
      </c>
      <c r="B413" s="21">
        <f>B414+B417+B419</f>
        <v>572500</v>
      </c>
      <c r="C413" s="21">
        <f>C414+C417+C419</f>
        <v>-85500</v>
      </c>
      <c r="D413" s="21">
        <f t="shared" si="7"/>
        <v>487000</v>
      </c>
    </row>
    <row r="414" spans="1:6" x14ac:dyDescent="0.2">
      <c r="A414" s="18" t="s">
        <v>581</v>
      </c>
      <c r="B414" s="9">
        <f>B415+B416</f>
        <v>161000</v>
      </c>
      <c r="C414" s="9">
        <f>C415+C416</f>
        <v>-22400</v>
      </c>
      <c r="D414" s="9">
        <f t="shared" si="7"/>
        <v>138600</v>
      </c>
    </row>
    <row r="415" spans="1:6" x14ac:dyDescent="0.2">
      <c r="A415" s="11" t="s">
        <v>582</v>
      </c>
      <c r="B415" s="12">
        <v>112000</v>
      </c>
      <c r="C415" s="12">
        <v>-22400</v>
      </c>
      <c r="D415" s="12">
        <f t="shared" si="7"/>
        <v>89600</v>
      </c>
      <c r="F415" s="531" t="s">
        <v>1014</v>
      </c>
    </row>
    <row r="416" spans="1:6" x14ac:dyDescent="0.2">
      <c r="A416" s="11" t="s">
        <v>583</v>
      </c>
      <c r="B416" s="12">
        <v>49000</v>
      </c>
      <c r="C416" s="12"/>
      <c r="D416" s="12">
        <f t="shared" si="7"/>
        <v>49000</v>
      </c>
    </row>
    <row r="417" spans="1:6" x14ac:dyDescent="0.2">
      <c r="A417" s="20" t="s">
        <v>638</v>
      </c>
      <c r="B417" s="21">
        <f>B418</f>
        <v>399500</v>
      </c>
      <c r="C417" s="21">
        <f>C418</f>
        <v>-63100</v>
      </c>
      <c r="D417" s="21">
        <f t="shared" si="7"/>
        <v>336400</v>
      </c>
    </row>
    <row r="418" spans="1:6" x14ac:dyDescent="0.2">
      <c r="A418" s="13" t="s">
        <v>676</v>
      </c>
      <c r="B418" s="14">
        <v>399500</v>
      </c>
      <c r="C418" s="14">
        <v>-63100</v>
      </c>
      <c r="D418" s="14">
        <f t="shared" si="7"/>
        <v>336400</v>
      </c>
      <c r="F418" s="531" t="s">
        <v>1015</v>
      </c>
    </row>
    <row r="419" spans="1:6" x14ac:dyDescent="0.2">
      <c r="A419" s="376" t="s">
        <v>585</v>
      </c>
      <c r="B419" s="305">
        <f>B420</f>
        <v>12000</v>
      </c>
      <c r="C419" s="305">
        <f>C420</f>
        <v>0</v>
      </c>
      <c r="D419" s="305">
        <f t="shared" si="7"/>
        <v>12000</v>
      </c>
    </row>
    <row r="420" spans="1:6" x14ac:dyDescent="0.2">
      <c r="A420" s="13" t="s">
        <v>136</v>
      </c>
      <c r="B420" s="14">
        <v>12000</v>
      </c>
      <c r="C420" s="14"/>
      <c r="D420" s="14">
        <f t="shared" si="7"/>
        <v>12000</v>
      </c>
    </row>
    <row r="421" spans="1:6" x14ac:dyDescent="0.2">
      <c r="A421" s="11"/>
      <c r="B421" s="12"/>
      <c r="C421" s="12"/>
      <c r="D421" s="12">
        <f t="shared" si="7"/>
        <v>0</v>
      </c>
    </row>
    <row r="422" spans="1:6" x14ac:dyDescent="0.2">
      <c r="A422" s="5" t="s">
        <v>677</v>
      </c>
      <c r="B422" s="6">
        <f>SUM(B423,B427,B431)</f>
        <v>6602030</v>
      </c>
      <c r="C422" s="6"/>
      <c r="D422" s="6">
        <f t="shared" si="7"/>
        <v>6602030</v>
      </c>
    </row>
    <row r="423" spans="1:6" x14ac:dyDescent="0.2">
      <c r="A423" s="18" t="s">
        <v>678</v>
      </c>
      <c r="B423" s="9">
        <f>SUM(B424:B426)</f>
        <v>6545600</v>
      </c>
      <c r="C423" s="9"/>
      <c r="D423" s="9">
        <f t="shared" si="7"/>
        <v>6545600</v>
      </c>
    </row>
    <row r="424" spans="1:6" x14ac:dyDescent="0.2">
      <c r="A424" s="13" t="s">
        <v>679</v>
      </c>
      <c r="B424" s="14">
        <f>3500000+3000000</f>
        <v>6500000</v>
      </c>
      <c r="C424" s="14"/>
      <c r="D424" s="14">
        <f t="shared" si="7"/>
        <v>6500000</v>
      </c>
    </row>
    <row r="425" spans="1:6" x14ac:dyDescent="0.2">
      <c r="A425" s="13" t="s">
        <v>680</v>
      </c>
      <c r="B425" s="14">
        <v>22500</v>
      </c>
      <c r="C425" s="14"/>
      <c r="D425" s="14">
        <f t="shared" si="7"/>
        <v>22500</v>
      </c>
    </row>
    <row r="426" spans="1:6" x14ac:dyDescent="0.2">
      <c r="A426" s="13" t="s">
        <v>681</v>
      </c>
      <c r="B426" s="14">
        <v>23100</v>
      </c>
      <c r="C426" s="14"/>
      <c r="D426" s="14">
        <f t="shared" si="7"/>
        <v>23100</v>
      </c>
    </row>
    <row r="427" spans="1:6" x14ac:dyDescent="0.2">
      <c r="A427" s="18" t="s">
        <v>581</v>
      </c>
      <c r="B427" s="9">
        <f>SUM(B428:B430)</f>
        <v>44889</v>
      </c>
      <c r="C427" s="9"/>
      <c r="D427" s="9">
        <f t="shared" si="7"/>
        <v>44889</v>
      </c>
    </row>
    <row r="428" spans="1:6" x14ac:dyDescent="0.2">
      <c r="A428" s="11" t="s">
        <v>582</v>
      </c>
      <c r="B428" s="12">
        <v>4283</v>
      </c>
      <c r="C428" s="12"/>
      <c r="D428" s="12">
        <f t="shared" si="7"/>
        <v>4283</v>
      </c>
    </row>
    <row r="429" spans="1:6" x14ac:dyDescent="0.2">
      <c r="A429" s="11" t="s">
        <v>583</v>
      </c>
      <c r="B429" s="12">
        <v>500</v>
      </c>
      <c r="C429" s="12"/>
      <c r="D429" s="12">
        <f t="shared" si="7"/>
        <v>500</v>
      </c>
    </row>
    <row r="430" spans="1:6" x14ac:dyDescent="0.2">
      <c r="A430" s="11" t="s">
        <v>599</v>
      </c>
      <c r="B430" s="12">
        <v>40106</v>
      </c>
      <c r="C430" s="12"/>
      <c r="D430" s="12">
        <f t="shared" si="7"/>
        <v>40106</v>
      </c>
    </row>
    <row r="431" spans="1:6" x14ac:dyDescent="0.2">
      <c r="A431" s="376" t="s">
        <v>585</v>
      </c>
      <c r="B431" s="305">
        <f>SUM(B432)</f>
        <v>11541</v>
      </c>
      <c r="C431" s="305"/>
      <c r="D431" s="305">
        <f t="shared" si="7"/>
        <v>11541</v>
      </c>
    </row>
    <row r="432" spans="1:6" x14ac:dyDescent="0.2">
      <c r="A432" s="13" t="s">
        <v>587</v>
      </c>
      <c r="B432" s="14">
        <v>11541</v>
      </c>
      <c r="C432" s="14"/>
      <c r="D432" s="14">
        <f t="shared" si="7"/>
        <v>11541</v>
      </c>
    </row>
    <row r="433" spans="1:4" x14ac:dyDescent="0.2">
      <c r="A433" s="18"/>
      <c r="B433" s="9"/>
      <c r="C433" s="9"/>
      <c r="D433" s="9">
        <f t="shared" si="7"/>
        <v>0</v>
      </c>
    </row>
    <row r="434" spans="1:4" x14ac:dyDescent="0.2">
      <c r="A434" s="5" t="s">
        <v>682</v>
      </c>
      <c r="B434" s="6">
        <f>SUM(B436,B447)</f>
        <v>722758</v>
      </c>
      <c r="C434" s="6"/>
      <c r="D434" s="6">
        <f t="shared" si="7"/>
        <v>722758</v>
      </c>
    </row>
    <row r="435" spans="1:4" x14ac:dyDescent="0.2">
      <c r="A435" s="18"/>
      <c r="B435" s="9"/>
      <c r="C435" s="9"/>
      <c r="D435" s="9">
        <f t="shared" si="7"/>
        <v>0</v>
      </c>
    </row>
    <row r="436" spans="1:4" x14ac:dyDescent="0.2">
      <c r="A436" s="18" t="s">
        <v>683</v>
      </c>
      <c r="B436" s="9">
        <f>SUM(B437,B439,B442,B444)</f>
        <v>575332</v>
      </c>
      <c r="C436" s="9"/>
      <c r="D436" s="9">
        <f t="shared" si="7"/>
        <v>575332</v>
      </c>
    </row>
    <row r="437" spans="1:4" x14ac:dyDescent="0.2">
      <c r="A437" s="18" t="s">
        <v>638</v>
      </c>
      <c r="B437" s="9">
        <f>B438</f>
        <v>175000</v>
      </c>
      <c r="C437" s="9"/>
      <c r="D437" s="9">
        <f t="shared" si="7"/>
        <v>175000</v>
      </c>
    </row>
    <row r="438" spans="1:4" x14ac:dyDescent="0.2">
      <c r="A438" s="11" t="s">
        <v>684</v>
      </c>
      <c r="B438" s="12">
        <v>175000</v>
      </c>
      <c r="C438" s="12"/>
      <c r="D438" s="12">
        <f t="shared" si="7"/>
        <v>175000</v>
      </c>
    </row>
    <row r="439" spans="1:4" x14ac:dyDescent="0.2">
      <c r="A439" s="18" t="s">
        <v>581</v>
      </c>
      <c r="B439" s="9">
        <f>B440+B441</f>
        <v>231032</v>
      </c>
      <c r="C439" s="9"/>
      <c r="D439" s="9">
        <f t="shared" si="7"/>
        <v>231032</v>
      </c>
    </row>
    <row r="440" spans="1:4" x14ac:dyDescent="0.2">
      <c r="A440" s="11" t="s">
        <v>582</v>
      </c>
      <c r="B440" s="12">
        <v>230018</v>
      </c>
      <c r="C440" s="12"/>
      <c r="D440" s="12">
        <f t="shared" si="7"/>
        <v>230018</v>
      </c>
    </row>
    <row r="441" spans="1:4" x14ac:dyDescent="0.2">
      <c r="A441" s="11" t="s">
        <v>583</v>
      </c>
      <c r="B441" s="12">
        <v>1014</v>
      </c>
      <c r="C441" s="12"/>
      <c r="D441" s="12">
        <f t="shared" si="7"/>
        <v>1014</v>
      </c>
    </row>
    <row r="442" spans="1:4" x14ac:dyDescent="0.2">
      <c r="A442" s="18" t="s">
        <v>631</v>
      </c>
      <c r="B442" s="9">
        <f>B443</f>
        <v>167000</v>
      </c>
      <c r="C442" s="9"/>
      <c r="D442" s="9">
        <f t="shared" si="7"/>
        <v>167000</v>
      </c>
    </row>
    <row r="443" spans="1:4" x14ac:dyDescent="0.2">
      <c r="A443" s="11" t="s">
        <v>685</v>
      </c>
      <c r="B443" s="12">
        <v>167000</v>
      </c>
      <c r="C443" s="12"/>
      <c r="D443" s="12">
        <f t="shared" si="7"/>
        <v>167000</v>
      </c>
    </row>
    <row r="444" spans="1:4" x14ac:dyDescent="0.2">
      <c r="A444" s="2" t="s">
        <v>585</v>
      </c>
      <c r="B444" s="40">
        <f>B445</f>
        <v>2300</v>
      </c>
      <c r="C444" s="40"/>
      <c r="D444" s="40">
        <f t="shared" si="7"/>
        <v>2300</v>
      </c>
    </row>
    <row r="445" spans="1:4" x14ac:dyDescent="0.2">
      <c r="A445" s="13" t="s">
        <v>587</v>
      </c>
      <c r="B445" s="14">
        <v>2300</v>
      </c>
      <c r="C445" s="14"/>
      <c r="D445" s="14">
        <f t="shared" si="7"/>
        <v>2300</v>
      </c>
    </row>
    <row r="446" spans="1:4" x14ac:dyDescent="0.2">
      <c r="A446" s="11"/>
      <c r="B446" s="12"/>
      <c r="C446" s="12"/>
      <c r="D446" s="12">
        <f t="shared" si="7"/>
        <v>0</v>
      </c>
    </row>
    <row r="447" spans="1:4" x14ac:dyDescent="0.2">
      <c r="A447" s="18" t="s">
        <v>686</v>
      </c>
      <c r="B447" s="9">
        <f>SUM(B448,B450)</f>
        <v>147426</v>
      </c>
      <c r="C447" s="9"/>
      <c r="D447" s="9">
        <f t="shared" si="7"/>
        <v>147426</v>
      </c>
    </row>
    <row r="448" spans="1:4" x14ac:dyDescent="0.2">
      <c r="A448" s="376" t="s">
        <v>585</v>
      </c>
      <c r="B448" s="305">
        <f>SUM(B449)</f>
        <v>127830</v>
      </c>
      <c r="C448" s="305"/>
      <c r="D448" s="305">
        <f t="shared" si="7"/>
        <v>127830</v>
      </c>
    </row>
    <row r="449" spans="1:6" x14ac:dyDescent="0.2">
      <c r="A449" s="11" t="s">
        <v>687</v>
      </c>
      <c r="B449" s="12">
        <v>127830</v>
      </c>
      <c r="C449" s="12"/>
      <c r="D449" s="12">
        <f t="shared" si="7"/>
        <v>127830</v>
      </c>
    </row>
    <row r="450" spans="1:6" x14ac:dyDescent="0.2">
      <c r="A450" s="18" t="s">
        <v>581</v>
      </c>
      <c r="B450" s="9">
        <f>B451+B452</f>
        <v>19596</v>
      </c>
      <c r="C450" s="9"/>
      <c r="D450" s="9">
        <f t="shared" si="7"/>
        <v>19596</v>
      </c>
    </row>
    <row r="451" spans="1:6" x14ac:dyDescent="0.2">
      <c r="A451" s="11" t="s">
        <v>582</v>
      </c>
      <c r="B451" s="12">
        <v>9480</v>
      </c>
      <c r="C451" s="12"/>
      <c r="D451" s="12">
        <f t="shared" si="7"/>
        <v>9480</v>
      </c>
    </row>
    <row r="452" spans="1:6" x14ac:dyDescent="0.2">
      <c r="A452" s="11" t="s">
        <v>583</v>
      </c>
      <c r="B452" s="12">
        <v>10116</v>
      </c>
      <c r="C452" s="12"/>
      <c r="D452" s="12">
        <f t="shared" si="7"/>
        <v>10116</v>
      </c>
    </row>
    <row r="453" spans="1:6" x14ac:dyDescent="0.2">
      <c r="A453" s="18"/>
      <c r="B453" s="9"/>
      <c r="C453" s="9"/>
      <c r="D453" s="9">
        <f t="shared" si="7"/>
        <v>0</v>
      </c>
    </row>
    <row r="454" spans="1:6" x14ac:dyDescent="0.2">
      <c r="A454" s="5" t="s">
        <v>688</v>
      </c>
      <c r="B454" s="6">
        <f>SUM(B456,B464,B470)</f>
        <v>2149745</v>
      </c>
      <c r="C454" s="6">
        <f>SUM(C456,C464,C470)</f>
        <v>9750</v>
      </c>
      <c r="D454" s="6">
        <f t="shared" ref="D454:D517" si="8">B454+C454</f>
        <v>2159495</v>
      </c>
    </row>
    <row r="455" spans="1:6" x14ac:dyDescent="0.2">
      <c r="A455" s="26"/>
      <c r="B455" s="27"/>
      <c r="C455" s="500"/>
      <c r="D455" s="27">
        <f t="shared" si="8"/>
        <v>0</v>
      </c>
    </row>
    <row r="456" spans="1:6" x14ac:dyDescent="0.2">
      <c r="A456" s="20" t="s">
        <v>689</v>
      </c>
      <c r="B456" s="21">
        <f>SUM(B457,B460)</f>
        <v>1205795</v>
      </c>
      <c r="C456" s="503">
        <f>SUM(C457,C460)</f>
        <v>-250</v>
      </c>
      <c r="D456" s="21">
        <f t="shared" si="8"/>
        <v>1205545</v>
      </c>
    </row>
    <row r="457" spans="1:6" x14ac:dyDescent="0.2">
      <c r="A457" s="18" t="s">
        <v>581</v>
      </c>
      <c r="B457" s="9">
        <f>SUM(B458:B459)</f>
        <v>54795</v>
      </c>
      <c r="C457" s="500"/>
      <c r="D457" s="9">
        <f t="shared" si="8"/>
        <v>54795</v>
      </c>
    </row>
    <row r="458" spans="1:6" x14ac:dyDescent="0.2">
      <c r="A458" s="11" t="s">
        <v>582</v>
      </c>
      <c r="B458" s="12">
        <v>36795</v>
      </c>
      <c r="C458" s="500"/>
      <c r="D458" s="12">
        <f t="shared" si="8"/>
        <v>36795</v>
      </c>
    </row>
    <row r="459" spans="1:6" x14ac:dyDescent="0.2">
      <c r="A459" s="11" t="s">
        <v>583</v>
      </c>
      <c r="B459" s="12">
        <v>18000</v>
      </c>
      <c r="C459" s="500"/>
      <c r="D459" s="12">
        <f t="shared" si="8"/>
        <v>18000</v>
      </c>
    </row>
    <row r="460" spans="1:6" x14ac:dyDescent="0.2">
      <c r="A460" s="18" t="s">
        <v>690</v>
      </c>
      <c r="B460" s="9">
        <f>SUM(B461:B462)</f>
        <v>1151000</v>
      </c>
      <c r="C460" s="504">
        <f>SUM(C461:C462)</f>
        <v>-250</v>
      </c>
      <c r="D460" s="9">
        <f t="shared" si="8"/>
        <v>1150750</v>
      </c>
    </row>
    <row r="461" spans="1:6" x14ac:dyDescent="0.2">
      <c r="A461" s="11" t="s">
        <v>691</v>
      </c>
      <c r="B461" s="12">
        <v>1000</v>
      </c>
      <c r="C461" s="10">
        <v>-250</v>
      </c>
      <c r="D461" s="12">
        <f t="shared" si="8"/>
        <v>750</v>
      </c>
      <c r="F461" s="531" t="s">
        <v>996</v>
      </c>
    </row>
    <row r="462" spans="1:6" x14ac:dyDescent="0.2">
      <c r="A462" s="11" t="s">
        <v>100</v>
      </c>
      <c r="B462" s="12">
        <v>1150000</v>
      </c>
      <c r="C462" s="500"/>
      <c r="D462" s="12">
        <f t="shared" si="8"/>
        <v>1150000</v>
      </c>
      <c r="F462" s="487"/>
    </row>
    <row r="463" spans="1:6" x14ac:dyDescent="0.2">
      <c r="A463" s="20"/>
      <c r="B463" s="21"/>
      <c r="C463" s="500"/>
      <c r="D463" s="21">
        <f t="shared" si="8"/>
        <v>0</v>
      </c>
      <c r="F463" s="487"/>
    </row>
    <row r="464" spans="1:6" x14ac:dyDescent="0.2">
      <c r="A464" s="18" t="s">
        <v>692</v>
      </c>
      <c r="B464" s="9">
        <f>SUM(B465,B467)</f>
        <v>751600</v>
      </c>
      <c r="C464" s="500"/>
      <c r="D464" s="9">
        <f t="shared" si="8"/>
        <v>751600</v>
      </c>
      <c r="F464" s="487"/>
    </row>
    <row r="465" spans="1:6" x14ac:dyDescent="0.2">
      <c r="A465" s="18" t="s">
        <v>581</v>
      </c>
      <c r="B465" s="9">
        <f>SUM(B466:B466)</f>
        <v>600</v>
      </c>
      <c r="C465" s="500"/>
      <c r="D465" s="9">
        <f t="shared" si="8"/>
        <v>600</v>
      </c>
      <c r="F465" s="487"/>
    </row>
    <row r="466" spans="1:6" x14ac:dyDescent="0.2">
      <c r="A466" s="11" t="s">
        <v>583</v>
      </c>
      <c r="B466" s="12">
        <v>600</v>
      </c>
      <c r="C466" s="500"/>
      <c r="D466" s="12">
        <f t="shared" si="8"/>
        <v>600</v>
      </c>
      <c r="F466" s="487"/>
    </row>
    <row r="467" spans="1:6" x14ac:dyDescent="0.2">
      <c r="A467" s="376" t="s">
        <v>585</v>
      </c>
      <c r="B467" s="305">
        <f>SUM(B468)</f>
        <v>751000</v>
      </c>
      <c r="C467" s="500"/>
      <c r="D467" s="305">
        <f t="shared" si="8"/>
        <v>751000</v>
      </c>
      <c r="F467" s="487"/>
    </row>
    <row r="468" spans="1:6" x14ac:dyDescent="0.2">
      <c r="A468" s="11" t="s">
        <v>693</v>
      </c>
      <c r="B468" s="12">
        <v>751000</v>
      </c>
      <c r="C468" s="500"/>
      <c r="D468" s="12">
        <f t="shared" si="8"/>
        <v>751000</v>
      </c>
      <c r="F468" s="487"/>
    </row>
    <row r="469" spans="1:6" x14ac:dyDescent="0.2">
      <c r="A469" s="18"/>
      <c r="B469" s="9"/>
      <c r="C469" s="500"/>
      <c r="D469" s="9">
        <f t="shared" si="8"/>
        <v>0</v>
      </c>
      <c r="F469" s="487"/>
    </row>
    <row r="470" spans="1:6" x14ac:dyDescent="0.2">
      <c r="A470" s="18" t="s">
        <v>694</v>
      </c>
      <c r="B470" s="9">
        <f>SUM(B471)</f>
        <v>192350</v>
      </c>
      <c r="C470" s="504">
        <f>SUM(C471)</f>
        <v>10000</v>
      </c>
      <c r="D470" s="9">
        <f t="shared" si="8"/>
        <v>202350</v>
      </c>
      <c r="F470" s="487"/>
    </row>
    <row r="471" spans="1:6" x14ac:dyDescent="0.2">
      <c r="A471" s="376" t="s">
        <v>596</v>
      </c>
      <c r="B471" s="305">
        <f>SUM(B472:B473)</f>
        <v>192350</v>
      </c>
      <c r="C471" s="492">
        <f>SUM(C472:C473)</f>
        <v>10000</v>
      </c>
      <c r="D471" s="305">
        <f t="shared" si="8"/>
        <v>202350</v>
      </c>
      <c r="F471" s="531" t="s">
        <v>997</v>
      </c>
    </row>
    <row r="472" spans="1:6" x14ac:dyDescent="0.2">
      <c r="A472" s="11" t="s">
        <v>0</v>
      </c>
      <c r="B472" s="12">
        <v>96100</v>
      </c>
      <c r="C472" s="12">
        <v>5000</v>
      </c>
      <c r="D472" s="12">
        <f t="shared" si="8"/>
        <v>101100</v>
      </c>
      <c r="F472" s="531" t="s">
        <v>998</v>
      </c>
    </row>
    <row r="473" spans="1:6" x14ac:dyDescent="0.2">
      <c r="A473" s="11" t="s">
        <v>1</v>
      </c>
      <c r="B473" s="12">
        <v>96250</v>
      </c>
      <c r="C473" s="12">
        <v>5000</v>
      </c>
      <c r="D473" s="12">
        <f t="shared" si="8"/>
        <v>101250</v>
      </c>
      <c r="F473" s="531" t="s">
        <v>999</v>
      </c>
    </row>
    <row r="474" spans="1:6" x14ac:dyDescent="0.2">
      <c r="A474" s="18"/>
      <c r="B474" s="9"/>
      <c r="C474" s="9"/>
      <c r="D474" s="9">
        <f t="shared" si="8"/>
        <v>0</v>
      </c>
    </row>
    <row r="475" spans="1:6" x14ac:dyDescent="0.2">
      <c r="A475" s="5" t="s">
        <v>2</v>
      </c>
      <c r="B475" s="6">
        <f>SUM(B476)</f>
        <v>5300</v>
      </c>
      <c r="C475" s="6"/>
      <c r="D475" s="6">
        <f t="shared" si="8"/>
        <v>5300</v>
      </c>
    </row>
    <row r="476" spans="1:6" x14ac:dyDescent="0.2">
      <c r="A476" s="18" t="s">
        <v>589</v>
      </c>
      <c r="B476" s="9">
        <f>SUM(B477)</f>
        <v>5300</v>
      </c>
      <c r="C476" s="9"/>
      <c r="D476" s="9">
        <f t="shared" si="8"/>
        <v>5300</v>
      </c>
    </row>
    <row r="477" spans="1:6" x14ac:dyDescent="0.2">
      <c r="A477" s="11" t="s">
        <v>590</v>
      </c>
      <c r="B477" s="12">
        <f>3300+2000</f>
        <v>5300</v>
      </c>
      <c r="C477" s="12"/>
      <c r="D477" s="12">
        <f t="shared" si="8"/>
        <v>5300</v>
      </c>
    </row>
    <row r="478" spans="1:6" x14ac:dyDescent="0.2">
      <c r="A478" s="18"/>
      <c r="B478" s="9"/>
      <c r="C478" s="9"/>
      <c r="D478" s="9">
        <f t="shared" si="8"/>
        <v>0</v>
      </c>
    </row>
    <row r="479" spans="1:6" x14ac:dyDescent="0.2">
      <c r="A479" s="5" t="s">
        <v>3</v>
      </c>
      <c r="B479" s="6">
        <f>B481+B495+B504</f>
        <v>328270</v>
      </c>
      <c r="C479" s="6"/>
      <c r="D479" s="6">
        <f t="shared" si="8"/>
        <v>328270</v>
      </c>
    </row>
    <row r="480" spans="1:6" x14ac:dyDescent="0.2">
      <c r="A480" s="15"/>
      <c r="B480" s="16"/>
      <c r="C480" s="16"/>
      <c r="D480" s="16">
        <f t="shared" si="8"/>
        <v>0</v>
      </c>
    </row>
    <row r="481" spans="1:4" x14ac:dyDescent="0.2">
      <c r="A481" s="18" t="s">
        <v>4</v>
      </c>
      <c r="B481" s="9">
        <f>B482+B486+B489+B491</f>
        <v>277200</v>
      </c>
      <c r="C481" s="9"/>
      <c r="D481" s="9">
        <f t="shared" si="8"/>
        <v>277200</v>
      </c>
    </row>
    <row r="482" spans="1:4" x14ac:dyDescent="0.2">
      <c r="A482" s="18" t="s">
        <v>648</v>
      </c>
      <c r="B482" s="9">
        <f>SUM(B483:B485)</f>
        <v>67200</v>
      </c>
      <c r="C482" s="9"/>
      <c r="D482" s="9">
        <f t="shared" si="8"/>
        <v>67200</v>
      </c>
    </row>
    <row r="483" spans="1:4" x14ac:dyDescent="0.2">
      <c r="A483" s="11" t="s">
        <v>649</v>
      </c>
      <c r="B483" s="12">
        <v>13600</v>
      </c>
      <c r="C483" s="12"/>
      <c r="D483" s="12">
        <f t="shared" si="8"/>
        <v>13600</v>
      </c>
    </row>
    <row r="484" spans="1:4" x14ac:dyDescent="0.2">
      <c r="A484" s="13" t="s">
        <v>5</v>
      </c>
      <c r="B484" s="14">
        <v>5900</v>
      </c>
      <c r="C484" s="14"/>
      <c r="D484" s="14">
        <f t="shared" si="8"/>
        <v>5900</v>
      </c>
    </row>
    <row r="485" spans="1:4" x14ac:dyDescent="0.2">
      <c r="A485" s="11" t="s">
        <v>583</v>
      </c>
      <c r="B485" s="12">
        <v>47700</v>
      </c>
      <c r="C485" s="12"/>
      <c r="D485" s="12">
        <f t="shared" si="8"/>
        <v>47700</v>
      </c>
    </row>
    <row r="486" spans="1:4" x14ac:dyDescent="0.2">
      <c r="A486" s="18" t="s">
        <v>581</v>
      </c>
      <c r="B486" s="9">
        <f>SUM(B487:B488)</f>
        <v>124000</v>
      </c>
      <c r="C486" s="9"/>
      <c r="D486" s="9">
        <f t="shared" si="8"/>
        <v>124000</v>
      </c>
    </row>
    <row r="487" spans="1:4" x14ac:dyDescent="0.2">
      <c r="A487" s="11" t="s">
        <v>582</v>
      </c>
      <c r="B487" s="12">
        <v>72000</v>
      </c>
      <c r="C487" s="12"/>
      <c r="D487" s="12">
        <f t="shared" si="8"/>
        <v>72000</v>
      </c>
    </row>
    <row r="488" spans="1:4" x14ac:dyDescent="0.2">
      <c r="A488" s="11" t="s">
        <v>583</v>
      </c>
      <c r="B488" s="12">
        <v>52000</v>
      </c>
      <c r="C488" s="12"/>
      <c r="D488" s="12">
        <f t="shared" si="8"/>
        <v>52000</v>
      </c>
    </row>
    <row r="489" spans="1:4" x14ac:dyDescent="0.2">
      <c r="A489" s="18" t="s">
        <v>638</v>
      </c>
      <c r="B489" s="9">
        <f>B490</f>
        <v>23000</v>
      </c>
      <c r="C489" s="9"/>
      <c r="D489" s="9">
        <f t="shared" si="8"/>
        <v>23000</v>
      </c>
    </row>
    <row r="490" spans="1:4" x14ac:dyDescent="0.2">
      <c r="A490" s="13" t="s">
        <v>674</v>
      </c>
      <c r="B490" s="14">
        <v>23000</v>
      </c>
      <c r="C490" s="14"/>
      <c r="D490" s="14">
        <f t="shared" si="8"/>
        <v>23000</v>
      </c>
    </row>
    <row r="491" spans="1:4" x14ac:dyDescent="0.2">
      <c r="A491" s="18" t="s">
        <v>585</v>
      </c>
      <c r="B491" s="9">
        <f>SUM(B492:B493)</f>
        <v>63000</v>
      </c>
      <c r="C491" s="9"/>
      <c r="D491" s="9">
        <f t="shared" si="8"/>
        <v>63000</v>
      </c>
    </row>
    <row r="492" spans="1:4" x14ac:dyDescent="0.2">
      <c r="A492" s="11" t="s">
        <v>7</v>
      </c>
      <c r="B492" s="12">
        <v>55000</v>
      </c>
      <c r="C492" s="12"/>
      <c r="D492" s="12">
        <f t="shared" si="8"/>
        <v>55000</v>
      </c>
    </row>
    <row r="493" spans="1:4" x14ac:dyDescent="0.2">
      <c r="A493" s="13" t="s">
        <v>640</v>
      </c>
      <c r="B493" s="14">
        <v>8000</v>
      </c>
      <c r="C493" s="14"/>
      <c r="D493" s="14">
        <f t="shared" si="8"/>
        <v>8000</v>
      </c>
    </row>
    <row r="494" spans="1:4" x14ac:dyDescent="0.2">
      <c r="A494" s="13"/>
      <c r="B494" s="14"/>
      <c r="C494" s="14"/>
      <c r="D494" s="14">
        <f t="shared" si="8"/>
        <v>0</v>
      </c>
    </row>
    <row r="495" spans="1:4" x14ac:dyDescent="0.2">
      <c r="A495" s="20" t="s">
        <v>8</v>
      </c>
      <c r="B495" s="21">
        <f>B496+B500</f>
        <v>34230</v>
      </c>
      <c r="C495" s="21"/>
      <c r="D495" s="21">
        <f t="shared" si="8"/>
        <v>34230</v>
      </c>
    </row>
    <row r="496" spans="1:4" x14ac:dyDescent="0.2">
      <c r="A496" s="18" t="s">
        <v>596</v>
      </c>
      <c r="B496" s="9">
        <f>SUM(B497:B499)</f>
        <v>25680</v>
      </c>
      <c r="C496" s="9"/>
      <c r="D496" s="9">
        <f t="shared" si="8"/>
        <v>25680</v>
      </c>
    </row>
    <row r="497" spans="1:4" x14ac:dyDescent="0.2">
      <c r="A497" s="13" t="s">
        <v>618</v>
      </c>
      <c r="B497" s="14">
        <v>630</v>
      </c>
      <c r="C497" s="14"/>
      <c r="D497" s="14">
        <f t="shared" si="8"/>
        <v>630</v>
      </c>
    </row>
    <row r="498" spans="1:4" x14ac:dyDescent="0.2">
      <c r="A498" s="13" t="s">
        <v>630</v>
      </c>
      <c r="B498" s="14">
        <v>25000</v>
      </c>
      <c r="C498" s="14"/>
      <c r="D498" s="14">
        <f t="shared" si="8"/>
        <v>25000</v>
      </c>
    </row>
    <row r="499" spans="1:4" x14ac:dyDescent="0.2">
      <c r="A499" s="11" t="s">
        <v>617</v>
      </c>
      <c r="B499" s="12">
        <v>50</v>
      </c>
      <c r="C499" s="12"/>
      <c r="D499" s="12">
        <f t="shared" si="8"/>
        <v>50</v>
      </c>
    </row>
    <row r="500" spans="1:4" x14ac:dyDescent="0.2">
      <c r="A500" s="18" t="s">
        <v>598</v>
      </c>
      <c r="B500" s="9">
        <f>SUM(B501:B502)</f>
        <v>8550</v>
      </c>
      <c r="C500" s="9"/>
      <c r="D500" s="9">
        <f t="shared" si="8"/>
        <v>8550</v>
      </c>
    </row>
    <row r="501" spans="1:4" x14ac:dyDescent="0.2">
      <c r="A501" s="11" t="s">
        <v>99</v>
      </c>
      <c r="B501" s="12">
        <v>150</v>
      </c>
      <c r="C501" s="12"/>
      <c r="D501" s="12">
        <f t="shared" si="8"/>
        <v>150</v>
      </c>
    </row>
    <row r="502" spans="1:4" x14ac:dyDescent="0.2">
      <c r="A502" s="11" t="s">
        <v>615</v>
      </c>
      <c r="B502" s="12">
        <v>8400</v>
      </c>
      <c r="C502" s="12"/>
      <c r="D502" s="12">
        <f t="shared" si="8"/>
        <v>8400</v>
      </c>
    </row>
    <row r="503" spans="1:4" x14ac:dyDescent="0.2">
      <c r="A503" s="11"/>
      <c r="B503" s="12"/>
      <c r="C503" s="12"/>
      <c r="D503" s="12">
        <f t="shared" si="8"/>
        <v>0</v>
      </c>
    </row>
    <row r="504" spans="1:4" x14ac:dyDescent="0.2">
      <c r="A504" s="18" t="s">
        <v>9</v>
      </c>
      <c r="B504" s="9">
        <f>B505</f>
        <v>16840</v>
      </c>
      <c r="C504" s="9"/>
      <c r="D504" s="9">
        <f t="shared" si="8"/>
        <v>16840</v>
      </c>
    </row>
    <row r="505" spans="1:4" x14ac:dyDescent="0.2">
      <c r="A505" s="18" t="s">
        <v>656</v>
      </c>
      <c r="B505" s="9">
        <f>SUM(B506:B510)</f>
        <v>16840</v>
      </c>
      <c r="C505" s="9"/>
      <c r="D505" s="9">
        <f t="shared" si="8"/>
        <v>16840</v>
      </c>
    </row>
    <row r="506" spans="1:4" x14ac:dyDescent="0.2">
      <c r="A506" s="19" t="s">
        <v>6</v>
      </c>
      <c r="B506" s="17">
        <v>1100</v>
      </c>
      <c r="C506" s="17"/>
      <c r="D506" s="17">
        <f t="shared" si="8"/>
        <v>1100</v>
      </c>
    </row>
    <row r="507" spans="1:4" x14ac:dyDescent="0.2">
      <c r="A507" s="13" t="s">
        <v>658</v>
      </c>
      <c r="B507" s="14">
        <v>9940</v>
      </c>
      <c r="C507" s="14"/>
      <c r="D507" s="14">
        <f t="shared" si="8"/>
        <v>9940</v>
      </c>
    </row>
    <row r="508" spans="1:4" x14ac:dyDescent="0.2">
      <c r="A508" s="13" t="s">
        <v>590</v>
      </c>
      <c r="B508" s="14">
        <v>500</v>
      </c>
      <c r="C508" s="14"/>
      <c r="D508" s="14">
        <f t="shared" si="8"/>
        <v>500</v>
      </c>
    </row>
    <row r="509" spans="1:4" x14ac:dyDescent="0.2">
      <c r="A509" s="13" t="s">
        <v>10</v>
      </c>
      <c r="B509" s="14">
        <v>1700</v>
      </c>
      <c r="C509" s="14"/>
      <c r="D509" s="14">
        <f t="shared" si="8"/>
        <v>1700</v>
      </c>
    </row>
    <row r="510" spans="1:4" x14ac:dyDescent="0.2">
      <c r="A510" s="11" t="s">
        <v>274</v>
      </c>
      <c r="B510" s="12">
        <v>3600</v>
      </c>
      <c r="C510" s="12"/>
      <c r="D510" s="12">
        <f t="shared" si="8"/>
        <v>3600</v>
      </c>
    </row>
    <row r="511" spans="1:4" x14ac:dyDescent="0.2">
      <c r="A511" s="11"/>
      <c r="B511" s="12"/>
      <c r="C511" s="12"/>
      <c r="D511" s="12">
        <f t="shared" si="8"/>
        <v>0</v>
      </c>
    </row>
    <row r="512" spans="1:4" x14ac:dyDescent="0.2">
      <c r="A512" s="5" t="s">
        <v>257</v>
      </c>
      <c r="B512" s="6">
        <f>B514+B528</f>
        <v>3399944</v>
      </c>
      <c r="C512" s="6">
        <f>C514+C528</f>
        <v>229000</v>
      </c>
      <c r="D512" s="6">
        <f t="shared" si="8"/>
        <v>3628944</v>
      </c>
    </row>
    <row r="513" spans="1:6" x14ac:dyDescent="0.2">
      <c r="A513" s="15"/>
      <c r="B513" s="16"/>
      <c r="C513" s="16"/>
      <c r="D513" s="16">
        <f t="shared" si="8"/>
        <v>0</v>
      </c>
    </row>
    <row r="514" spans="1:6" x14ac:dyDescent="0.2">
      <c r="A514" s="18" t="s">
        <v>258</v>
      </c>
      <c r="B514" s="9">
        <f>B515+B518+B521+B524</f>
        <v>3365444</v>
      </c>
      <c r="C514" s="9">
        <f>C515+C518+C521+C524</f>
        <v>229000</v>
      </c>
      <c r="D514" s="9">
        <f t="shared" si="8"/>
        <v>3594444</v>
      </c>
    </row>
    <row r="515" spans="1:6" x14ac:dyDescent="0.2">
      <c r="A515" s="18" t="s">
        <v>648</v>
      </c>
      <c r="B515" s="9">
        <f>SUM(B516:B517)</f>
        <v>75300</v>
      </c>
      <c r="C515" s="9"/>
      <c r="D515" s="9">
        <f t="shared" si="8"/>
        <v>75300</v>
      </c>
    </row>
    <row r="516" spans="1:6" x14ac:dyDescent="0.2">
      <c r="A516" s="11" t="s">
        <v>649</v>
      </c>
      <c r="B516" s="12">
        <v>52300</v>
      </c>
      <c r="C516" s="12"/>
      <c r="D516" s="12">
        <f t="shared" si="8"/>
        <v>52300</v>
      </c>
    </row>
    <row r="517" spans="1:6" x14ac:dyDescent="0.2">
      <c r="A517" s="11" t="s">
        <v>583</v>
      </c>
      <c r="B517" s="12">
        <v>23000</v>
      </c>
      <c r="C517" s="12"/>
      <c r="D517" s="12">
        <f t="shared" si="8"/>
        <v>23000</v>
      </c>
    </row>
    <row r="518" spans="1:6" x14ac:dyDescent="0.2">
      <c r="A518" s="18" t="s">
        <v>581</v>
      </c>
      <c r="B518" s="9">
        <f>SUM(B519:B520)</f>
        <v>2357000</v>
      </c>
      <c r="C518" s="9">
        <f>SUM(C519:C520)</f>
        <v>127500</v>
      </c>
      <c r="D518" s="9">
        <f t="shared" ref="D518:D582" si="9">B518+C518</f>
        <v>2484500</v>
      </c>
    </row>
    <row r="519" spans="1:6" x14ac:dyDescent="0.2">
      <c r="A519" s="11" t="s">
        <v>582</v>
      </c>
      <c r="B519" s="12">
        <v>2322000</v>
      </c>
      <c r="C519" s="12">
        <v>127500</v>
      </c>
      <c r="D519" s="12">
        <f t="shared" si="9"/>
        <v>2449500</v>
      </c>
      <c r="F519" s="536" t="s">
        <v>978</v>
      </c>
    </row>
    <row r="520" spans="1:6" x14ac:dyDescent="0.2">
      <c r="A520" s="11" t="s">
        <v>583</v>
      </c>
      <c r="B520" s="12">
        <v>35000</v>
      </c>
      <c r="C520" s="12"/>
      <c r="D520" s="12">
        <f t="shared" si="9"/>
        <v>35000</v>
      </c>
    </row>
    <row r="521" spans="1:6" x14ac:dyDescent="0.2">
      <c r="A521" s="20" t="s">
        <v>585</v>
      </c>
      <c r="B521" s="21">
        <f>SUM(B522)</f>
        <v>198200</v>
      </c>
      <c r="C521" s="21">
        <f>SUM(C522:C523)</f>
        <v>30500</v>
      </c>
      <c r="D521" s="21">
        <f t="shared" si="9"/>
        <v>228700</v>
      </c>
      <c r="F521" s="536" t="s">
        <v>979</v>
      </c>
    </row>
    <row r="522" spans="1:6" x14ac:dyDescent="0.2">
      <c r="A522" s="11" t="s">
        <v>7</v>
      </c>
      <c r="B522" s="12">
        <f>175200+23000</f>
        <v>198200</v>
      </c>
      <c r="C522" s="12"/>
      <c r="D522" s="12">
        <f t="shared" si="9"/>
        <v>198200</v>
      </c>
    </row>
    <row r="523" spans="1:6" x14ac:dyDescent="0.2">
      <c r="A523" s="11" t="s">
        <v>587</v>
      </c>
      <c r="B523" s="12"/>
      <c r="C523" s="12">
        <v>30500</v>
      </c>
      <c r="D523" s="12">
        <f t="shared" si="9"/>
        <v>30500</v>
      </c>
    </row>
    <row r="524" spans="1:6" x14ac:dyDescent="0.2">
      <c r="A524" s="18" t="s">
        <v>638</v>
      </c>
      <c r="B524" s="9">
        <f>SUM(B525:B526)</f>
        <v>734944</v>
      </c>
      <c r="C524" s="9">
        <f>SUM(C525:C526)</f>
        <v>71000</v>
      </c>
      <c r="D524" s="9">
        <f t="shared" si="9"/>
        <v>805944</v>
      </c>
    </row>
    <row r="525" spans="1:6" x14ac:dyDescent="0.2">
      <c r="A525" s="13" t="s">
        <v>674</v>
      </c>
      <c r="B525" s="14">
        <f>682000+31000</f>
        <v>713000</v>
      </c>
      <c r="C525" s="14">
        <v>71000</v>
      </c>
      <c r="D525" s="14">
        <f t="shared" si="9"/>
        <v>784000</v>
      </c>
      <c r="F525" s="536" t="s">
        <v>980</v>
      </c>
    </row>
    <row r="526" spans="1:6" x14ac:dyDescent="0.2">
      <c r="A526" s="28" t="s">
        <v>676</v>
      </c>
      <c r="B526" s="14">
        <f>21944+23000-23000</f>
        <v>21944</v>
      </c>
      <c r="C526" s="14"/>
      <c r="D526" s="14">
        <f t="shared" si="9"/>
        <v>21944</v>
      </c>
    </row>
    <row r="527" spans="1:6" x14ac:dyDescent="0.2">
      <c r="A527" s="15"/>
      <c r="B527" s="16"/>
      <c r="C527" s="16"/>
      <c r="D527" s="16">
        <f t="shared" si="9"/>
        <v>0</v>
      </c>
    </row>
    <row r="528" spans="1:6" x14ac:dyDescent="0.2">
      <c r="A528" s="20" t="s">
        <v>259</v>
      </c>
      <c r="B528" s="21">
        <f>B529</f>
        <v>34500</v>
      </c>
      <c r="C528" s="21"/>
      <c r="D528" s="21">
        <f t="shared" si="9"/>
        <v>34500</v>
      </c>
    </row>
    <row r="529" spans="1:6" x14ac:dyDescent="0.2">
      <c r="A529" s="18" t="s">
        <v>656</v>
      </c>
      <c r="B529" s="9">
        <f>SUM(B530:B534)</f>
        <v>34500</v>
      </c>
      <c r="C529" s="9"/>
      <c r="D529" s="9">
        <f t="shared" si="9"/>
        <v>34500</v>
      </c>
    </row>
    <row r="530" spans="1:6" x14ac:dyDescent="0.2">
      <c r="A530" s="13" t="s">
        <v>658</v>
      </c>
      <c r="B530" s="14">
        <v>23000</v>
      </c>
      <c r="C530" s="14"/>
      <c r="D530" s="14">
        <f t="shared" si="9"/>
        <v>23000</v>
      </c>
    </row>
    <row r="531" spans="1:6" x14ac:dyDescent="0.2">
      <c r="A531" s="13" t="s">
        <v>590</v>
      </c>
      <c r="B531" s="14">
        <v>1300</v>
      </c>
      <c r="C531" s="14"/>
      <c r="D531" s="14">
        <f t="shared" si="9"/>
        <v>1300</v>
      </c>
    </row>
    <row r="532" spans="1:6" x14ac:dyDescent="0.2">
      <c r="A532" s="13" t="s">
        <v>10</v>
      </c>
      <c r="B532" s="14">
        <v>2700</v>
      </c>
      <c r="C532" s="14"/>
      <c r="D532" s="14">
        <f t="shared" si="9"/>
        <v>2700</v>
      </c>
    </row>
    <row r="533" spans="1:6" x14ac:dyDescent="0.2">
      <c r="A533" s="19" t="s">
        <v>6</v>
      </c>
      <c r="B533" s="17">
        <v>6500</v>
      </c>
      <c r="C533" s="17"/>
      <c r="D533" s="17">
        <f t="shared" si="9"/>
        <v>6500</v>
      </c>
    </row>
    <row r="534" spans="1:6" x14ac:dyDescent="0.2">
      <c r="A534" s="19" t="s">
        <v>260</v>
      </c>
      <c r="B534" s="17">
        <v>1000</v>
      </c>
      <c r="C534" s="17"/>
      <c r="D534" s="17">
        <f t="shared" si="9"/>
        <v>1000</v>
      </c>
    </row>
    <row r="535" spans="1:6" x14ac:dyDescent="0.2">
      <c r="A535" s="13"/>
      <c r="B535" s="14"/>
      <c r="C535" s="14"/>
      <c r="D535" s="14">
        <f t="shared" si="9"/>
        <v>0</v>
      </c>
    </row>
    <row r="536" spans="1:6" x14ac:dyDescent="0.2">
      <c r="A536" s="5" t="s">
        <v>261</v>
      </c>
      <c r="B536" s="6">
        <f>B538+B552</f>
        <v>243485</v>
      </c>
      <c r="C536" s="6">
        <f>C538+C552</f>
        <v>10300</v>
      </c>
      <c r="D536" s="6">
        <f t="shared" si="9"/>
        <v>253785</v>
      </c>
    </row>
    <row r="537" spans="1:6" x14ac:dyDescent="0.2">
      <c r="A537" s="15"/>
      <c r="B537" s="16"/>
      <c r="C537" s="16"/>
      <c r="D537" s="16">
        <f t="shared" si="9"/>
        <v>0</v>
      </c>
    </row>
    <row r="538" spans="1:6" x14ac:dyDescent="0.2">
      <c r="A538" s="18" t="s">
        <v>262</v>
      </c>
      <c r="B538" s="9">
        <f>B539+B543+B546+B548</f>
        <v>222485</v>
      </c>
      <c r="C538" s="9">
        <f>C539+C543+C546+C548</f>
        <v>8500</v>
      </c>
      <c r="D538" s="9">
        <f t="shared" si="9"/>
        <v>230985</v>
      </c>
    </row>
    <row r="539" spans="1:6" x14ac:dyDescent="0.2">
      <c r="A539" s="18" t="s">
        <v>648</v>
      </c>
      <c r="B539" s="9">
        <f>SUM(B540:B542)</f>
        <v>34900</v>
      </c>
      <c r="C539" s="9">
        <f>SUM(C540:C542)</f>
        <v>8100</v>
      </c>
      <c r="D539" s="9">
        <f t="shared" si="9"/>
        <v>43000</v>
      </c>
    </row>
    <row r="540" spans="1:6" ht="40.5" customHeight="1" x14ac:dyDescent="0.2">
      <c r="A540" s="11" t="s">
        <v>649</v>
      </c>
      <c r="B540" s="12">
        <v>12000</v>
      </c>
      <c r="C540" s="12">
        <v>2000</v>
      </c>
      <c r="D540" s="12">
        <f t="shared" si="9"/>
        <v>14000</v>
      </c>
      <c r="F540" s="535" t="s">
        <v>981</v>
      </c>
    </row>
    <row r="541" spans="1:6" x14ac:dyDescent="0.2">
      <c r="A541" s="13" t="s">
        <v>5</v>
      </c>
      <c r="B541" s="14">
        <v>1900</v>
      </c>
      <c r="C541" s="14">
        <v>100</v>
      </c>
      <c r="D541" s="14">
        <f t="shared" si="9"/>
        <v>2000</v>
      </c>
      <c r="F541" s="531" t="s">
        <v>958</v>
      </c>
    </row>
    <row r="542" spans="1:6" x14ac:dyDescent="0.2">
      <c r="A542" s="11" t="s">
        <v>583</v>
      </c>
      <c r="B542" s="12">
        <v>21000</v>
      </c>
      <c r="C542" s="12">
        <v>6000</v>
      </c>
      <c r="D542" s="12">
        <f t="shared" si="9"/>
        <v>27000</v>
      </c>
      <c r="F542" s="531" t="s">
        <v>958</v>
      </c>
    </row>
    <row r="543" spans="1:6" x14ac:dyDescent="0.2">
      <c r="A543" s="18" t="s">
        <v>581</v>
      </c>
      <c r="B543" s="9">
        <f>SUM(B544:B545)</f>
        <v>23901</v>
      </c>
      <c r="C543" s="9"/>
      <c r="D543" s="9">
        <f t="shared" si="9"/>
        <v>23901</v>
      </c>
    </row>
    <row r="544" spans="1:6" x14ac:dyDescent="0.2">
      <c r="A544" s="11" t="s">
        <v>582</v>
      </c>
      <c r="B544" s="12">
        <v>22101</v>
      </c>
      <c r="C544" s="12"/>
      <c r="D544" s="12">
        <f t="shared" si="9"/>
        <v>22101</v>
      </c>
    </row>
    <row r="545" spans="1:6" x14ac:dyDescent="0.2">
      <c r="A545" s="11" t="s">
        <v>583</v>
      </c>
      <c r="B545" s="12">
        <v>1800</v>
      </c>
      <c r="C545" s="12"/>
      <c r="D545" s="12">
        <f t="shared" si="9"/>
        <v>1800</v>
      </c>
    </row>
    <row r="546" spans="1:6" x14ac:dyDescent="0.2">
      <c r="A546" s="18" t="s">
        <v>638</v>
      </c>
      <c r="B546" s="9">
        <f>B547</f>
        <v>15375</v>
      </c>
      <c r="C546" s="9">
        <f>C547</f>
        <v>400</v>
      </c>
      <c r="D546" s="9">
        <f t="shared" si="9"/>
        <v>15775</v>
      </c>
    </row>
    <row r="547" spans="1:6" x14ac:dyDescent="0.2">
      <c r="A547" s="13" t="s">
        <v>674</v>
      </c>
      <c r="B547" s="14">
        <v>15375</v>
      </c>
      <c r="C547" s="14">
        <v>400</v>
      </c>
      <c r="D547" s="14">
        <f t="shared" si="9"/>
        <v>15775</v>
      </c>
      <c r="F547" s="536" t="s">
        <v>982</v>
      </c>
    </row>
    <row r="548" spans="1:6" x14ac:dyDescent="0.2">
      <c r="A548" s="18" t="s">
        <v>585</v>
      </c>
      <c r="B548" s="9">
        <f>SUM(B549:B550)</f>
        <v>148309</v>
      </c>
      <c r="C548" s="9"/>
      <c r="D548" s="9">
        <f t="shared" si="9"/>
        <v>148309</v>
      </c>
    </row>
    <row r="549" spans="1:6" x14ac:dyDescent="0.2">
      <c r="A549" s="11" t="s">
        <v>7</v>
      </c>
      <c r="B549" s="12">
        <f>139309+5000</f>
        <v>144309</v>
      </c>
      <c r="C549" s="12"/>
      <c r="D549" s="12">
        <f t="shared" si="9"/>
        <v>144309</v>
      </c>
    </row>
    <row r="550" spans="1:6" x14ac:dyDescent="0.2">
      <c r="A550" s="13" t="s">
        <v>263</v>
      </c>
      <c r="B550" s="14">
        <v>4000</v>
      </c>
      <c r="C550" s="14"/>
      <c r="D550" s="14">
        <f t="shared" si="9"/>
        <v>4000</v>
      </c>
    </row>
    <row r="551" spans="1:6" x14ac:dyDescent="0.2">
      <c r="A551" s="18"/>
      <c r="B551" s="9"/>
      <c r="C551" s="9"/>
      <c r="D551" s="9">
        <f t="shared" si="9"/>
        <v>0</v>
      </c>
    </row>
    <row r="552" spans="1:6" x14ac:dyDescent="0.2">
      <c r="A552" s="8" t="s">
        <v>876</v>
      </c>
      <c r="B552" s="9">
        <f>B553</f>
        <v>21000</v>
      </c>
      <c r="C552" s="9">
        <f>C553</f>
        <v>1800</v>
      </c>
      <c r="D552" s="9">
        <f t="shared" si="9"/>
        <v>22800</v>
      </c>
    </row>
    <row r="553" spans="1:6" x14ac:dyDescent="0.2">
      <c r="A553" s="18" t="s">
        <v>656</v>
      </c>
      <c r="B553" s="9">
        <f>SUM(B554:B556)</f>
        <v>21000</v>
      </c>
      <c r="C553" s="9">
        <f>SUM(C554:C556)</f>
        <v>1800</v>
      </c>
      <c r="D553" s="9">
        <f t="shared" si="9"/>
        <v>22800</v>
      </c>
    </row>
    <row r="554" spans="1:6" x14ac:dyDescent="0.2">
      <c r="A554" s="13" t="s">
        <v>590</v>
      </c>
      <c r="B554" s="14">
        <f>1500+5100</f>
        <v>6600</v>
      </c>
      <c r="C554" s="14">
        <v>1800</v>
      </c>
      <c r="D554" s="14">
        <f t="shared" si="9"/>
        <v>8400</v>
      </c>
      <c r="F554" s="531" t="s">
        <v>958</v>
      </c>
    </row>
    <row r="555" spans="1:6" x14ac:dyDescent="0.2">
      <c r="A555" s="19" t="s">
        <v>658</v>
      </c>
      <c r="B555" s="14">
        <v>10400</v>
      </c>
      <c r="C555" s="14"/>
      <c r="D555" s="14">
        <f t="shared" si="9"/>
        <v>10400</v>
      </c>
    </row>
    <row r="556" spans="1:6" x14ac:dyDescent="0.2">
      <c r="A556" s="11" t="s">
        <v>6</v>
      </c>
      <c r="B556" s="12">
        <v>4000</v>
      </c>
      <c r="C556" s="12"/>
      <c r="D556" s="12">
        <f t="shared" si="9"/>
        <v>4000</v>
      </c>
    </row>
    <row r="557" spans="1:6" x14ac:dyDescent="0.2">
      <c r="A557" s="13"/>
      <c r="B557" s="14"/>
      <c r="C557" s="14"/>
      <c r="D557" s="14">
        <f t="shared" si="9"/>
        <v>0</v>
      </c>
    </row>
    <row r="558" spans="1:6" x14ac:dyDescent="0.2">
      <c r="A558" s="5" t="s">
        <v>264</v>
      </c>
      <c r="B558" s="6">
        <f>B560+B576+B583+B593</f>
        <v>1125310</v>
      </c>
      <c r="C558" s="6">
        <f>C560+C576+C583+C593+C599</f>
        <v>7060</v>
      </c>
      <c r="D558" s="6">
        <f t="shared" si="9"/>
        <v>1132370</v>
      </c>
    </row>
    <row r="559" spans="1:6" x14ac:dyDescent="0.2">
      <c r="A559" s="15"/>
      <c r="B559" s="16"/>
      <c r="C559" s="16"/>
      <c r="D559" s="16">
        <f t="shared" si="9"/>
        <v>0</v>
      </c>
    </row>
    <row r="560" spans="1:6" x14ac:dyDescent="0.2">
      <c r="A560" s="18" t="s">
        <v>265</v>
      </c>
      <c r="B560" s="9">
        <f>B561+B565+B569+B573</f>
        <v>897963</v>
      </c>
      <c r="C560" s="9"/>
      <c r="D560" s="9">
        <f t="shared" si="9"/>
        <v>897963</v>
      </c>
    </row>
    <row r="561" spans="1:4" x14ac:dyDescent="0.2">
      <c r="A561" s="18" t="s">
        <v>648</v>
      </c>
      <c r="B561" s="9">
        <f>SUM(B562:B564)</f>
        <v>535800</v>
      </c>
      <c r="C561" s="9"/>
      <c r="D561" s="9">
        <f t="shared" si="9"/>
        <v>535800</v>
      </c>
    </row>
    <row r="562" spans="1:4" x14ac:dyDescent="0.2">
      <c r="A562" s="11" t="s">
        <v>649</v>
      </c>
      <c r="B562" s="12">
        <v>192000</v>
      </c>
      <c r="C562" s="12"/>
      <c r="D562" s="12">
        <f t="shared" si="9"/>
        <v>192000</v>
      </c>
    </row>
    <row r="563" spans="1:4" x14ac:dyDescent="0.2">
      <c r="A563" s="13" t="s">
        <v>5</v>
      </c>
      <c r="B563" s="14">
        <v>13700</v>
      </c>
      <c r="C563" s="14"/>
      <c r="D563" s="14">
        <f t="shared" si="9"/>
        <v>13700</v>
      </c>
    </row>
    <row r="564" spans="1:4" x14ac:dyDescent="0.2">
      <c r="A564" s="11" t="s">
        <v>583</v>
      </c>
      <c r="B564" s="12">
        <v>330100</v>
      </c>
      <c r="C564" s="12"/>
      <c r="D564" s="12">
        <f t="shared" si="9"/>
        <v>330100</v>
      </c>
    </row>
    <row r="565" spans="1:4" x14ac:dyDescent="0.2">
      <c r="A565" s="18" t="s">
        <v>581</v>
      </c>
      <c r="B565" s="9">
        <f>SUM(B566:B568)</f>
        <v>121715</v>
      </c>
      <c r="C565" s="9"/>
      <c r="D565" s="9">
        <f t="shared" si="9"/>
        <v>121715</v>
      </c>
    </row>
    <row r="566" spans="1:4" x14ac:dyDescent="0.2">
      <c r="A566" s="11" t="s">
        <v>582</v>
      </c>
      <c r="B566" s="12">
        <v>78100</v>
      </c>
      <c r="C566" s="12"/>
      <c r="D566" s="12">
        <f t="shared" si="9"/>
        <v>78100</v>
      </c>
    </row>
    <row r="567" spans="1:4" x14ac:dyDescent="0.2">
      <c r="A567" s="11" t="s">
        <v>583</v>
      </c>
      <c r="B567" s="12">
        <v>33900</v>
      </c>
      <c r="C567" s="12"/>
      <c r="D567" s="12">
        <f t="shared" si="9"/>
        <v>33900</v>
      </c>
    </row>
    <row r="568" spans="1:4" x14ac:dyDescent="0.2">
      <c r="A568" s="11" t="s">
        <v>599</v>
      </c>
      <c r="B568" s="12">
        <v>9715</v>
      </c>
      <c r="C568" s="12"/>
      <c r="D568" s="12">
        <f t="shared" si="9"/>
        <v>9715</v>
      </c>
    </row>
    <row r="569" spans="1:4" x14ac:dyDescent="0.2">
      <c r="A569" s="18" t="s">
        <v>638</v>
      </c>
      <c r="B569" s="9">
        <f>SUM(B570:B572)</f>
        <v>135448</v>
      </c>
      <c r="C569" s="9"/>
      <c r="D569" s="9">
        <f t="shared" si="9"/>
        <v>135448</v>
      </c>
    </row>
    <row r="570" spans="1:4" x14ac:dyDescent="0.2">
      <c r="A570" s="13" t="s">
        <v>674</v>
      </c>
      <c r="B570" s="14">
        <v>76694</v>
      </c>
      <c r="C570" s="14"/>
      <c r="D570" s="14">
        <f t="shared" si="9"/>
        <v>76694</v>
      </c>
    </row>
    <row r="571" spans="1:4" x14ac:dyDescent="0.2">
      <c r="A571" s="13" t="s">
        <v>639</v>
      </c>
      <c r="B571" s="14">
        <v>58259</v>
      </c>
      <c r="C571" s="14"/>
      <c r="D571" s="14">
        <f t="shared" si="9"/>
        <v>58259</v>
      </c>
    </row>
    <row r="572" spans="1:4" x14ac:dyDescent="0.2">
      <c r="A572" s="28" t="s">
        <v>676</v>
      </c>
      <c r="B572" s="14">
        <v>495</v>
      </c>
      <c r="C572" s="14"/>
      <c r="D572" s="14">
        <f t="shared" si="9"/>
        <v>495</v>
      </c>
    </row>
    <row r="573" spans="1:4" x14ac:dyDescent="0.2">
      <c r="A573" s="18" t="s">
        <v>585</v>
      </c>
      <c r="B573" s="9">
        <f>B574</f>
        <v>105000</v>
      </c>
      <c r="C573" s="9"/>
      <c r="D573" s="9">
        <f t="shared" si="9"/>
        <v>105000</v>
      </c>
    </row>
    <row r="574" spans="1:4" x14ac:dyDescent="0.2">
      <c r="A574" s="11" t="s">
        <v>7</v>
      </c>
      <c r="B574" s="12">
        <v>105000</v>
      </c>
      <c r="C574" s="12"/>
      <c r="D574" s="12">
        <f t="shared" si="9"/>
        <v>105000</v>
      </c>
    </row>
    <row r="575" spans="1:4" x14ac:dyDescent="0.2">
      <c r="A575" s="13"/>
      <c r="B575" s="14"/>
      <c r="C575" s="14"/>
      <c r="D575" s="14">
        <f t="shared" si="9"/>
        <v>0</v>
      </c>
    </row>
    <row r="576" spans="1:4" x14ac:dyDescent="0.2">
      <c r="A576" s="20" t="s">
        <v>266</v>
      </c>
      <c r="B576" s="21">
        <f>B577+B579</f>
        <v>120647</v>
      </c>
      <c r="C576" s="21"/>
      <c r="D576" s="21">
        <f t="shared" si="9"/>
        <v>120647</v>
      </c>
    </row>
    <row r="577" spans="1:4" x14ac:dyDescent="0.2">
      <c r="A577" s="18" t="s">
        <v>598</v>
      </c>
      <c r="B577" s="9">
        <f>B578</f>
        <v>76233</v>
      </c>
      <c r="C577" s="9"/>
      <c r="D577" s="9">
        <f t="shared" si="9"/>
        <v>76233</v>
      </c>
    </row>
    <row r="578" spans="1:4" x14ac:dyDescent="0.2">
      <c r="A578" s="13" t="s">
        <v>590</v>
      </c>
      <c r="B578" s="14">
        <f>74953+1280</f>
        <v>76233</v>
      </c>
      <c r="C578" s="14"/>
      <c r="D578" s="14">
        <f t="shared" si="9"/>
        <v>76233</v>
      </c>
    </row>
    <row r="579" spans="1:4" x14ac:dyDescent="0.2">
      <c r="A579" s="18" t="s">
        <v>581</v>
      </c>
      <c r="B579" s="9">
        <f>SUM(B580:B581)</f>
        <v>44414</v>
      </c>
      <c r="C579" s="9"/>
      <c r="D579" s="9">
        <f t="shared" si="9"/>
        <v>44414</v>
      </c>
    </row>
    <row r="580" spans="1:4" x14ac:dyDescent="0.2">
      <c r="A580" s="11" t="s">
        <v>582</v>
      </c>
      <c r="B580" s="12">
        <v>38601</v>
      </c>
      <c r="C580" s="12"/>
      <c r="D580" s="12">
        <f t="shared" si="9"/>
        <v>38601</v>
      </c>
    </row>
    <row r="581" spans="1:4" x14ac:dyDescent="0.2">
      <c r="A581" s="11" t="s">
        <v>583</v>
      </c>
      <c r="B581" s="12">
        <v>5813</v>
      </c>
      <c r="C581" s="12"/>
      <c r="D581" s="12">
        <f t="shared" si="9"/>
        <v>5813</v>
      </c>
    </row>
    <row r="582" spans="1:4" x14ac:dyDescent="0.2">
      <c r="A582" s="11"/>
      <c r="B582" s="12"/>
      <c r="C582" s="12"/>
      <c r="D582" s="12">
        <f t="shared" si="9"/>
        <v>0</v>
      </c>
    </row>
    <row r="583" spans="1:4" x14ac:dyDescent="0.2">
      <c r="A583" s="18" t="s">
        <v>267</v>
      </c>
      <c r="B583" s="9">
        <f>B584+B589</f>
        <v>91200</v>
      </c>
      <c r="C583" s="9"/>
      <c r="D583" s="9">
        <f t="shared" ref="D583:D660" si="10">B583+C583</f>
        <v>91200</v>
      </c>
    </row>
    <row r="584" spans="1:4" x14ac:dyDescent="0.2">
      <c r="A584" s="18" t="s">
        <v>596</v>
      </c>
      <c r="B584" s="9">
        <f>SUM(B585:B588)</f>
        <v>45194</v>
      </c>
      <c r="C584" s="9"/>
      <c r="D584" s="9">
        <f t="shared" si="10"/>
        <v>45194</v>
      </c>
    </row>
    <row r="585" spans="1:4" x14ac:dyDescent="0.2">
      <c r="A585" s="11" t="s">
        <v>618</v>
      </c>
      <c r="B585" s="12">
        <v>3963</v>
      </c>
      <c r="C585" s="12"/>
      <c r="D585" s="12">
        <f t="shared" si="10"/>
        <v>3963</v>
      </c>
    </row>
    <row r="586" spans="1:4" x14ac:dyDescent="0.2">
      <c r="A586" s="13" t="s">
        <v>630</v>
      </c>
      <c r="B586" s="14">
        <v>32509</v>
      </c>
      <c r="C586" s="14"/>
      <c r="D586" s="14">
        <f t="shared" si="10"/>
        <v>32509</v>
      </c>
    </row>
    <row r="587" spans="1:4" x14ac:dyDescent="0.2">
      <c r="A587" s="13" t="s">
        <v>607</v>
      </c>
      <c r="B587" s="14">
        <v>7630</v>
      </c>
      <c r="C587" s="14"/>
      <c r="D587" s="14">
        <f t="shared" si="10"/>
        <v>7630</v>
      </c>
    </row>
    <row r="588" spans="1:4" x14ac:dyDescent="0.2">
      <c r="A588" s="13" t="s">
        <v>268</v>
      </c>
      <c r="B588" s="14">
        <v>1092</v>
      </c>
      <c r="C588" s="14"/>
      <c r="D588" s="14">
        <f t="shared" si="10"/>
        <v>1092</v>
      </c>
    </row>
    <row r="589" spans="1:4" x14ac:dyDescent="0.2">
      <c r="A589" s="18" t="s">
        <v>581</v>
      </c>
      <c r="B589" s="9">
        <f>SUM(B590:B591)</f>
        <v>46006</v>
      </c>
      <c r="C589" s="9"/>
      <c r="D589" s="9">
        <f t="shared" si="10"/>
        <v>46006</v>
      </c>
    </row>
    <row r="590" spans="1:4" x14ac:dyDescent="0.2">
      <c r="A590" s="11" t="s">
        <v>582</v>
      </c>
      <c r="B590" s="12">
        <v>35264</v>
      </c>
      <c r="C590" s="12"/>
      <c r="D590" s="12">
        <f t="shared" si="10"/>
        <v>35264</v>
      </c>
    </row>
    <row r="591" spans="1:4" x14ac:dyDescent="0.2">
      <c r="A591" s="11" t="s">
        <v>583</v>
      </c>
      <c r="B591" s="12">
        <v>10742</v>
      </c>
      <c r="C591" s="12"/>
      <c r="D591" s="12">
        <f t="shared" si="10"/>
        <v>10742</v>
      </c>
    </row>
    <row r="592" spans="1:4" x14ac:dyDescent="0.2">
      <c r="A592" s="11"/>
      <c r="B592" s="12"/>
      <c r="C592" s="12"/>
      <c r="D592" s="12">
        <f t="shared" si="10"/>
        <v>0</v>
      </c>
    </row>
    <row r="593" spans="1:6" x14ac:dyDescent="0.2">
      <c r="A593" s="18" t="s">
        <v>269</v>
      </c>
      <c r="B593" s="9">
        <f>B594</f>
        <v>15500</v>
      </c>
      <c r="C593" s="9"/>
      <c r="D593" s="9">
        <f t="shared" si="10"/>
        <v>15500</v>
      </c>
    </row>
    <row r="594" spans="1:6" x14ac:dyDescent="0.2">
      <c r="A594" s="18" t="s">
        <v>656</v>
      </c>
      <c r="B594" s="9">
        <f>SUM(B595:B597)</f>
        <v>15500</v>
      </c>
      <c r="C594" s="9"/>
      <c r="D594" s="9">
        <f t="shared" si="10"/>
        <v>15500</v>
      </c>
    </row>
    <row r="595" spans="1:6" x14ac:dyDescent="0.2">
      <c r="A595" s="13" t="s">
        <v>590</v>
      </c>
      <c r="B595" s="14">
        <v>3800</v>
      </c>
      <c r="C595" s="14"/>
      <c r="D595" s="14">
        <f t="shared" si="10"/>
        <v>3800</v>
      </c>
    </row>
    <row r="596" spans="1:6" x14ac:dyDescent="0.2">
      <c r="A596" s="13" t="s">
        <v>10</v>
      </c>
      <c r="B596" s="14">
        <v>3200</v>
      </c>
      <c r="C596" s="14"/>
      <c r="D596" s="14">
        <f t="shared" si="10"/>
        <v>3200</v>
      </c>
    </row>
    <row r="597" spans="1:6" x14ac:dyDescent="0.2">
      <c r="A597" s="11" t="s">
        <v>6</v>
      </c>
      <c r="B597" s="12">
        <v>8500</v>
      </c>
      <c r="C597" s="12"/>
      <c r="D597" s="12">
        <f t="shared" si="10"/>
        <v>8500</v>
      </c>
    </row>
    <row r="598" spans="1:6" x14ac:dyDescent="0.2">
      <c r="A598" s="11"/>
      <c r="B598" s="12"/>
      <c r="C598" s="12"/>
      <c r="D598" s="12"/>
    </row>
    <row r="599" spans="1:6" x14ac:dyDescent="0.2">
      <c r="A599" s="18" t="s">
        <v>920</v>
      </c>
      <c r="B599" s="12"/>
      <c r="C599" s="12">
        <f>C600</f>
        <v>7060</v>
      </c>
      <c r="D599" s="12">
        <f>B599+C599</f>
        <v>7060</v>
      </c>
    </row>
    <row r="600" spans="1:6" x14ac:dyDescent="0.2">
      <c r="A600" s="18" t="s">
        <v>598</v>
      </c>
      <c r="B600" s="12"/>
      <c r="C600" s="12">
        <f>SUM(C601:C605)</f>
        <v>7060</v>
      </c>
      <c r="D600" s="12">
        <f t="shared" ref="D600:D605" si="11">B600+C600</f>
        <v>7060</v>
      </c>
      <c r="F600" s="531" t="s">
        <v>983</v>
      </c>
    </row>
    <row r="601" spans="1:6" x14ac:dyDescent="0.2">
      <c r="A601" s="13" t="s">
        <v>617</v>
      </c>
      <c r="B601" s="12"/>
      <c r="C601" s="12">
        <v>256</v>
      </c>
      <c r="D601" s="12">
        <f t="shared" si="11"/>
        <v>256</v>
      </c>
    </row>
    <row r="602" spans="1:6" x14ac:dyDescent="0.2">
      <c r="A602" s="13" t="s">
        <v>650</v>
      </c>
      <c r="B602" s="12"/>
      <c r="C602" s="12">
        <v>54</v>
      </c>
      <c r="D602" s="12">
        <f t="shared" si="11"/>
        <v>54</v>
      </c>
    </row>
    <row r="603" spans="1:6" x14ac:dyDescent="0.2">
      <c r="A603" s="13" t="s">
        <v>619</v>
      </c>
      <c r="B603" s="12"/>
      <c r="C603" s="12">
        <v>1438</v>
      </c>
      <c r="D603" s="12">
        <f t="shared" si="11"/>
        <v>1438</v>
      </c>
    </row>
    <row r="604" spans="1:6" x14ac:dyDescent="0.2">
      <c r="A604" s="13" t="s">
        <v>99</v>
      </c>
      <c r="B604" s="12"/>
      <c r="C604" s="12">
        <v>2237</v>
      </c>
      <c r="D604" s="12">
        <f t="shared" si="11"/>
        <v>2237</v>
      </c>
    </row>
    <row r="605" spans="1:6" x14ac:dyDescent="0.2">
      <c r="A605" s="13" t="s">
        <v>615</v>
      </c>
      <c r="B605" s="12"/>
      <c r="C605" s="12">
        <v>3075</v>
      </c>
      <c r="D605" s="12">
        <f t="shared" si="11"/>
        <v>3075</v>
      </c>
    </row>
    <row r="606" spans="1:6" x14ac:dyDescent="0.2">
      <c r="A606" s="18"/>
      <c r="B606" s="9"/>
      <c r="C606" s="9"/>
      <c r="D606" s="9">
        <f t="shared" si="10"/>
        <v>0</v>
      </c>
    </row>
    <row r="607" spans="1:6" x14ac:dyDescent="0.2">
      <c r="A607" s="5" t="s">
        <v>270</v>
      </c>
      <c r="B607" s="6">
        <f>B609+B626+B642</f>
        <v>600750</v>
      </c>
      <c r="C607" s="6">
        <f>C609+C626+C642</f>
        <v>69012</v>
      </c>
      <c r="D607" s="6">
        <f t="shared" si="10"/>
        <v>669762</v>
      </c>
    </row>
    <row r="608" spans="1:6" x14ac:dyDescent="0.2">
      <c r="A608" s="15"/>
      <c r="B608" s="16"/>
      <c r="C608" s="16"/>
      <c r="D608" s="16">
        <f t="shared" si="10"/>
        <v>0</v>
      </c>
    </row>
    <row r="609" spans="1:6" x14ac:dyDescent="0.2">
      <c r="A609" s="18" t="s">
        <v>271</v>
      </c>
      <c r="B609" s="9">
        <f>B610+B614+B618+B622</f>
        <v>512050</v>
      </c>
      <c r="C609" s="9">
        <f>C610+C614+C618+C622</f>
        <v>65750</v>
      </c>
      <c r="D609" s="9">
        <f t="shared" si="10"/>
        <v>577800</v>
      </c>
    </row>
    <row r="610" spans="1:6" x14ac:dyDescent="0.2">
      <c r="A610" s="18" t="s">
        <v>648</v>
      </c>
      <c r="B610" s="9">
        <f>SUM(B611:B613)</f>
        <v>40500</v>
      </c>
      <c r="C610" s="9">
        <f>SUM(C611:C613)</f>
        <v>39400</v>
      </c>
      <c r="D610" s="9">
        <f t="shared" si="10"/>
        <v>79900</v>
      </c>
    </row>
    <row r="611" spans="1:6" ht="45.75" customHeight="1" x14ac:dyDescent="0.2">
      <c r="A611" s="11" t="s">
        <v>649</v>
      </c>
      <c r="B611" s="12">
        <v>12900</v>
      </c>
      <c r="C611" s="12">
        <v>15100</v>
      </c>
      <c r="D611" s="12">
        <f t="shared" si="10"/>
        <v>28000</v>
      </c>
      <c r="F611" s="535" t="s">
        <v>984</v>
      </c>
    </row>
    <row r="612" spans="1:6" x14ac:dyDescent="0.2">
      <c r="A612" s="13" t="s">
        <v>5</v>
      </c>
      <c r="B612" s="14">
        <v>2700</v>
      </c>
      <c r="C612" s="14">
        <v>1300</v>
      </c>
      <c r="D612" s="14">
        <f t="shared" si="10"/>
        <v>4000</v>
      </c>
      <c r="F612" s="531" t="s">
        <v>958</v>
      </c>
    </row>
    <row r="613" spans="1:6" x14ac:dyDescent="0.2">
      <c r="A613" s="11" t="s">
        <v>583</v>
      </c>
      <c r="B613" s="12">
        <v>24900</v>
      </c>
      <c r="C613" s="12">
        <v>23000</v>
      </c>
      <c r="D613" s="12">
        <f t="shared" si="10"/>
        <v>47900</v>
      </c>
      <c r="F613" s="531" t="s">
        <v>958</v>
      </c>
    </row>
    <row r="614" spans="1:6" x14ac:dyDescent="0.2">
      <c r="A614" s="18" t="s">
        <v>581</v>
      </c>
      <c r="B614" s="9">
        <f>SUM(B615:B617)</f>
        <v>287650</v>
      </c>
      <c r="C614" s="9">
        <f>SUM(C615:C617)</f>
        <v>23050</v>
      </c>
      <c r="D614" s="9">
        <f t="shared" si="10"/>
        <v>310700</v>
      </c>
    </row>
    <row r="615" spans="1:6" x14ac:dyDescent="0.2">
      <c r="A615" s="11" t="s">
        <v>582</v>
      </c>
      <c r="B615" s="12">
        <f>195100+26100</f>
        <v>221200</v>
      </c>
      <c r="C615" s="12">
        <v>4800</v>
      </c>
      <c r="D615" s="12">
        <f t="shared" si="10"/>
        <v>226000</v>
      </c>
      <c r="F615" s="531" t="s">
        <v>958</v>
      </c>
    </row>
    <row r="616" spans="1:6" x14ac:dyDescent="0.2">
      <c r="A616" s="11" t="s">
        <v>583</v>
      </c>
      <c r="B616" s="12">
        <f>62000+3750</f>
        <v>65750</v>
      </c>
      <c r="C616" s="12">
        <v>18250</v>
      </c>
      <c r="D616" s="12">
        <f t="shared" si="10"/>
        <v>84000</v>
      </c>
      <c r="F616" s="531" t="s">
        <v>958</v>
      </c>
    </row>
    <row r="617" spans="1:6" x14ac:dyDescent="0.2">
      <c r="A617" s="11" t="s">
        <v>599</v>
      </c>
      <c r="B617" s="12">
        <v>700</v>
      </c>
      <c r="C617" s="12"/>
      <c r="D617" s="12">
        <f t="shared" si="10"/>
        <v>700</v>
      </c>
    </row>
    <row r="618" spans="1:6" x14ac:dyDescent="0.2">
      <c r="A618" s="20" t="s">
        <v>585</v>
      </c>
      <c r="B618" s="21">
        <f>SUM(B619:B621)</f>
        <v>77700</v>
      </c>
      <c r="C618" s="21">
        <f>SUM(C619:C621)</f>
        <v>1500</v>
      </c>
      <c r="D618" s="21">
        <f t="shared" si="10"/>
        <v>79200</v>
      </c>
    </row>
    <row r="619" spans="1:6" x14ac:dyDescent="0.2">
      <c r="A619" s="13" t="s">
        <v>587</v>
      </c>
      <c r="B619" s="14">
        <v>2200</v>
      </c>
      <c r="C619" s="14"/>
      <c r="D619" s="14">
        <f t="shared" si="10"/>
        <v>2200</v>
      </c>
    </row>
    <row r="620" spans="1:6" x14ac:dyDescent="0.2">
      <c r="A620" s="11" t="s">
        <v>7</v>
      </c>
      <c r="B620" s="12">
        <v>64000</v>
      </c>
      <c r="C620" s="12">
        <v>1000</v>
      </c>
      <c r="D620" s="12">
        <f t="shared" si="10"/>
        <v>65000</v>
      </c>
      <c r="F620" s="536" t="s">
        <v>985</v>
      </c>
    </row>
    <row r="621" spans="1:6" x14ac:dyDescent="0.2">
      <c r="A621" s="13" t="s">
        <v>640</v>
      </c>
      <c r="B621" s="14">
        <v>11500</v>
      </c>
      <c r="C621" s="14">
        <v>500</v>
      </c>
      <c r="D621" s="14">
        <f t="shared" si="10"/>
        <v>12000</v>
      </c>
      <c r="F621" s="536" t="s">
        <v>986</v>
      </c>
    </row>
    <row r="622" spans="1:6" x14ac:dyDescent="0.2">
      <c r="A622" s="18" t="s">
        <v>638</v>
      </c>
      <c r="B622" s="9">
        <f>SUM(B623:B624)</f>
        <v>106200</v>
      </c>
      <c r="C622" s="9">
        <f>SUM(C623:C624)</f>
        <v>1800</v>
      </c>
      <c r="D622" s="9">
        <f t="shared" si="10"/>
        <v>108000</v>
      </c>
    </row>
    <row r="623" spans="1:6" x14ac:dyDescent="0.2">
      <c r="A623" s="13" t="s">
        <v>674</v>
      </c>
      <c r="B623" s="14">
        <v>57700</v>
      </c>
      <c r="C623" s="14">
        <v>300</v>
      </c>
      <c r="D623" s="14">
        <f t="shared" si="10"/>
        <v>58000</v>
      </c>
      <c r="F623" s="536" t="s">
        <v>987</v>
      </c>
    </row>
    <row r="624" spans="1:6" x14ac:dyDescent="0.2">
      <c r="A624" s="13" t="s">
        <v>639</v>
      </c>
      <c r="B624" s="14">
        <v>48500</v>
      </c>
      <c r="C624" s="14">
        <v>1500</v>
      </c>
      <c r="D624" s="14">
        <f t="shared" si="10"/>
        <v>50000</v>
      </c>
      <c r="F624" s="536" t="s">
        <v>988</v>
      </c>
    </row>
    <row r="625" spans="1:6" x14ac:dyDescent="0.2">
      <c r="A625" s="13"/>
      <c r="B625" s="14"/>
      <c r="C625" s="14"/>
      <c r="D625" s="14">
        <f t="shared" si="10"/>
        <v>0</v>
      </c>
    </row>
    <row r="626" spans="1:6" x14ac:dyDescent="0.2">
      <c r="A626" s="18" t="s">
        <v>272</v>
      </c>
      <c r="B626" s="9">
        <f>B627+B634+B637</f>
        <v>43300</v>
      </c>
      <c r="C626" s="9">
        <f>C627+C634+C637+C632</f>
        <v>-3970</v>
      </c>
      <c r="D626" s="9">
        <f t="shared" si="10"/>
        <v>39330</v>
      </c>
    </row>
    <row r="627" spans="1:6" x14ac:dyDescent="0.2">
      <c r="A627" s="18" t="s">
        <v>596</v>
      </c>
      <c r="B627" s="9">
        <f>SUM(B628:B631)</f>
        <v>31300</v>
      </c>
      <c r="C627" s="9">
        <f>SUM(C628:C631)</f>
        <v>900</v>
      </c>
      <c r="D627" s="9">
        <f t="shared" si="10"/>
        <v>32200</v>
      </c>
    </row>
    <row r="628" spans="1:6" x14ac:dyDescent="0.2">
      <c r="A628" s="11" t="s">
        <v>618</v>
      </c>
      <c r="B628" s="12">
        <v>7600</v>
      </c>
      <c r="C628" s="12">
        <v>900</v>
      </c>
      <c r="D628" s="12">
        <f t="shared" si="10"/>
        <v>8500</v>
      </c>
      <c r="F628" s="531" t="s">
        <v>958</v>
      </c>
    </row>
    <row r="629" spans="1:6" x14ac:dyDescent="0.2">
      <c r="A629" s="13" t="s">
        <v>630</v>
      </c>
      <c r="B629" s="14">
        <v>22200</v>
      </c>
      <c r="C629" s="14"/>
      <c r="D629" s="14">
        <f t="shared" si="10"/>
        <v>22200</v>
      </c>
    </row>
    <row r="630" spans="1:6" x14ac:dyDescent="0.2">
      <c r="A630" s="13" t="s">
        <v>607</v>
      </c>
      <c r="B630" s="14">
        <v>1000</v>
      </c>
      <c r="C630" s="14"/>
      <c r="D630" s="14">
        <f t="shared" si="10"/>
        <v>1000</v>
      </c>
    </row>
    <row r="631" spans="1:6" x14ac:dyDescent="0.2">
      <c r="A631" s="11" t="s">
        <v>613</v>
      </c>
      <c r="B631" s="12">
        <v>500</v>
      </c>
      <c r="C631" s="12"/>
      <c r="D631" s="12">
        <f t="shared" si="10"/>
        <v>500</v>
      </c>
    </row>
    <row r="632" spans="1:6" x14ac:dyDescent="0.2">
      <c r="A632" s="471" t="s">
        <v>585</v>
      </c>
      <c r="B632" s="12"/>
      <c r="C632" s="12">
        <f>C633</f>
        <v>2500</v>
      </c>
      <c r="D632" s="12">
        <f t="shared" si="10"/>
        <v>2500</v>
      </c>
    </row>
    <row r="633" spans="1:6" x14ac:dyDescent="0.2">
      <c r="A633" s="11" t="s">
        <v>628</v>
      </c>
      <c r="B633" s="12"/>
      <c r="C633" s="12">
        <v>2500</v>
      </c>
      <c r="D633" s="12">
        <f t="shared" si="10"/>
        <v>2500</v>
      </c>
      <c r="F633" s="531" t="s">
        <v>989</v>
      </c>
    </row>
    <row r="634" spans="1:6" x14ac:dyDescent="0.2">
      <c r="A634" s="18" t="s">
        <v>581</v>
      </c>
      <c r="B634" s="9">
        <f>SUM(B635:B636)</f>
        <v>10000</v>
      </c>
      <c r="C634" s="9">
        <f>SUM(C635:C636)</f>
        <v>-10000</v>
      </c>
      <c r="D634" s="9">
        <f t="shared" si="10"/>
        <v>0</v>
      </c>
    </row>
    <row r="635" spans="1:6" x14ac:dyDescent="0.2">
      <c r="A635" s="11" t="s">
        <v>582</v>
      </c>
      <c r="B635" s="12">
        <v>5000</v>
      </c>
      <c r="C635" s="12">
        <v>-5000</v>
      </c>
      <c r="D635" s="12">
        <f t="shared" si="10"/>
        <v>0</v>
      </c>
      <c r="F635" s="531" t="s">
        <v>990</v>
      </c>
    </row>
    <row r="636" spans="1:6" x14ac:dyDescent="0.2">
      <c r="A636" s="11" t="s">
        <v>583</v>
      </c>
      <c r="B636" s="12">
        <v>5000</v>
      </c>
      <c r="C636" s="12">
        <v>-5000</v>
      </c>
      <c r="D636" s="12">
        <f t="shared" si="10"/>
        <v>0</v>
      </c>
      <c r="F636" s="531" t="s">
        <v>990</v>
      </c>
    </row>
    <row r="637" spans="1:6" x14ac:dyDescent="0.2">
      <c r="A637" s="18" t="s">
        <v>598</v>
      </c>
      <c r="B637" s="9">
        <f>SUM(B638:B640)</f>
        <v>2000</v>
      </c>
      <c r="C637" s="9">
        <f>SUM(C638:C640)</f>
        <v>2630</v>
      </c>
      <c r="D637" s="9">
        <f>B637+C637</f>
        <v>4630</v>
      </c>
    </row>
    <row r="638" spans="1:6" x14ac:dyDescent="0.2">
      <c r="A638" s="11" t="s">
        <v>615</v>
      </c>
      <c r="B638" s="12">
        <v>1920</v>
      </c>
      <c r="C638" s="12">
        <v>1530</v>
      </c>
      <c r="D638" s="12">
        <f t="shared" si="10"/>
        <v>3450</v>
      </c>
      <c r="F638" s="531" t="s">
        <v>958</v>
      </c>
    </row>
    <row r="639" spans="1:6" x14ac:dyDescent="0.2">
      <c r="A639" s="11" t="s">
        <v>99</v>
      </c>
      <c r="B639" s="12">
        <v>80</v>
      </c>
      <c r="C639" s="12"/>
      <c r="D639" s="12">
        <f t="shared" si="10"/>
        <v>80</v>
      </c>
    </row>
    <row r="640" spans="1:6" x14ac:dyDescent="0.2">
      <c r="A640" s="11" t="s">
        <v>619</v>
      </c>
      <c r="B640" s="12"/>
      <c r="C640" s="12">
        <v>1100</v>
      </c>
      <c r="D640" s="12">
        <f t="shared" si="10"/>
        <v>1100</v>
      </c>
      <c r="F640" s="536"/>
    </row>
    <row r="641" spans="1:6" x14ac:dyDescent="0.2">
      <c r="A641" s="11"/>
      <c r="B641" s="12"/>
      <c r="C641" s="12"/>
      <c r="D641" s="12">
        <f t="shared" si="10"/>
        <v>0</v>
      </c>
    </row>
    <row r="642" spans="1:6" x14ac:dyDescent="0.2">
      <c r="A642" s="18" t="s">
        <v>273</v>
      </c>
      <c r="B642" s="9">
        <f>B643+B649</f>
        <v>45400</v>
      </c>
      <c r="C642" s="9">
        <f>C643+C649</f>
        <v>7232</v>
      </c>
      <c r="D642" s="9">
        <f>B642+C642</f>
        <v>52632</v>
      </c>
    </row>
    <row r="643" spans="1:6" x14ac:dyDescent="0.2">
      <c r="A643" s="18" t="s">
        <v>656</v>
      </c>
      <c r="B643" s="9">
        <f>SUM(B644:B648)</f>
        <v>45400</v>
      </c>
      <c r="C643" s="9">
        <f>SUM(C644:C648)</f>
        <v>7000</v>
      </c>
      <c r="D643" s="9">
        <f>B643+C643</f>
        <v>52400</v>
      </c>
    </row>
    <row r="644" spans="1:6" x14ac:dyDescent="0.2">
      <c r="A644" s="13" t="s">
        <v>658</v>
      </c>
      <c r="B644" s="14">
        <v>29600</v>
      </c>
      <c r="C644" s="14">
        <v>3400</v>
      </c>
      <c r="D644" s="14">
        <f t="shared" si="10"/>
        <v>33000</v>
      </c>
      <c r="F644" s="535" t="s">
        <v>946</v>
      </c>
    </row>
    <row r="645" spans="1:6" x14ac:dyDescent="0.2">
      <c r="A645" s="13" t="s">
        <v>590</v>
      </c>
      <c r="B645" s="14">
        <v>4900</v>
      </c>
      <c r="C645" s="14">
        <v>500</v>
      </c>
      <c r="D645" s="14">
        <f t="shared" si="10"/>
        <v>5400</v>
      </c>
      <c r="F645" s="535" t="s">
        <v>946</v>
      </c>
    </row>
    <row r="646" spans="1:6" x14ac:dyDescent="0.2">
      <c r="A646" s="13" t="s">
        <v>10</v>
      </c>
      <c r="B646" s="14">
        <v>2700</v>
      </c>
      <c r="C646" s="14">
        <v>500</v>
      </c>
      <c r="D646" s="14">
        <f t="shared" si="10"/>
        <v>3200</v>
      </c>
      <c r="F646" s="535" t="s">
        <v>946</v>
      </c>
    </row>
    <row r="647" spans="1:6" x14ac:dyDescent="0.2">
      <c r="A647" s="11" t="s">
        <v>6</v>
      </c>
      <c r="B647" s="12">
        <v>8200</v>
      </c>
      <c r="C647" s="12">
        <v>-200</v>
      </c>
      <c r="D647" s="12">
        <f t="shared" si="10"/>
        <v>8000</v>
      </c>
      <c r="F647" s="531" t="s">
        <v>991</v>
      </c>
    </row>
    <row r="648" spans="1:6" x14ac:dyDescent="0.2">
      <c r="A648" s="11" t="s">
        <v>274</v>
      </c>
      <c r="B648" s="12"/>
      <c r="C648" s="12">
        <v>2800</v>
      </c>
      <c r="D648" s="12">
        <f t="shared" si="10"/>
        <v>2800</v>
      </c>
      <c r="F648" s="531" t="s">
        <v>985</v>
      </c>
    </row>
    <row r="649" spans="1:6" x14ac:dyDescent="0.2">
      <c r="A649" s="471" t="s">
        <v>585</v>
      </c>
      <c r="B649" s="12"/>
      <c r="C649" s="12">
        <f>C650</f>
        <v>232</v>
      </c>
      <c r="D649" s="12">
        <f t="shared" si="10"/>
        <v>232</v>
      </c>
    </row>
    <row r="650" spans="1:6" x14ac:dyDescent="0.2">
      <c r="A650" s="11" t="s">
        <v>628</v>
      </c>
      <c r="B650" s="12"/>
      <c r="C650" s="12">
        <v>232</v>
      </c>
      <c r="D650" s="12">
        <f t="shared" si="10"/>
        <v>232</v>
      </c>
    </row>
    <row r="651" spans="1:6" x14ac:dyDescent="0.2">
      <c r="A651" s="11"/>
      <c r="B651" s="12"/>
      <c r="C651" s="12"/>
      <c r="D651" s="12">
        <f t="shared" si="10"/>
        <v>0</v>
      </c>
    </row>
    <row r="652" spans="1:6" x14ac:dyDescent="0.2">
      <c r="A652" s="5" t="s">
        <v>275</v>
      </c>
      <c r="B652" s="6">
        <f>B654+B672+B683+B689</f>
        <v>456155</v>
      </c>
      <c r="C652" s="6">
        <f>C654+C672+C683+C689</f>
        <v>27700</v>
      </c>
      <c r="D652" s="6">
        <f t="shared" si="10"/>
        <v>483855</v>
      </c>
    </row>
    <row r="653" spans="1:6" x14ac:dyDescent="0.2">
      <c r="A653" s="15"/>
      <c r="B653" s="16"/>
      <c r="C653" s="16"/>
      <c r="D653" s="16">
        <f t="shared" si="10"/>
        <v>0</v>
      </c>
    </row>
    <row r="654" spans="1:6" x14ac:dyDescent="0.2">
      <c r="A654" s="18" t="s">
        <v>276</v>
      </c>
      <c r="B654" s="9">
        <f>B655+B658+B662+B664+B668</f>
        <v>232405</v>
      </c>
      <c r="C654" s="9">
        <f>C655+C658+C662+C664+C668</f>
        <v>5700</v>
      </c>
      <c r="D654" s="9">
        <f t="shared" si="10"/>
        <v>238105</v>
      </c>
    </row>
    <row r="655" spans="1:6" x14ac:dyDescent="0.2">
      <c r="A655" s="18" t="s">
        <v>648</v>
      </c>
      <c r="B655" s="9">
        <f>SUM(B656:B657)</f>
        <v>13500</v>
      </c>
      <c r="C655" s="9">
        <f>SUM(C656:C657)</f>
        <v>-6500</v>
      </c>
      <c r="D655" s="9">
        <f t="shared" si="10"/>
        <v>7000</v>
      </c>
    </row>
    <row r="656" spans="1:6" x14ac:dyDescent="0.2">
      <c r="A656" s="11" t="s">
        <v>649</v>
      </c>
      <c r="B656" s="12">
        <v>8500</v>
      </c>
      <c r="C656" s="12">
        <v>-5500</v>
      </c>
      <c r="D656" s="12">
        <f t="shared" si="10"/>
        <v>3000</v>
      </c>
      <c r="F656" s="531" t="s">
        <v>992</v>
      </c>
    </row>
    <row r="657" spans="1:6" x14ac:dyDescent="0.2">
      <c r="A657" s="11" t="s">
        <v>583</v>
      </c>
      <c r="B657" s="12">
        <v>5000</v>
      </c>
      <c r="C657" s="12">
        <v>-1000</v>
      </c>
      <c r="D657" s="12">
        <f t="shared" si="10"/>
        <v>4000</v>
      </c>
      <c r="F657" s="531" t="s">
        <v>992</v>
      </c>
    </row>
    <row r="658" spans="1:6" x14ac:dyDescent="0.2">
      <c r="A658" s="18" t="s">
        <v>581</v>
      </c>
      <c r="B658" s="9">
        <f>SUM(B659:B661)</f>
        <v>119127</v>
      </c>
      <c r="C658" s="9">
        <f>SUM(C659:C661)</f>
        <v>3500</v>
      </c>
      <c r="D658" s="9">
        <f t="shared" si="10"/>
        <v>122627</v>
      </c>
    </row>
    <row r="659" spans="1:6" x14ac:dyDescent="0.2">
      <c r="A659" s="11" t="s">
        <v>582</v>
      </c>
      <c r="B659" s="12">
        <v>86127</v>
      </c>
      <c r="C659" s="12"/>
      <c r="D659" s="12">
        <f t="shared" si="10"/>
        <v>86127</v>
      </c>
    </row>
    <row r="660" spans="1:6" x14ac:dyDescent="0.2">
      <c r="A660" s="11" t="s">
        <v>583</v>
      </c>
      <c r="B660" s="12">
        <v>27000</v>
      </c>
      <c r="C660" s="12">
        <v>3500</v>
      </c>
      <c r="D660" s="12">
        <f t="shared" si="10"/>
        <v>30500</v>
      </c>
      <c r="F660" s="534" t="s">
        <v>930</v>
      </c>
    </row>
    <row r="661" spans="1:6" x14ac:dyDescent="0.2">
      <c r="A661" s="11" t="s">
        <v>599</v>
      </c>
      <c r="B661" s="12">
        <v>6000</v>
      </c>
      <c r="C661" s="12"/>
      <c r="D661" s="12">
        <f t="shared" ref="D661:D726" si="12">B661+C661</f>
        <v>6000</v>
      </c>
    </row>
    <row r="662" spans="1:6" x14ac:dyDescent="0.2">
      <c r="A662" s="18" t="s">
        <v>638</v>
      </c>
      <c r="B662" s="9">
        <f>B663</f>
        <v>44723</v>
      </c>
      <c r="C662" s="9"/>
      <c r="D662" s="9">
        <f t="shared" si="12"/>
        <v>44723</v>
      </c>
    </row>
    <row r="663" spans="1:6" x14ac:dyDescent="0.2">
      <c r="A663" s="13" t="s">
        <v>674</v>
      </c>
      <c r="B663" s="14">
        <v>44723</v>
      </c>
      <c r="C663" s="14"/>
      <c r="D663" s="14">
        <f t="shared" si="12"/>
        <v>44723</v>
      </c>
    </row>
    <row r="664" spans="1:6" x14ac:dyDescent="0.2">
      <c r="A664" s="18" t="s">
        <v>585</v>
      </c>
      <c r="B664" s="9">
        <f>SUM(B665:B666)</f>
        <v>53300</v>
      </c>
      <c r="C664" s="9">
        <f>C665+C666+C667</f>
        <v>8700</v>
      </c>
      <c r="D664" s="9">
        <f t="shared" si="12"/>
        <v>62000</v>
      </c>
    </row>
    <row r="665" spans="1:6" x14ac:dyDescent="0.2">
      <c r="A665" s="11" t="s">
        <v>7</v>
      </c>
      <c r="B665" s="12">
        <v>14300</v>
      </c>
      <c r="C665" s="12"/>
      <c r="D665" s="12">
        <f t="shared" si="12"/>
        <v>14300</v>
      </c>
    </row>
    <row r="666" spans="1:6" x14ac:dyDescent="0.2">
      <c r="A666" s="13" t="s">
        <v>640</v>
      </c>
      <c r="B666" s="14">
        <v>39000</v>
      </c>
      <c r="C666" s="14"/>
      <c r="D666" s="14">
        <f t="shared" si="12"/>
        <v>39000</v>
      </c>
    </row>
    <row r="667" spans="1:6" x14ac:dyDescent="0.2">
      <c r="A667" s="11" t="s">
        <v>587</v>
      </c>
      <c r="B667" s="14"/>
      <c r="C667" s="14">
        <v>8700</v>
      </c>
      <c r="D667" s="14">
        <f t="shared" si="12"/>
        <v>8700</v>
      </c>
      <c r="F667" s="536" t="s">
        <v>993</v>
      </c>
    </row>
    <row r="668" spans="1:6" x14ac:dyDescent="0.2">
      <c r="A668" s="18" t="s">
        <v>596</v>
      </c>
      <c r="B668" s="9">
        <f>SUM(B669:B670)</f>
        <v>1755</v>
      </c>
      <c r="C668" s="9"/>
      <c r="D668" s="9">
        <f t="shared" si="12"/>
        <v>1755</v>
      </c>
    </row>
    <row r="669" spans="1:6" x14ac:dyDescent="0.2">
      <c r="A669" s="11" t="s">
        <v>277</v>
      </c>
      <c r="B669" s="12">
        <v>400</v>
      </c>
      <c r="C669" s="12"/>
      <c r="D669" s="12">
        <f t="shared" si="12"/>
        <v>400</v>
      </c>
    </row>
    <row r="670" spans="1:6" x14ac:dyDescent="0.2">
      <c r="A670" s="13" t="s">
        <v>278</v>
      </c>
      <c r="B670" s="14">
        <v>1355</v>
      </c>
      <c r="C670" s="14"/>
      <c r="D670" s="14">
        <f t="shared" si="12"/>
        <v>1355</v>
      </c>
    </row>
    <row r="671" spans="1:6" x14ac:dyDescent="0.2">
      <c r="A671" s="30"/>
      <c r="B671" s="31"/>
      <c r="C671" s="31"/>
      <c r="D671" s="31">
        <f t="shared" si="12"/>
        <v>0</v>
      </c>
    </row>
    <row r="672" spans="1:6" x14ac:dyDescent="0.2">
      <c r="A672" s="378" t="s">
        <v>279</v>
      </c>
      <c r="B672" s="9">
        <f>B673+B679</f>
        <v>63700</v>
      </c>
      <c r="C672" s="9"/>
      <c r="D672" s="9">
        <f t="shared" si="12"/>
        <v>63700</v>
      </c>
    </row>
    <row r="673" spans="1:4" x14ac:dyDescent="0.2">
      <c r="A673" s="18" t="s">
        <v>596</v>
      </c>
      <c r="B673" s="9">
        <f>SUM(B674:B678)</f>
        <v>54800</v>
      </c>
      <c r="C673" s="9"/>
      <c r="D673" s="9">
        <f t="shared" si="12"/>
        <v>54800</v>
      </c>
    </row>
    <row r="674" spans="1:4" x14ac:dyDescent="0.2">
      <c r="A674" s="13" t="s">
        <v>633</v>
      </c>
      <c r="B674" s="14">
        <v>18900</v>
      </c>
      <c r="C674" s="14"/>
      <c r="D674" s="14">
        <f t="shared" si="12"/>
        <v>18900</v>
      </c>
    </row>
    <row r="675" spans="1:4" x14ac:dyDescent="0.2">
      <c r="A675" s="13" t="s">
        <v>618</v>
      </c>
      <c r="B675" s="14">
        <v>7600</v>
      </c>
      <c r="C675" s="14"/>
      <c r="D675" s="14">
        <f t="shared" si="12"/>
        <v>7600</v>
      </c>
    </row>
    <row r="676" spans="1:4" x14ac:dyDescent="0.2">
      <c r="A676" s="13" t="s">
        <v>590</v>
      </c>
      <c r="B676" s="14">
        <v>100</v>
      </c>
      <c r="C676" s="14"/>
      <c r="D676" s="14">
        <f t="shared" si="12"/>
        <v>100</v>
      </c>
    </row>
    <row r="677" spans="1:4" x14ac:dyDescent="0.2">
      <c r="A677" s="13" t="s">
        <v>630</v>
      </c>
      <c r="B677" s="14">
        <v>27400</v>
      </c>
      <c r="C677" s="14"/>
      <c r="D677" s="14">
        <f t="shared" si="12"/>
        <v>27400</v>
      </c>
    </row>
    <row r="678" spans="1:4" x14ac:dyDescent="0.2">
      <c r="A678" s="13" t="s">
        <v>607</v>
      </c>
      <c r="B678" s="14">
        <v>800</v>
      </c>
      <c r="C678" s="14"/>
      <c r="D678" s="14">
        <f t="shared" si="12"/>
        <v>800</v>
      </c>
    </row>
    <row r="679" spans="1:4" x14ac:dyDescent="0.2">
      <c r="A679" s="18" t="s">
        <v>581</v>
      </c>
      <c r="B679" s="9">
        <f>SUM(B680:B681)</f>
        <v>8900</v>
      </c>
      <c r="C679" s="9"/>
      <c r="D679" s="9">
        <f t="shared" si="12"/>
        <v>8900</v>
      </c>
    </row>
    <row r="680" spans="1:4" x14ac:dyDescent="0.2">
      <c r="A680" s="11" t="s">
        <v>582</v>
      </c>
      <c r="B680" s="12">
        <v>5900</v>
      </c>
      <c r="C680" s="12"/>
      <c r="D680" s="12">
        <f t="shared" si="12"/>
        <v>5900</v>
      </c>
    </row>
    <row r="681" spans="1:4" x14ac:dyDescent="0.2">
      <c r="A681" s="11" t="s">
        <v>583</v>
      </c>
      <c r="B681" s="12">
        <v>3000</v>
      </c>
      <c r="C681" s="12"/>
      <c r="D681" s="12">
        <f t="shared" si="12"/>
        <v>3000</v>
      </c>
    </row>
    <row r="682" spans="1:4" x14ac:dyDescent="0.2">
      <c r="A682" s="18"/>
      <c r="B682" s="9"/>
      <c r="C682" s="9"/>
      <c r="D682" s="9">
        <f t="shared" si="12"/>
        <v>0</v>
      </c>
    </row>
    <row r="683" spans="1:4" x14ac:dyDescent="0.2">
      <c r="A683" s="18" t="s">
        <v>698</v>
      </c>
      <c r="B683" s="9">
        <f>B684</f>
        <v>7250</v>
      </c>
      <c r="C683" s="9"/>
      <c r="D683" s="9">
        <f t="shared" si="12"/>
        <v>7250</v>
      </c>
    </row>
    <row r="684" spans="1:4" x14ac:dyDescent="0.2">
      <c r="A684" s="18" t="s">
        <v>656</v>
      </c>
      <c r="B684" s="9">
        <f>SUM(B685:B687)</f>
        <v>7250</v>
      </c>
      <c r="C684" s="9"/>
      <c r="D684" s="9">
        <f t="shared" si="12"/>
        <v>7250</v>
      </c>
    </row>
    <row r="685" spans="1:4" x14ac:dyDescent="0.2">
      <c r="A685" s="13" t="s">
        <v>590</v>
      </c>
      <c r="B685" s="14">
        <v>2485</v>
      </c>
      <c r="C685" s="14"/>
      <c r="D685" s="14">
        <f t="shared" si="12"/>
        <v>2485</v>
      </c>
    </row>
    <row r="686" spans="1:4" x14ac:dyDescent="0.2">
      <c r="A686" s="13" t="s">
        <v>633</v>
      </c>
      <c r="B686" s="14">
        <v>3515</v>
      </c>
      <c r="C686" s="14"/>
      <c r="D686" s="14">
        <f t="shared" si="12"/>
        <v>3515</v>
      </c>
    </row>
    <row r="687" spans="1:4" x14ac:dyDescent="0.2">
      <c r="A687" s="13" t="s">
        <v>280</v>
      </c>
      <c r="B687" s="14">
        <v>1250</v>
      </c>
      <c r="C687" s="14"/>
      <c r="D687" s="14">
        <f t="shared" si="12"/>
        <v>1250</v>
      </c>
    </row>
    <row r="688" spans="1:4" x14ac:dyDescent="0.2">
      <c r="A688" s="18"/>
      <c r="B688" s="9"/>
      <c r="C688" s="9"/>
      <c r="D688" s="9">
        <f t="shared" si="12"/>
        <v>0</v>
      </c>
    </row>
    <row r="689" spans="1:6" x14ac:dyDescent="0.2">
      <c r="A689" s="18" t="s">
        <v>699</v>
      </c>
      <c r="B689" s="9">
        <f>B690+B693+B696</f>
        <v>152800</v>
      </c>
      <c r="C689" s="9">
        <f>C690+C693+C696</f>
        <v>22000</v>
      </c>
      <c r="D689" s="9">
        <f t="shared" si="12"/>
        <v>174800</v>
      </c>
    </row>
    <row r="690" spans="1:6" x14ac:dyDescent="0.2">
      <c r="A690" s="18" t="s">
        <v>656</v>
      </c>
      <c r="B690" s="9">
        <f>SUM(B691:B692)</f>
        <v>115100</v>
      </c>
      <c r="C690" s="9">
        <f>SUM(C691:C692)</f>
        <v>22000</v>
      </c>
      <c r="D690" s="9">
        <f t="shared" si="12"/>
        <v>137100</v>
      </c>
    </row>
    <row r="691" spans="1:6" x14ac:dyDescent="0.2">
      <c r="A691" s="13" t="s">
        <v>657</v>
      </c>
      <c r="B691" s="14">
        <v>110000</v>
      </c>
      <c r="C691" s="14">
        <v>20000</v>
      </c>
      <c r="D691" s="14">
        <f t="shared" si="12"/>
        <v>130000</v>
      </c>
      <c r="F691" s="535" t="s">
        <v>946</v>
      </c>
    </row>
    <row r="692" spans="1:6" x14ac:dyDescent="0.2">
      <c r="A692" s="13" t="s">
        <v>590</v>
      </c>
      <c r="B692" s="14">
        <v>5100</v>
      </c>
      <c r="C692" s="14">
        <v>2000</v>
      </c>
      <c r="D692" s="14">
        <f t="shared" si="12"/>
        <v>7100</v>
      </c>
      <c r="F692" s="535" t="s">
        <v>946</v>
      </c>
    </row>
    <row r="693" spans="1:6" x14ac:dyDescent="0.2">
      <c r="A693" s="18" t="s">
        <v>648</v>
      </c>
      <c r="B693" s="9">
        <f>SUM(B694:B695)</f>
        <v>29000</v>
      </c>
      <c r="C693" s="9"/>
      <c r="D693" s="9">
        <f t="shared" si="12"/>
        <v>29000</v>
      </c>
    </row>
    <row r="694" spans="1:6" x14ac:dyDescent="0.2">
      <c r="A694" s="13" t="s">
        <v>649</v>
      </c>
      <c r="B694" s="14">
        <v>7000</v>
      </c>
      <c r="C694" s="14"/>
      <c r="D694" s="14">
        <f t="shared" si="12"/>
        <v>7000</v>
      </c>
    </row>
    <row r="695" spans="1:6" x14ac:dyDescent="0.2">
      <c r="A695" s="11" t="s">
        <v>583</v>
      </c>
      <c r="B695" s="12">
        <v>22000</v>
      </c>
      <c r="C695" s="12"/>
      <c r="D695" s="12">
        <f t="shared" si="12"/>
        <v>22000</v>
      </c>
    </row>
    <row r="696" spans="1:6" x14ac:dyDescent="0.2">
      <c r="A696" s="18" t="s">
        <v>581</v>
      </c>
      <c r="B696" s="9">
        <f>SUM(B697:B698)</f>
        <v>8700</v>
      </c>
      <c r="C696" s="9"/>
      <c r="D696" s="9">
        <f t="shared" si="12"/>
        <v>8700</v>
      </c>
    </row>
    <row r="697" spans="1:6" x14ac:dyDescent="0.2">
      <c r="A697" s="11" t="s">
        <v>582</v>
      </c>
      <c r="B697" s="12">
        <v>1500</v>
      </c>
      <c r="C697" s="12"/>
      <c r="D697" s="12">
        <f t="shared" si="12"/>
        <v>1500</v>
      </c>
    </row>
    <row r="698" spans="1:6" x14ac:dyDescent="0.2">
      <c r="A698" s="11" t="s">
        <v>583</v>
      </c>
      <c r="B698" s="12">
        <v>7200</v>
      </c>
      <c r="C698" s="12"/>
      <c r="D698" s="12">
        <f t="shared" si="12"/>
        <v>7200</v>
      </c>
    </row>
    <row r="699" spans="1:6" x14ac:dyDescent="0.2">
      <c r="A699" s="13"/>
      <c r="B699" s="14"/>
      <c r="C699" s="14"/>
      <c r="D699" s="14">
        <f t="shared" si="12"/>
        <v>0</v>
      </c>
    </row>
    <row r="700" spans="1:6" x14ac:dyDescent="0.2">
      <c r="A700" s="5" t="s">
        <v>281</v>
      </c>
      <c r="B700" s="6">
        <f>B702+B718</f>
        <v>410547</v>
      </c>
      <c r="C700" s="6">
        <f>C702+C718</f>
        <v>21943</v>
      </c>
      <c r="D700" s="6">
        <f t="shared" si="12"/>
        <v>432490</v>
      </c>
    </row>
    <row r="701" spans="1:6" x14ac:dyDescent="0.2">
      <c r="A701" s="15"/>
      <c r="B701" s="16"/>
      <c r="C701" s="16"/>
      <c r="D701" s="16">
        <f t="shared" si="12"/>
        <v>0</v>
      </c>
    </row>
    <row r="702" spans="1:6" x14ac:dyDescent="0.2">
      <c r="A702" s="18" t="s">
        <v>282</v>
      </c>
      <c r="B702" s="9">
        <f>B703+B705+B707+B712+B714</f>
        <v>372072</v>
      </c>
      <c r="C702" s="9">
        <f>C703+C705+C707+C712+C714</f>
        <v>19743</v>
      </c>
      <c r="D702" s="9">
        <f t="shared" si="12"/>
        <v>391815</v>
      </c>
    </row>
    <row r="703" spans="1:6" x14ac:dyDescent="0.2">
      <c r="A703" s="376" t="s">
        <v>656</v>
      </c>
      <c r="B703" s="305">
        <f>B704</f>
        <v>4150</v>
      </c>
      <c r="C703" s="305"/>
      <c r="D703" s="305">
        <f t="shared" si="12"/>
        <v>4150</v>
      </c>
    </row>
    <row r="704" spans="1:6" x14ac:dyDescent="0.2">
      <c r="A704" s="19" t="s">
        <v>6</v>
      </c>
      <c r="B704" s="17">
        <v>4150</v>
      </c>
      <c r="C704" s="17"/>
      <c r="D704" s="17">
        <f t="shared" si="12"/>
        <v>4150</v>
      </c>
    </row>
    <row r="705" spans="1:6" x14ac:dyDescent="0.2">
      <c r="A705" s="18" t="s">
        <v>648</v>
      </c>
      <c r="B705" s="9">
        <f>B706</f>
        <v>48</v>
      </c>
      <c r="C705" s="9">
        <f>C706</f>
        <v>950</v>
      </c>
      <c r="D705" s="9">
        <f t="shared" si="12"/>
        <v>998</v>
      </c>
    </row>
    <row r="706" spans="1:6" x14ac:dyDescent="0.2">
      <c r="A706" s="11" t="s">
        <v>649</v>
      </c>
      <c r="B706" s="12">
        <v>48</v>
      </c>
      <c r="C706" s="12">
        <v>950</v>
      </c>
      <c r="D706" s="12">
        <f t="shared" si="12"/>
        <v>998</v>
      </c>
      <c r="F706" s="536" t="s">
        <v>994</v>
      </c>
    </row>
    <row r="707" spans="1:6" x14ac:dyDescent="0.2">
      <c r="A707" s="18" t="s">
        <v>581</v>
      </c>
      <c r="B707" s="9">
        <f>SUM(B708:B711)</f>
        <v>275588</v>
      </c>
      <c r="C707" s="9">
        <f>SUM(C708:C711)</f>
        <v>3000</v>
      </c>
      <c r="D707" s="9">
        <f t="shared" si="12"/>
        <v>278588</v>
      </c>
    </row>
    <row r="708" spans="1:6" x14ac:dyDescent="0.2">
      <c r="A708" s="11" t="s">
        <v>582</v>
      </c>
      <c r="B708" s="12">
        <v>153325</v>
      </c>
      <c r="C708" s="12">
        <v>3000</v>
      </c>
      <c r="D708" s="12">
        <f t="shared" si="12"/>
        <v>156325</v>
      </c>
      <c r="F708" s="531" t="s">
        <v>958</v>
      </c>
    </row>
    <row r="709" spans="1:6" x14ac:dyDescent="0.2">
      <c r="A709" s="11" t="s">
        <v>583</v>
      </c>
      <c r="B709" s="12">
        <v>120000</v>
      </c>
      <c r="C709" s="12"/>
      <c r="D709" s="12">
        <f t="shared" si="12"/>
        <v>120000</v>
      </c>
    </row>
    <row r="710" spans="1:6" x14ac:dyDescent="0.2">
      <c r="A710" s="11" t="s">
        <v>599</v>
      </c>
      <c r="B710" s="12">
        <v>1918</v>
      </c>
      <c r="C710" s="12"/>
      <c r="D710" s="12">
        <f t="shared" si="12"/>
        <v>1918</v>
      </c>
    </row>
    <row r="711" spans="1:6" x14ac:dyDescent="0.2">
      <c r="A711" s="11" t="s">
        <v>600</v>
      </c>
      <c r="B711" s="12">
        <v>345</v>
      </c>
      <c r="C711" s="12"/>
      <c r="D711" s="12">
        <f t="shared" si="12"/>
        <v>345</v>
      </c>
    </row>
    <row r="712" spans="1:6" x14ac:dyDescent="0.2">
      <c r="A712" s="18" t="s">
        <v>638</v>
      </c>
      <c r="B712" s="9">
        <f>B713</f>
        <v>42410</v>
      </c>
      <c r="C712" s="9">
        <f>C713</f>
        <v>7590</v>
      </c>
      <c r="D712" s="9">
        <f t="shared" si="12"/>
        <v>50000</v>
      </c>
    </row>
    <row r="713" spans="1:6" ht="36" customHeight="1" x14ac:dyDescent="0.2">
      <c r="A713" s="13" t="s">
        <v>674</v>
      </c>
      <c r="B713" s="14">
        <v>42410</v>
      </c>
      <c r="C713" s="14">
        <v>7590</v>
      </c>
      <c r="D713" s="14">
        <f t="shared" si="12"/>
        <v>50000</v>
      </c>
      <c r="F713" s="536" t="s">
        <v>995</v>
      </c>
    </row>
    <row r="714" spans="1:6" x14ac:dyDescent="0.2">
      <c r="A714" s="20" t="s">
        <v>585</v>
      </c>
      <c r="B714" s="21">
        <f>SUM(B715:B716)</f>
        <v>49876</v>
      </c>
      <c r="C714" s="21">
        <f>SUM(C715:C716)</f>
        <v>8203</v>
      </c>
      <c r="D714" s="21">
        <f t="shared" si="12"/>
        <v>58079</v>
      </c>
    </row>
    <row r="715" spans="1:6" x14ac:dyDescent="0.2">
      <c r="A715" s="11" t="s">
        <v>7</v>
      </c>
      <c r="B715" s="12">
        <v>40000</v>
      </c>
      <c r="C715" s="12">
        <v>8203</v>
      </c>
      <c r="D715" s="12">
        <f t="shared" si="12"/>
        <v>48203</v>
      </c>
      <c r="F715" s="531" t="s">
        <v>958</v>
      </c>
    </row>
    <row r="716" spans="1:6" x14ac:dyDescent="0.2">
      <c r="A716" s="13" t="s">
        <v>640</v>
      </c>
      <c r="B716" s="14">
        <v>9876</v>
      </c>
      <c r="C716" s="14"/>
      <c r="D716" s="14">
        <f t="shared" si="12"/>
        <v>9876</v>
      </c>
    </row>
    <row r="717" spans="1:6" x14ac:dyDescent="0.2">
      <c r="A717" s="18"/>
      <c r="B717" s="9"/>
      <c r="C717" s="9"/>
      <c r="D717" s="9">
        <f t="shared" si="12"/>
        <v>0</v>
      </c>
    </row>
    <row r="718" spans="1:6" x14ac:dyDescent="0.2">
      <c r="A718" s="20" t="s">
        <v>283</v>
      </c>
      <c r="B718" s="21">
        <f>B719+B725+B728</f>
        <v>38475</v>
      </c>
      <c r="C718" s="21">
        <f>C719+C725+C728</f>
        <v>2200</v>
      </c>
      <c r="D718" s="21">
        <f t="shared" si="12"/>
        <v>40675</v>
      </c>
    </row>
    <row r="719" spans="1:6" x14ac:dyDescent="0.2">
      <c r="A719" s="18" t="s">
        <v>596</v>
      </c>
      <c r="B719" s="9">
        <f>SUM(B720:B723)</f>
        <v>29897</v>
      </c>
      <c r="C719" s="9">
        <f>SUM(C720:C724)</f>
        <v>2200</v>
      </c>
      <c r="D719" s="9">
        <f t="shared" si="12"/>
        <v>32097</v>
      </c>
    </row>
    <row r="720" spans="1:6" x14ac:dyDescent="0.2">
      <c r="A720" s="13" t="s">
        <v>633</v>
      </c>
      <c r="B720" s="14">
        <v>18039</v>
      </c>
      <c r="C720" s="14">
        <v>1000</v>
      </c>
      <c r="D720" s="14">
        <f t="shared" si="12"/>
        <v>19039</v>
      </c>
      <c r="F720" s="531" t="s">
        <v>958</v>
      </c>
    </row>
    <row r="721" spans="1:6" x14ac:dyDescent="0.2">
      <c r="A721" s="13" t="s">
        <v>618</v>
      </c>
      <c r="B721" s="14">
        <v>539</v>
      </c>
      <c r="C721" s="14"/>
      <c r="D721" s="14">
        <f t="shared" si="12"/>
        <v>539</v>
      </c>
    </row>
    <row r="722" spans="1:6" x14ac:dyDescent="0.2">
      <c r="A722" s="13" t="s">
        <v>590</v>
      </c>
      <c r="B722" s="14">
        <v>2496</v>
      </c>
      <c r="C722" s="14"/>
      <c r="D722" s="14">
        <f t="shared" si="12"/>
        <v>2496</v>
      </c>
    </row>
    <row r="723" spans="1:6" x14ac:dyDescent="0.2">
      <c r="A723" s="13" t="s">
        <v>630</v>
      </c>
      <c r="B723" s="14">
        <v>8823</v>
      </c>
      <c r="C723" s="14">
        <v>1000</v>
      </c>
      <c r="D723" s="14">
        <f t="shared" si="12"/>
        <v>9823</v>
      </c>
      <c r="F723" s="531" t="s">
        <v>958</v>
      </c>
    </row>
    <row r="724" spans="1:6" x14ac:dyDescent="0.2">
      <c r="A724" s="13" t="s">
        <v>607</v>
      </c>
      <c r="B724" s="14"/>
      <c r="C724" s="14">
        <v>200</v>
      </c>
      <c r="D724" s="14"/>
      <c r="F724" s="531" t="s">
        <v>958</v>
      </c>
    </row>
    <row r="725" spans="1:6" x14ac:dyDescent="0.2">
      <c r="A725" s="18" t="s">
        <v>598</v>
      </c>
      <c r="B725" s="9">
        <f>SUM(B726:B727)</f>
        <v>328</v>
      </c>
      <c r="C725" s="9"/>
      <c r="D725" s="9">
        <f t="shared" si="12"/>
        <v>328</v>
      </c>
    </row>
    <row r="726" spans="1:6" x14ac:dyDescent="0.2">
      <c r="A726" s="13" t="s">
        <v>590</v>
      </c>
      <c r="B726" s="14">
        <v>128</v>
      </c>
      <c r="C726" s="14"/>
      <c r="D726" s="14">
        <f t="shared" si="12"/>
        <v>128</v>
      </c>
    </row>
    <row r="727" spans="1:6" x14ac:dyDescent="0.2">
      <c r="A727" s="13" t="s">
        <v>619</v>
      </c>
      <c r="B727" s="14">
        <v>200</v>
      </c>
      <c r="C727" s="14"/>
      <c r="D727" s="14">
        <f t="shared" ref="D727:D770" si="13">B727+C727</f>
        <v>200</v>
      </c>
    </row>
    <row r="728" spans="1:6" x14ac:dyDescent="0.2">
      <c r="A728" s="18" t="s">
        <v>656</v>
      </c>
      <c r="B728" s="9">
        <f>SUM(B729:B732)</f>
        <v>8250</v>
      </c>
      <c r="C728" s="9"/>
      <c r="D728" s="9">
        <f t="shared" si="13"/>
        <v>8250</v>
      </c>
    </row>
    <row r="729" spans="1:6" x14ac:dyDescent="0.2">
      <c r="A729" s="13" t="s">
        <v>10</v>
      </c>
      <c r="B729" s="14">
        <v>3237</v>
      </c>
      <c r="C729" s="14"/>
      <c r="D729" s="14">
        <f t="shared" si="13"/>
        <v>3237</v>
      </c>
    </row>
    <row r="730" spans="1:6" x14ac:dyDescent="0.2">
      <c r="A730" s="13" t="s">
        <v>274</v>
      </c>
      <c r="B730" s="14">
        <v>2796</v>
      </c>
      <c r="C730" s="14"/>
      <c r="D730" s="14">
        <f t="shared" si="13"/>
        <v>2796</v>
      </c>
    </row>
    <row r="731" spans="1:6" x14ac:dyDescent="0.2">
      <c r="A731" s="13" t="s">
        <v>697</v>
      </c>
      <c r="B731" s="14">
        <v>1600</v>
      </c>
      <c r="C731" s="14"/>
      <c r="D731" s="14">
        <f t="shared" si="13"/>
        <v>1600</v>
      </c>
    </row>
    <row r="732" spans="1:6" x14ac:dyDescent="0.2">
      <c r="A732" s="13" t="s">
        <v>284</v>
      </c>
      <c r="B732" s="14">
        <v>617</v>
      </c>
      <c r="C732" s="14"/>
      <c r="D732" s="14">
        <f t="shared" si="13"/>
        <v>617</v>
      </c>
    </row>
    <row r="733" spans="1:6" x14ac:dyDescent="0.2">
      <c r="A733" s="18"/>
      <c r="B733" s="9"/>
      <c r="C733" s="9"/>
      <c r="D733" s="9">
        <f t="shared" si="13"/>
        <v>0</v>
      </c>
    </row>
    <row r="734" spans="1:6" x14ac:dyDescent="0.2">
      <c r="A734" s="5" t="s">
        <v>285</v>
      </c>
      <c r="B734" s="6">
        <f>B736+B755+B760+B764</f>
        <v>1251200</v>
      </c>
      <c r="C734" s="6"/>
      <c r="D734" s="6">
        <f t="shared" si="13"/>
        <v>1251200</v>
      </c>
    </row>
    <row r="735" spans="1:6" x14ac:dyDescent="0.2">
      <c r="A735" s="26"/>
      <c r="B735" s="27"/>
      <c r="C735" s="27"/>
      <c r="D735" s="27">
        <f t="shared" si="13"/>
        <v>0</v>
      </c>
    </row>
    <row r="736" spans="1:6" x14ac:dyDescent="0.2">
      <c r="A736" s="18" t="s">
        <v>286</v>
      </c>
      <c r="B736" s="9">
        <f>B737+B739+B743+B747+B751</f>
        <v>1104540</v>
      </c>
      <c r="C736" s="9"/>
      <c r="D736" s="9">
        <f t="shared" si="13"/>
        <v>1104540</v>
      </c>
    </row>
    <row r="737" spans="1:4" x14ac:dyDescent="0.2">
      <c r="A737" s="376" t="s">
        <v>656</v>
      </c>
      <c r="B737" s="305">
        <f>B738</f>
        <v>6590</v>
      </c>
      <c r="C737" s="305"/>
      <c r="D737" s="305">
        <f t="shared" si="13"/>
        <v>6590</v>
      </c>
    </row>
    <row r="738" spans="1:4" x14ac:dyDescent="0.2">
      <c r="A738" s="19" t="s">
        <v>6</v>
      </c>
      <c r="B738" s="17">
        <v>6590</v>
      </c>
      <c r="C738" s="17"/>
      <c r="D738" s="17">
        <f t="shared" si="13"/>
        <v>6590</v>
      </c>
    </row>
    <row r="739" spans="1:4" x14ac:dyDescent="0.2">
      <c r="A739" s="18" t="s">
        <v>648</v>
      </c>
      <c r="B739" s="9">
        <f>SUM(B740:B742)</f>
        <v>410100</v>
      </c>
      <c r="C739" s="9"/>
      <c r="D739" s="9">
        <f t="shared" si="13"/>
        <v>410100</v>
      </c>
    </row>
    <row r="740" spans="1:4" x14ac:dyDescent="0.2">
      <c r="A740" s="11" t="s">
        <v>649</v>
      </c>
      <c r="B740" s="12">
        <v>125000</v>
      </c>
      <c r="C740" s="12"/>
      <c r="D740" s="12">
        <f t="shared" si="13"/>
        <v>125000</v>
      </c>
    </row>
    <row r="741" spans="1:4" x14ac:dyDescent="0.2">
      <c r="A741" s="13" t="s">
        <v>5</v>
      </c>
      <c r="B741" s="14">
        <v>7300</v>
      </c>
      <c r="C741" s="14"/>
      <c r="D741" s="14">
        <f t="shared" si="13"/>
        <v>7300</v>
      </c>
    </row>
    <row r="742" spans="1:4" x14ac:dyDescent="0.2">
      <c r="A742" s="11" t="s">
        <v>583</v>
      </c>
      <c r="B742" s="12">
        <v>277800</v>
      </c>
      <c r="C742" s="12"/>
      <c r="D742" s="12">
        <f t="shared" si="13"/>
        <v>277800</v>
      </c>
    </row>
    <row r="743" spans="1:4" x14ac:dyDescent="0.2">
      <c r="A743" s="18" t="s">
        <v>581</v>
      </c>
      <c r="B743" s="9">
        <f>SUM(B744:B746)</f>
        <v>561800</v>
      </c>
      <c r="C743" s="9"/>
      <c r="D743" s="9">
        <f t="shared" si="13"/>
        <v>561800</v>
      </c>
    </row>
    <row r="744" spans="1:4" x14ac:dyDescent="0.2">
      <c r="A744" s="11" t="s">
        <v>582</v>
      </c>
      <c r="B744" s="12">
        <v>420000</v>
      </c>
      <c r="C744" s="12"/>
      <c r="D744" s="12">
        <f t="shared" si="13"/>
        <v>420000</v>
      </c>
    </row>
    <row r="745" spans="1:4" x14ac:dyDescent="0.2">
      <c r="A745" s="11" t="s">
        <v>583</v>
      </c>
      <c r="B745" s="12">
        <v>137800</v>
      </c>
      <c r="C745" s="12"/>
      <c r="D745" s="12">
        <f t="shared" si="13"/>
        <v>137800</v>
      </c>
    </row>
    <row r="746" spans="1:4" x14ac:dyDescent="0.2">
      <c r="A746" s="11" t="s">
        <v>599</v>
      </c>
      <c r="B746" s="12">
        <v>4000</v>
      </c>
      <c r="C746" s="12"/>
      <c r="D746" s="12">
        <f t="shared" si="13"/>
        <v>4000</v>
      </c>
    </row>
    <row r="747" spans="1:4" x14ac:dyDescent="0.2">
      <c r="A747" s="20" t="s">
        <v>638</v>
      </c>
      <c r="B747" s="21">
        <f>SUM(B748:B750)</f>
        <v>111900</v>
      </c>
      <c r="C747" s="21"/>
      <c r="D747" s="21">
        <f t="shared" si="13"/>
        <v>111900</v>
      </c>
    </row>
    <row r="748" spans="1:4" x14ac:dyDescent="0.2">
      <c r="A748" s="13" t="s">
        <v>674</v>
      </c>
      <c r="B748" s="14">
        <v>90000</v>
      </c>
      <c r="C748" s="14"/>
      <c r="D748" s="14">
        <f t="shared" si="13"/>
        <v>90000</v>
      </c>
    </row>
    <row r="749" spans="1:4" x14ac:dyDescent="0.2">
      <c r="A749" s="13" t="s">
        <v>639</v>
      </c>
      <c r="B749" s="14">
        <v>20800</v>
      </c>
      <c r="C749" s="14"/>
      <c r="D749" s="14">
        <f t="shared" si="13"/>
        <v>20800</v>
      </c>
    </row>
    <row r="750" spans="1:4" x14ac:dyDescent="0.2">
      <c r="A750" s="28" t="s">
        <v>676</v>
      </c>
      <c r="B750" s="14">
        <v>1100</v>
      </c>
      <c r="C750" s="14"/>
      <c r="D750" s="14">
        <f t="shared" si="13"/>
        <v>1100</v>
      </c>
    </row>
    <row r="751" spans="1:4" x14ac:dyDescent="0.2">
      <c r="A751" s="20" t="s">
        <v>585</v>
      </c>
      <c r="B751" s="21">
        <f>SUM(B752:B753)</f>
        <v>14150</v>
      </c>
      <c r="C751" s="21"/>
      <c r="D751" s="21">
        <f t="shared" si="13"/>
        <v>14150</v>
      </c>
    </row>
    <row r="752" spans="1:4" x14ac:dyDescent="0.2">
      <c r="A752" s="11" t="s">
        <v>7</v>
      </c>
      <c r="B752" s="12">
        <v>10250</v>
      </c>
      <c r="C752" s="12"/>
      <c r="D752" s="12">
        <f t="shared" si="13"/>
        <v>10250</v>
      </c>
    </row>
    <row r="753" spans="1:4" x14ac:dyDescent="0.2">
      <c r="A753" s="13" t="s">
        <v>640</v>
      </c>
      <c r="B753" s="14">
        <v>3900</v>
      </c>
      <c r="C753" s="14"/>
      <c r="D753" s="14">
        <f t="shared" si="13"/>
        <v>3900</v>
      </c>
    </row>
    <row r="754" spans="1:4" x14ac:dyDescent="0.2">
      <c r="A754" s="18"/>
      <c r="B754" s="9"/>
      <c r="C754" s="9"/>
      <c r="D754" s="9">
        <f t="shared" si="13"/>
        <v>0</v>
      </c>
    </row>
    <row r="755" spans="1:4" x14ac:dyDescent="0.2">
      <c r="A755" s="20" t="s">
        <v>287</v>
      </c>
      <c r="B755" s="21">
        <f>B756</f>
        <v>8750</v>
      </c>
      <c r="C755" s="21"/>
      <c r="D755" s="21">
        <f t="shared" si="13"/>
        <v>8750</v>
      </c>
    </row>
    <row r="756" spans="1:4" x14ac:dyDescent="0.2">
      <c r="A756" s="18" t="s">
        <v>656</v>
      </c>
      <c r="B756" s="9">
        <f>SUM(B757:B758)</f>
        <v>8750</v>
      </c>
      <c r="C756" s="9"/>
      <c r="D756" s="9">
        <f t="shared" si="13"/>
        <v>8750</v>
      </c>
    </row>
    <row r="757" spans="1:4" x14ac:dyDescent="0.2">
      <c r="A757" s="13" t="s">
        <v>10</v>
      </c>
      <c r="B757" s="14">
        <v>2000</v>
      </c>
      <c r="C757" s="14"/>
      <c r="D757" s="14">
        <f t="shared" si="13"/>
        <v>2000</v>
      </c>
    </row>
    <row r="758" spans="1:4" x14ac:dyDescent="0.2">
      <c r="A758" s="13" t="s">
        <v>284</v>
      </c>
      <c r="B758" s="14">
        <v>6750</v>
      </c>
      <c r="C758" s="14"/>
      <c r="D758" s="14">
        <f t="shared" si="13"/>
        <v>6750</v>
      </c>
    </row>
    <row r="759" spans="1:4" x14ac:dyDescent="0.2">
      <c r="A759" s="4"/>
      <c r="B759" s="42"/>
      <c r="C759" s="42"/>
      <c r="D759" s="42">
        <f t="shared" si="13"/>
        <v>0</v>
      </c>
    </row>
    <row r="760" spans="1:4" x14ac:dyDescent="0.2">
      <c r="A760" s="20" t="s">
        <v>288</v>
      </c>
      <c r="B760" s="21">
        <f>B761</f>
        <v>1410</v>
      </c>
      <c r="C760" s="21"/>
      <c r="D760" s="21">
        <f t="shared" si="13"/>
        <v>1410</v>
      </c>
    </row>
    <row r="761" spans="1:4" x14ac:dyDescent="0.2">
      <c r="A761" s="377" t="s">
        <v>656</v>
      </c>
      <c r="B761" s="40">
        <f>B762</f>
        <v>1410</v>
      </c>
      <c r="C761" s="40"/>
      <c r="D761" s="40">
        <f t="shared" si="13"/>
        <v>1410</v>
      </c>
    </row>
    <row r="762" spans="1:4" x14ac:dyDescent="0.2">
      <c r="A762" s="13" t="s">
        <v>590</v>
      </c>
      <c r="B762" s="14">
        <v>1410</v>
      </c>
      <c r="C762" s="14"/>
      <c r="D762" s="14">
        <f t="shared" si="13"/>
        <v>1410</v>
      </c>
    </row>
    <row r="763" spans="1:4" x14ac:dyDescent="0.2">
      <c r="A763" s="13"/>
      <c r="B763" s="14"/>
      <c r="C763" s="14"/>
      <c r="D763" s="14">
        <f t="shared" si="13"/>
        <v>0</v>
      </c>
    </row>
    <row r="764" spans="1:4" x14ac:dyDescent="0.2">
      <c r="A764" s="18" t="s">
        <v>289</v>
      </c>
      <c r="B764" s="9">
        <f>B765</f>
        <v>136500</v>
      </c>
      <c r="C764" s="9"/>
      <c r="D764" s="9">
        <f t="shared" si="13"/>
        <v>136500</v>
      </c>
    </row>
    <row r="765" spans="1:4" x14ac:dyDescent="0.2">
      <c r="A765" s="18" t="s">
        <v>596</v>
      </c>
      <c r="B765" s="9">
        <f>SUM(B766:B769)</f>
        <v>136500</v>
      </c>
      <c r="C765" s="9"/>
      <c r="D765" s="9">
        <f t="shared" si="13"/>
        <v>136500</v>
      </c>
    </row>
    <row r="766" spans="1:4" x14ac:dyDescent="0.2">
      <c r="A766" s="11" t="s">
        <v>633</v>
      </c>
      <c r="B766" s="12">
        <v>13835</v>
      </c>
      <c r="C766" s="12"/>
      <c r="D766" s="12">
        <f t="shared" si="13"/>
        <v>13835</v>
      </c>
    </row>
    <row r="767" spans="1:4" x14ac:dyDescent="0.2">
      <c r="A767" s="11" t="s">
        <v>618</v>
      </c>
      <c r="B767" s="12">
        <v>1700</v>
      </c>
      <c r="C767" s="12"/>
      <c r="D767" s="12">
        <f t="shared" si="13"/>
        <v>1700</v>
      </c>
    </row>
    <row r="768" spans="1:4" x14ac:dyDescent="0.2">
      <c r="A768" s="13" t="s">
        <v>590</v>
      </c>
      <c r="B768" s="14">
        <v>2200</v>
      </c>
      <c r="C768" s="14"/>
      <c r="D768" s="14">
        <f t="shared" si="13"/>
        <v>2200</v>
      </c>
    </row>
    <row r="769" spans="1:4" x14ac:dyDescent="0.2">
      <c r="A769" s="13" t="s">
        <v>630</v>
      </c>
      <c r="B769" s="14">
        <v>118765</v>
      </c>
      <c r="C769" s="14"/>
      <c r="D769" s="14">
        <f t="shared" si="13"/>
        <v>118765</v>
      </c>
    </row>
    <row r="770" spans="1:4" x14ac:dyDescent="0.2">
      <c r="A770" s="11"/>
      <c r="B770" s="381"/>
      <c r="C770" s="381"/>
      <c r="D770" s="381">
        <f t="shared" si="13"/>
        <v>0</v>
      </c>
    </row>
    <row r="771" spans="1:4" x14ac:dyDescent="0.2">
      <c r="A771" s="5" t="s">
        <v>290</v>
      </c>
      <c r="B771" s="379">
        <f>+B5+B10+B18+B25+B32+B153+B256+B329+B403+B475+B434+B422+B454+B479+B512+B536+B558+B607+B652+B700+B734+B392</f>
        <v>52128595</v>
      </c>
      <c r="C771" s="379">
        <f>+C5+C10+C18+C25+C32+C153+C256+C329+C403+C475+C434+C422+C454+C479+C512+C536+C558+C607+C652+C700+C734+C392</f>
        <v>1624296</v>
      </c>
      <c r="D771" s="379">
        <f>+D5+D10+D18+D25+D32+D153+D256+D329+D403+D475+D434+D422+D454+D479+D512+D536+D558+D607+D652+D700+D734+D392</f>
        <v>53752891</v>
      </c>
    </row>
  </sheetData>
  <phoneticPr fontId="21" type="noConversion"/>
  <pageMargins left="0.78740157480314965" right="0.78740157480314965" top="0.47244094488188981" bottom="0.98425196850393704" header="0.51181102362204722" footer="0.51181102362204722"/>
  <pageSetup paperSize="9" scale="75" fitToHeight="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A1:D101"/>
  <sheetViews>
    <sheetView showZeros="0" zoomScaleNormal="100" workbookViewId="0">
      <pane ySplit="3" topLeftCell="A4" activePane="bottomLeft" state="frozen"/>
      <selection pane="bottomLeft"/>
    </sheetView>
  </sheetViews>
  <sheetFormatPr defaultRowHeight="12.75" x14ac:dyDescent="0.2"/>
  <cols>
    <col min="1" max="1" width="52.7109375" customWidth="1"/>
    <col min="2" max="2" width="11.140625" bestFit="1" customWidth="1"/>
    <col min="3" max="4" width="11.140625" style="370" bestFit="1" customWidth="1"/>
  </cols>
  <sheetData>
    <row r="1" spans="1:4" ht="15" x14ac:dyDescent="0.25">
      <c r="A1" s="104" t="s">
        <v>20</v>
      </c>
    </row>
    <row r="2" spans="1:4" ht="14.25" x14ac:dyDescent="0.2">
      <c r="A2" s="278"/>
      <c r="B2" s="90"/>
      <c r="C2" s="90"/>
      <c r="D2" s="90" t="s">
        <v>294</v>
      </c>
    </row>
    <row r="3" spans="1:4" ht="25.5" x14ac:dyDescent="0.2">
      <c r="A3" s="278"/>
      <c r="B3" s="485" t="s">
        <v>1065</v>
      </c>
      <c r="C3" s="485" t="s">
        <v>1048</v>
      </c>
      <c r="D3" s="485" t="s">
        <v>1064</v>
      </c>
    </row>
    <row r="4" spans="1:4" x14ac:dyDescent="0.2">
      <c r="A4" s="92" t="s">
        <v>309</v>
      </c>
      <c r="B4" s="24">
        <f>B5+B6</f>
        <v>72832468</v>
      </c>
      <c r="C4" s="24">
        <f>C5+C6</f>
        <v>-309591</v>
      </c>
      <c r="D4" s="24">
        <f>B4+C4</f>
        <v>72522877</v>
      </c>
    </row>
    <row r="5" spans="1:4" s="370" customFormat="1" x14ac:dyDescent="0.2">
      <c r="A5" s="472" t="s">
        <v>33</v>
      </c>
      <c r="B5" s="280">
        <f>69000000+500000</f>
        <v>69500000</v>
      </c>
      <c r="C5" s="280">
        <v>-906591</v>
      </c>
      <c r="D5" s="280">
        <f t="shared" ref="D5:D68" si="0">B5+C5</f>
        <v>68593409</v>
      </c>
    </row>
    <row r="6" spans="1:4" s="370" customFormat="1" x14ac:dyDescent="0.2">
      <c r="A6" s="477" t="s">
        <v>21</v>
      </c>
      <c r="B6" s="280">
        <f>B7+B9+B10</f>
        <v>3332468</v>
      </c>
      <c r="C6" s="280">
        <f>C7+C9+C10+C8</f>
        <v>597000</v>
      </c>
      <c r="D6" s="280">
        <f t="shared" si="0"/>
        <v>3929468</v>
      </c>
    </row>
    <row r="7" spans="1:4" s="370" customFormat="1" x14ac:dyDescent="0.2">
      <c r="A7" s="478" t="s">
        <v>63</v>
      </c>
      <c r="B7" s="285">
        <f>1860900+1140000-900</f>
        <v>3000000</v>
      </c>
      <c r="C7" s="285">
        <v>-309489</v>
      </c>
      <c r="D7" s="285">
        <f t="shared" si="0"/>
        <v>2690511</v>
      </c>
    </row>
    <row r="8" spans="1:4" s="370" customFormat="1" x14ac:dyDescent="0.2">
      <c r="A8" s="295" t="s">
        <v>1020</v>
      </c>
      <c r="B8" s="285"/>
      <c r="C8" s="285">
        <v>906591</v>
      </c>
      <c r="D8" s="285">
        <f t="shared" si="0"/>
        <v>906591</v>
      </c>
    </row>
    <row r="9" spans="1:4" s="370" customFormat="1" x14ac:dyDescent="0.2">
      <c r="A9" s="295" t="s">
        <v>64</v>
      </c>
      <c r="B9" s="285">
        <v>317672</v>
      </c>
      <c r="C9" s="285">
        <v>268</v>
      </c>
      <c r="D9" s="285">
        <f t="shared" si="0"/>
        <v>317940</v>
      </c>
    </row>
    <row r="10" spans="1:4" s="370" customFormat="1" x14ac:dyDescent="0.2">
      <c r="A10" s="296" t="s">
        <v>724</v>
      </c>
      <c r="B10" s="291">
        <f>38700-23904</f>
        <v>14796</v>
      </c>
      <c r="C10" s="291">
        <v>-370</v>
      </c>
      <c r="D10" s="291">
        <f t="shared" si="0"/>
        <v>14426</v>
      </c>
    </row>
    <row r="11" spans="1:4" s="370" customFormat="1" x14ac:dyDescent="0.2">
      <c r="A11" s="282"/>
      <c r="B11" s="281"/>
      <c r="C11" s="281"/>
      <c r="D11" s="281">
        <f t="shared" si="0"/>
        <v>0</v>
      </c>
    </row>
    <row r="12" spans="1:4" s="370" customFormat="1" x14ac:dyDescent="0.2">
      <c r="A12" s="92" t="s">
        <v>22</v>
      </c>
      <c r="B12" s="283">
        <f>B13</f>
        <v>7873</v>
      </c>
      <c r="C12" s="283">
        <f>C13+C20</f>
        <v>319560</v>
      </c>
      <c r="D12" s="283">
        <f t="shared" si="0"/>
        <v>327433</v>
      </c>
    </row>
    <row r="13" spans="1:4" s="370" customFormat="1" x14ac:dyDescent="0.2">
      <c r="A13" s="279" t="s">
        <v>32</v>
      </c>
      <c r="B13" s="280">
        <f>B14+B17</f>
        <v>7873</v>
      </c>
      <c r="C13" s="280">
        <f>C14+C17</f>
        <v>1</v>
      </c>
      <c r="D13" s="280">
        <f t="shared" si="0"/>
        <v>7874</v>
      </c>
    </row>
    <row r="14" spans="1:4" s="370" customFormat="1" x14ac:dyDescent="0.2">
      <c r="A14" s="298" t="s">
        <v>23</v>
      </c>
      <c r="B14" s="285">
        <f>B15+B16</f>
        <v>4183</v>
      </c>
      <c r="C14" s="285">
        <f>C15+C16</f>
        <v>1</v>
      </c>
      <c r="D14" s="285">
        <f t="shared" si="0"/>
        <v>4184</v>
      </c>
    </row>
    <row r="15" spans="1:4" s="370" customFormat="1" x14ac:dyDescent="0.2">
      <c r="A15" s="284" t="s">
        <v>776</v>
      </c>
      <c r="B15" s="285">
        <v>3105</v>
      </c>
      <c r="C15" s="285"/>
      <c r="D15" s="285">
        <f t="shared" si="0"/>
        <v>3105</v>
      </c>
    </row>
    <row r="16" spans="1:4" s="370" customFormat="1" x14ac:dyDescent="0.2">
      <c r="A16" s="284" t="s">
        <v>65</v>
      </c>
      <c r="B16" s="285">
        <v>1078</v>
      </c>
      <c r="C16" s="285">
        <v>1</v>
      </c>
      <c r="D16" s="285">
        <f t="shared" si="0"/>
        <v>1079</v>
      </c>
    </row>
    <row r="17" spans="1:4" s="370" customFormat="1" x14ac:dyDescent="0.2">
      <c r="A17" s="286" t="s">
        <v>465</v>
      </c>
      <c r="B17" s="285">
        <f>B18</f>
        <v>3690</v>
      </c>
      <c r="C17" s="285"/>
      <c r="D17" s="285">
        <f t="shared" si="0"/>
        <v>3690</v>
      </c>
    </row>
    <row r="18" spans="1:4" s="370" customFormat="1" ht="24" x14ac:dyDescent="0.2">
      <c r="A18" s="209" t="s">
        <v>703</v>
      </c>
      <c r="B18" s="285">
        <v>3690</v>
      </c>
      <c r="C18" s="285"/>
      <c r="D18" s="285">
        <f t="shared" si="0"/>
        <v>3690</v>
      </c>
    </row>
    <row r="19" spans="1:4" s="370" customFormat="1" x14ac:dyDescent="0.2">
      <c r="A19" s="209"/>
      <c r="B19" s="285"/>
      <c r="C19" s="285"/>
      <c r="D19" s="285">
        <f t="shared" si="0"/>
        <v>0</v>
      </c>
    </row>
    <row r="20" spans="1:4" s="370" customFormat="1" x14ac:dyDescent="0.2">
      <c r="A20" s="477" t="s">
        <v>21</v>
      </c>
      <c r="B20" s="285"/>
      <c r="C20" s="368">
        <f>C21</f>
        <v>319559</v>
      </c>
      <c r="D20" s="370">
        <f t="shared" si="0"/>
        <v>319559</v>
      </c>
    </row>
    <row r="21" spans="1:4" s="370" customFormat="1" x14ac:dyDescent="0.2">
      <c r="A21" s="505" t="s">
        <v>923</v>
      </c>
      <c r="B21" s="285"/>
      <c r="C21" s="368">
        <f>C22</f>
        <v>319559</v>
      </c>
      <c r="D21" s="370">
        <f t="shared" si="0"/>
        <v>319559</v>
      </c>
    </row>
    <row r="22" spans="1:4" s="370" customFormat="1" ht="24" x14ac:dyDescent="0.2">
      <c r="A22" s="284" t="s">
        <v>924</v>
      </c>
      <c r="B22" s="285"/>
      <c r="C22" s="506">
        <v>319559</v>
      </c>
      <c r="D22" s="370">
        <f t="shared" si="0"/>
        <v>319559</v>
      </c>
    </row>
    <row r="23" spans="1:4" s="370" customFormat="1" x14ac:dyDescent="0.2">
      <c r="A23" s="3"/>
      <c r="B23" s="281"/>
      <c r="C23" s="281"/>
      <c r="D23" s="281">
        <f t="shared" si="0"/>
        <v>0</v>
      </c>
    </row>
    <row r="24" spans="1:4" s="370" customFormat="1" x14ac:dyDescent="0.2">
      <c r="A24" s="92" t="s">
        <v>24</v>
      </c>
      <c r="B24" s="283">
        <f>B25+B75</f>
        <v>16243612</v>
      </c>
      <c r="C24" s="283">
        <f>C25+C75</f>
        <v>156425</v>
      </c>
      <c r="D24" s="283">
        <f t="shared" si="0"/>
        <v>16400037</v>
      </c>
    </row>
    <row r="25" spans="1:4" s="370" customFormat="1" x14ac:dyDescent="0.2">
      <c r="A25" s="3" t="s">
        <v>33</v>
      </c>
      <c r="B25" s="280">
        <f>B27+B33+B40+B45+B48+B52+B56+B61+B69+B66</f>
        <v>866620</v>
      </c>
      <c r="C25" s="280">
        <f>C27+C33+C40+C45+C48+C52+C56+C61+C69+C66+C72</f>
        <v>42752</v>
      </c>
      <c r="D25" s="280">
        <f t="shared" si="0"/>
        <v>909372</v>
      </c>
    </row>
    <row r="26" spans="1:4" s="370" customFormat="1" x14ac:dyDescent="0.2">
      <c r="A26" s="3"/>
      <c r="B26" s="281"/>
      <c r="C26" s="281"/>
      <c r="D26" s="281">
        <f t="shared" si="0"/>
        <v>0</v>
      </c>
    </row>
    <row r="27" spans="1:4" s="370" customFormat="1" x14ac:dyDescent="0.2">
      <c r="A27" s="286" t="s">
        <v>133</v>
      </c>
      <c r="B27" s="281">
        <f>B28+B29+B30+B31</f>
        <v>53207</v>
      </c>
      <c r="C27" s="281"/>
      <c r="D27" s="281">
        <f t="shared" si="0"/>
        <v>53207</v>
      </c>
    </row>
    <row r="28" spans="1:4" s="370" customFormat="1" x14ac:dyDescent="0.2">
      <c r="A28" s="207" t="s">
        <v>700</v>
      </c>
      <c r="B28" s="285">
        <v>33646</v>
      </c>
      <c r="C28" s="285"/>
      <c r="D28" s="285">
        <f t="shared" si="0"/>
        <v>33646</v>
      </c>
    </row>
    <row r="29" spans="1:4" s="370" customFormat="1" x14ac:dyDescent="0.2">
      <c r="A29" s="207" t="s">
        <v>701</v>
      </c>
      <c r="B29" s="285">
        <v>1088</v>
      </c>
      <c r="C29" s="285"/>
      <c r="D29" s="285">
        <f t="shared" si="0"/>
        <v>1088</v>
      </c>
    </row>
    <row r="30" spans="1:4" s="370" customFormat="1" x14ac:dyDescent="0.2">
      <c r="A30" s="207" t="s">
        <v>702</v>
      </c>
      <c r="B30" s="285">
        <v>12394</v>
      </c>
      <c r="C30" s="285"/>
      <c r="D30" s="285">
        <f t="shared" si="0"/>
        <v>12394</v>
      </c>
    </row>
    <row r="31" spans="1:4" s="370" customFormat="1" ht="24" x14ac:dyDescent="0.2">
      <c r="A31" s="385" t="s">
        <v>824</v>
      </c>
      <c r="B31" s="285">
        <v>6079</v>
      </c>
      <c r="C31" s="285"/>
      <c r="D31" s="285">
        <f t="shared" si="0"/>
        <v>6079</v>
      </c>
    </row>
    <row r="32" spans="1:4" s="370" customFormat="1" x14ac:dyDescent="0.2">
      <c r="A32" s="207"/>
      <c r="B32" s="281"/>
      <c r="C32" s="281"/>
      <c r="D32" s="281">
        <f t="shared" si="0"/>
        <v>0</v>
      </c>
    </row>
    <row r="33" spans="1:4" s="370" customFormat="1" x14ac:dyDescent="0.2">
      <c r="A33" s="286" t="s">
        <v>403</v>
      </c>
      <c r="B33" s="281">
        <f>+B35+B36+B34+B37</f>
        <v>64288</v>
      </c>
      <c r="C33" s="281">
        <f>+C35+C36+C34+C37+C38</f>
        <v>15352</v>
      </c>
      <c r="D33" s="281">
        <f t="shared" si="0"/>
        <v>79640</v>
      </c>
    </row>
    <row r="34" spans="1:4" s="370" customFormat="1" x14ac:dyDescent="0.2">
      <c r="A34" s="284" t="s">
        <v>776</v>
      </c>
      <c r="B34" s="291">
        <v>13035</v>
      </c>
      <c r="C34" s="291"/>
      <c r="D34" s="291">
        <f t="shared" si="0"/>
        <v>13035</v>
      </c>
    </row>
    <row r="35" spans="1:4" s="370" customFormat="1" x14ac:dyDescent="0.2">
      <c r="A35" s="297" t="s">
        <v>65</v>
      </c>
      <c r="B35" s="285">
        <v>6106</v>
      </c>
      <c r="C35" s="285">
        <v>1</v>
      </c>
      <c r="D35" s="285">
        <f t="shared" si="0"/>
        <v>6107</v>
      </c>
    </row>
    <row r="36" spans="1:4" s="370" customFormat="1" ht="24" x14ac:dyDescent="0.2">
      <c r="A36" s="209" t="s">
        <v>172</v>
      </c>
      <c r="B36" s="291">
        <v>41777</v>
      </c>
      <c r="C36" s="291"/>
      <c r="D36" s="291">
        <f t="shared" si="0"/>
        <v>41777</v>
      </c>
    </row>
    <row r="37" spans="1:4" s="370" customFormat="1" x14ac:dyDescent="0.2">
      <c r="A37" s="284" t="s">
        <v>790</v>
      </c>
      <c r="B37" s="291">
        <f>3459-89</f>
        <v>3370</v>
      </c>
      <c r="C37" s="291"/>
      <c r="D37" s="291">
        <f t="shared" si="0"/>
        <v>3370</v>
      </c>
    </row>
    <row r="38" spans="1:4" s="370" customFormat="1" ht="24" x14ac:dyDescent="0.2">
      <c r="A38" s="284" t="s">
        <v>892</v>
      </c>
      <c r="B38" s="291"/>
      <c r="C38" s="291">
        <v>15351</v>
      </c>
      <c r="D38" s="291">
        <f t="shared" si="0"/>
        <v>15351</v>
      </c>
    </row>
    <row r="39" spans="1:4" s="370" customFormat="1" x14ac:dyDescent="0.2">
      <c r="A39" s="297"/>
      <c r="B39" s="386"/>
      <c r="C39" s="386"/>
      <c r="D39" s="386">
        <f t="shared" si="0"/>
        <v>0</v>
      </c>
    </row>
    <row r="40" spans="1:4" s="370" customFormat="1" x14ac:dyDescent="0.2">
      <c r="A40" s="286" t="s">
        <v>465</v>
      </c>
      <c r="B40" s="39">
        <f>+B41+B42</f>
        <v>79823</v>
      </c>
      <c r="C40" s="39">
        <f>C41+C42+C43</f>
        <v>7900</v>
      </c>
      <c r="D40" s="39">
        <f t="shared" si="0"/>
        <v>87723</v>
      </c>
    </row>
    <row r="41" spans="1:4" s="370" customFormat="1" ht="24" x14ac:dyDescent="0.2">
      <c r="A41" s="209" t="s">
        <v>703</v>
      </c>
      <c r="B41" s="291">
        <f>66361-3690</f>
        <v>62671</v>
      </c>
      <c r="C41" s="291"/>
      <c r="D41" s="291">
        <f t="shared" si="0"/>
        <v>62671</v>
      </c>
    </row>
    <row r="42" spans="1:4" s="370" customFormat="1" x14ac:dyDescent="0.2">
      <c r="A42" s="209" t="s">
        <v>704</v>
      </c>
      <c r="B42" s="291">
        <v>17152</v>
      </c>
      <c r="C42" s="291"/>
      <c r="D42" s="291">
        <f t="shared" si="0"/>
        <v>17152</v>
      </c>
    </row>
    <row r="43" spans="1:4" s="370" customFormat="1" x14ac:dyDescent="0.2">
      <c r="A43" s="209" t="s">
        <v>898</v>
      </c>
      <c r="B43" s="291"/>
      <c r="C43" s="291">
        <v>7900</v>
      </c>
      <c r="D43" s="291">
        <f t="shared" si="0"/>
        <v>7900</v>
      </c>
    </row>
    <row r="44" spans="1:4" s="370" customFormat="1" x14ac:dyDescent="0.2">
      <c r="A44" s="209"/>
      <c r="B44" s="291"/>
      <c r="C44" s="291"/>
      <c r="D44" s="291">
        <f t="shared" si="0"/>
        <v>0</v>
      </c>
    </row>
    <row r="45" spans="1:4" s="370" customFormat="1" x14ac:dyDescent="0.2">
      <c r="A45" s="286" t="s">
        <v>374</v>
      </c>
      <c r="B45" s="281">
        <f>SUM(B46)</f>
        <v>136</v>
      </c>
      <c r="C45" s="281"/>
      <c r="D45" s="281">
        <f t="shared" si="0"/>
        <v>136</v>
      </c>
    </row>
    <row r="46" spans="1:4" s="370" customFormat="1" x14ac:dyDescent="0.2">
      <c r="A46" s="207" t="s">
        <v>701</v>
      </c>
      <c r="B46" s="291">
        <v>136</v>
      </c>
      <c r="C46" s="291"/>
      <c r="D46" s="291">
        <f t="shared" si="0"/>
        <v>136</v>
      </c>
    </row>
    <row r="47" spans="1:4" s="370" customFormat="1" x14ac:dyDescent="0.2">
      <c r="A47" s="209"/>
      <c r="B47" s="281"/>
      <c r="C47" s="281"/>
      <c r="D47" s="281">
        <f t="shared" si="0"/>
        <v>0</v>
      </c>
    </row>
    <row r="48" spans="1:4" s="370" customFormat="1" x14ac:dyDescent="0.2">
      <c r="A48" s="286" t="s">
        <v>363</v>
      </c>
      <c r="B48" s="281">
        <f>B49+B50</f>
        <v>46568</v>
      </c>
      <c r="C48" s="281"/>
      <c r="D48" s="281">
        <f t="shared" si="0"/>
        <v>46568</v>
      </c>
    </row>
    <row r="49" spans="1:4" s="370" customFormat="1" ht="24" x14ac:dyDescent="0.2">
      <c r="A49" s="209" t="s">
        <v>789</v>
      </c>
      <c r="B49" s="291">
        <v>8500</v>
      </c>
      <c r="C49" s="291"/>
      <c r="D49" s="291">
        <f t="shared" si="0"/>
        <v>8500</v>
      </c>
    </row>
    <row r="50" spans="1:4" s="370" customFormat="1" ht="24" x14ac:dyDescent="0.2">
      <c r="A50" s="209" t="s">
        <v>788</v>
      </c>
      <c r="B50" s="291">
        <v>38068</v>
      </c>
      <c r="C50" s="291"/>
      <c r="D50" s="291">
        <f t="shared" si="0"/>
        <v>38068</v>
      </c>
    </row>
    <row r="51" spans="1:4" s="370" customFormat="1" x14ac:dyDescent="0.2">
      <c r="A51" s="3"/>
      <c r="B51" s="281"/>
      <c r="C51" s="281"/>
      <c r="D51" s="281">
        <f t="shared" si="0"/>
        <v>0</v>
      </c>
    </row>
    <row r="52" spans="1:4" s="370" customFormat="1" x14ac:dyDescent="0.2">
      <c r="A52" s="286" t="s">
        <v>364</v>
      </c>
      <c r="B52" s="281">
        <f>SUM(B53:B54)</f>
        <v>518937</v>
      </c>
      <c r="C52" s="281"/>
      <c r="D52" s="281">
        <f t="shared" si="0"/>
        <v>518937</v>
      </c>
    </row>
    <row r="53" spans="1:4" s="370" customFormat="1" x14ac:dyDescent="0.2">
      <c r="A53" s="209" t="s">
        <v>25</v>
      </c>
      <c r="B53" s="291">
        <f>54758+464043</f>
        <v>518801</v>
      </c>
      <c r="C53" s="291"/>
      <c r="D53" s="291">
        <f t="shared" si="0"/>
        <v>518801</v>
      </c>
    </row>
    <row r="54" spans="1:4" s="370" customFormat="1" x14ac:dyDescent="0.2">
      <c r="A54" s="207" t="s">
        <v>701</v>
      </c>
      <c r="B54" s="291">
        <v>136</v>
      </c>
      <c r="C54" s="291"/>
      <c r="D54" s="291">
        <f t="shared" si="0"/>
        <v>136</v>
      </c>
    </row>
    <row r="55" spans="1:4" s="370" customFormat="1" x14ac:dyDescent="0.2">
      <c r="A55" s="287"/>
      <c r="B55" s="281"/>
      <c r="C55" s="281"/>
      <c r="D55" s="281">
        <f t="shared" si="0"/>
        <v>0</v>
      </c>
    </row>
    <row r="56" spans="1:4" s="370" customFormat="1" x14ac:dyDescent="0.2">
      <c r="A56" s="286" t="s">
        <v>376</v>
      </c>
      <c r="B56" s="281">
        <f>SUM(B57:B59)</f>
        <v>56611</v>
      </c>
      <c r="C56" s="281"/>
      <c r="D56" s="281">
        <f t="shared" si="0"/>
        <v>56611</v>
      </c>
    </row>
    <row r="57" spans="1:4" s="370" customFormat="1" x14ac:dyDescent="0.2">
      <c r="A57" s="207" t="s">
        <v>34</v>
      </c>
      <c r="B57" s="291">
        <v>2167</v>
      </c>
      <c r="C57" s="291"/>
      <c r="D57" s="291">
        <f t="shared" si="0"/>
        <v>2167</v>
      </c>
    </row>
    <row r="58" spans="1:4" s="370" customFormat="1" x14ac:dyDescent="0.2">
      <c r="A58" s="297" t="s">
        <v>705</v>
      </c>
      <c r="B58" s="291">
        <v>25739</v>
      </c>
      <c r="C58" s="291"/>
      <c r="D58" s="291">
        <f t="shared" si="0"/>
        <v>25739</v>
      </c>
    </row>
    <row r="59" spans="1:4" s="370" customFormat="1" x14ac:dyDescent="0.2">
      <c r="A59" s="385" t="s">
        <v>706</v>
      </c>
      <c r="B59" s="291">
        <v>28705</v>
      </c>
      <c r="C59" s="291"/>
      <c r="D59" s="291">
        <f t="shared" si="0"/>
        <v>28705</v>
      </c>
    </row>
    <row r="60" spans="1:4" s="370" customFormat="1" x14ac:dyDescent="0.2">
      <c r="A60" s="3"/>
      <c r="B60" s="281"/>
      <c r="C60" s="281"/>
      <c r="D60" s="281">
        <f t="shared" si="0"/>
        <v>0</v>
      </c>
    </row>
    <row r="61" spans="1:4" s="370" customFormat="1" x14ac:dyDescent="0.2">
      <c r="A61" s="286" t="s">
        <v>367</v>
      </c>
      <c r="B61" s="281">
        <f>SUM(B62:B64)</f>
        <v>36766</v>
      </c>
      <c r="C61" s="281"/>
      <c r="D61" s="281">
        <f t="shared" si="0"/>
        <v>36766</v>
      </c>
    </row>
    <row r="62" spans="1:4" s="370" customFormat="1" x14ac:dyDescent="0.2">
      <c r="A62" s="207" t="s">
        <v>851</v>
      </c>
      <c r="B62" s="291">
        <v>16230</v>
      </c>
      <c r="C62" s="291"/>
      <c r="D62" s="291">
        <f t="shared" si="0"/>
        <v>16230</v>
      </c>
    </row>
    <row r="63" spans="1:4" s="370" customFormat="1" x14ac:dyDescent="0.2">
      <c r="A63" s="207" t="s">
        <v>701</v>
      </c>
      <c r="B63" s="291">
        <v>136</v>
      </c>
      <c r="C63" s="291"/>
      <c r="D63" s="291">
        <f t="shared" si="0"/>
        <v>136</v>
      </c>
    </row>
    <row r="64" spans="1:4" s="370" customFormat="1" ht="24" x14ac:dyDescent="0.2">
      <c r="A64" s="209" t="s">
        <v>707</v>
      </c>
      <c r="B64" s="291">
        <v>20400</v>
      </c>
      <c r="C64" s="291"/>
      <c r="D64" s="291">
        <f t="shared" si="0"/>
        <v>20400</v>
      </c>
    </row>
    <row r="65" spans="1:4" s="370" customFormat="1" x14ac:dyDescent="0.2">
      <c r="A65" s="207"/>
      <c r="B65" s="291"/>
      <c r="C65" s="291"/>
      <c r="D65" s="291">
        <f t="shared" si="0"/>
        <v>0</v>
      </c>
    </row>
    <row r="66" spans="1:4" s="370" customFormat="1" x14ac:dyDescent="0.2">
      <c r="A66" s="286" t="s">
        <v>538</v>
      </c>
      <c r="B66" s="291">
        <f>B67</f>
        <v>10212</v>
      </c>
      <c r="C66" s="291"/>
      <c r="D66" s="291">
        <f t="shared" si="0"/>
        <v>10212</v>
      </c>
    </row>
    <row r="67" spans="1:4" s="370" customFormat="1" x14ac:dyDescent="0.2">
      <c r="A67" s="384" t="s">
        <v>708</v>
      </c>
      <c r="B67" s="291">
        <v>10212</v>
      </c>
      <c r="C67" s="291"/>
      <c r="D67" s="291">
        <f t="shared" si="0"/>
        <v>10212</v>
      </c>
    </row>
    <row r="68" spans="1:4" s="370" customFormat="1" x14ac:dyDescent="0.2">
      <c r="A68" s="207"/>
      <c r="B68" s="291"/>
      <c r="C68" s="291"/>
      <c r="D68" s="291">
        <f t="shared" si="0"/>
        <v>0</v>
      </c>
    </row>
    <row r="69" spans="1:4" s="370" customFormat="1" x14ac:dyDescent="0.2">
      <c r="A69" s="286" t="s">
        <v>574</v>
      </c>
      <c r="B69" s="281">
        <f>B70</f>
        <v>72</v>
      </c>
      <c r="C69" s="281"/>
      <c r="D69" s="281">
        <f t="shared" ref="D69:D94" si="1">B69+C69</f>
        <v>72</v>
      </c>
    </row>
    <row r="70" spans="1:4" s="370" customFormat="1" x14ac:dyDescent="0.2">
      <c r="A70" s="288" t="s">
        <v>27</v>
      </c>
      <c r="B70" s="291">
        <v>72</v>
      </c>
      <c r="C70" s="291"/>
      <c r="D70" s="291">
        <f t="shared" si="1"/>
        <v>72</v>
      </c>
    </row>
    <row r="71" spans="1:4" s="370" customFormat="1" x14ac:dyDescent="0.2">
      <c r="A71" s="289"/>
      <c r="B71" s="280"/>
      <c r="C71" s="280"/>
      <c r="D71" s="280">
        <f t="shared" si="1"/>
        <v>0</v>
      </c>
    </row>
    <row r="72" spans="1:4" s="370" customFormat="1" x14ac:dyDescent="0.2">
      <c r="A72" s="498" t="s">
        <v>78</v>
      </c>
      <c r="B72" s="280"/>
      <c r="C72" s="291">
        <f>C73</f>
        <v>19500</v>
      </c>
      <c r="D72" s="280">
        <f t="shared" si="1"/>
        <v>19500</v>
      </c>
    </row>
    <row r="73" spans="1:4" s="370" customFormat="1" x14ac:dyDescent="0.2">
      <c r="A73" s="499" t="s">
        <v>905</v>
      </c>
      <c r="B73" s="281"/>
      <c r="C73" s="291">
        <v>19500</v>
      </c>
      <c r="D73" s="281">
        <f t="shared" si="1"/>
        <v>19500</v>
      </c>
    </row>
    <row r="74" spans="1:4" s="370" customFormat="1" x14ac:dyDescent="0.2">
      <c r="A74" s="287"/>
      <c r="B74" s="281"/>
      <c r="C74" s="281"/>
      <c r="D74" s="281">
        <f t="shared" si="1"/>
        <v>0</v>
      </c>
    </row>
    <row r="75" spans="1:4" s="370" customFormat="1" x14ac:dyDescent="0.2">
      <c r="A75" s="289" t="s">
        <v>21</v>
      </c>
      <c r="B75" s="280">
        <f>B77+B80+B83+B86+B90</f>
        <v>15376992</v>
      </c>
      <c r="C75" s="280">
        <f>C77+C80+C83+C86+C90</f>
        <v>113673</v>
      </c>
      <c r="D75" s="280">
        <f t="shared" si="1"/>
        <v>15490665</v>
      </c>
    </row>
    <row r="76" spans="1:4" s="370" customFormat="1" x14ac:dyDescent="0.2">
      <c r="A76" s="499"/>
      <c r="B76" s="281"/>
      <c r="D76" s="281">
        <f t="shared" si="1"/>
        <v>0</v>
      </c>
    </row>
    <row r="77" spans="1:4" s="370" customFormat="1" x14ac:dyDescent="0.2">
      <c r="A77" s="286" t="s">
        <v>403</v>
      </c>
      <c r="B77" s="281">
        <f>B78</f>
        <v>1530034</v>
      </c>
      <c r="C77" s="370">
        <f>C78</f>
        <v>113673</v>
      </c>
      <c r="D77" s="281">
        <f t="shared" si="1"/>
        <v>1643707</v>
      </c>
    </row>
    <row r="78" spans="1:4" s="370" customFormat="1" x14ac:dyDescent="0.2">
      <c r="A78" s="207" t="s">
        <v>28</v>
      </c>
      <c r="B78" s="285">
        <v>1530034</v>
      </c>
      <c r="C78" s="370">
        <v>113673</v>
      </c>
      <c r="D78" s="285">
        <f t="shared" si="1"/>
        <v>1643707</v>
      </c>
    </row>
    <row r="79" spans="1:4" s="370" customFormat="1" x14ac:dyDescent="0.2">
      <c r="B79" s="281"/>
      <c r="C79" s="281"/>
      <c r="D79" s="281">
        <f t="shared" si="1"/>
        <v>0</v>
      </c>
    </row>
    <row r="80" spans="1:4" s="370" customFormat="1" x14ac:dyDescent="0.2">
      <c r="A80" s="286" t="s">
        <v>431</v>
      </c>
      <c r="B80" s="281">
        <f>B81</f>
        <v>1278233</v>
      </c>
      <c r="C80" s="281"/>
      <c r="D80" s="281">
        <f t="shared" si="1"/>
        <v>1278233</v>
      </c>
    </row>
    <row r="81" spans="1:4" s="370" customFormat="1" x14ac:dyDescent="0.2">
      <c r="A81" s="207" t="s">
        <v>29</v>
      </c>
      <c r="B81" s="285">
        <v>1278233</v>
      </c>
      <c r="C81" s="285"/>
      <c r="D81" s="285">
        <f t="shared" si="1"/>
        <v>1278233</v>
      </c>
    </row>
    <row r="82" spans="1:4" s="370" customFormat="1" x14ac:dyDescent="0.2">
      <c r="A82" s="207"/>
      <c r="B82" s="285"/>
      <c r="C82" s="285"/>
      <c r="D82" s="285">
        <f t="shared" si="1"/>
        <v>0</v>
      </c>
    </row>
    <row r="83" spans="1:4" s="370" customFormat="1" x14ac:dyDescent="0.2">
      <c r="A83" s="286" t="s">
        <v>445</v>
      </c>
      <c r="B83" s="281">
        <f>B84</f>
        <v>814874</v>
      </c>
      <c r="C83" s="281"/>
      <c r="D83" s="281">
        <f t="shared" si="1"/>
        <v>814874</v>
      </c>
    </row>
    <row r="84" spans="1:4" s="370" customFormat="1" x14ac:dyDescent="0.2">
      <c r="A84" s="207" t="s">
        <v>555</v>
      </c>
      <c r="B84" s="285">
        <v>814874</v>
      </c>
      <c r="C84" s="285"/>
      <c r="D84" s="285">
        <f t="shared" si="1"/>
        <v>814874</v>
      </c>
    </row>
    <row r="85" spans="1:4" s="370" customFormat="1" x14ac:dyDescent="0.2">
      <c r="A85" s="207"/>
      <c r="B85" s="285"/>
      <c r="C85" s="285"/>
      <c r="D85" s="285">
        <f t="shared" si="1"/>
        <v>0</v>
      </c>
    </row>
    <row r="86" spans="1:4" s="370" customFormat="1" x14ac:dyDescent="0.2">
      <c r="A86" s="286" t="s">
        <v>374</v>
      </c>
      <c r="B86" s="290">
        <f>B87+B88</f>
        <v>383517</v>
      </c>
      <c r="C86" s="290"/>
      <c r="D86" s="290">
        <f t="shared" si="1"/>
        <v>383517</v>
      </c>
    </row>
    <row r="87" spans="1:4" s="370" customFormat="1" ht="24" x14ac:dyDescent="0.2">
      <c r="A87" s="213" t="s">
        <v>96</v>
      </c>
      <c r="B87" s="291">
        <v>144896</v>
      </c>
      <c r="C87" s="291"/>
      <c r="D87" s="291">
        <f t="shared" si="1"/>
        <v>144896</v>
      </c>
    </row>
    <row r="88" spans="1:4" s="370" customFormat="1" x14ac:dyDescent="0.2">
      <c r="A88" s="213" t="s">
        <v>30</v>
      </c>
      <c r="B88" s="291">
        <v>238621</v>
      </c>
      <c r="C88" s="291"/>
      <c r="D88" s="291">
        <f t="shared" si="1"/>
        <v>238621</v>
      </c>
    </row>
    <row r="89" spans="1:4" s="370" customFormat="1" x14ac:dyDescent="0.2">
      <c r="A89" s="287"/>
      <c r="B89" s="290"/>
      <c r="C89" s="290"/>
      <c r="D89" s="290">
        <f t="shared" si="1"/>
        <v>0</v>
      </c>
    </row>
    <row r="90" spans="1:4" s="370" customFormat="1" x14ac:dyDescent="0.2">
      <c r="A90" s="286" t="s">
        <v>26</v>
      </c>
      <c r="B90" s="290">
        <f>B91+B92</f>
        <v>11370334</v>
      </c>
      <c r="C90" s="290"/>
      <c r="D90" s="290">
        <f t="shared" si="1"/>
        <v>11370334</v>
      </c>
    </row>
    <row r="91" spans="1:4" s="370" customFormat="1" x14ac:dyDescent="0.2">
      <c r="A91" s="213" t="s">
        <v>66</v>
      </c>
      <c r="B91" s="291">
        <v>8893184</v>
      </c>
      <c r="C91" s="291"/>
      <c r="D91" s="291">
        <f t="shared" si="1"/>
        <v>8893184</v>
      </c>
    </row>
    <row r="92" spans="1:4" s="370" customFormat="1" x14ac:dyDescent="0.2">
      <c r="A92" s="213" t="s">
        <v>67</v>
      </c>
      <c r="B92" s="291">
        <v>2477150</v>
      </c>
      <c r="C92" s="291"/>
      <c r="D92" s="291">
        <f t="shared" si="1"/>
        <v>2477150</v>
      </c>
    </row>
    <row r="93" spans="1:4" s="370" customFormat="1" x14ac:dyDescent="0.2">
      <c r="A93" s="212"/>
      <c r="B93" s="291"/>
      <c r="C93" s="291"/>
      <c r="D93" s="291">
        <f t="shared" si="1"/>
        <v>0</v>
      </c>
    </row>
    <row r="94" spans="1:4" s="370" customFormat="1" x14ac:dyDescent="0.2">
      <c r="A94" s="214" t="s">
        <v>31</v>
      </c>
      <c r="B94" s="283">
        <f>B4+B12+B24</f>
        <v>89083953</v>
      </c>
      <c r="C94" s="283">
        <f>C4+C12+C24</f>
        <v>166394</v>
      </c>
      <c r="D94" s="283">
        <f t="shared" si="1"/>
        <v>89250347</v>
      </c>
    </row>
    <row r="95" spans="1:4" s="370" customFormat="1" x14ac:dyDescent="0.2">
      <c r="A95" s="92"/>
      <c r="B95" s="24"/>
      <c r="C95" s="24"/>
      <c r="D95" s="24"/>
    </row>
    <row r="96" spans="1:4" s="370" customFormat="1" x14ac:dyDescent="0.2">
      <c r="A96" s="92"/>
      <c r="B96" s="24"/>
      <c r="C96" s="24"/>
      <c r="D96" s="24"/>
    </row>
    <row r="97" spans="1:4" s="370" customFormat="1" x14ac:dyDescent="0.2">
      <c r="A97" s="92"/>
      <c r="B97" s="24"/>
      <c r="C97" s="24"/>
      <c r="D97" s="24"/>
    </row>
    <row r="98" spans="1:4" s="370" customFormat="1" x14ac:dyDescent="0.2">
      <c r="A98" s="92"/>
      <c r="B98" s="24"/>
      <c r="C98" s="24"/>
      <c r="D98" s="24"/>
    </row>
    <row r="99" spans="1:4" s="370" customFormat="1" x14ac:dyDescent="0.2">
      <c r="A99" s="50"/>
      <c r="B99"/>
    </row>
    <row r="100" spans="1:4" x14ac:dyDescent="0.2">
      <c r="A100" s="50"/>
    </row>
    <row r="101" spans="1:4" x14ac:dyDescent="0.2">
      <c r="A101" s="50"/>
    </row>
  </sheetData>
  <phoneticPr fontId="26" type="noConversion"/>
  <pageMargins left="1.1811023622047245" right="0.47244094488188981" top="0.47244094488188981" bottom="0.98425196850393704" header="0.51181102362204722" footer="0.51181102362204722"/>
  <pageSetup paperSize="9" scale="90" orientation="portrait" r:id="rId1"/>
  <headerFooter alignWithMargins="0">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F1517"/>
  <sheetViews>
    <sheetView showZeros="0" zoomScaleNormal="100" zoomScaleSheetLayoutView="85" workbookViewId="0">
      <pane ySplit="3" topLeftCell="A4" activePane="bottomLeft" state="frozen"/>
      <selection activeCell="A6" sqref="A6"/>
      <selection pane="bottomLeft"/>
    </sheetView>
  </sheetViews>
  <sheetFormatPr defaultColWidth="9.140625" defaultRowHeight="12.75" x14ac:dyDescent="0.2"/>
  <cols>
    <col min="1" max="1" width="38.5703125" style="105" customWidth="1"/>
    <col min="2" max="2" width="14.7109375" style="118" bestFit="1" customWidth="1"/>
    <col min="3" max="3" width="11.85546875" style="428" customWidth="1"/>
    <col min="4" max="4" width="14.140625" style="428" bestFit="1" customWidth="1"/>
    <col min="5" max="5" width="9.140625" style="2"/>
    <col min="6" max="6" width="24.28515625" style="2" customWidth="1"/>
    <col min="7" max="16384" width="9.140625" style="2"/>
  </cols>
  <sheetData>
    <row r="1" spans="1:4" ht="15" x14ac:dyDescent="0.25">
      <c r="A1" s="117" t="s">
        <v>384</v>
      </c>
    </row>
    <row r="2" spans="1:4" ht="15" x14ac:dyDescent="0.25">
      <c r="A2" s="117"/>
      <c r="D2" s="541" t="s">
        <v>294</v>
      </c>
    </row>
    <row r="3" spans="1:4" ht="25.5" x14ac:dyDescent="0.2">
      <c r="B3" s="485" t="s">
        <v>1065</v>
      </c>
      <c r="C3" s="485" t="s">
        <v>1048</v>
      </c>
      <c r="D3" s="485" t="s">
        <v>1064</v>
      </c>
    </row>
    <row r="4" spans="1:4" ht="15.75" x14ac:dyDescent="0.2">
      <c r="A4" s="225" t="s">
        <v>135</v>
      </c>
      <c r="B4" s="542"/>
    </row>
    <row r="5" spans="1:4" x14ac:dyDescent="0.2">
      <c r="A5" s="121"/>
      <c r="B5" s="542"/>
    </row>
    <row r="6" spans="1:4" x14ac:dyDescent="0.2">
      <c r="A6" s="121" t="s">
        <v>386</v>
      </c>
      <c r="B6" s="264">
        <f>B12+B15+B18+B21</f>
        <v>1830359</v>
      </c>
      <c r="C6" s="264">
        <f t="shared" ref="C6" si="0">C12+C15+C18+C21</f>
        <v>9321</v>
      </c>
      <c r="D6" s="264">
        <f>B6+C6</f>
        <v>1839680</v>
      </c>
    </row>
    <row r="7" spans="1:4" x14ac:dyDescent="0.2">
      <c r="A7" s="123" t="s">
        <v>422</v>
      </c>
      <c r="B7" s="265">
        <v>30000</v>
      </c>
      <c r="C7" s="265"/>
      <c r="D7" s="265">
        <f t="shared" ref="D7:D70" si="1">B7+C7</f>
        <v>30000</v>
      </c>
    </row>
    <row r="8" spans="1:4" x14ac:dyDescent="0.2">
      <c r="A8" s="122" t="s">
        <v>387</v>
      </c>
      <c r="B8" s="264">
        <f>B9+B10</f>
        <v>1830359</v>
      </c>
      <c r="C8" s="264">
        <f t="shared" ref="C8" si="2">C9+C10</f>
        <v>9321</v>
      </c>
      <c r="D8" s="264">
        <f t="shared" si="1"/>
        <v>1839680</v>
      </c>
    </row>
    <row r="9" spans="1:4" x14ac:dyDescent="0.2">
      <c r="A9" s="123" t="s">
        <v>388</v>
      </c>
      <c r="B9" s="265">
        <f>'2.2 OMATULUD'!B5</f>
        <v>19094</v>
      </c>
      <c r="C9" s="265">
        <f>'2.2 OMATULUD'!C5</f>
        <v>9321</v>
      </c>
      <c r="D9" s="265">
        <f t="shared" si="1"/>
        <v>28415</v>
      </c>
    </row>
    <row r="10" spans="1:4" x14ac:dyDescent="0.2">
      <c r="A10" s="124" t="s">
        <v>389</v>
      </c>
      <c r="B10" s="265">
        <f>B6-B9</f>
        <v>1811265</v>
      </c>
      <c r="C10" s="265">
        <f t="shared" ref="C10" si="3">C6-C9</f>
        <v>0</v>
      </c>
      <c r="D10" s="265">
        <f t="shared" si="1"/>
        <v>1811265</v>
      </c>
    </row>
    <row r="11" spans="1:4" x14ac:dyDescent="0.2">
      <c r="A11" s="124"/>
      <c r="B11" s="491"/>
      <c r="C11" s="491"/>
      <c r="D11" s="491">
        <f t="shared" si="1"/>
        <v>0</v>
      </c>
    </row>
    <row r="12" spans="1:4" x14ac:dyDescent="0.2">
      <c r="A12" s="226" t="s">
        <v>135</v>
      </c>
      <c r="B12" s="507">
        <v>1044984</v>
      </c>
      <c r="C12" s="507">
        <v>9321</v>
      </c>
      <c r="D12" s="507">
        <f t="shared" si="1"/>
        <v>1054305</v>
      </c>
    </row>
    <row r="13" spans="1:4" x14ac:dyDescent="0.2">
      <c r="A13" s="227" t="s">
        <v>394</v>
      </c>
      <c r="B13" s="266">
        <v>592565</v>
      </c>
      <c r="C13" s="266"/>
      <c r="D13" s="266">
        <f t="shared" si="1"/>
        <v>592565</v>
      </c>
    </row>
    <row r="14" spans="1:4" x14ac:dyDescent="0.2">
      <c r="A14" s="227"/>
      <c r="B14" s="266"/>
      <c r="C14" s="266"/>
      <c r="D14" s="266">
        <f t="shared" si="1"/>
        <v>0</v>
      </c>
    </row>
    <row r="15" spans="1:4" x14ac:dyDescent="0.2">
      <c r="A15" s="226" t="s">
        <v>137</v>
      </c>
      <c r="B15" s="491">
        <v>109819</v>
      </c>
      <c r="C15" s="491"/>
      <c r="D15" s="491">
        <f t="shared" si="1"/>
        <v>109819</v>
      </c>
    </row>
    <row r="16" spans="1:4" x14ac:dyDescent="0.2">
      <c r="A16" s="227" t="s">
        <v>394</v>
      </c>
      <c r="B16" s="266">
        <v>68210</v>
      </c>
      <c r="C16" s="266"/>
      <c r="D16" s="266">
        <f t="shared" si="1"/>
        <v>68210</v>
      </c>
    </row>
    <row r="17" spans="1:4" x14ac:dyDescent="0.2">
      <c r="A17" s="228"/>
      <c r="B17" s="491"/>
      <c r="C17" s="491"/>
      <c r="D17" s="491">
        <f t="shared" si="1"/>
        <v>0</v>
      </c>
    </row>
    <row r="18" spans="1:4" x14ac:dyDescent="0.2">
      <c r="A18" s="226" t="s">
        <v>138</v>
      </c>
      <c r="B18" s="491">
        <v>626344</v>
      </c>
      <c r="C18" s="491"/>
      <c r="D18" s="491">
        <f t="shared" si="1"/>
        <v>626344</v>
      </c>
    </row>
    <row r="19" spans="1:4" x14ac:dyDescent="0.2">
      <c r="A19" s="227" t="s">
        <v>394</v>
      </c>
      <c r="B19" s="266">
        <v>448389</v>
      </c>
      <c r="C19" s="266"/>
      <c r="D19" s="266">
        <f t="shared" si="1"/>
        <v>448389</v>
      </c>
    </row>
    <row r="20" spans="1:4" x14ac:dyDescent="0.2">
      <c r="A20" s="543"/>
      <c r="B20" s="491"/>
      <c r="C20" s="491"/>
      <c r="D20" s="491">
        <f t="shared" si="1"/>
        <v>0</v>
      </c>
    </row>
    <row r="21" spans="1:4" x14ac:dyDescent="0.2">
      <c r="A21" s="229" t="s">
        <v>139</v>
      </c>
      <c r="B21" s="491">
        <v>49212</v>
      </c>
      <c r="C21" s="491"/>
      <c r="D21" s="491">
        <f t="shared" si="1"/>
        <v>49212</v>
      </c>
    </row>
    <row r="22" spans="1:4" x14ac:dyDescent="0.2">
      <c r="A22" s="227" t="s">
        <v>394</v>
      </c>
      <c r="B22" s="491"/>
      <c r="C22" s="266">
        <v>5150</v>
      </c>
      <c r="D22" s="266">
        <f t="shared" si="1"/>
        <v>5150</v>
      </c>
    </row>
    <row r="23" spans="1:4" x14ac:dyDescent="0.2">
      <c r="A23" s="8"/>
      <c r="B23" s="491"/>
      <c r="C23" s="491"/>
      <c r="D23" s="491">
        <f t="shared" si="1"/>
        <v>0</v>
      </c>
    </row>
    <row r="24" spans="1:4" ht="15.75" x14ac:dyDescent="0.2">
      <c r="A24" s="120" t="s">
        <v>385</v>
      </c>
      <c r="B24" s="491"/>
      <c r="C24" s="491"/>
      <c r="D24" s="491">
        <f t="shared" si="1"/>
        <v>0</v>
      </c>
    </row>
    <row r="25" spans="1:4" x14ac:dyDescent="0.2">
      <c r="A25" s="543"/>
      <c r="B25" s="491"/>
      <c r="C25" s="491"/>
      <c r="D25" s="491">
        <f t="shared" si="1"/>
        <v>0</v>
      </c>
    </row>
    <row r="26" spans="1:4" x14ac:dyDescent="0.2">
      <c r="A26" s="121" t="s">
        <v>386</v>
      </c>
      <c r="B26" s="264">
        <f>B33+B35+B37+B39+B41+B43+B45</f>
        <v>17577610</v>
      </c>
      <c r="C26" s="264">
        <f>C33+C35+C37+C39+C41+C43+C45</f>
        <v>261954</v>
      </c>
      <c r="D26" s="264">
        <f t="shared" si="1"/>
        <v>17839564</v>
      </c>
    </row>
    <row r="27" spans="1:4" x14ac:dyDescent="0.2">
      <c r="A27" s="123" t="s">
        <v>422</v>
      </c>
      <c r="B27" s="265">
        <v>958675</v>
      </c>
      <c r="C27" s="265"/>
      <c r="D27" s="265">
        <f t="shared" si="1"/>
        <v>958675</v>
      </c>
    </row>
    <row r="28" spans="1:4" x14ac:dyDescent="0.2">
      <c r="A28" s="122" t="s">
        <v>387</v>
      </c>
      <c r="B28" s="264">
        <f>SUM(B29:B31)</f>
        <v>17577610</v>
      </c>
      <c r="C28" s="264">
        <f t="shared" ref="C28" si="4">SUM(C29:C31)</f>
        <v>261954</v>
      </c>
      <c r="D28" s="264">
        <f t="shared" si="1"/>
        <v>17839564</v>
      </c>
    </row>
    <row r="29" spans="1:4" x14ac:dyDescent="0.2">
      <c r="A29" s="123" t="s">
        <v>388</v>
      </c>
      <c r="B29" s="265">
        <f>'2.2 OMATULUD'!B10</f>
        <v>531564</v>
      </c>
      <c r="C29" s="265"/>
      <c r="D29" s="265">
        <f t="shared" si="1"/>
        <v>531564</v>
      </c>
    </row>
    <row r="30" spans="1:4" x14ac:dyDescent="0.2">
      <c r="A30" s="124" t="s">
        <v>360</v>
      </c>
      <c r="B30" s="265">
        <f>B96+B100+B104+B108</f>
        <v>53207</v>
      </c>
      <c r="C30" s="265"/>
      <c r="D30" s="265">
        <f t="shared" si="1"/>
        <v>53207</v>
      </c>
    </row>
    <row r="31" spans="1:4" x14ac:dyDescent="0.2">
      <c r="A31" s="124" t="s">
        <v>389</v>
      </c>
      <c r="B31" s="265">
        <f>B26-B29-B30</f>
        <v>16992839</v>
      </c>
      <c r="C31" s="265">
        <f t="shared" ref="C31" si="5">C26-C29-C30</f>
        <v>261954</v>
      </c>
      <c r="D31" s="265">
        <f t="shared" si="1"/>
        <v>17254793</v>
      </c>
    </row>
    <row r="32" spans="1:4" x14ac:dyDescent="0.2">
      <c r="A32" s="543"/>
      <c r="B32" s="491"/>
      <c r="C32" s="491"/>
      <c r="D32" s="491">
        <f t="shared" si="1"/>
        <v>0</v>
      </c>
    </row>
    <row r="33" spans="1:4" x14ac:dyDescent="0.2">
      <c r="A33" s="230" t="s">
        <v>140</v>
      </c>
      <c r="B33" s="264">
        <f>2890455-100000+75000</f>
        <v>2865455</v>
      </c>
      <c r="C33" s="264">
        <f>-100000-10000</f>
        <v>-110000</v>
      </c>
      <c r="D33" s="264">
        <f t="shared" si="1"/>
        <v>2755455</v>
      </c>
    </row>
    <row r="34" spans="1:4" x14ac:dyDescent="0.2">
      <c r="A34" s="232"/>
      <c r="B34" s="491"/>
      <c r="C34" s="491"/>
      <c r="D34" s="491">
        <f t="shared" si="1"/>
        <v>0</v>
      </c>
    </row>
    <row r="35" spans="1:4" x14ac:dyDescent="0.2">
      <c r="A35" s="233" t="s">
        <v>141</v>
      </c>
      <c r="B35" s="264">
        <f>2013656-4800</f>
        <v>2008856</v>
      </c>
      <c r="C35" s="264"/>
      <c r="D35" s="264">
        <f t="shared" si="1"/>
        <v>2008856</v>
      </c>
    </row>
    <row r="36" spans="1:4" x14ac:dyDescent="0.2">
      <c r="A36" s="234"/>
      <c r="B36" s="264"/>
      <c r="C36" s="264"/>
      <c r="D36" s="264">
        <f t="shared" si="1"/>
        <v>0</v>
      </c>
    </row>
    <row r="37" spans="1:4" x14ac:dyDescent="0.2">
      <c r="A37" s="235" t="s">
        <v>142</v>
      </c>
      <c r="B37" s="264">
        <v>221000</v>
      </c>
      <c r="C37" s="264"/>
      <c r="D37" s="264">
        <f t="shared" si="1"/>
        <v>221000</v>
      </c>
    </row>
    <row r="38" spans="1:4" x14ac:dyDescent="0.2">
      <c r="A38" s="544"/>
      <c r="B38" s="264"/>
      <c r="C38" s="264"/>
      <c r="D38" s="264">
        <f t="shared" si="1"/>
        <v>0</v>
      </c>
    </row>
    <row r="39" spans="1:4" x14ac:dyDescent="0.2">
      <c r="A39" s="235" t="s">
        <v>390</v>
      </c>
      <c r="B39" s="264">
        <v>207332</v>
      </c>
      <c r="C39" s="264"/>
      <c r="D39" s="264">
        <f t="shared" si="1"/>
        <v>207332</v>
      </c>
    </row>
    <row r="40" spans="1:4" x14ac:dyDescent="0.2">
      <c r="A40" s="125"/>
      <c r="B40" s="264"/>
      <c r="C40" s="264"/>
      <c r="D40" s="264">
        <f t="shared" si="1"/>
        <v>0</v>
      </c>
    </row>
    <row r="41" spans="1:4" x14ac:dyDescent="0.2">
      <c r="A41" s="235" t="s">
        <v>391</v>
      </c>
      <c r="B41" s="264">
        <v>1885324</v>
      </c>
      <c r="C41" s="264"/>
      <c r="D41" s="264">
        <f t="shared" si="1"/>
        <v>1885324</v>
      </c>
    </row>
    <row r="42" spans="1:4" x14ac:dyDescent="0.2">
      <c r="A42" s="186"/>
      <c r="B42" s="264"/>
      <c r="C42" s="264"/>
      <c r="D42" s="264">
        <f t="shared" si="1"/>
        <v>0</v>
      </c>
    </row>
    <row r="43" spans="1:4" x14ac:dyDescent="0.2">
      <c r="A43" s="235" t="s">
        <v>147</v>
      </c>
      <c r="B43" s="264">
        <v>775327</v>
      </c>
      <c r="C43" s="264">
        <v>45500</v>
      </c>
      <c r="D43" s="264">
        <f t="shared" si="1"/>
        <v>820827</v>
      </c>
    </row>
    <row r="44" spans="1:4" s="36" customFormat="1" x14ac:dyDescent="0.2">
      <c r="A44" s="237"/>
      <c r="B44" s="491"/>
      <c r="C44" s="491"/>
      <c r="D44" s="491">
        <f t="shared" si="1"/>
        <v>0</v>
      </c>
    </row>
    <row r="45" spans="1:4" x14ac:dyDescent="0.2">
      <c r="A45" s="125" t="s">
        <v>392</v>
      </c>
      <c r="B45" s="264">
        <f>B47+B50+B53+B58+B60+B62+B64+B70+B75+B78+B80+B83+B85+B87+B89+B91+B93+B67+B98+B102+B106</f>
        <v>9614316</v>
      </c>
      <c r="C45" s="264">
        <f t="shared" ref="C45" si="6">C47+C50+C53+C58+C60+C62+C64+C70+C75+C78+C80+C83+C85+C87+C89+C91+C93+C67+C98+C102+C106</f>
        <v>326454</v>
      </c>
      <c r="D45" s="264">
        <f t="shared" si="1"/>
        <v>9940770</v>
      </c>
    </row>
    <row r="46" spans="1:4" x14ac:dyDescent="0.2">
      <c r="A46" s="125"/>
      <c r="B46" s="491"/>
      <c r="C46" s="491"/>
      <c r="D46" s="491">
        <f t="shared" si="1"/>
        <v>0</v>
      </c>
    </row>
    <row r="47" spans="1:4" x14ac:dyDescent="0.2">
      <c r="A47" s="128" t="s">
        <v>148</v>
      </c>
      <c r="B47" s="491">
        <v>442388</v>
      </c>
      <c r="C47" s="491"/>
      <c r="D47" s="491">
        <f t="shared" si="1"/>
        <v>442388</v>
      </c>
    </row>
    <row r="48" spans="1:4" x14ac:dyDescent="0.2">
      <c r="A48" s="127" t="s">
        <v>394</v>
      </c>
      <c r="B48" s="266">
        <v>285864</v>
      </c>
      <c r="C48" s="266"/>
      <c r="D48" s="266">
        <f t="shared" si="1"/>
        <v>285864</v>
      </c>
    </row>
    <row r="49" spans="1:4" x14ac:dyDescent="0.2">
      <c r="A49" s="545"/>
      <c r="B49" s="491"/>
      <c r="C49" s="491"/>
      <c r="D49" s="491">
        <f t="shared" si="1"/>
        <v>0</v>
      </c>
    </row>
    <row r="50" spans="1:4" x14ac:dyDescent="0.2">
      <c r="A50" s="126" t="s">
        <v>393</v>
      </c>
      <c r="B50" s="491">
        <v>7176708</v>
      </c>
      <c r="C50" s="491">
        <f>193410+26844</f>
        <v>220254</v>
      </c>
      <c r="D50" s="491">
        <f t="shared" si="1"/>
        <v>7396962</v>
      </c>
    </row>
    <row r="51" spans="1:4" x14ac:dyDescent="0.2">
      <c r="A51" s="127" t="s">
        <v>394</v>
      </c>
      <c r="B51" s="266">
        <v>5340418</v>
      </c>
      <c r="C51" s="266">
        <f>143113+20033</f>
        <v>163146</v>
      </c>
      <c r="D51" s="266">
        <f t="shared" si="1"/>
        <v>5503564</v>
      </c>
    </row>
    <row r="52" spans="1:4" x14ac:dyDescent="0.2">
      <c r="A52" s="438"/>
      <c r="B52" s="491"/>
      <c r="C52" s="491"/>
      <c r="D52" s="491">
        <f t="shared" si="1"/>
        <v>0</v>
      </c>
    </row>
    <row r="53" spans="1:4" x14ac:dyDescent="0.2">
      <c r="A53" s="156" t="s">
        <v>395</v>
      </c>
      <c r="B53" s="491">
        <v>485834</v>
      </c>
      <c r="C53" s="491"/>
      <c r="D53" s="491">
        <f t="shared" si="1"/>
        <v>485834</v>
      </c>
    </row>
    <row r="54" spans="1:4" x14ac:dyDescent="0.2">
      <c r="A54" s="546" t="s">
        <v>149</v>
      </c>
      <c r="B54" s="491">
        <v>190000</v>
      </c>
      <c r="C54" s="491"/>
      <c r="D54" s="491">
        <f t="shared" si="1"/>
        <v>190000</v>
      </c>
    </row>
    <row r="55" spans="1:4" x14ac:dyDescent="0.2">
      <c r="A55" s="546" t="s">
        <v>396</v>
      </c>
      <c r="B55" s="491">
        <v>134000</v>
      </c>
      <c r="C55" s="491"/>
      <c r="D55" s="491">
        <f t="shared" si="1"/>
        <v>134000</v>
      </c>
    </row>
    <row r="56" spans="1:4" x14ac:dyDescent="0.2">
      <c r="A56" s="546" t="s">
        <v>397</v>
      </c>
      <c r="B56" s="491">
        <v>161834</v>
      </c>
      <c r="C56" s="491"/>
      <c r="D56" s="491">
        <f t="shared" si="1"/>
        <v>161834</v>
      </c>
    </row>
    <row r="57" spans="1:4" x14ac:dyDescent="0.2">
      <c r="A57" s="137"/>
      <c r="B57" s="491"/>
      <c r="C57" s="491"/>
      <c r="D57" s="491">
        <f t="shared" si="1"/>
        <v>0</v>
      </c>
    </row>
    <row r="58" spans="1:4" x14ac:dyDescent="0.2">
      <c r="A58" s="128" t="s">
        <v>150</v>
      </c>
      <c r="B58" s="491">
        <v>228000</v>
      </c>
      <c r="C58" s="491"/>
      <c r="D58" s="491">
        <f t="shared" si="1"/>
        <v>228000</v>
      </c>
    </row>
    <row r="59" spans="1:4" x14ac:dyDescent="0.2">
      <c r="A59" s="488"/>
      <c r="B59" s="491"/>
      <c r="C59" s="491"/>
      <c r="D59" s="491">
        <f t="shared" si="1"/>
        <v>0</v>
      </c>
    </row>
    <row r="60" spans="1:4" x14ac:dyDescent="0.2">
      <c r="A60" s="128" t="s">
        <v>398</v>
      </c>
      <c r="B60" s="491">
        <v>20000</v>
      </c>
      <c r="C60" s="491"/>
      <c r="D60" s="491">
        <f t="shared" si="1"/>
        <v>20000</v>
      </c>
    </row>
    <row r="61" spans="1:4" x14ac:dyDescent="0.2">
      <c r="A61" s="488"/>
      <c r="B61" s="491"/>
      <c r="C61" s="491"/>
      <c r="D61" s="491">
        <f t="shared" si="1"/>
        <v>0</v>
      </c>
    </row>
    <row r="62" spans="1:4" x14ac:dyDescent="0.2">
      <c r="A62" s="128" t="s">
        <v>151</v>
      </c>
      <c r="B62" s="491">
        <v>10000</v>
      </c>
      <c r="C62" s="491"/>
      <c r="D62" s="491">
        <f t="shared" si="1"/>
        <v>10000</v>
      </c>
    </row>
    <row r="63" spans="1:4" x14ac:dyDescent="0.2">
      <c r="A63" s="137"/>
      <c r="B63" s="491"/>
      <c r="C63" s="491"/>
      <c r="D63" s="491">
        <f t="shared" si="1"/>
        <v>0</v>
      </c>
    </row>
    <row r="64" spans="1:4" x14ac:dyDescent="0.2">
      <c r="A64" s="128" t="s">
        <v>769</v>
      </c>
      <c r="B64" s="491">
        <v>400000</v>
      </c>
      <c r="C64" s="491">
        <f>100200+6000</f>
        <v>106200</v>
      </c>
      <c r="D64" s="491">
        <f t="shared" si="1"/>
        <v>506200</v>
      </c>
    </row>
    <row r="65" spans="1:4" x14ac:dyDescent="0.2">
      <c r="A65" s="127" t="s">
        <v>394</v>
      </c>
      <c r="B65" s="266">
        <v>260420</v>
      </c>
      <c r="C65" s="266">
        <v>18800</v>
      </c>
      <c r="D65" s="266">
        <f t="shared" si="1"/>
        <v>279220</v>
      </c>
    </row>
    <row r="66" spans="1:4" x14ac:dyDescent="0.2">
      <c r="A66" s="127"/>
      <c r="B66" s="266"/>
      <c r="C66" s="266"/>
      <c r="D66" s="266">
        <f t="shared" si="1"/>
        <v>0</v>
      </c>
    </row>
    <row r="67" spans="1:4" x14ac:dyDescent="0.2">
      <c r="A67" s="128" t="s">
        <v>770</v>
      </c>
      <c r="B67" s="491">
        <v>31000</v>
      </c>
      <c r="C67" s="491"/>
      <c r="D67" s="491">
        <f t="shared" si="1"/>
        <v>31000</v>
      </c>
    </row>
    <row r="68" spans="1:4" x14ac:dyDescent="0.2">
      <c r="A68" s="127" t="s">
        <v>394</v>
      </c>
      <c r="B68" s="266">
        <v>10226</v>
      </c>
      <c r="C68" s="266"/>
      <c r="D68" s="266">
        <f t="shared" si="1"/>
        <v>10226</v>
      </c>
    </row>
    <row r="69" spans="1:4" x14ac:dyDescent="0.2">
      <c r="A69" s="544"/>
      <c r="B69" s="266"/>
      <c r="C69" s="266"/>
      <c r="D69" s="266">
        <f t="shared" si="1"/>
        <v>0</v>
      </c>
    </row>
    <row r="70" spans="1:4" x14ac:dyDescent="0.2">
      <c r="A70" s="129" t="s">
        <v>152</v>
      </c>
      <c r="B70" s="491">
        <f>383470-10000</f>
        <v>373470</v>
      </c>
      <c r="C70" s="491"/>
      <c r="D70" s="491">
        <f t="shared" si="1"/>
        <v>373470</v>
      </c>
    </row>
    <row r="71" spans="1:4" x14ac:dyDescent="0.2">
      <c r="A71" s="127" t="s">
        <v>394</v>
      </c>
      <c r="B71" s="266">
        <v>48751</v>
      </c>
      <c r="C71" s="266"/>
      <c r="D71" s="266">
        <f t="shared" ref="D71:D134" si="7">B71+C71</f>
        <v>48751</v>
      </c>
    </row>
    <row r="72" spans="1:4" ht="36" x14ac:dyDescent="0.2">
      <c r="A72" s="179" t="s">
        <v>57</v>
      </c>
      <c r="B72" s="266">
        <v>16000</v>
      </c>
      <c r="C72" s="266"/>
      <c r="D72" s="266">
        <f t="shared" si="7"/>
        <v>16000</v>
      </c>
    </row>
    <row r="73" spans="1:4" x14ac:dyDescent="0.2">
      <c r="A73" s="137" t="s">
        <v>394</v>
      </c>
      <c r="B73" s="266">
        <v>10751</v>
      </c>
      <c r="C73" s="266"/>
      <c r="D73" s="266">
        <f t="shared" si="7"/>
        <v>10751</v>
      </c>
    </row>
    <row r="74" spans="1:4" x14ac:dyDescent="0.2">
      <c r="A74" s="502"/>
      <c r="B74" s="266"/>
      <c r="C74" s="266"/>
      <c r="D74" s="266">
        <f t="shared" si="7"/>
        <v>0</v>
      </c>
    </row>
    <row r="75" spans="1:4" x14ac:dyDescent="0.2">
      <c r="A75" s="129" t="s">
        <v>58</v>
      </c>
      <c r="B75" s="491">
        <v>50000</v>
      </c>
      <c r="C75" s="491"/>
      <c r="D75" s="491">
        <f t="shared" si="7"/>
        <v>50000</v>
      </c>
    </row>
    <row r="76" spans="1:4" x14ac:dyDescent="0.2">
      <c r="A76" s="127" t="s">
        <v>394</v>
      </c>
      <c r="B76" s="266">
        <v>4000</v>
      </c>
      <c r="C76" s="266"/>
      <c r="D76" s="266">
        <f t="shared" si="7"/>
        <v>4000</v>
      </c>
    </row>
    <row r="77" spans="1:4" x14ac:dyDescent="0.2">
      <c r="A77" s="488"/>
      <c r="B77" s="491"/>
      <c r="C77" s="491"/>
      <c r="D77" s="491">
        <f t="shared" si="7"/>
        <v>0</v>
      </c>
    </row>
    <row r="78" spans="1:4" x14ac:dyDescent="0.2">
      <c r="A78" s="129" t="s">
        <v>153</v>
      </c>
      <c r="B78" s="491">
        <v>78600</v>
      </c>
      <c r="C78" s="491"/>
      <c r="D78" s="491">
        <f t="shared" si="7"/>
        <v>78600</v>
      </c>
    </row>
    <row r="79" spans="1:4" x14ac:dyDescent="0.2">
      <c r="A79" s="438"/>
      <c r="B79" s="491"/>
      <c r="C79" s="491"/>
      <c r="D79" s="491">
        <f t="shared" si="7"/>
        <v>0</v>
      </c>
    </row>
    <row r="80" spans="1:4" x14ac:dyDescent="0.2">
      <c r="A80" s="129" t="s">
        <v>154</v>
      </c>
      <c r="B80" s="491">
        <v>68385</v>
      </c>
      <c r="C80" s="491"/>
      <c r="D80" s="491">
        <f t="shared" si="7"/>
        <v>68385</v>
      </c>
    </row>
    <row r="81" spans="1:4" x14ac:dyDescent="0.2">
      <c r="A81" s="127" t="s">
        <v>394</v>
      </c>
      <c r="B81" s="266">
        <v>1200</v>
      </c>
      <c r="C81" s="266"/>
      <c r="D81" s="266">
        <f t="shared" si="7"/>
        <v>1200</v>
      </c>
    </row>
    <row r="82" spans="1:4" x14ac:dyDescent="0.2">
      <c r="A82" s="438"/>
      <c r="B82" s="491"/>
      <c r="C82" s="491"/>
      <c r="D82" s="491">
        <f t="shared" si="7"/>
        <v>0</v>
      </c>
    </row>
    <row r="83" spans="1:4" x14ac:dyDescent="0.2">
      <c r="A83" s="156" t="s">
        <v>155</v>
      </c>
      <c r="B83" s="491">
        <v>26400</v>
      </c>
      <c r="C83" s="491"/>
      <c r="D83" s="491">
        <f t="shared" si="7"/>
        <v>26400</v>
      </c>
    </row>
    <row r="84" spans="1:4" x14ac:dyDescent="0.2">
      <c r="A84" s="488"/>
      <c r="B84" s="491"/>
      <c r="C84" s="491"/>
      <c r="D84" s="491">
        <f t="shared" si="7"/>
        <v>0</v>
      </c>
    </row>
    <row r="85" spans="1:4" ht="25.5" x14ac:dyDescent="0.2">
      <c r="A85" s="126" t="s">
        <v>801</v>
      </c>
      <c r="B85" s="491">
        <v>55000</v>
      </c>
      <c r="C85" s="491"/>
      <c r="D85" s="491">
        <f t="shared" si="7"/>
        <v>55000</v>
      </c>
    </row>
    <row r="86" spans="1:4" x14ac:dyDescent="0.2">
      <c r="A86" s="127"/>
      <c r="B86" s="266"/>
      <c r="C86" s="266"/>
      <c r="D86" s="266">
        <f t="shared" si="7"/>
        <v>0</v>
      </c>
    </row>
    <row r="87" spans="1:4" x14ac:dyDescent="0.2">
      <c r="A87" s="129" t="s">
        <v>807</v>
      </c>
      <c r="B87" s="547">
        <v>5750</v>
      </c>
      <c r="C87" s="547"/>
      <c r="D87" s="547">
        <f t="shared" si="7"/>
        <v>5750</v>
      </c>
    </row>
    <row r="88" spans="1:4" x14ac:dyDescent="0.2">
      <c r="A88" s="129"/>
      <c r="B88" s="547"/>
      <c r="C88" s="547"/>
      <c r="D88" s="547">
        <f t="shared" si="7"/>
        <v>0</v>
      </c>
    </row>
    <row r="89" spans="1:4" x14ac:dyDescent="0.2">
      <c r="A89" s="129" t="s">
        <v>808</v>
      </c>
      <c r="B89" s="547">
        <v>3200</v>
      </c>
      <c r="C89" s="547"/>
      <c r="D89" s="547">
        <f t="shared" si="7"/>
        <v>3200</v>
      </c>
    </row>
    <row r="90" spans="1:4" x14ac:dyDescent="0.2">
      <c r="A90" s="129"/>
      <c r="B90" s="547"/>
      <c r="C90" s="547"/>
      <c r="D90" s="547">
        <f t="shared" si="7"/>
        <v>0</v>
      </c>
    </row>
    <row r="91" spans="1:4" ht="25.5" x14ac:dyDescent="0.2">
      <c r="A91" s="158" t="s">
        <v>399</v>
      </c>
      <c r="B91" s="547">
        <v>100000</v>
      </c>
      <c r="C91" s="547"/>
      <c r="D91" s="547">
        <f t="shared" si="7"/>
        <v>100000</v>
      </c>
    </row>
    <row r="92" spans="1:4" x14ac:dyDescent="0.2">
      <c r="A92" s="127"/>
      <c r="B92" s="130"/>
      <c r="C92" s="130"/>
      <c r="D92" s="130">
        <f t="shared" si="7"/>
        <v>0</v>
      </c>
    </row>
    <row r="93" spans="1:4" x14ac:dyDescent="0.2">
      <c r="A93" s="158" t="s">
        <v>771</v>
      </c>
      <c r="B93" s="547">
        <v>33646</v>
      </c>
      <c r="C93" s="547"/>
      <c r="D93" s="547">
        <f t="shared" si="7"/>
        <v>33646</v>
      </c>
    </row>
    <row r="94" spans="1:4" x14ac:dyDescent="0.2">
      <c r="A94" s="127" t="s">
        <v>394</v>
      </c>
      <c r="B94" s="130">
        <v>5810</v>
      </c>
      <c r="C94" s="130"/>
      <c r="D94" s="130">
        <f t="shared" si="7"/>
        <v>5810</v>
      </c>
    </row>
    <row r="95" spans="1:4" x14ac:dyDescent="0.2">
      <c r="A95" s="131"/>
      <c r="B95" s="130"/>
      <c r="C95" s="130"/>
      <c r="D95" s="130">
        <f t="shared" si="7"/>
        <v>0</v>
      </c>
    </row>
    <row r="96" spans="1:4" x14ac:dyDescent="0.2">
      <c r="A96" s="127" t="s">
        <v>420</v>
      </c>
      <c r="B96" s="130">
        <v>33646</v>
      </c>
      <c r="C96" s="130"/>
      <c r="D96" s="130">
        <f t="shared" si="7"/>
        <v>33646</v>
      </c>
    </row>
    <row r="97" spans="1:4" x14ac:dyDescent="0.2">
      <c r="A97" s="158"/>
      <c r="B97" s="547"/>
      <c r="C97" s="547"/>
      <c r="D97" s="547">
        <f t="shared" si="7"/>
        <v>0</v>
      </c>
    </row>
    <row r="98" spans="1:4" ht="51" x14ac:dyDescent="0.2">
      <c r="A98" s="158" t="s">
        <v>817</v>
      </c>
      <c r="B98" s="547">
        <v>7152</v>
      </c>
      <c r="C98" s="547"/>
      <c r="D98" s="547">
        <f t="shared" si="7"/>
        <v>7152</v>
      </c>
    </row>
    <row r="99" spans="1:4" x14ac:dyDescent="0.2">
      <c r="A99" s="127"/>
      <c r="B99" s="130"/>
      <c r="C99" s="130"/>
      <c r="D99" s="130">
        <f t="shared" si="7"/>
        <v>0</v>
      </c>
    </row>
    <row r="100" spans="1:4" x14ac:dyDescent="0.2">
      <c r="A100" s="127" t="s">
        <v>420</v>
      </c>
      <c r="B100" s="130">
        <v>6079</v>
      </c>
      <c r="C100" s="130"/>
      <c r="D100" s="130">
        <f t="shared" si="7"/>
        <v>6079</v>
      </c>
    </row>
    <row r="101" spans="1:4" x14ac:dyDescent="0.2">
      <c r="A101" s="131"/>
      <c r="B101" s="130"/>
      <c r="C101" s="130"/>
      <c r="D101" s="130">
        <f t="shared" si="7"/>
        <v>0</v>
      </c>
    </row>
    <row r="102" spans="1:4" ht="25.5" x14ac:dyDescent="0.2">
      <c r="A102" s="158" t="s">
        <v>772</v>
      </c>
      <c r="B102" s="547">
        <v>14810</v>
      </c>
      <c r="C102" s="547"/>
      <c r="D102" s="547">
        <f t="shared" si="7"/>
        <v>14810</v>
      </c>
    </row>
    <row r="103" spans="1:4" x14ac:dyDescent="0.2">
      <c r="A103" s="131"/>
      <c r="B103" s="130"/>
      <c r="C103" s="130"/>
      <c r="D103" s="130">
        <f t="shared" si="7"/>
        <v>0</v>
      </c>
    </row>
    <row r="104" spans="1:4" x14ac:dyDescent="0.2">
      <c r="A104" s="127" t="s">
        <v>420</v>
      </c>
      <c r="B104" s="130">
        <v>12394</v>
      </c>
      <c r="C104" s="130"/>
      <c r="D104" s="130">
        <f t="shared" si="7"/>
        <v>12394</v>
      </c>
    </row>
    <row r="105" spans="1:4" x14ac:dyDescent="0.2">
      <c r="A105" s="131"/>
      <c r="B105" s="130"/>
      <c r="C105" s="130"/>
      <c r="D105" s="130">
        <f t="shared" si="7"/>
        <v>0</v>
      </c>
    </row>
    <row r="106" spans="1:4" ht="25.5" x14ac:dyDescent="0.2">
      <c r="A106" s="158" t="s">
        <v>762</v>
      </c>
      <c r="B106" s="547">
        <v>3973</v>
      </c>
      <c r="C106" s="547"/>
      <c r="D106" s="547">
        <f t="shared" si="7"/>
        <v>3973</v>
      </c>
    </row>
    <row r="107" spans="1:4" x14ac:dyDescent="0.2">
      <c r="A107" s="131"/>
      <c r="B107" s="130"/>
      <c r="C107" s="130"/>
      <c r="D107" s="130">
        <f t="shared" si="7"/>
        <v>0</v>
      </c>
    </row>
    <row r="108" spans="1:4" x14ac:dyDescent="0.2">
      <c r="A108" s="127" t="s">
        <v>420</v>
      </c>
      <c r="B108" s="130">
        <v>1088</v>
      </c>
      <c r="C108" s="130"/>
      <c r="D108" s="130">
        <f t="shared" si="7"/>
        <v>1088</v>
      </c>
    </row>
    <row r="109" spans="1:4" x14ac:dyDescent="0.2">
      <c r="A109" s="131"/>
      <c r="B109" s="130"/>
      <c r="C109" s="130"/>
      <c r="D109" s="130">
        <f t="shared" si="7"/>
        <v>0</v>
      </c>
    </row>
    <row r="110" spans="1:4" s="151" customFormat="1" ht="15" x14ac:dyDescent="0.2">
      <c r="A110" s="131"/>
      <c r="B110" s="130"/>
      <c r="C110" s="509"/>
      <c r="D110" s="509">
        <f t="shared" si="7"/>
        <v>0</v>
      </c>
    </row>
    <row r="111" spans="1:4" ht="15.75" x14ac:dyDescent="0.2">
      <c r="A111" s="132" t="s">
        <v>366</v>
      </c>
      <c r="B111" s="130"/>
      <c r="C111" s="492"/>
      <c r="D111" s="492">
        <f t="shared" si="7"/>
        <v>0</v>
      </c>
    </row>
    <row r="112" spans="1:4" s="36" customFormat="1" x14ac:dyDescent="0.2">
      <c r="A112" s="438"/>
      <c r="B112" s="491"/>
      <c r="C112" s="492"/>
      <c r="D112" s="492">
        <f t="shared" si="7"/>
        <v>0</v>
      </c>
    </row>
    <row r="113" spans="1:4" s="36" customFormat="1" x14ac:dyDescent="0.2">
      <c r="A113" s="133" t="s">
        <v>386</v>
      </c>
      <c r="B113" s="264">
        <f>B119</f>
        <v>674190</v>
      </c>
      <c r="C113" s="264">
        <f>C119</f>
        <v>3150</v>
      </c>
      <c r="D113" s="264">
        <f t="shared" si="7"/>
        <v>677340</v>
      </c>
    </row>
    <row r="114" spans="1:4" x14ac:dyDescent="0.2">
      <c r="A114" s="123" t="s">
        <v>422</v>
      </c>
      <c r="B114" s="265">
        <v>97000</v>
      </c>
      <c r="C114" s="265"/>
      <c r="D114" s="265">
        <f t="shared" si="7"/>
        <v>97000</v>
      </c>
    </row>
    <row r="115" spans="1:4" x14ac:dyDescent="0.2">
      <c r="A115" s="134" t="s">
        <v>387</v>
      </c>
      <c r="B115" s="264">
        <f>B116+B117</f>
        <v>674190</v>
      </c>
      <c r="C115" s="264">
        <f>C116+C117</f>
        <v>3150</v>
      </c>
      <c r="D115" s="264">
        <f t="shared" si="7"/>
        <v>677340</v>
      </c>
    </row>
    <row r="116" spans="1:4" x14ac:dyDescent="0.2">
      <c r="A116" s="135" t="s">
        <v>388</v>
      </c>
      <c r="B116" s="265">
        <f>'2.2 OMATULUD'!B18</f>
        <v>25500</v>
      </c>
      <c r="C116" s="265">
        <f>'2.2 OMATULUD'!C18</f>
        <v>2700</v>
      </c>
      <c r="D116" s="265">
        <f t="shared" si="7"/>
        <v>28200</v>
      </c>
    </row>
    <row r="117" spans="1:4" x14ac:dyDescent="0.2">
      <c r="A117" s="136" t="s">
        <v>389</v>
      </c>
      <c r="B117" s="265">
        <f>B113-B116</f>
        <v>648690</v>
      </c>
      <c r="C117" s="265">
        <f>C113-C116</f>
        <v>450</v>
      </c>
      <c r="D117" s="265">
        <f t="shared" si="7"/>
        <v>649140</v>
      </c>
    </row>
    <row r="118" spans="1:4" x14ac:dyDescent="0.2">
      <c r="A118" s="438"/>
      <c r="B118" s="491"/>
      <c r="C118" s="491"/>
      <c r="D118" s="491">
        <f t="shared" si="7"/>
        <v>0</v>
      </c>
    </row>
    <row r="119" spans="1:4" x14ac:dyDescent="0.2">
      <c r="A119" s="235" t="s">
        <v>400</v>
      </c>
      <c r="B119" s="264">
        <v>674190</v>
      </c>
      <c r="C119" s="264">
        <f>2700+450</f>
        <v>3150</v>
      </c>
      <c r="D119" s="264">
        <f t="shared" si="7"/>
        <v>677340</v>
      </c>
    </row>
    <row r="120" spans="1:4" x14ac:dyDescent="0.2">
      <c r="A120" s="137" t="s">
        <v>394</v>
      </c>
      <c r="B120" s="266">
        <v>384550</v>
      </c>
      <c r="C120" s="266"/>
      <c r="D120" s="266">
        <f t="shared" si="7"/>
        <v>384550</v>
      </c>
    </row>
    <row r="121" spans="1:4" x14ac:dyDescent="0.2">
      <c r="A121" s="438"/>
      <c r="B121" s="491"/>
      <c r="C121" s="492"/>
      <c r="D121" s="492">
        <f t="shared" si="7"/>
        <v>0</v>
      </c>
    </row>
    <row r="122" spans="1:4" x14ac:dyDescent="0.2">
      <c r="A122" s="438"/>
      <c r="B122" s="491"/>
      <c r="C122" s="492"/>
      <c r="D122" s="492">
        <f t="shared" si="7"/>
        <v>0</v>
      </c>
    </row>
    <row r="123" spans="1:4" ht="15.75" x14ac:dyDescent="0.2">
      <c r="A123" s="132" t="s">
        <v>401</v>
      </c>
      <c r="B123" s="491"/>
      <c r="C123" s="492"/>
      <c r="D123" s="492">
        <f t="shared" si="7"/>
        <v>0</v>
      </c>
    </row>
    <row r="124" spans="1:4" s="36" customFormat="1" x14ac:dyDescent="0.2">
      <c r="A124" s="438"/>
      <c r="B124" s="491"/>
      <c r="C124" s="492"/>
      <c r="D124" s="492">
        <f t="shared" si="7"/>
        <v>0</v>
      </c>
    </row>
    <row r="125" spans="1:4" s="36" customFormat="1" x14ac:dyDescent="0.2">
      <c r="A125" s="133" t="s">
        <v>386</v>
      </c>
      <c r="B125" s="264">
        <f>B131</f>
        <v>368071</v>
      </c>
      <c r="C125" s="264">
        <f>C131</f>
        <v>-23000</v>
      </c>
      <c r="D125" s="264">
        <f t="shared" si="7"/>
        <v>345071</v>
      </c>
    </row>
    <row r="126" spans="1:4" x14ac:dyDescent="0.2">
      <c r="A126" s="123" t="s">
        <v>422</v>
      </c>
      <c r="B126" s="265">
        <v>69500</v>
      </c>
      <c r="C126" s="265"/>
      <c r="D126" s="265">
        <f t="shared" si="7"/>
        <v>69500</v>
      </c>
    </row>
    <row r="127" spans="1:4" x14ac:dyDescent="0.2">
      <c r="A127" s="134" t="s">
        <v>387</v>
      </c>
      <c r="B127" s="264">
        <f>B128+B129</f>
        <v>368071</v>
      </c>
      <c r="C127" s="264">
        <f>C128+C129</f>
        <v>-23000</v>
      </c>
      <c r="D127" s="264">
        <f t="shared" si="7"/>
        <v>345071</v>
      </c>
    </row>
    <row r="128" spans="1:4" x14ac:dyDescent="0.2">
      <c r="A128" s="135" t="s">
        <v>388</v>
      </c>
      <c r="B128" s="265">
        <f>'2.2 OMATULUD'!B25</f>
        <v>168334</v>
      </c>
      <c r="C128" s="265"/>
      <c r="D128" s="265">
        <f t="shared" si="7"/>
        <v>168334</v>
      </c>
    </row>
    <row r="129" spans="1:4" x14ac:dyDescent="0.2">
      <c r="A129" s="136" t="s">
        <v>389</v>
      </c>
      <c r="B129" s="265">
        <f>B125-B128</f>
        <v>199737</v>
      </c>
      <c r="C129" s="265">
        <f>C125-C128</f>
        <v>-23000</v>
      </c>
      <c r="D129" s="265">
        <f t="shared" si="7"/>
        <v>176737</v>
      </c>
    </row>
    <row r="130" spans="1:4" x14ac:dyDescent="0.2">
      <c r="A130" s="438"/>
      <c r="B130" s="491"/>
      <c r="C130" s="491"/>
      <c r="D130" s="491">
        <f t="shared" si="7"/>
        <v>0</v>
      </c>
    </row>
    <row r="131" spans="1:4" x14ac:dyDescent="0.2">
      <c r="A131" s="235" t="s">
        <v>402</v>
      </c>
      <c r="B131" s="264">
        <v>368071</v>
      </c>
      <c r="C131" s="264">
        <f>-37470+14470</f>
        <v>-23000</v>
      </c>
      <c r="D131" s="264">
        <f t="shared" si="7"/>
        <v>345071</v>
      </c>
    </row>
    <row r="132" spans="1:4" x14ac:dyDescent="0.2">
      <c r="A132" s="137" t="s">
        <v>394</v>
      </c>
      <c r="B132" s="266">
        <v>251559</v>
      </c>
      <c r="C132" s="266">
        <v>-27963</v>
      </c>
      <c r="D132" s="266">
        <f t="shared" si="7"/>
        <v>223596</v>
      </c>
    </row>
    <row r="133" spans="1:4" x14ac:dyDescent="0.2">
      <c r="A133" s="157"/>
      <c r="B133" s="491"/>
      <c r="C133" s="266"/>
      <c r="D133" s="266">
        <f t="shared" si="7"/>
        <v>0</v>
      </c>
    </row>
    <row r="134" spans="1:4" x14ac:dyDescent="0.2">
      <c r="A134" s="157"/>
      <c r="B134" s="491"/>
      <c r="C134" s="492"/>
      <c r="D134" s="492">
        <f t="shared" si="7"/>
        <v>0</v>
      </c>
    </row>
    <row r="135" spans="1:4" ht="15.75" x14ac:dyDescent="0.2">
      <c r="A135" s="138" t="s">
        <v>403</v>
      </c>
      <c r="B135" s="491"/>
      <c r="C135" s="492"/>
      <c r="D135" s="492">
        <f t="shared" ref="D135:D198" si="8">B135+C135</f>
        <v>0</v>
      </c>
    </row>
    <row r="136" spans="1:4" x14ac:dyDescent="0.2">
      <c r="A136" s="133"/>
      <c r="B136" s="491"/>
      <c r="C136" s="492"/>
      <c r="D136" s="492">
        <f t="shared" si="8"/>
        <v>0</v>
      </c>
    </row>
    <row r="137" spans="1:4" x14ac:dyDescent="0.2">
      <c r="A137" s="133" t="s">
        <v>386</v>
      </c>
      <c r="B137" s="139">
        <f>B145+B185</f>
        <v>95703243</v>
      </c>
      <c r="C137" s="139">
        <f>C145+C185</f>
        <v>2694033</v>
      </c>
      <c r="D137" s="139">
        <f t="shared" si="8"/>
        <v>98397276</v>
      </c>
    </row>
    <row r="138" spans="1:4" x14ac:dyDescent="0.2">
      <c r="A138" s="123" t="s">
        <v>422</v>
      </c>
      <c r="B138" s="140">
        <v>10953960</v>
      </c>
      <c r="C138" s="140"/>
      <c r="D138" s="140">
        <f t="shared" si="8"/>
        <v>10953960</v>
      </c>
    </row>
    <row r="139" spans="1:4" x14ac:dyDescent="0.2">
      <c r="A139" s="122" t="s">
        <v>387</v>
      </c>
      <c r="B139" s="139">
        <f>SUM(B140:B143)</f>
        <v>95703243</v>
      </c>
      <c r="C139" s="139">
        <f>SUM(C140:C143)</f>
        <v>2694033</v>
      </c>
      <c r="D139" s="139">
        <f t="shared" si="8"/>
        <v>98397276</v>
      </c>
    </row>
    <row r="140" spans="1:4" x14ac:dyDescent="0.2">
      <c r="A140" s="135" t="s">
        <v>388</v>
      </c>
      <c r="B140" s="265">
        <f>'2.2 OMATULUD'!B32</f>
        <v>21892111</v>
      </c>
      <c r="C140" s="265">
        <f>'2.2 OMATULUD'!C32</f>
        <v>926496</v>
      </c>
      <c r="D140" s="265">
        <f t="shared" si="8"/>
        <v>22818607</v>
      </c>
    </row>
    <row r="141" spans="1:4" x14ac:dyDescent="0.2">
      <c r="A141" s="124" t="s">
        <v>360</v>
      </c>
      <c r="B141" s="265">
        <f>B204+B210+B216+B221</f>
        <v>64288</v>
      </c>
      <c r="C141" s="265">
        <f>C204+C210+C216+C221+C226</f>
        <v>15352</v>
      </c>
      <c r="D141" s="265">
        <f t="shared" si="8"/>
        <v>79640</v>
      </c>
    </row>
    <row r="142" spans="1:4" s="36" customFormat="1" ht="25.5" x14ac:dyDescent="0.2">
      <c r="A142" s="141" t="s">
        <v>404</v>
      </c>
      <c r="B142" s="265">
        <f>B205+B211</f>
        <v>4183</v>
      </c>
      <c r="C142" s="265">
        <f>C205+C211</f>
        <v>1</v>
      </c>
      <c r="D142" s="265">
        <f t="shared" si="8"/>
        <v>4184</v>
      </c>
    </row>
    <row r="143" spans="1:4" s="36" customFormat="1" x14ac:dyDescent="0.2">
      <c r="A143" s="136" t="s">
        <v>389</v>
      </c>
      <c r="B143" s="265">
        <f>B137-B140-B141-B142</f>
        <v>73742661</v>
      </c>
      <c r="C143" s="265">
        <f>C137-C140-C141-C142</f>
        <v>1752184</v>
      </c>
      <c r="D143" s="265">
        <f t="shared" si="8"/>
        <v>75494845</v>
      </c>
    </row>
    <row r="144" spans="1:4" s="36" customFormat="1" x14ac:dyDescent="0.2">
      <c r="A144" s="142"/>
      <c r="B144" s="491"/>
      <c r="C144" s="491"/>
      <c r="D144" s="491">
        <f t="shared" si="8"/>
        <v>0</v>
      </c>
    </row>
    <row r="145" spans="1:4" ht="15" x14ac:dyDescent="0.2">
      <c r="A145" s="238" t="s">
        <v>405</v>
      </c>
      <c r="B145" s="143">
        <f>B146+B152+B159+B165+B171</f>
        <v>92313409</v>
      </c>
      <c r="C145" s="143">
        <f>C146+C152+C159+C165+C171</f>
        <v>2654590</v>
      </c>
      <c r="D145" s="143">
        <f t="shared" si="8"/>
        <v>94967999</v>
      </c>
    </row>
    <row r="146" spans="1:4" x14ac:dyDescent="0.2">
      <c r="A146" s="235" t="s">
        <v>406</v>
      </c>
      <c r="B146" s="510">
        <f t="shared" ref="B146:C147" si="9">B149</f>
        <v>51953571</v>
      </c>
      <c r="C146" s="513">
        <f t="shared" si="9"/>
        <v>2144150</v>
      </c>
      <c r="D146" s="513">
        <f t="shared" si="8"/>
        <v>54097721</v>
      </c>
    </row>
    <row r="147" spans="1:4" x14ac:dyDescent="0.2">
      <c r="A147" s="137" t="s">
        <v>394</v>
      </c>
      <c r="B147" s="475">
        <f t="shared" si="9"/>
        <v>27100725</v>
      </c>
      <c r="C147" s="475">
        <f t="shared" si="9"/>
        <v>1601956</v>
      </c>
      <c r="D147" s="475">
        <f t="shared" si="8"/>
        <v>28702681</v>
      </c>
    </row>
    <row r="148" spans="1:4" x14ac:dyDescent="0.2">
      <c r="A148" s="153" t="s">
        <v>407</v>
      </c>
      <c r="B148" s="491"/>
      <c r="C148" s="491"/>
      <c r="D148" s="491">
        <f t="shared" si="8"/>
        <v>0</v>
      </c>
    </row>
    <row r="149" spans="1:4" x14ac:dyDescent="0.2">
      <c r="A149" s="461" t="s">
        <v>408</v>
      </c>
      <c r="B149" s="548">
        <v>51953571</v>
      </c>
      <c r="C149" s="492">
        <v>2144150</v>
      </c>
      <c r="D149" s="492">
        <f t="shared" si="8"/>
        <v>54097721</v>
      </c>
    </row>
    <row r="150" spans="1:4" ht="46.5" customHeight="1" x14ac:dyDescent="0.2">
      <c r="A150" s="146" t="s">
        <v>394</v>
      </c>
      <c r="B150" s="475">
        <v>27100725</v>
      </c>
      <c r="C150" s="475">
        <v>1601956</v>
      </c>
      <c r="D150" s="475">
        <f t="shared" si="8"/>
        <v>28702681</v>
      </c>
    </row>
    <row r="151" spans="1:4" s="36" customFormat="1" x14ac:dyDescent="0.2">
      <c r="A151" s="144"/>
      <c r="B151" s="145"/>
      <c r="C151" s="145"/>
      <c r="D151" s="145">
        <f t="shared" si="8"/>
        <v>0</v>
      </c>
    </row>
    <row r="152" spans="1:4" x14ac:dyDescent="0.2">
      <c r="A152" s="235" t="s">
        <v>409</v>
      </c>
      <c r="B152" s="510">
        <f t="shared" ref="B152:C153" si="10">B155</f>
        <v>33585319</v>
      </c>
      <c r="C152" s="513">
        <f t="shared" si="10"/>
        <v>249487</v>
      </c>
      <c r="D152" s="513">
        <f t="shared" si="8"/>
        <v>33834806</v>
      </c>
    </row>
    <row r="153" spans="1:4" x14ac:dyDescent="0.2">
      <c r="A153" s="137" t="s">
        <v>394</v>
      </c>
      <c r="B153" s="475">
        <f t="shared" si="10"/>
        <v>7257790</v>
      </c>
      <c r="C153" s="475">
        <f t="shared" si="10"/>
        <v>128432</v>
      </c>
      <c r="D153" s="475">
        <f t="shared" si="8"/>
        <v>7386222</v>
      </c>
    </row>
    <row r="154" spans="1:4" x14ac:dyDescent="0.2">
      <c r="A154" s="153" t="s">
        <v>407</v>
      </c>
      <c r="B154" s="491"/>
      <c r="C154" s="491"/>
      <c r="D154" s="491">
        <f t="shared" si="8"/>
        <v>0</v>
      </c>
    </row>
    <row r="155" spans="1:4" x14ac:dyDescent="0.2">
      <c r="A155" s="461" t="s">
        <v>410</v>
      </c>
      <c r="B155" s="548">
        <v>33585319</v>
      </c>
      <c r="C155" s="492">
        <f>274487-85000+60000</f>
        <v>249487</v>
      </c>
      <c r="D155" s="492">
        <f t="shared" si="8"/>
        <v>33834806</v>
      </c>
    </row>
    <row r="156" spans="1:4" x14ac:dyDescent="0.2">
      <c r="A156" s="146" t="s">
        <v>394</v>
      </c>
      <c r="B156" s="475">
        <v>7257790</v>
      </c>
      <c r="C156" s="475">
        <v>128432</v>
      </c>
      <c r="D156" s="475">
        <f t="shared" si="8"/>
        <v>7386222</v>
      </c>
    </row>
    <row r="157" spans="1:4" x14ac:dyDescent="0.2">
      <c r="A157" s="366" t="s">
        <v>504</v>
      </c>
      <c r="B157" s="511">
        <v>4425670</v>
      </c>
      <c r="C157" s="475"/>
      <c r="D157" s="475">
        <f t="shared" si="8"/>
        <v>4425670</v>
      </c>
    </row>
    <row r="158" spans="1:4" x14ac:dyDescent="0.2">
      <c r="A158" s="148"/>
      <c r="B158" s="267"/>
      <c r="C158" s="267"/>
      <c r="D158" s="267">
        <f t="shared" si="8"/>
        <v>0</v>
      </c>
    </row>
    <row r="159" spans="1:4" x14ac:dyDescent="0.2">
      <c r="A159" s="235" t="s">
        <v>411</v>
      </c>
      <c r="B159" s="510">
        <f t="shared" ref="B159:C160" si="11">B162</f>
        <v>326787</v>
      </c>
      <c r="C159" s="513">
        <f t="shared" si="11"/>
        <v>30000</v>
      </c>
      <c r="D159" s="513">
        <f t="shared" si="8"/>
        <v>356787</v>
      </c>
    </row>
    <row r="160" spans="1:4" x14ac:dyDescent="0.2">
      <c r="A160" s="137" t="s">
        <v>394</v>
      </c>
      <c r="B160" s="475">
        <f t="shared" si="11"/>
        <v>158782</v>
      </c>
      <c r="C160" s="475">
        <f t="shared" si="11"/>
        <v>1772</v>
      </c>
      <c r="D160" s="475">
        <f t="shared" si="8"/>
        <v>160554</v>
      </c>
    </row>
    <row r="161" spans="1:4" x14ac:dyDescent="0.2">
      <c r="A161" s="153" t="s">
        <v>407</v>
      </c>
      <c r="B161" s="491"/>
      <c r="C161" s="491"/>
      <c r="D161" s="491">
        <f t="shared" si="8"/>
        <v>0</v>
      </c>
    </row>
    <row r="162" spans="1:4" x14ac:dyDescent="0.2">
      <c r="A162" s="461" t="s">
        <v>412</v>
      </c>
      <c r="B162" s="548">
        <v>326787</v>
      </c>
      <c r="C162" s="492">
        <f>31440-1440</f>
        <v>30000</v>
      </c>
      <c r="D162" s="492">
        <f t="shared" si="8"/>
        <v>356787</v>
      </c>
    </row>
    <row r="163" spans="1:4" x14ac:dyDescent="0.2">
      <c r="A163" s="146" t="s">
        <v>394</v>
      </c>
      <c r="B163" s="475">
        <v>158782</v>
      </c>
      <c r="C163" s="475">
        <f>1075+697</f>
        <v>1772</v>
      </c>
      <c r="D163" s="475">
        <f t="shared" si="8"/>
        <v>160554</v>
      </c>
    </row>
    <row r="164" spans="1:4" x14ac:dyDescent="0.2">
      <c r="A164" s="549"/>
      <c r="B164" s="491"/>
      <c r="C164" s="491"/>
      <c r="D164" s="491">
        <f t="shared" si="8"/>
        <v>0</v>
      </c>
    </row>
    <row r="165" spans="1:4" x14ac:dyDescent="0.2">
      <c r="A165" s="235" t="s">
        <v>413</v>
      </c>
      <c r="B165" s="510">
        <f t="shared" ref="B165:C166" si="12">B168</f>
        <v>5262402</v>
      </c>
      <c r="C165" s="513">
        <f t="shared" si="12"/>
        <v>225823</v>
      </c>
      <c r="D165" s="513">
        <f t="shared" si="8"/>
        <v>5488225</v>
      </c>
    </row>
    <row r="166" spans="1:4" x14ac:dyDescent="0.2">
      <c r="A166" s="137" t="s">
        <v>394</v>
      </c>
      <c r="B166" s="475">
        <f t="shared" si="12"/>
        <v>3236200</v>
      </c>
      <c r="C166" s="475">
        <f t="shared" si="12"/>
        <v>116551</v>
      </c>
      <c r="D166" s="475">
        <f t="shared" si="8"/>
        <v>3352751</v>
      </c>
    </row>
    <row r="167" spans="1:4" x14ac:dyDescent="0.2">
      <c r="A167" s="153" t="s">
        <v>407</v>
      </c>
      <c r="B167" s="491"/>
      <c r="C167" s="491"/>
      <c r="D167" s="491">
        <f t="shared" si="8"/>
        <v>0</v>
      </c>
    </row>
    <row r="168" spans="1:4" x14ac:dyDescent="0.2">
      <c r="A168" s="461" t="s">
        <v>414</v>
      </c>
      <c r="B168" s="548">
        <v>5262402</v>
      </c>
      <c r="C168" s="492">
        <f>275823-70000+20000</f>
        <v>225823</v>
      </c>
      <c r="D168" s="492">
        <f t="shared" si="8"/>
        <v>5488225</v>
      </c>
    </row>
    <row r="169" spans="1:4" x14ac:dyDescent="0.2">
      <c r="A169" s="146" t="s">
        <v>394</v>
      </c>
      <c r="B169" s="475">
        <v>3236200</v>
      </c>
      <c r="C169" s="475">
        <v>116551</v>
      </c>
      <c r="D169" s="475">
        <f t="shared" si="8"/>
        <v>3352751</v>
      </c>
    </row>
    <row r="170" spans="1:4" s="36" customFormat="1" x14ac:dyDescent="0.2">
      <c r="A170" s="549"/>
      <c r="B170" s="491"/>
      <c r="C170" s="491"/>
      <c r="D170" s="491">
        <f t="shared" si="8"/>
        <v>0</v>
      </c>
    </row>
    <row r="171" spans="1:4" x14ac:dyDescent="0.2">
      <c r="A171" s="235" t="s">
        <v>415</v>
      </c>
      <c r="B171" s="139">
        <f>B175+B179+B183</f>
        <v>1185330</v>
      </c>
      <c r="C171" s="139">
        <f>C175+C179+C183</f>
        <v>5130</v>
      </c>
      <c r="D171" s="139">
        <f t="shared" si="8"/>
        <v>1190460</v>
      </c>
    </row>
    <row r="172" spans="1:4" x14ac:dyDescent="0.2">
      <c r="A172" s="137" t="s">
        <v>394</v>
      </c>
      <c r="B172" s="266">
        <f>B176+B180</f>
        <v>104231</v>
      </c>
      <c r="C172" s="266">
        <f>C176+C180</f>
        <v>3828</v>
      </c>
      <c r="D172" s="266">
        <f t="shared" si="8"/>
        <v>108059</v>
      </c>
    </row>
    <row r="173" spans="1:4" x14ac:dyDescent="0.2">
      <c r="A173" s="137"/>
      <c r="B173" s="266"/>
      <c r="C173" s="266"/>
      <c r="D173" s="266">
        <f t="shared" si="8"/>
        <v>0</v>
      </c>
    </row>
    <row r="174" spans="1:4" x14ac:dyDescent="0.2">
      <c r="A174" s="153" t="s">
        <v>407</v>
      </c>
      <c r="B174" s="491"/>
      <c r="C174" s="491"/>
      <c r="D174" s="491">
        <f t="shared" si="8"/>
        <v>0</v>
      </c>
    </row>
    <row r="175" spans="1:4" x14ac:dyDescent="0.2">
      <c r="A175" s="461" t="s">
        <v>416</v>
      </c>
      <c r="B175" s="548">
        <v>135200</v>
      </c>
      <c r="C175" s="492">
        <v>5130</v>
      </c>
      <c r="D175" s="492">
        <f t="shared" si="8"/>
        <v>140330</v>
      </c>
    </row>
    <row r="176" spans="1:4" x14ac:dyDescent="0.2">
      <c r="A176" s="502" t="s">
        <v>394</v>
      </c>
      <c r="B176" s="475">
        <v>80631</v>
      </c>
      <c r="C176" s="475">
        <v>3828</v>
      </c>
      <c r="D176" s="475">
        <f t="shared" si="8"/>
        <v>84459</v>
      </c>
    </row>
    <row r="177" spans="1:4" x14ac:dyDescent="0.2">
      <c r="A177" s="148"/>
      <c r="B177" s="267"/>
      <c r="C177" s="267"/>
      <c r="D177" s="267">
        <f t="shared" si="8"/>
        <v>0</v>
      </c>
    </row>
    <row r="178" spans="1:4" x14ac:dyDescent="0.2">
      <c r="A178" s="153" t="s">
        <v>407</v>
      </c>
      <c r="B178" s="522"/>
      <c r="C178" s="522"/>
      <c r="D178" s="522">
        <f t="shared" si="8"/>
        <v>0</v>
      </c>
    </row>
    <row r="179" spans="1:4" s="36" customFormat="1" x14ac:dyDescent="0.2">
      <c r="A179" s="461" t="s">
        <v>417</v>
      </c>
      <c r="B179" s="491">
        <v>174540</v>
      </c>
      <c r="C179" s="491"/>
      <c r="D179" s="491">
        <f t="shared" si="8"/>
        <v>174540</v>
      </c>
    </row>
    <row r="180" spans="1:4" s="36" customFormat="1" x14ac:dyDescent="0.2">
      <c r="A180" s="502" t="s">
        <v>394</v>
      </c>
      <c r="B180" s="266">
        <v>23600</v>
      </c>
      <c r="C180" s="266"/>
      <c r="D180" s="266">
        <f t="shared" si="8"/>
        <v>23600</v>
      </c>
    </row>
    <row r="181" spans="1:4" x14ac:dyDescent="0.2">
      <c r="A181" s="148"/>
      <c r="B181" s="267"/>
      <c r="C181" s="267"/>
      <c r="D181" s="267">
        <f t="shared" si="8"/>
        <v>0</v>
      </c>
    </row>
    <row r="182" spans="1:4" x14ac:dyDescent="0.2">
      <c r="A182" s="153" t="s">
        <v>407</v>
      </c>
      <c r="B182" s="267"/>
      <c r="C182" s="267"/>
      <c r="D182" s="267">
        <f t="shared" si="8"/>
        <v>0</v>
      </c>
    </row>
    <row r="183" spans="1:4" x14ac:dyDescent="0.2">
      <c r="A183" s="461" t="s">
        <v>418</v>
      </c>
      <c r="B183" s="491">
        <f>925590-45000-5000</f>
        <v>875590</v>
      </c>
      <c r="C183" s="491"/>
      <c r="D183" s="491">
        <f t="shared" si="8"/>
        <v>875590</v>
      </c>
    </row>
    <row r="184" spans="1:4" x14ac:dyDescent="0.2">
      <c r="A184" s="501"/>
      <c r="B184" s="266"/>
      <c r="C184" s="266"/>
      <c r="D184" s="266">
        <f t="shared" si="8"/>
        <v>0</v>
      </c>
    </row>
    <row r="185" spans="1:4" x14ac:dyDescent="0.2">
      <c r="A185" s="133" t="s">
        <v>392</v>
      </c>
      <c r="B185" s="139">
        <f>B187+B190+B193+B201+B207+B213+B218</f>
        <v>3389834</v>
      </c>
      <c r="C185" s="139">
        <f>C187+C190+C193+C201+C207+C213+C218+C223</f>
        <v>39443</v>
      </c>
      <c r="D185" s="139">
        <f t="shared" si="8"/>
        <v>3429277</v>
      </c>
    </row>
    <row r="186" spans="1:4" x14ac:dyDescent="0.2">
      <c r="A186" s="133"/>
      <c r="B186" s="140"/>
      <c r="C186" s="140"/>
      <c r="D186" s="140">
        <f t="shared" si="8"/>
        <v>0</v>
      </c>
    </row>
    <row r="187" spans="1:4" x14ac:dyDescent="0.2">
      <c r="A187" s="128" t="s">
        <v>419</v>
      </c>
      <c r="B187" s="491">
        <v>2964400</v>
      </c>
      <c r="C187" s="491"/>
      <c r="D187" s="491">
        <f t="shared" si="8"/>
        <v>2964400</v>
      </c>
    </row>
    <row r="188" spans="1:4" x14ac:dyDescent="0.2">
      <c r="A188" s="127" t="s">
        <v>394</v>
      </c>
      <c r="B188" s="266">
        <v>1840306</v>
      </c>
      <c r="C188" s="266"/>
      <c r="D188" s="266">
        <f t="shared" si="8"/>
        <v>1840306</v>
      </c>
    </row>
    <row r="189" spans="1:4" x14ac:dyDescent="0.2">
      <c r="A189" s="433"/>
      <c r="B189" s="491"/>
      <c r="C189" s="491"/>
      <c r="D189" s="491">
        <f t="shared" si="8"/>
        <v>0</v>
      </c>
    </row>
    <row r="190" spans="1:4" x14ac:dyDescent="0.2">
      <c r="A190" s="128" t="s">
        <v>166</v>
      </c>
      <c r="B190" s="522">
        <v>306430</v>
      </c>
      <c r="C190" s="522">
        <v>-18970</v>
      </c>
      <c r="D190" s="522">
        <f t="shared" si="8"/>
        <v>287460</v>
      </c>
    </row>
    <row r="191" spans="1:4" x14ac:dyDescent="0.2">
      <c r="A191" s="127" t="s">
        <v>394</v>
      </c>
      <c r="B191" s="266">
        <v>96688</v>
      </c>
      <c r="C191" s="266">
        <f>4812+410</f>
        <v>5222</v>
      </c>
      <c r="D191" s="266">
        <f t="shared" si="8"/>
        <v>101910</v>
      </c>
    </row>
    <row r="192" spans="1:4" x14ac:dyDescent="0.2">
      <c r="A192" s="197"/>
      <c r="B192" s="140"/>
      <c r="C192" s="140"/>
      <c r="D192" s="140">
        <f t="shared" si="8"/>
        <v>0</v>
      </c>
    </row>
    <row r="193" spans="1:4" x14ac:dyDescent="0.2">
      <c r="A193" s="129" t="s">
        <v>358</v>
      </c>
      <c r="B193" s="523">
        <f>SUM(B194:B199)</f>
        <v>43160</v>
      </c>
      <c r="C193" s="523">
        <f>SUM(C194:C199)</f>
        <v>43060</v>
      </c>
      <c r="D193" s="523">
        <f t="shared" si="8"/>
        <v>86220</v>
      </c>
    </row>
    <row r="194" spans="1:4" x14ac:dyDescent="0.2">
      <c r="A194" s="163" t="s">
        <v>167</v>
      </c>
      <c r="B194" s="268">
        <v>12800</v>
      </c>
      <c r="C194" s="268"/>
      <c r="D194" s="268">
        <f t="shared" si="8"/>
        <v>12800</v>
      </c>
    </row>
    <row r="195" spans="1:4" x14ac:dyDescent="0.2">
      <c r="A195" s="154" t="s">
        <v>793</v>
      </c>
      <c r="B195" s="268">
        <v>10000</v>
      </c>
      <c r="C195" s="268"/>
      <c r="D195" s="268">
        <f t="shared" si="8"/>
        <v>10000</v>
      </c>
    </row>
    <row r="196" spans="1:4" x14ac:dyDescent="0.2">
      <c r="A196" s="154" t="s">
        <v>168</v>
      </c>
      <c r="B196" s="268">
        <v>5760</v>
      </c>
      <c r="C196" s="268"/>
      <c r="D196" s="268">
        <f t="shared" si="8"/>
        <v>5760</v>
      </c>
    </row>
    <row r="197" spans="1:4" x14ac:dyDescent="0.2">
      <c r="A197" s="154" t="s">
        <v>11</v>
      </c>
      <c r="B197" s="268">
        <v>6400</v>
      </c>
      <c r="C197" s="268"/>
      <c r="D197" s="268">
        <f t="shared" si="8"/>
        <v>6400</v>
      </c>
    </row>
    <row r="198" spans="1:4" x14ac:dyDescent="0.2">
      <c r="A198" s="154" t="s">
        <v>12</v>
      </c>
      <c r="B198" s="268">
        <v>3200</v>
      </c>
      <c r="C198" s="268"/>
      <c r="D198" s="268">
        <f t="shared" si="8"/>
        <v>3200</v>
      </c>
    </row>
    <row r="199" spans="1:4" x14ac:dyDescent="0.2">
      <c r="A199" s="154" t="s">
        <v>740</v>
      </c>
      <c r="B199" s="268">
        <v>5000</v>
      </c>
      <c r="C199" s="268">
        <v>43060</v>
      </c>
      <c r="D199" s="268">
        <f t="shared" ref="D199:D256" si="13">B199+C199</f>
        <v>48060</v>
      </c>
    </row>
    <row r="200" spans="1:4" x14ac:dyDescent="0.2">
      <c r="A200" s="127"/>
      <c r="B200" s="269"/>
      <c r="C200" s="269"/>
      <c r="D200" s="269">
        <f t="shared" si="13"/>
        <v>0</v>
      </c>
    </row>
    <row r="201" spans="1:4" ht="25.5" x14ac:dyDescent="0.2">
      <c r="A201" s="126" t="s">
        <v>792</v>
      </c>
      <c r="B201" s="548">
        <v>16140</v>
      </c>
      <c r="C201" s="492"/>
      <c r="D201" s="492">
        <f t="shared" si="13"/>
        <v>16140</v>
      </c>
    </row>
    <row r="202" spans="1:4" x14ac:dyDescent="0.2">
      <c r="A202" s="127" t="s">
        <v>394</v>
      </c>
      <c r="B202" s="475">
        <v>12008</v>
      </c>
      <c r="C202" s="475"/>
      <c r="D202" s="475">
        <f t="shared" si="13"/>
        <v>12008</v>
      </c>
    </row>
    <row r="203" spans="1:4" x14ac:dyDescent="0.2">
      <c r="A203" s="127"/>
      <c r="B203" s="511"/>
      <c r="C203" s="475"/>
      <c r="D203" s="475">
        <f t="shared" si="13"/>
        <v>0</v>
      </c>
    </row>
    <row r="204" spans="1:4" x14ac:dyDescent="0.2">
      <c r="A204" s="131" t="s">
        <v>420</v>
      </c>
      <c r="B204" s="511">
        <v>13035</v>
      </c>
      <c r="C204" s="475"/>
      <c r="D204" s="475">
        <f t="shared" si="13"/>
        <v>13035</v>
      </c>
    </row>
    <row r="205" spans="1:4" ht="24" x14ac:dyDescent="0.2">
      <c r="A205" s="131" t="s">
        <v>421</v>
      </c>
      <c r="B205" s="511">
        <v>3105</v>
      </c>
      <c r="C205" s="475"/>
      <c r="D205" s="475">
        <f t="shared" si="13"/>
        <v>3105</v>
      </c>
    </row>
    <row r="206" spans="1:4" x14ac:dyDescent="0.2">
      <c r="A206" s="131"/>
      <c r="B206" s="511"/>
      <c r="C206" s="475"/>
      <c r="D206" s="475">
        <f t="shared" si="13"/>
        <v>0</v>
      </c>
    </row>
    <row r="207" spans="1:4" ht="25.5" x14ac:dyDescent="0.2">
      <c r="A207" s="126" t="s">
        <v>13</v>
      </c>
      <c r="B207" s="548">
        <v>7184</v>
      </c>
      <c r="C207" s="492">
        <v>2</v>
      </c>
      <c r="D207" s="492">
        <f t="shared" si="13"/>
        <v>7186</v>
      </c>
    </row>
    <row r="208" spans="1:4" x14ac:dyDescent="0.2">
      <c r="A208" s="127" t="s">
        <v>394</v>
      </c>
      <c r="B208" s="475">
        <v>897</v>
      </c>
      <c r="C208" s="475">
        <v>2</v>
      </c>
      <c r="D208" s="475">
        <f t="shared" si="13"/>
        <v>899</v>
      </c>
    </row>
    <row r="209" spans="1:4" x14ac:dyDescent="0.2">
      <c r="A209" s="127"/>
      <c r="B209" s="511"/>
      <c r="C209" s="475"/>
      <c r="D209" s="475">
        <f t="shared" si="13"/>
        <v>0</v>
      </c>
    </row>
    <row r="210" spans="1:4" x14ac:dyDescent="0.2">
      <c r="A210" s="131" t="s">
        <v>420</v>
      </c>
      <c r="B210" s="511">
        <v>6106</v>
      </c>
      <c r="C210" s="475">
        <v>1</v>
      </c>
      <c r="D210" s="475">
        <f t="shared" si="13"/>
        <v>6107</v>
      </c>
    </row>
    <row r="211" spans="1:4" ht="24" x14ac:dyDescent="0.2">
      <c r="A211" s="131" t="s">
        <v>421</v>
      </c>
      <c r="B211" s="511">
        <v>1078</v>
      </c>
      <c r="C211" s="475">
        <v>1</v>
      </c>
      <c r="D211" s="475">
        <f t="shared" si="13"/>
        <v>1079</v>
      </c>
    </row>
    <row r="212" spans="1:4" x14ac:dyDescent="0.2">
      <c r="A212" s="131"/>
      <c r="B212" s="511"/>
      <c r="C212" s="475"/>
      <c r="D212" s="475">
        <f t="shared" si="13"/>
        <v>0</v>
      </c>
    </row>
    <row r="213" spans="1:4" ht="38.25" x14ac:dyDescent="0.2">
      <c r="A213" s="301" t="s">
        <v>14</v>
      </c>
      <c r="B213" s="548">
        <v>49150</v>
      </c>
      <c r="C213" s="492"/>
      <c r="D213" s="492">
        <f t="shared" si="13"/>
        <v>49150</v>
      </c>
    </row>
    <row r="214" spans="1:4" x14ac:dyDescent="0.2">
      <c r="A214" s="127" t="s">
        <v>394</v>
      </c>
      <c r="B214" s="475">
        <v>19668</v>
      </c>
      <c r="C214" s="475"/>
      <c r="D214" s="475">
        <f t="shared" si="13"/>
        <v>19668</v>
      </c>
    </row>
    <row r="215" spans="1:4" x14ac:dyDescent="0.2">
      <c r="A215" s="302"/>
      <c r="B215" s="511"/>
      <c r="C215" s="475"/>
      <c r="D215" s="475">
        <f t="shared" si="13"/>
        <v>0</v>
      </c>
    </row>
    <row r="216" spans="1:4" x14ac:dyDescent="0.2">
      <c r="A216" s="131" t="s">
        <v>420</v>
      </c>
      <c r="B216" s="511">
        <v>41777</v>
      </c>
      <c r="C216" s="475"/>
      <c r="D216" s="475">
        <f t="shared" si="13"/>
        <v>41777</v>
      </c>
    </row>
    <row r="217" spans="1:4" x14ac:dyDescent="0.2">
      <c r="A217" s="131"/>
      <c r="B217" s="511"/>
      <c r="C217" s="475"/>
      <c r="D217" s="475">
        <f t="shared" si="13"/>
        <v>0</v>
      </c>
    </row>
    <row r="218" spans="1:4" ht="25.5" x14ac:dyDescent="0.2">
      <c r="A218" s="301" t="s">
        <v>791</v>
      </c>
      <c r="B218" s="548">
        <v>3370</v>
      </c>
      <c r="C218" s="492"/>
      <c r="D218" s="492">
        <f t="shared" si="13"/>
        <v>3370</v>
      </c>
    </row>
    <row r="219" spans="1:4" x14ac:dyDescent="0.2">
      <c r="A219" s="127" t="s">
        <v>394</v>
      </c>
      <c r="B219" s="475">
        <v>762</v>
      </c>
      <c r="C219" s="475"/>
      <c r="D219" s="475">
        <f t="shared" si="13"/>
        <v>762</v>
      </c>
    </row>
    <row r="220" spans="1:4" x14ac:dyDescent="0.2">
      <c r="A220" s="302"/>
      <c r="B220" s="511"/>
      <c r="C220" s="475"/>
      <c r="D220" s="475">
        <f t="shared" si="13"/>
        <v>0</v>
      </c>
    </row>
    <row r="221" spans="1:4" x14ac:dyDescent="0.2">
      <c r="A221" s="131" t="s">
        <v>420</v>
      </c>
      <c r="B221" s="511">
        <v>3370</v>
      </c>
      <c r="C221" s="475"/>
      <c r="D221" s="475">
        <f t="shared" si="13"/>
        <v>3370</v>
      </c>
    </row>
    <row r="222" spans="1:4" x14ac:dyDescent="0.2">
      <c r="A222" s="131"/>
      <c r="B222" s="511"/>
      <c r="C222" s="475"/>
      <c r="D222" s="475">
        <f t="shared" si="13"/>
        <v>0</v>
      </c>
    </row>
    <row r="223" spans="1:4" ht="38.25" x14ac:dyDescent="0.2">
      <c r="A223" s="301" t="s">
        <v>893</v>
      </c>
      <c r="B223" s="548"/>
      <c r="C223" s="492">
        <v>15351</v>
      </c>
      <c r="D223" s="492">
        <f t="shared" si="13"/>
        <v>15351</v>
      </c>
    </row>
    <row r="224" spans="1:4" x14ac:dyDescent="0.2">
      <c r="A224" s="127" t="s">
        <v>394</v>
      </c>
      <c r="B224" s="475"/>
      <c r="C224" s="475">
        <v>485</v>
      </c>
      <c r="D224" s="475">
        <f t="shared" si="13"/>
        <v>485</v>
      </c>
    </row>
    <row r="225" spans="1:4" x14ac:dyDescent="0.2">
      <c r="A225" s="302"/>
      <c r="B225" s="511"/>
      <c r="C225" s="475"/>
      <c r="D225" s="475">
        <f t="shared" si="13"/>
        <v>0</v>
      </c>
    </row>
    <row r="226" spans="1:4" x14ac:dyDescent="0.2">
      <c r="A226" s="131" t="s">
        <v>420</v>
      </c>
      <c r="B226" s="511"/>
      <c r="C226" s="475">
        <v>15351</v>
      </c>
      <c r="D226" s="475">
        <f t="shared" si="13"/>
        <v>15351</v>
      </c>
    </row>
    <row r="227" spans="1:4" x14ac:dyDescent="0.2">
      <c r="A227" s="131"/>
      <c r="B227" s="511"/>
      <c r="C227" s="492"/>
      <c r="D227" s="492">
        <f t="shared" si="13"/>
        <v>0</v>
      </c>
    </row>
    <row r="228" spans="1:4" s="36" customFormat="1" x14ac:dyDescent="0.2">
      <c r="A228" s="131"/>
      <c r="B228" s="511"/>
      <c r="C228" s="492"/>
      <c r="D228" s="492">
        <f t="shared" si="13"/>
        <v>0</v>
      </c>
    </row>
    <row r="229" spans="1:4" s="36" customFormat="1" ht="15.75" x14ac:dyDescent="0.2">
      <c r="A229" s="138" t="s">
        <v>381</v>
      </c>
      <c r="B229" s="491"/>
      <c r="C229" s="492"/>
      <c r="D229" s="492">
        <f t="shared" si="13"/>
        <v>0</v>
      </c>
    </row>
    <row r="230" spans="1:4" s="36" customFormat="1" ht="15" x14ac:dyDescent="0.2">
      <c r="A230" s="150"/>
      <c r="B230" s="491"/>
      <c r="C230" s="492"/>
      <c r="D230" s="492">
        <f t="shared" si="13"/>
        <v>0</v>
      </c>
    </row>
    <row r="231" spans="1:4" s="36" customFormat="1" x14ac:dyDescent="0.2">
      <c r="A231" s="133" t="s">
        <v>386</v>
      </c>
      <c r="B231" s="139">
        <f>B237+B302</f>
        <v>15651634</v>
      </c>
      <c r="C231" s="139">
        <f>C237+C302</f>
        <v>825652</v>
      </c>
      <c r="D231" s="139">
        <f t="shared" si="13"/>
        <v>16477286</v>
      </c>
    </row>
    <row r="232" spans="1:4" s="36" customFormat="1" x14ac:dyDescent="0.2">
      <c r="A232" s="123" t="s">
        <v>422</v>
      </c>
      <c r="B232" s="265">
        <v>2352800</v>
      </c>
      <c r="C232" s="265"/>
      <c r="D232" s="265">
        <f t="shared" si="13"/>
        <v>2352800</v>
      </c>
    </row>
    <row r="233" spans="1:4" x14ac:dyDescent="0.2">
      <c r="A233" s="122" t="s">
        <v>387</v>
      </c>
      <c r="B233" s="270">
        <f>SUM(B234:B235)</f>
        <v>15651634</v>
      </c>
      <c r="C233" s="270">
        <f>SUM(C234:C235)</f>
        <v>825652</v>
      </c>
      <c r="D233" s="270">
        <f t="shared" si="13"/>
        <v>16477286</v>
      </c>
    </row>
    <row r="234" spans="1:4" x14ac:dyDescent="0.2">
      <c r="A234" s="135" t="s">
        <v>388</v>
      </c>
      <c r="B234" s="140">
        <f>'2.2 OMATULUD'!B153</f>
        <v>3290750</v>
      </c>
      <c r="C234" s="140">
        <f>'2.2 OMATULUD'!C153</f>
        <v>413060</v>
      </c>
      <c r="D234" s="140">
        <f t="shared" si="13"/>
        <v>3703810</v>
      </c>
    </row>
    <row r="235" spans="1:4" x14ac:dyDescent="0.2">
      <c r="A235" s="136" t="s">
        <v>389</v>
      </c>
      <c r="B235" s="140">
        <f>B231-B234</f>
        <v>12360884</v>
      </c>
      <c r="C235" s="140">
        <f>C231-C234</f>
        <v>412592</v>
      </c>
      <c r="D235" s="140">
        <f t="shared" si="13"/>
        <v>12773476</v>
      </c>
    </row>
    <row r="236" spans="1:4" x14ac:dyDescent="0.2">
      <c r="A236" s="136"/>
      <c r="B236" s="491"/>
      <c r="C236" s="492"/>
      <c r="D236" s="492">
        <f t="shared" si="13"/>
        <v>0</v>
      </c>
    </row>
    <row r="237" spans="1:4" ht="15" x14ac:dyDescent="0.2">
      <c r="A237" s="238" t="s">
        <v>423</v>
      </c>
      <c r="B237" s="143">
        <f>B238+B291+B244+B250+B256+B262+B272+B285+B278</f>
        <v>13152449</v>
      </c>
      <c r="C237" s="143">
        <f>C238+C291+C244+C250+C256+C262+C272+C285+C278</f>
        <v>297960</v>
      </c>
      <c r="D237" s="143">
        <f t="shared" si="13"/>
        <v>13450409</v>
      </c>
    </row>
    <row r="238" spans="1:4" s="36" customFormat="1" x14ac:dyDescent="0.2">
      <c r="A238" s="235" t="s">
        <v>741</v>
      </c>
      <c r="B238" s="139">
        <f t="shared" ref="B238:C239" si="14">B241</f>
        <v>2257160</v>
      </c>
      <c r="C238" s="139">
        <f t="shared" si="14"/>
        <v>15700</v>
      </c>
      <c r="D238" s="139">
        <f t="shared" si="13"/>
        <v>2272860</v>
      </c>
    </row>
    <row r="239" spans="1:4" s="36" customFormat="1" x14ac:dyDescent="0.2">
      <c r="A239" s="137" t="s">
        <v>394</v>
      </c>
      <c r="B239" s="475">
        <f t="shared" si="14"/>
        <v>1141232</v>
      </c>
      <c r="C239" s="475">
        <f t="shared" si="14"/>
        <v>0</v>
      </c>
      <c r="D239" s="475">
        <f t="shared" si="13"/>
        <v>1141232</v>
      </c>
    </row>
    <row r="240" spans="1:4" s="36" customFormat="1" x14ac:dyDescent="0.2">
      <c r="A240" s="153" t="s">
        <v>407</v>
      </c>
      <c r="B240" s="491"/>
      <c r="C240" s="491"/>
      <c r="D240" s="491">
        <f t="shared" si="13"/>
        <v>0</v>
      </c>
    </row>
    <row r="241" spans="1:4" s="36" customFormat="1" x14ac:dyDescent="0.2">
      <c r="A241" s="461" t="s">
        <v>425</v>
      </c>
      <c r="B241" s="548">
        <v>2257160</v>
      </c>
      <c r="C241" s="492">
        <f>10700+5000</f>
        <v>15700</v>
      </c>
      <c r="D241" s="492">
        <f t="shared" si="13"/>
        <v>2272860</v>
      </c>
    </row>
    <row r="242" spans="1:4" x14ac:dyDescent="0.2">
      <c r="A242" s="502" t="s">
        <v>394</v>
      </c>
      <c r="B242" s="475">
        <v>1141232</v>
      </c>
      <c r="C242" s="475"/>
      <c r="D242" s="475">
        <f t="shared" si="13"/>
        <v>1141232</v>
      </c>
    </row>
    <row r="243" spans="1:4" x14ac:dyDescent="0.2">
      <c r="A243" s="502"/>
      <c r="B243" s="266"/>
      <c r="C243" s="266"/>
      <c r="D243" s="266">
        <f t="shared" si="13"/>
        <v>0</v>
      </c>
    </row>
    <row r="244" spans="1:4" s="36" customFormat="1" x14ac:dyDescent="0.2">
      <c r="A244" s="235" t="s">
        <v>777</v>
      </c>
      <c r="B244" s="139">
        <f t="shared" ref="B244:C245" si="15">B247</f>
        <v>790895</v>
      </c>
      <c r="C244" s="139">
        <f t="shared" si="15"/>
        <v>2500</v>
      </c>
      <c r="D244" s="139">
        <f t="shared" si="13"/>
        <v>793395</v>
      </c>
    </row>
    <row r="245" spans="1:4" s="36" customFormat="1" x14ac:dyDescent="0.2">
      <c r="A245" s="137" t="s">
        <v>394</v>
      </c>
      <c r="B245" s="475">
        <f t="shared" si="15"/>
        <v>459458</v>
      </c>
      <c r="C245" s="475">
        <f t="shared" si="15"/>
        <v>0</v>
      </c>
      <c r="D245" s="475">
        <f t="shared" si="13"/>
        <v>459458</v>
      </c>
    </row>
    <row r="246" spans="1:4" x14ac:dyDescent="0.2">
      <c r="A246" s="153" t="s">
        <v>407</v>
      </c>
      <c r="B246" s="491"/>
      <c r="C246" s="491"/>
      <c r="D246" s="491">
        <f t="shared" si="13"/>
        <v>0</v>
      </c>
    </row>
    <row r="247" spans="1:4" x14ac:dyDescent="0.2">
      <c r="A247" s="461" t="s">
        <v>426</v>
      </c>
      <c r="B247" s="548">
        <v>790895</v>
      </c>
      <c r="C247" s="492">
        <v>2500</v>
      </c>
      <c r="D247" s="492">
        <f t="shared" si="13"/>
        <v>793395</v>
      </c>
    </row>
    <row r="248" spans="1:4" x14ac:dyDescent="0.2">
      <c r="A248" s="502" t="s">
        <v>394</v>
      </c>
      <c r="B248" s="475">
        <v>459458</v>
      </c>
      <c r="C248" s="475"/>
      <c r="D248" s="475">
        <f t="shared" si="13"/>
        <v>459458</v>
      </c>
    </row>
    <row r="249" spans="1:4" x14ac:dyDescent="0.2">
      <c r="A249" s="501"/>
      <c r="B249" s="266"/>
      <c r="C249" s="266"/>
      <c r="D249" s="266">
        <f t="shared" si="13"/>
        <v>0</v>
      </c>
    </row>
    <row r="250" spans="1:4" x14ac:dyDescent="0.2">
      <c r="A250" s="235" t="s">
        <v>778</v>
      </c>
      <c r="B250" s="139">
        <f t="shared" ref="B250:C251" si="16">B253</f>
        <v>1599040</v>
      </c>
      <c r="C250" s="139">
        <f t="shared" si="16"/>
        <v>145260</v>
      </c>
      <c r="D250" s="139">
        <f t="shared" si="13"/>
        <v>1744300</v>
      </c>
    </row>
    <row r="251" spans="1:4" x14ac:dyDescent="0.2">
      <c r="A251" s="137" t="s">
        <v>394</v>
      </c>
      <c r="B251" s="475">
        <f t="shared" si="16"/>
        <v>785574</v>
      </c>
      <c r="C251" s="475">
        <f t="shared" si="16"/>
        <v>108406</v>
      </c>
      <c r="D251" s="475">
        <f t="shared" si="13"/>
        <v>893980</v>
      </c>
    </row>
    <row r="252" spans="1:4" x14ac:dyDescent="0.2">
      <c r="A252" s="153" t="s">
        <v>407</v>
      </c>
      <c r="B252" s="491"/>
      <c r="C252" s="491"/>
      <c r="D252" s="491">
        <f t="shared" si="13"/>
        <v>0</v>
      </c>
    </row>
    <row r="253" spans="1:4" x14ac:dyDescent="0.2">
      <c r="A253" s="461" t="s">
        <v>427</v>
      </c>
      <c r="B253" s="548">
        <v>1599040</v>
      </c>
      <c r="C253" s="492">
        <f>145260</f>
        <v>145260</v>
      </c>
      <c r="D253" s="492">
        <f t="shared" si="13"/>
        <v>1744300</v>
      </c>
    </row>
    <row r="254" spans="1:4" x14ac:dyDescent="0.2">
      <c r="A254" s="502" t="s">
        <v>394</v>
      </c>
      <c r="B254" s="475">
        <v>785574</v>
      </c>
      <c r="C254" s="475">
        <f>108406</f>
        <v>108406</v>
      </c>
      <c r="D254" s="475">
        <f t="shared" si="13"/>
        <v>893980</v>
      </c>
    </row>
    <row r="255" spans="1:4" x14ac:dyDescent="0.2">
      <c r="A255" s="501"/>
      <c r="B255" s="266"/>
      <c r="C255" s="266"/>
      <c r="D255" s="266">
        <f t="shared" si="13"/>
        <v>0</v>
      </c>
    </row>
    <row r="256" spans="1:4" x14ac:dyDescent="0.2">
      <c r="A256" s="235" t="s">
        <v>779</v>
      </c>
      <c r="B256" s="139">
        <f t="shared" ref="B256:C257" si="17">B259</f>
        <v>3321900</v>
      </c>
      <c r="C256" s="139">
        <f t="shared" si="17"/>
        <v>-29000</v>
      </c>
      <c r="D256" s="139">
        <f t="shared" si="13"/>
        <v>3292900</v>
      </c>
    </row>
    <row r="257" spans="1:4" x14ac:dyDescent="0.2">
      <c r="A257" s="137" t="s">
        <v>394</v>
      </c>
      <c r="B257" s="475">
        <f t="shared" si="17"/>
        <v>1450000</v>
      </c>
      <c r="C257" s="475">
        <f t="shared" si="17"/>
        <v>0</v>
      </c>
      <c r="D257" s="475">
        <f t="shared" ref="D257:D316" si="18">B257+C257</f>
        <v>1450000</v>
      </c>
    </row>
    <row r="258" spans="1:4" x14ac:dyDescent="0.2">
      <c r="A258" s="153" t="s">
        <v>407</v>
      </c>
      <c r="B258" s="491"/>
      <c r="C258" s="491"/>
      <c r="D258" s="491">
        <f t="shared" si="18"/>
        <v>0</v>
      </c>
    </row>
    <row r="259" spans="1:4" x14ac:dyDescent="0.2">
      <c r="A259" s="461" t="s">
        <v>428</v>
      </c>
      <c r="B259" s="548">
        <v>3321900</v>
      </c>
      <c r="C259" s="492">
        <v>-29000</v>
      </c>
      <c r="D259" s="492">
        <f t="shared" si="18"/>
        <v>3292900</v>
      </c>
    </row>
    <row r="260" spans="1:4" s="36" customFormat="1" x14ac:dyDescent="0.2">
      <c r="A260" s="502" t="s">
        <v>394</v>
      </c>
      <c r="B260" s="475">
        <v>1450000</v>
      </c>
      <c r="C260" s="475"/>
      <c r="D260" s="475">
        <f t="shared" si="18"/>
        <v>1450000</v>
      </c>
    </row>
    <row r="261" spans="1:4" s="36" customFormat="1" x14ac:dyDescent="0.2">
      <c r="A261" s="154"/>
      <c r="B261" s="491"/>
      <c r="C261" s="491"/>
      <c r="D261" s="491">
        <f t="shared" si="18"/>
        <v>0</v>
      </c>
    </row>
    <row r="262" spans="1:4" x14ac:dyDescent="0.2">
      <c r="A262" s="235" t="s">
        <v>742</v>
      </c>
      <c r="B262" s="139">
        <f>B265</f>
        <v>1333150</v>
      </c>
      <c r="C262" s="139">
        <f>C265+C269</f>
        <v>166000</v>
      </c>
      <c r="D262" s="139">
        <f t="shared" si="18"/>
        <v>1499150</v>
      </c>
    </row>
    <row r="263" spans="1:4" s="36" customFormat="1" x14ac:dyDescent="0.2">
      <c r="A263" s="137" t="s">
        <v>394</v>
      </c>
      <c r="B263" s="475">
        <f>B266</f>
        <v>552570</v>
      </c>
      <c r="C263" s="475">
        <f>C266+C270</f>
        <v>32536</v>
      </c>
      <c r="D263" s="475">
        <f t="shared" si="18"/>
        <v>585106</v>
      </c>
    </row>
    <row r="264" spans="1:4" s="36" customFormat="1" x14ac:dyDescent="0.2">
      <c r="A264" s="153" t="s">
        <v>407</v>
      </c>
      <c r="B264" s="491"/>
      <c r="C264" s="491"/>
      <c r="D264" s="491">
        <f t="shared" si="18"/>
        <v>0</v>
      </c>
    </row>
    <row r="265" spans="1:4" s="36" customFormat="1" x14ac:dyDescent="0.2">
      <c r="A265" s="461" t="s">
        <v>429</v>
      </c>
      <c r="B265" s="548">
        <f>1350428-17278</f>
        <v>1333150</v>
      </c>
      <c r="C265" s="492">
        <v>58000</v>
      </c>
      <c r="D265" s="492">
        <f t="shared" si="18"/>
        <v>1391150</v>
      </c>
    </row>
    <row r="266" spans="1:4" s="36" customFormat="1" x14ac:dyDescent="0.2">
      <c r="A266" s="502" t="s">
        <v>394</v>
      </c>
      <c r="B266" s="475">
        <f>565464-12894</f>
        <v>552570</v>
      </c>
      <c r="C266" s="475">
        <v>24536</v>
      </c>
      <c r="D266" s="475">
        <f t="shared" si="18"/>
        <v>577106</v>
      </c>
    </row>
    <row r="267" spans="1:4" s="36" customFormat="1" x14ac:dyDescent="0.2">
      <c r="A267" s="502"/>
      <c r="B267" s="475"/>
      <c r="C267" s="475"/>
      <c r="D267" s="475">
        <f t="shared" si="18"/>
        <v>0</v>
      </c>
    </row>
    <row r="268" spans="1:4" s="36" customFormat="1" x14ac:dyDescent="0.2">
      <c r="A268" s="494" t="s">
        <v>902</v>
      </c>
      <c r="B268" s="475"/>
      <c r="C268" s="475"/>
      <c r="D268" s="475">
        <f t="shared" si="18"/>
        <v>0</v>
      </c>
    </row>
    <row r="269" spans="1:4" s="36" customFormat="1" x14ac:dyDescent="0.2">
      <c r="A269" s="495" t="s">
        <v>903</v>
      </c>
      <c r="B269" s="475"/>
      <c r="C269" s="492">
        <v>108000</v>
      </c>
      <c r="D269" s="492">
        <f t="shared" si="18"/>
        <v>108000</v>
      </c>
    </row>
    <row r="270" spans="1:4" s="36" customFormat="1" x14ac:dyDescent="0.2">
      <c r="A270" s="496" t="s">
        <v>394</v>
      </c>
      <c r="B270" s="475"/>
      <c r="C270" s="475">
        <v>8000</v>
      </c>
      <c r="D270" s="475">
        <f t="shared" si="18"/>
        <v>8000</v>
      </c>
    </row>
    <row r="271" spans="1:4" s="36" customFormat="1" x14ac:dyDescent="0.2">
      <c r="A271" s="154"/>
      <c r="B271" s="491"/>
      <c r="C271" s="491"/>
      <c r="D271" s="491">
        <f t="shared" si="18"/>
        <v>0</v>
      </c>
    </row>
    <row r="272" spans="1:4" x14ac:dyDescent="0.2">
      <c r="A272" s="235" t="s">
        <v>743</v>
      </c>
      <c r="B272" s="139">
        <f t="shared" ref="B272:C273" si="19">B275</f>
        <v>803600</v>
      </c>
      <c r="C272" s="139">
        <f t="shared" si="19"/>
        <v>0</v>
      </c>
      <c r="D272" s="139">
        <f t="shared" si="18"/>
        <v>803600</v>
      </c>
    </row>
    <row r="273" spans="1:4" x14ac:dyDescent="0.2">
      <c r="A273" s="137" t="s">
        <v>394</v>
      </c>
      <c r="B273" s="475">
        <f t="shared" si="19"/>
        <v>393062</v>
      </c>
      <c r="C273" s="475">
        <f t="shared" si="19"/>
        <v>0</v>
      </c>
      <c r="D273" s="475">
        <f t="shared" si="18"/>
        <v>393062</v>
      </c>
    </row>
    <row r="274" spans="1:4" x14ac:dyDescent="0.2">
      <c r="A274" s="153" t="s">
        <v>407</v>
      </c>
      <c r="B274" s="491"/>
      <c r="C274" s="491"/>
      <c r="D274" s="491">
        <f t="shared" si="18"/>
        <v>0</v>
      </c>
    </row>
    <row r="275" spans="1:4" x14ac:dyDescent="0.2">
      <c r="A275" s="461" t="s">
        <v>430</v>
      </c>
      <c r="B275" s="548">
        <v>803600</v>
      </c>
      <c r="C275" s="492"/>
      <c r="D275" s="492">
        <f t="shared" si="18"/>
        <v>803600</v>
      </c>
    </row>
    <row r="276" spans="1:4" x14ac:dyDescent="0.2">
      <c r="A276" s="502" t="s">
        <v>394</v>
      </c>
      <c r="B276" s="475">
        <v>393062</v>
      </c>
      <c r="C276" s="475"/>
      <c r="D276" s="475">
        <f t="shared" si="18"/>
        <v>393062</v>
      </c>
    </row>
    <row r="277" spans="1:4" x14ac:dyDescent="0.2">
      <c r="A277" s="186"/>
      <c r="B277" s="491"/>
      <c r="C277" s="491"/>
      <c r="D277" s="491">
        <f t="shared" si="18"/>
        <v>0</v>
      </c>
    </row>
    <row r="278" spans="1:4" x14ac:dyDescent="0.2">
      <c r="A278" s="235" t="s">
        <v>744</v>
      </c>
      <c r="B278" s="139">
        <f t="shared" ref="B278:C279" si="20">B281</f>
        <v>187800</v>
      </c>
      <c r="C278" s="139">
        <f t="shared" si="20"/>
        <v>0</v>
      </c>
      <c r="D278" s="139">
        <f t="shared" si="18"/>
        <v>187800</v>
      </c>
    </row>
    <row r="279" spans="1:4" x14ac:dyDescent="0.2">
      <c r="A279" s="137" t="s">
        <v>394</v>
      </c>
      <c r="B279" s="475">
        <f t="shared" si="20"/>
        <v>91138</v>
      </c>
      <c r="C279" s="475">
        <f t="shared" si="20"/>
        <v>0</v>
      </c>
      <c r="D279" s="475">
        <f t="shared" si="18"/>
        <v>91138</v>
      </c>
    </row>
    <row r="280" spans="1:4" x14ac:dyDescent="0.2">
      <c r="A280" s="153" t="s">
        <v>407</v>
      </c>
      <c r="B280" s="491"/>
      <c r="C280" s="491"/>
      <c r="D280" s="491">
        <f t="shared" si="18"/>
        <v>0</v>
      </c>
    </row>
    <row r="281" spans="1:4" x14ac:dyDescent="0.2">
      <c r="A281" s="461" t="s">
        <v>169</v>
      </c>
      <c r="B281" s="548">
        <v>187800</v>
      </c>
      <c r="C281" s="492"/>
      <c r="D281" s="492">
        <f t="shared" si="18"/>
        <v>187800</v>
      </c>
    </row>
    <row r="282" spans="1:4" s="36" customFormat="1" x14ac:dyDescent="0.2">
      <c r="A282" s="502" t="s">
        <v>394</v>
      </c>
      <c r="B282" s="475">
        <v>91138</v>
      </c>
      <c r="C282" s="475"/>
      <c r="D282" s="475">
        <f t="shared" si="18"/>
        <v>91138</v>
      </c>
    </row>
    <row r="283" spans="1:4" s="36" customFormat="1" x14ac:dyDescent="0.2">
      <c r="A283" s="154"/>
      <c r="B283" s="491"/>
      <c r="C283" s="491"/>
      <c r="D283" s="491">
        <f t="shared" si="18"/>
        <v>0</v>
      </c>
    </row>
    <row r="284" spans="1:4" x14ac:dyDescent="0.2">
      <c r="A284" s="239" t="s">
        <v>506</v>
      </c>
      <c r="B284" s="491"/>
      <c r="C284" s="491"/>
      <c r="D284" s="491">
        <f t="shared" si="18"/>
        <v>0</v>
      </c>
    </row>
    <row r="285" spans="1:4" x14ac:dyDescent="0.2">
      <c r="A285" s="461" t="s">
        <v>745</v>
      </c>
      <c r="B285" s="548">
        <f>SUM(B286:B289)</f>
        <v>2609604</v>
      </c>
      <c r="C285" s="492">
        <f>SUM(C286:C289)</f>
        <v>0</v>
      </c>
      <c r="D285" s="492">
        <f t="shared" si="18"/>
        <v>2609604</v>
      </c>
    </row>
    <row r="286" spans="1:4" ht="33.75" x14ac:dyDescent="0.2">
      <c r="A286" s="303" t="s">
        <v>1055</v>
      </c>
      <c r="B286" s="512">
        <v>177045</v>
      </c>
      <c r="C286" s="273"/>
      <c r="D286" s="273">
        <f t="shared" si="18"/>
        <v>177045</v>
      </c>
    </row>
    <row r="287" spans="1:4" ht="22.5" x14ac:dyDescent="0.2">
      <c r="A287" s="304" t="s">
        <v>1056</v>
      </c>
      <c r="B287" s="512">
        <v>32559</v>
      </c>
      <c r="C287" s="273"/>
      <c r="D287" s="273">
        <f t="shared" si="18"/>
        <v>32559</v>
      </c>
    </row>
    <row r="288" spans="1:4" ht="22.5" x14ac:dyDescent="0.2">
      <c r="A288" s="304" t="s">
        <v>1057</v>
      </c>
      <c r="B288" s="512">
        <v>1900000</v>
      </c>
      <c r="C288" s="273"/>
      <c r="D288" s="273">
        <f t="shared" si="18"/>
        <v>1900000</v>
      </c>
    </row>
    <row r="289" spans="1:4" ht="22.5" x14ac:dyDescent="0.2">
      <c r="A289" s="304" t="s">
        <v>885</v>
      </c>
      <c r="B289" s="512">
        <v>500000</v>
      </c>
      <c r="C289" s="273"/>
      <c r="D289" s="273">
        <f t="shared" si="18"/>
        <v>500000</v>
      </c>
    </row>
    <row r="290" spans="1:4" ht="33.75" x14ac:dyDescent="0.2">
      <c r="A290" s="249" t="s">
        <v>1058</v>
      </c>
      <c r="B290" s="491"/>
      <c r="C290" s="491"/>
      <c r="D290" s="491">
        <f t="shared" si="18"/>
        <v>0</v>
      </c>
    </row>
    <row r="291" spans="1:4" x14ac:dyDescent="0.2">
      <c r="A291" s="235" t="s">
        <v>170</v>
      </c>
      <c r="B291" s="139">
        <f>B293+B296+B300</f>
        <v>249300</v>
      </c>
      <c r="C291" s="139">
        <f>C293+C296+C300</f>
        <v>-2500</v>
      </c>
      <c r="D291" s="139">
        <f t="shared" si="18"/>
        <v>246800</v>
      </c>
    </row>
    <row r="292" spans="1:4" x14ac:dyDescent="0.2">
      <c r="A292" s="153" t="s">
        <v>407</v>
      </c>
      <c r="B292" s="491"/>
      <c r="C292" s="491"/>
      <c r="D292" s="491">
        <f t="shared" si="18"/>
        <v>0</v>
      </c>
    </row>
    <row r="293" spans="1:4" x14ac:dyDescent="0.2">
      <c r="A293" s="461" t="s">
        <v>171</v>
      </c>
      <c r="B293" s="491">
        <v>130600</v>
      </c>
      <c r="C293" s="491"/>
      <c r="D293" s="491">
        <f t="shared" si="18"/>
        <v>130600</v>
      </c>
    </row>
    <row r="294" spans="1:4" x14ac:dyDescent="0.2">
      <c r="A294" s="135"/>
      <c r="B294" s="491"/>
      <c r="C294" s="491"/>
      <c r="D294" s="491">
        <f t="shared" si="18"/>
        <v>0</v>
      </c>
    </row>
    <row r="295" spans="1:4" x14ac:dyDescent="0.2">
      <c r="A295" s="153" t="s">
        <v>407</v>
      </c>
      <c r="B295" s="491"/>
      <c r="C295" s="491"/>
      <c r="D295" s="491">
        <f t="shared" si="18"/>
        <v>0</v>
      </c>
    </row>
    <row r="296" spans="1:4" x14ac:dyDescent="0.2">
      <c r="A296" s="461" t="s">
        <v>173</v>
      </c>
      <c r="B296" s="491">
        <v>93000</v>
      </c>
      <c r="C296" s="491">
        <v>-2500</v>
      </c>
      <c r="D296" s="491">
        <f t="shared" si="18"/>
        <v>90500</v>
      </c>
    </row>
    <row r="297" spans="1:4" x14ac:dyDescent="0.2">
      <c r="A297" s="549"/>
      <c r="B297" s="491"/>
      <c r="C297" s="491"/>
      <c r="D297" s="491">
        <f t="shared" si="18"/>
        <v>0</v>
      </c>
    </row>
    <row r="298" spans="1:4" x14ac:dyDescent="0.2">
      <c r="A298" s="239" t="s">
        <v>174</v>
      </c>
      <c r="B298" s="264"/>
      <c r="C298" s="264"/>
      <c r="D298" s="264">
        <f t="shared" si="18"/>
        <v>0</v>
      </c>
    </row>
    <row r="299" spans="1:4" x14ac:dyDescent="0.2">
      <c r="A299" s="461"/>
      <c r="B299" s="491"/>
      <c r="C299" s="491"/>
      <c r="D299" s="491">
        <f t="shared" si="18"/>
        <v>0</v>
      </c>
    </row>
    <row r="300" spans="1:4" ht="38.25" x14ac:dyDescent="0.2">
      <c r="A300" s="461" t="s">
        <v>175</v>
      </c>
      <c r="B300" s="548">
        <v>25700</v>
      </c>
      <c r="C300" s="492"/>
      <c r="D300" s="492">
        <f t="shared" si="18"/>
        <v>25700</v>
      </c>
    </row>
    <row r="301" spans="1:4" x14ac:dyDescent="0.2">
      <c r="A301" s="549"/>
      <c r="B301" s="491"/>
      <c r="C301" s="491"/>
      <c r="D301" s="491">
        <f t="shared" si="18"/>
        <v>0</v>
      </c>
    </row>
    <row r="302" spans="1:4" x14ac:dyDescent="0.2">
      <c r="A302" s="133" t="s">
        <v>392</v>
      </c>
      <c r="B302" s="139">
        <f>B304+B307+B322+B334+B336+B338+B340+B342</f>
        <v>2499185</v>
      </c>
      <c r="C302" s="139">
        <f>C304+C307+C322+C334+C336+C338+C340+C342</f>
        <v>527692</v>
      </c>
      <c r="D302" s="139">
        <f t="shared" si="18"/>
        <v>3026877</v>
      </c>
    </row>
    <row r="303" spans="1:4" x14ac:dyDescent="0.2">
      <c r="A303" s="133"/>
      <c r="B303" s="140"/>
      <c r="C303" s="140"/>
      <c r="D303" s="140">
        <f t="shared" si="18"/>
        <v>0</v>
      </c>
    </row>
    <row r="304" spans="1:4" x14ac:dyDescent="0.2">
      <c r="A304" s="128" t="s">
        <v>431</v>
      </c>
      <c r="B304" s="522">
        <f>807526+117</f>
        <v>807643</v>
      </c>
      <c r="C304" s="522">
        <v>692</v>
      </c>
      <c r="D304" s="522">
        <f t="shared" si="18"/>
        <v>808335</v>
      </c>
    </row>
    <row r="305" spans="1:4" x14ac:dyDescent="0.2">
      <c r="A305" s="127" t="s">
        <v>394</v>
      </c>
      <c r="B305" s="149">
        <v>466131</v>
      </c>
      <c r="C305" s="149">
        <v>-2514</v>
      </c>
      <c r="D305" s="149">
        <f t="shared" si="18"/>
        <v>463617</v>
      </c>
    </row>
    <row r="306" spans="1:4" x14ac:dyDescent="0.2">
      <c r="A306" s="133"/>
      <c r="B306" s="140"/>
      <c r="C306" s="140"/>
      <c r="D306" s="140">
        <f t="shared" si="18"/>
        <v>0</v>
      </c>
    </row>
    <row r="307" spans="1:4" x14ac:dyDescent="0.2">
      <c r="A307" s="128" t="s">
        <v>803</v>
      </c>
      <c r="B307" s="522">
        <f>866190+7000</f>
        <v>873190</v>
      </c>
      <c r="C307" s="522">
        <f>C314+C316+305000</f>
        <v>407000</v>
      </c>
      <c r="D307" s="522">
        <f t="shared" si="18"/>
        <v>1280190</v>
      </c>
    </row>
    <row r="308" spans="1:4" x14ac:dyDescent="0.2">
      <c r="A308" s="127" t="s">
        <v>394</v>
      </c>
      <c r="B308" s="149">
        <v>75000</v>
      </c>
      <c r="C308" s="149"/>
      <c r="D308" s="149">
        <f t="shared" si="18"/>
        <v>75000</v>
      </c>
    </row>
    <row r="309" spans="1:4" x14ac:dyDescent="0.2">
      <c r="A309" s="127" t="s">
        <v>432</v>
      </c>
      <c r="B309" s="149"/>
      <c r="C309" s="149"/>
      <c r="D309" s="149">
        <f t="shared" si="18"/>
        <v>0</v>
      </c>
    </row>
    <row r="310" spans="1:4" x14ac:dyDescent="0.2">
      <c r="A310" s="154" t="s">
        <v>176</v>
      </c>
      <c r="B310" s="155">
        <v>6000</v>
      </c>
      <c r="C310" s="155"/>
      <c r="D310" s="155">
        <f t="shared" si="18"/>
        <v>6000</v>
      </c>
    </row>
    <row r="311" spans="1:4" x14ac:dyDescent="0.2">
      <c r="A311" s="154" t="s">
        <v>177</v>
      </c>
      <c r="B311" s="155">
        <v>6000</v>
      </c>
      <c r="C311" s="155"/>
      <c r="D311" s="155">
        <f t="shared" si="18"/>
        <v>6000</v>
      </c>
    </row>
    <row r="312" spans="1:4" x14ac:dyDescent="0.2">
      <c r="A312" s="154" t="s">
        <v>433</v>
      </c>
      <c r="B312" s="155">
        <v>35000</v>
      </c>
      <c r="C312" s="155"/>
      <c r="D312" s="155">
        <f t="shared" si="18"/>
        <v>35000</v>
      </c>
    </row>
    <row r="313" spans="1:4" x14ac:dyDescent="0.2">
      <c r="A313" s="154" t="s">
        <v>434</v>
      </c>
      <c r="B313" s="155">
        <v>15000</v>
      </c>
      <c r="C313" s="155"/>
      <c r="D313" s="155">
        <f t="shared" si="18"/>
        <v>15000</v>
      </c>
    </row>
    <row r="314" spans="1:4" x14ac:dyDescent="0.2">
      <c r="A314" s="154" t="s">
        <v>178</v>
      </c>
      <c r="B314" s="155">
        <v>397000</v>
      </c>
      <c r="C314" s="155">
        <v>17000</v>
      </c>
      <c r="D314" s="155">
        <f t="shared" si="18"/>
        <v>414000</v>
      </c>
    </row>
    <row r="315" spans="1:4" x14ac:dyDescent="0.2">
      <c r="A315" s="154" t="s">
        <v>179</v>
      </c>
      <c r="B315" s="155">
        <v>20000</v>
      </c>
      <c r="C315" s="155"/>
      <c r="D315" s="155">
        <f t="shared" si="18"/>
        <v>20000</v>
      </c>
    </row>
    <row r="316" spans="1:4" x14ac:dyDescent="0.2">
      <c r="A316" s="154" t="s">
        <v>812</v>
      </c>
      <c r="B316" s="155">
        <v>210000</v>
      </c>
      <c r="C316" s="155">
        <f>70000+15000</f>
        <v>85000</v>
      </c>
      <c r="D316" s="155">
        <f t="shared" si="18"/>
        <v>295000</v>
      </c>
    </row>
    <row r="317" spans="1:4" x14ac:dyDescent="0.2">
      <c r="A317" s="154" t="s">
        <v>746</v>
      </c>
      <c r="B317" s="155">
        <v>12800</v>
      </c>
      <c r="C317" s="155"/>
      <c r="D317" s="155">
        <f t="shared" ref="D317:D380" si="21">B317+C317</f>
        <v>12800</v>
      </c>
    </row>
    <row r="318" spans="1:4" x14ac:dyDescent="0.2">
      <c r="A318" s="154" t="s">
        <v>813</v>
      </c>
      <c r="B318" s="155">
        <v>45000</v>
      </c>
      <c r="C318" s="155">
        <v>23440</v>
      </c>
      <c r="D318" s="155">
        <f t="shared" si="21"/>
        <v>68440</v>
      </c>
    </row>
    <row r="319" spans="1:4" x14ac:dyDescent="0.2">
      <c r="A319" s="154"/>
      <c r="B319" s="155"/>
      <c r="C319" s="155"/>
      <c r="D319" s="155">
        <f t="shared" si="21"/>
        <v>0</v>
      </c>
    </row>
    <row r="320" spans="1:4" ht="33.75" x14ac:dyDescent="0.2">
      <c r="A320" s="464" t="s">
        <v>15</v>
      </c>
      <c r="B320" s="155"/>
      <c r="C320" s="155"/>
      <c r="D320" s="155">
        <f t="shared" si="21"/>
        <v>0</v>
      </c>
    </row>
    <row r="321" spans="1:4" x14ac:dyDescent="0.2">
      <c r="A321" s="240"/>
      <c r="B321" s="140"/>
      <c r="C321" s="140"/>
      <c r="D321" s="140">
        <f t="shared" si="21"/>
        <v>0</v>
      </c>
    </row>
    <row r="322" spans="1:4" x14ac:dyDescent="0.2">
      <c r="A322" s="128" t="s">
        <v>872</v>
      </c>
      <c r="B322" s="522">
        <f>644222-7000+10000+10000</f>
        <v>657222</v>
      </c>
      <c r="C322" s="522">
        <f>C332</f>
        <v>120000</v>
      </c>
      <c r="D322" s="522">
        <f t="shared" si="21"/>
        <v>777222</v>
      </c>
    </row>
    <row r="323" spans="1:4" x14ac:dyDescent="0.2">
      <c r="A323" s="365" t="s">
        <v>780</v>
      </c>
      <c r="B323" s="155">
        <v>15000</v>
      </c>
      <c r="C323" s="155"/>
      <c r="D323" s="155">
        <f t="shared" si="21"/>
        <v>15000</v>
      </c>
    </row>
    <row r="324" spans="1:4" x14ac:dyDescent="0.2">
      <c r="A324" s="152" t="s">
        <v>747</v>
      </c>
      <c r="B324" s="155">
        <v>22500</v>
      </c>
      <c r="C324" s="155"/>
      <c r="D324" s="155">
        <f t="shared" si="21"/>
        <v>22500</v>
      </c>
    </row>
    <row r="325" spans="1:4" x14ac:dyDescent="0.2">
      <c r="A325" s="427" t="s">
        <v>805</v>
      </c>
      <c r="B325" s="155">
        <v>12000</v>
      </c>
      <c r="C325" s="155"/>
      <c r="D325" s="155">
        <f t="shared" si="21"/>
        <v>12000</v>
      </c>
    </row>
    <row r="326" spans="1:4" x14ac:dyDescent="0.2">
      <c r="A326" s="152" t="s">
        <v>748</v>
      </c>
      <c r="B326" s="155">
        <v>53000</v>
      </c>
      <c r="C326" s="155"/>
      <c r="D326" s="155">
        <f t="shared" si="21"/>
        <v>53000</v>
      </c>
    </row>
    <row r="327" spans="1:4" x14ac:dyDescent="0.2">
      <c r="A327" s="152" t="s">
        <v>749</v>
      </c>
      <c r="B327" s="155">
        <v>11885</v>
      </c>
      <c r="C327" s="155"/>
      <c r="D327" s="155">
        <f t="shared" si="21"/>
        <v>11885</v>
      </c>
    </row>
    <row r="328" spans="1:4" x14ac:dyDescent="0.2">
      <c r="A328" s="152" t="s">
        <v>750</v>
      </c>
      <c r="B328" s="155">
        <v>32000</v>
      </c>
      <c r="C328" s="155"/>
      <c r="D328" s="155">
        <f t="shared" si="21"/>
        <v>32000</v>
      </c>
    </row>
    <row r="329" spans="1:4" s="36" customFormat="1" x14ac:dyDescent="0.2">
      <c r="A329" s="152" t="s">
        <v>751</v>
      </c>
      <c r="B329" s="155">
        <f>25000-7000+14000</f>
        <v>32000</v>
      </c>
      <c r="C329" s="155"/>
      <c r="D329" s="155">
        <f t="shared" si="21"/>
        <v>32000</v>
      </c>
    </row>
    <row r="330" spans="1:4" x14ac:dyDescent="0.2">
      <c r="A330" s="152" t="s">
        <v>877</v>
      </c>
      <c r="B330" s="155">
        <v>10000</v>
      </c>
      <c r="C330" s="155"/>
      <c r="D330" s="155">
        <f t="shared" si="21"/>
        <v>10000</v>
      </c>
    </row>
    <row r="331" spans="1:4" x14ac:dyDescent="0.2">
      <c r="A331" s="152" t="s">
        <v>886</v>
      </c>
      <c r="B331" s="155">
        <v>10000</v>
      </c>
      <c r="C331" s="155"/>
      <c r="D331" s="155">
        <f t="shared" si="21"/>
        <v>10000</v>
      </c>
    </row>
    <row r="332" spans="1:4" x14ac:dyDescent="0.2">
      <c r="A332" s="152" t="s">
        <v>1017</v>
      </c>
      <c r="B332" s="155"/>
      <c r="C332" s="155">
        <v>120000</v>
      </c>
      <c r="D332" s="155">
        <f t="shared" si="21"/>
        <v>120000</v>
      </c>
    </row>
    <row r="333" spans="1:4" x14ac:dyDescent="0.2">
      <c r="A333" s="242"/>
      <c r="B333" s="155"/>
      <c r="C333" s="155"/>
      <c r="D333" s="155">
        <f t="shared" si="21"/>
        <v>0</v>
      </c>
    </row>
    <row r="334" spans="1:4" x14ac:dyDescent="0.2">
      <c r="A334" s="128" t="s">
        <v>180</v>
      </c>
      <c r="B334" s="548">
        <v>80000</v>
      </c>
      <c r="C334" s="492"/>
      <c r="D334" s="492">
        <f t="shared" si="21"/>
        <v>80000</v>
      </c>
    </row>
    <row r="335" spans="1:4" x14ac:dyDescent="0.2">
      <c r="A335" s="128"/>
      <c r="B335" s="548"/>
      <c r="C335" s="492"/>
      <c r="D335" s="492">
        <f t="shared" si="21"/>
        <v>0</v>
      </c>
    </row>
    <row r="336" spans="1:4" x14ac:dyDescent="0.2">
      <c r="A336" s="128" t="s">
        <v>814</v>
      </c>
      <c r="B336" s="548">
        <v>1300</v>
      </c>
      <c r="C336" s="492"/>
      <c r="D336" s="492">
        <f t="shared" si="21"/>
        <v>1300</v>
      </c>
    </row>
    <row r="337" spans="1:4" x14ac:dyDescent="0.2">
      <c r="A337" s="128"/>
      <c r="B337" s="548"/>
      <c r="C337" s="492"/>
      <c r="D337" s="492">
        <f t="shared" si="21"/>
        <v>0</v>
      </c>
    </row>
    <row r="338" spans="1:4" x14ac:dyDescent="0.2">
      <c r="A338" s="128" t="s">
        <v>752</v>
      </c>
      <c r="B338" s="522">
        <v>4430</v>
      </c>
      <c r="C338" s="522"/>
      <c r="D338" s="522">
        <f t="shared" si="21"/>
        <v>4430</v>
      </c>
    </row>
    <row r="339" spans="1:4" s="36" customFormat="1" x14ac:dyDescent="0.2">
      <c r="A339" s="128"/>
      <c r="B339" s="522"/>
      <c r="C339" s="522"/>
      <c r="D339" s="522">
        <f t="shared" si="21"/>
        <v>0</v>
      </c>
    </row>
    <row r="340" spans="1:4" x14ac:dyDescent="0.2">
      <c r="A340" s="128" t="s">
        <v>753</v>
      </c>
      <c r="B340" s="522">
        <v>63400</v>
      </c>
      <c r="C340" s="522"/>
      <c r="D340" s="522">
        <f t="shared" si="21"/>
        <v>63400</v>
      </c>
    </row>
    <row r="341" spans="1:4" x14ac:dyDescent="0.2">
      <c r="A341" s="128"/>
      <c r="B341" s="522"/>
      <c r="C341" s="522"/>
      <c r="D341" s="522">
        <f t="shared" si="21"/>
        <v>0</v>
      </c>
    </row>
    <row r="342" spans="1:4" x14ac:dyDescent="0.2">
      <c r="A342" s="418" t="s">
        <v>16</v>
      </c>
      <c r="B342" s="522">
        <v>12000</v>
      </c>
      <c r="C342" s="522"/>
      <c r="D342" s="522">
        <f t="shared" si="21"/>
        <v>12000</v>
      </c>
    </row>
    <row r="343" spans="1:4" x14ac:dyDescent="0.2">
      <c r="A343" s="131"/>
      <c r="B343" s="491"/>
      <c r="C343" s="492"/>
      <c r="D343" s="492">
        <f t="shared" si="21"/>
        <v>0</v>
      </c>
    </row>
    <row r="344" spans="1:4" x14ac:dyDescent="0.2">
      <c r="A344" s="127"/>
      <c r="B344" s="491"/>
      <c r="C344" s="492"/>
      <c r="D344" s="492">
        <f t="shared" si="21"/>
        <v>0</v>
      </c>
    </row>
    <row r="345" spans="1:4" ht="15.75" x14ac:dyDescent="0.2">
      <c r="A345" s="138" t="s">
        <v>435</v>
      </c>
      <c r="B345" s="491"/>
      <c r="C345" s="492"/>
      <c r="D345" s="492">
        <f t="shared" si="21"/>
        <v>0</v>
      </c>
    </row>
    <row r="346" spans="1:4" s="36" customFormat="1" x14ac:dyDescent="0.2">
      <c r="A346" s="133"/>
      <c r="B346" s="491"/>
      <c r="C346" s="492"/>
      <c r="D346" s="492">
        <f t="shared" si="21"/>
        <v>0</v>
      </c>
    </row>
    <row r="347" spans="1:4" x14ac:dyDescent="0.2">
      <c r="A347" s="133" t="s">
        <v>386</v>
      </c>
      <c r="B347" s="264">
        <f>B354+B373+B379+B390</f>
        <v>10500176</v>
      </c>
      <c r="C347" s="264">
        <f>C354+C373+C379+C390</f>
        <v>-71692</v>
      </c>
      <c r="D347" s="264">
        <f t="shared" si="21"/>
        <v>10428484</v>
      </c>
    </row>
    <row r="348" spans="1:4" x14ac:dyDescent="0.2">
      <c r="A348" s="123" t="s">
        <v>422</v>
      </c>
      <c r="B348" s="265">
        <v>1037140</v>
      </c>
      <c r="C348" s="265">
        <v>254286</v>
      </c>
      <c r="D348" s="265">
        <f t="shared" si="21"/>
        <v>1291426</v>
      </c>
    </row>
    <row r="349" spans="1:4" x14ac:dyDescent="0.2">
      <c r="A349" s="134" t="s">
        <v>387</v>
      </c>
      <c r="B349" s="264">
        <f>SUM(B350:B351)</f>
        <v>10500176</v>
      </c>
      <c r="C349" s="264">
        <f>SUM(C350:C351)</f>
        <v>-71692</v>
      </c>
      <c r="D349" s="264">
        <f t="shared" si="21"/>
        <v>10428484</v>
      </c>
    </row>
    <row r="350" spans="1:4" x14ac:dyDescent="0.2">
      <c r="A350" s="135" t="s">
        <v>388</v>
      </c>
      <c r="B350" s="265">
        <f>'2.2 OMATULUD'!B256</f>
        <v>2339538</v>
      </c>
      <c r="C350" s="265">
        <f>'2.2 OMATULUD'!C256</f>
        <v>6363</v>
      </c>
      <c r="D350" s="265">
        <f t="shared" si="21"/>
        <v>2345901</v>
      </c>
    </row>
    <row r="351" spans="1:4" x14ac:dyDescent="0.2">
      <c r="A351" s="136" t="s">
        <v>389</v>
      </c>
      <c r="B351" s="265">
        <f>B347-B350</f>
        <v>8160638</v>
      </c>
      <c r="C351" s="265">
        <f>C347-C350</f>
        <v>-78055</v>
      </c>
      <c r="D351" s="265">
        <f t="shared" si="21"/>
        <v>8082583</v>
      </c>
    </row>
    <row r="352" spans="1:4" x14ac:dyDescent="0.2">
      <c r="A352" s="438"/>
      <c r="B352" s="491"/>
      <c r="C352" s="491"/>
      <c r="D352" s="491">
        <f t="shared" si="21"/>
        <v>0</v>
      </c>
    </row>
    <row r="353" spans="1:4" s="36" customFormat="1" ht="15" x14ac:dyDescent="0.2">
      <c r="A353" s="238" t="s">
        <v>919</v>
      </c>
      <c r="B353" s="143">
        <f>B354+B373</f>
        <v>7816071</v>
      </c>
      <c r="C353" s="143">
        <f>C354+C373</f>
        <v>-10926</v>
      </c>
      <c r="D353" s="143">
        <f t="shared" si="21"/>
        <v>7805145</v>
      </c>
    </row>
    <row r="354" spans="1:4" x14ac:dyDescent="0.2">
      <c r="A354" s="235" t="s">
        <v>436</v>
      </c>
      <c r="B354" s="264">
        <f t="shared" ref="B354:C355" si="22">B358+B362+B366+B370</f>
        <v>3866071</v>
      </c>
      <c r="C354" s="264">
        <f t="shared" si="22"/>
        <v>-10926</v>
      </c>
      <c r="D354" s="264">
        <f t="shared" si="21"/>
        <v>3855145</v>
      </c>
    </row>
    <row r="355" spans="1:4" x14ac:dyDescent="0.2">
      <c r="A355" s="137" t="s">
        <v>394</v>
      </c>
      <c r="B355" s="266">
        <f t="shared" si="22"/>
        <v>1421884</v>
      </c>
      <c r="C355" s="266">
        <f t="shared" si="22"/>
        <v>-3358</v>
      </c>
      <c r="D355" s="266">
        <f t="shared" si="21"/>
        <v>1418526</v>
      </c>
    </row>
    <row r="356" spans="1:4" x14ac:dyDescent="0.2">
      <c r="A356" s="137"/>
      <c r="B356" s="266"/>
      <c r="C356" s="266"/>
      <c r="D356" s="266">
        <f t="shared" si="21"/>
        <v>0</v>
      </c>
    </row>
    <row r="357" spans="1:4" x14ac:dyDescent="0.2">
      <c r="A357" s="153" t="s">
        <v>407</v>
      </c>
      <c r="B357" s="266"/>
      <c r="C357" s="266"/>
      <c r="D357" s="266">
        <f t="shared" si="21"/>
        <v>0</v>
      </c>
    </row>
    <row r="358" spans="1:4" x14ac:dyDescent="0.2">
      <c r="A358" s="461" t="s">
        <v>437</v>
      </c>
      <c r="B358" s="491">
        <v>807431</v>
      </c>
      <c r="C358" s="491">
        <v>-12500</v>
      </c>
      <c r="D358" s="491">
        <f t="shared" si="21"/>
        <v>794931</v>
      </c>
    </row>
    <row r="359" spans="1:4" x14ac:dyDescent="0.2">
      <c r="A359" s="502" t="s">
        <v>394</v>
      </c>
      <c r="B359" s="266">
        <v>293352</v>
      </c>
      <c r="C359" s="266"/>
      <c r="D359" s="266">
        <f t="shared" si="21"/>
        <v>293352</v>
      </c>
    </row>
    <row r="360" spans="1:4" x14ac:dyDescent="0.2">
      <c r="A360" s="137"/>
      <c r="B360" s="266"/>
      <c r="C360" s="266"/>
      <c r="D360" s="266">
        <f t="shared" si="21"/>
        <v>0</v>
      </c>
    </row>
    <row r="361" spans="1:4" x14ac:dyDescent="0.2">
      <c r="A361" s="153" t="s">
        <v>407</v>
      </c>
      <c r="B361" s="266"/>
      <c r="C361" s="266"/>
      <c r="D361" s="266">
        <f t="shared" si="21"/>
        <v>0</v>
      </c>
    </row>
    <row r="362" spans="1:4" x14ac:dyDescent="0.2">
      <c r="A362" s="461" t="s">
        <v>438</v>
      </c>
      <c r="B362" s="491">
        <v>1520653</v>
      </c>
      <c r="C362" s="491">
        <v>3723</v>
      </c>
      <c r="D362" s="491">
        <f t="shared" si="21"/>
        <v>1524376</v>
      </c>
    </row>
    <row r="363" spans="1:4" x14ac:dyDescent="0.2">
      <c r="A363" s="502" t="s">
        <v>394</v>
      </c>
      <c r="B363" s="266">
        <v>689343</v>
      </c>
      <c r="C363" s="266"/>
      <c r="D363" s="266">
        <f t="shared" si="21"/>
        <v>689343</v>
      </c>
    </row>
    <row r="364" spans="1:4" x14ac:dyDescent="0.2">
      <c r="A364" s="502"/>
      <c r="B364" s="266"/>
      <c r="C364" s="266"/>
      <c r="D364" s="266">
        <f t="shared" si="21"/>
        <v>0</v>
      </c>
    </row>
    <row r="365" spans="1:4" x14ac:dyDescent="0.2">
      <c r="A365" s="153" t="s">
        <v>407</v>
      </c>
      <c r="B365" s="266"/>
      <c r="C365" s="266"/>
      <c r="D365" s="266">
        <f t="shared" si="21"/>
        <v>0</v>
      </c>
    </row>
    <row r="366" spans="1:4" s="36" customFormat="1" x14ac:dyDescent="0.2">
      <c r="A366" s="461" t="s">
        <v>439</v>
      </c>
      <c r="B366" s="491">
        <v>1063386</v>
      </c>
      <c r="C366" s="491">
        <v>-4500</v>
      </c>
      <c r="D366" s="491">
        <f t="shared" si="21"/>
        <v>1058886</v>
      </c>
    </row>
    <row r="367" spans="1:4" s="36" customFormat="1" x14ac:dyDescent="0.2">
      <c r="A367" s="502" t="s">
        <v>394</v>
      </c>
      <c r="B367" s="266">
        <v>311646</v>
      </c>
      <c r="C367" s="266">
        <v>-3358</v>
      </c>
      <c r="D367" s="266">
        <f t="shared" si="21"/>
        <v>308288</v>
      </c>
    </row>
    <row r="368" spans="1:4" x14ac:dyDescent="0.2">
      <c r="A368" s="502"/>
      <c r="B368" s="266"/>
      <c r="C368" s="266"/>
      <c r="D368" s="266">
        <f t="shared" si="21"/>
        <v>0</v>
      </c>
    </row>
    <row r="369" spans="1:4" x14ac:dyDescent="0.2">
      <c r="A369" s="153" t="s">
        <v>407</v>
      </c>
      <c r="B369" s="266"/>
      <c r="C369" s="266"/>
      <c r="D369" s="266">
        <f t="shared" si="21"/>
        <v>0</v>
      </c>
    </row>
    <row r="370" spans="1:4" x14ac:dyDescent="0.2">
      <c r="A370" s="461" t="s">
        <v>440</v>
      </c>
      <c r="B370" s="491">
        <v>474601</v>
      </c>
      <c r="C370" s="491">
        <v>2351</v>
      </c>
      <c r="D370" s="491">
        <f t="shared" si="21"/>
        <v>476952</v>
      </c>
    </row>
    <row r="371" spans="1:4" s="36" customFormat="1" x14ac:dyDescent="0.2">
      <c r="A371" s="502" t="s">
        <v>394</v>
      </c>
      <c r="B371" s="266">
        <v>127543</v>
      </c>
      <c r="C371" s="266"/>
      <c r="D371" s="266">
        <f t="shared" si="21"/>
        <v>127543</v>
      </c>
    </row>
    <row r="372" spans="1:4" s="36" customFormat="1" x14ac:dyDescent="0.2">
      <c r="A372" s="502"/>
      <c r="B372" s="491"/>
      <c r="C372" s="491"/>
      <c r="D372" s="491">
        <f t="shared" si="21"/>
        <v>0</v>
      </c>
    </row>
    <row r="373" spans="1:4" x14ac:dyDescent="0.2">
      <c r="A373" s="235" t="s">
        <v>441</v>
      </c>
      <c r="B373" s="264">
        <f>B376</f>
        <v>3950000</v>
      </c>
      <c r="C373" s="264"/>
      <c r="D373" s="264">
        <f t="shared" si="21"/>
        <v>3950000</v>
      </c>
    </row>
    <row r="374" spans="1:4" x14ac:dyDescent="0.2">
      <c r="A374" s="235"/>
      <c r="B374" s="264"/>
      <c r="C374" s="264"/>
      <c r="D374" s="264">
        <f t="shared" si="21"/>
        <v>0</v>
      </c>
    </row>
    <row r="375" spans="1:4" x14ac:dyDescent="0.2">
      <c r="A375" s="153" t="s">
        <v>407</v>
      </c>
      <c r="B375" s="264"/>
      <c r="C375" s="264"/>
      <c r="D375" s="264">
        <f t="shared" si="21"/>
        <v>0</v>
      </c>
    </row>
    <row r="376" spans="1:4" ht="25.5" x14ac:dyDescent="0.2">
      <c r="A376" s="461" t="s">
        <v>442</v>
      </c>
      <c r="B376" s="491">
        <v>3950000</v>
      </c>
      <c r="C376" s="491"/>
      <c r="D376" s="491">
        <f t="shared" si="21"/>
        <v>3950000</v>
      </c>
    </row>
    <row r="377" spans="1:4" x14ac:dyDescent="0.2">
      <c r="A377" s="461"/>
      <c r="B377" s="491"/>
      <c r="C377" s="491"/>
      <c r="D377" s="491">
        <f t="shared" si="21"/>
        <v>0</v>
      </c>
    </row>
    <row r="378" spans="1:4" ht="15" x14ac:dyDescent="0.2">
      <c r="A378" s="238" t="s">
        <v>443</v>
      </c>
      <c r="B378" s="143">
        <f>B379</f>
        <v>675409</v>
      </c>
      <c r="C378" s="143">
        <f t="shared" ref="C378" si="23">C379</f>
        <v>-81747</v>
      </c>
      <c r="D378" s="143">
        <f t="shared" si="21"/>
        <v>593662</v>
      </c>
    </row>
    <row r="379" spans="1:4" x14ac:dyDescent="0.2">
      <c r="A379" s="235" t="s">
        <v>918</v>
      </c>
      <c r="B379" s="264">
        <f>B383+B387</f>
        <v>675409</v>
      </c>
      <c r="C379" s="264">
        <f t="shared" ref="C379:C380" si="24">C383+C387</f>
        <v>-81747</v>
      </c>
      <c r="D379" s="264">
        <f t="shared" si="21"/>
        <v>593662</v>
      </c>
    </row>
    <row r="380" spans="1:4" x14ac:dyDescent="0.2">
      <c r="A380" s="137" t="s">
        <v>394</v>
      </c>
      <c r="B380" s="266">
        <f>B384+B388</f>
        <v>375852</v>
      </c>
      <c r="C380" s="266">
        <f t="shared" si="24"/>
        <v>-46287</v>
      </c>
      <c r="D380" s="266">
        <f t="shared" si="21"/>
        <v>329565</v>
      </c>
    </row>
    <row r="381" spans="1:4" x14ac:dyDescent="0.2">
      <c r="A381" s="137"/>
      <c r="B381" s="266"/>
      <c r="C381" s="266"/>
      <c r="D381" s="266">
        <f t="shared" ref="D381:D443" si="25">B381+C381</f>
        <v>0</v>
      </c>
    </row>
    <row r="382" spans="1:4" x14ac:dyDescent="0.2">
      <c r="A382" s="153" t="s">
        <v>407</v>
      </c>
      <c r="B382" s="266"/>
      <c r="C382" s="266"/>
      <c r="D382" s="266">
        <f t="shared" si="25"/>
        <v>0</v>
      </c>
    </row>
    <row r="383" spans="1:4" x14ac:dyDescent="0.2">
      <c r="A383" s="461" t="s">
        <v>444</v>
      </c>
      <c r="B383" s="491">
        <v>495546</v>
      </c>
      <c r="C383" s="491">
        <v>-68757</v>
      </c>
      <c r="D383" s="491">
        <f t="shared" si="25"/>
        <v>426789</v>
      </c>
    </row>
    <row r="384" spans="1:4" x14ac:dyDescent="0.2">
      <c r="A384" s="502" t="s">
        <v>394</v>
      </c>
      <c r="B384" s="266">
        <v>265296</v>
      </c>
      <c r="C384" s="266">
        <v>-40405</v>
      </c>
      <c r="D384" s="266">
        <f t="shared" si="25"/>
        <v>224891</v>
      </c>
    </row>
    <row r="385" spans="1:4" x14ac:dyDescent="0.2">
      <c r="A385" s="231"/>
      <c r="B385" s="266"/>
      <c r="C385" s="266"/>
      <c r="D385" s="266">
        <f t="shared" si="25"/>
        <v>0</v>
      </c>
    </row>
    <row r="386" spans="1:4" x14ac:dyDescent="0.2">
      <c r="A386" s="153" t="s">
        <v>407</v>
      </c>
      <c r="B386" s="266"/>
      <c r="C386" s="266"/>
      <c r="D386" s="266">
        <f t="shared" si="25"/>
        <v>0</v>
      </c>
    </row>
    <row r="387" spans="1:4" x14ac:dyDescent="0.2">
      <c r="A387" s="461" t="s">
        <v>754</v>
      </c>
      <c r="B387" s="491">
        <v>179863</v>
      </c>
      <c r="C387" s="491">
        <v>-12990</v>
      </c>
      <c r="D387" s="491">
        <f t="shared" si="25"/>
        <v>166873</v>
      </c>
    </row>
    <row r="388" spans="1:4" x14ac:dyDescent="0.2">
      <c r="A388" s="502" t="s">
        <v>394</v>
      </c>
      <c r="B388" s="266">
        <v>110556</v>
      </c>
      <c r="C388" s="266">
        <v>-5882</v>
      </c>
      <c r="D388" s="266">
        <f t="shared" si="25"/>
        <v>104674</v>
      </c>
    </row>
    <row r="389" spans="1:4" x14ac:dyDescent="0.2">
      <c r="A389" s="461"/>
      <c r="B389" s="491"/>
      <c r="C389" s="491"/>
      <c r="D389" s="491">
        <f t="shared" si="25"/>
        <v>0</v>
      </c>
    </row>
    <row r="390" spans="1:4" x14ac:dyDescent="0.2">
      <c r="A390" s="243" t="s">
        <v>392</v>
      </c>
      <c r="B390" s="264">
        <f>B392+B395+B398+B408+B416</f>
        <v>2008696</v>
      </c>
      <c r="C390" s="264">
        <f>C392+C395+C398+C408+C416</f>
        <v>20981</v>
      </c>
      <c r="D390" s="264">
        <f t="shared" si="25"/>
        <v>2029677</v>
      </c>
    </row>
    <row r="391" spans="1:4" x14ac:dyDescent="0.2">
      <c r="A391" s="438"/>
      <c r="B391" s="491"/>
      <c r="C391" s="491"/>
      <c r="D391" s="491">
        <f t="shared" si="25"/>
        <v>0</v>
      </c>
    </row>
    <row r="392" spans="1:4" x14ac:dyDescent="0.2">
      <c r="A392" s="156" t="s">
        <v>917</v>
      </c>
      <c r="B392" s="491">
        <v>512531</v>
      </c>
      <c r="C392" s="491">
        <v>-33091</v>
      </c>
      <c r="D392" s="491">
        <f t="shared" si="25"/>
        <v>479440</v>
      </c>
    </row>
    <row r="393" spans="1:4" x14ac:dyDescent="0.2">
      <c r="A393" s="127" t="s">
        <v>394</v>
      </c>
      <c r="B393" s="266">
        <v>354190</v>
      </c>
      <c r="C393" s="266">
        <v>-27512</v>
      </c>
      <c r="D393" s="266">
        <f t="shared" si="25"/>
        <v>326678</v>
      </c>
    </row>
    <row r="394" spans="1:4" x14ac:dyDescent="0.2">
      <c r="A394" s="127"/>
      <c r="B394" s="266"/>
      <c r="C394" s="266"/>
      <c r="D394" s="266">
        <f t="shared" si="25"/>
        <v>0</v>
      </c>
    </row>
    <row r="395" spans="1:4" x14ac:dyDescent="0.2">
      <c r="A395" s="156" t="s">
        <v>446</v>
      </c>
      <c r="B395" s="491">
        <v>200000</v>
      </c>
      <c r="C395" s="491"/>
      <c r="D395" s="491">
        <f t="shared" si="25"/>
        <v>200000</v>
      </c>
    </row>
    <row r="396" spans="1:4" x14ac:dyDescent="0.2">
      <c r="A396" s="157" t="s">
        <v>781</v>
      </c>
      <c r="B396" s="271">
        <v>200000</v>
      </c>
      <c r="C396" s="271"/>
      <c r="D396" s="271">
        <f t="shared" si="25"/>
        <v>200000</v>
      </c>
    </row>
    <row r="397" spans="1:4" x14ac:dyDescent="0.2">
      <c r="A397" s="438"/>
      <c r="B397" s="491"/>
      <c r="C397" s="491"/>
      <c r="D397" s="491">
        <f t="shared" si="25"/>
        <v>0</v>
      </c>
    </row>
    <row r="398" spans="1:4" x14ac:dyDescent="0.2">
      <c r="A398" s="156" t="s">
        <v>447</v>
      </c>
      <c r="B398" s="491">
        <f>642490+15000</f>
        <v>657490</v>
      </c>
      <c r="C398" s="491"/>
      <c r="D398" s="491">
        <f t="shared" si="25"/>
        <v>657490</v>
      </c>
    </row>
    <row r="399" spans="1:4" x14ac:dyDescent="0.2">
      <c r="A399" s="157" t="s">
        <v>825</v>
      </c>
      <c r="B399" s="271">
        <v>64000</v>
      </c>
      <c r="C399" s="271"/>
      <c r="D399" s="271">
        <f t="shared" si="25"/>
        <v>64000</v>
      </c>
    </row>
    <row r="400" spans="1:4" x14ac:dyDescent="0.2">
      <c r="A400" s="244" t="s">
        <v>809</v>
      </c>
      <c r="B400" s="271">
        <v>45000</v>
      </c>
      <c r="C400" s="271"/>
      <c r="D400" s="271">
        <f t="shared" si="25"/>
        <v>45000</v>
      </c>
    </row>
    <row r="401" spans="1:4" x14ac:dyDescent="0.2">
      <c r="A401" s="244" t="s">
        <v>181</v>
      </c>
      <c r="B401" s="271">
        <v>130000</v>
      </c>
      <c r="C401" s="271"/>
      <c r="D401" s="271">
        <f t="shared" si="25"/>
        <v>130000</v>
      </c>
    </row>
    <row r="402" spans="1:4" s="36" customFormat="1" x14ac:dyDescent="0.2">
      <c r="A402" s="244" t="s">
        <v>182</v>
      </c>
      <c r="B402" s="271">
        <v>64170</v>
      </c>
      <c r="C402" s="271"/>
      <c r="D402" s="271">
        <f t="shared" si="25"/>
        <v>64170</v>
      </c>
    </row>
    <row r="403" spans="1:4" s="36" customFormat="1" x14ac:dyDescent="0.2">
      <c r="A403" s="244" t="s">
        <v>183</v>
      </c>
      <c r="B403" s="271">
        <v>273320</v>
      </c>
      <c r="C403" s="271"/>
      <c r="D403" s="271">
        <f t="shared" si="25"/>
        <v>273320</v>
      </c>
    </row>
    <row r="404" spans="1:4" s="36" customFormat="1" x14ac:dyDescent="0.2">
      <c r="A404" s="244" t="s">
        <v>879</v>
      </c>
      <c r="B404" s="271">
        <v>15000</v>
      </c>
      <c r="C404" s="271"/>
      <c r="D404" s="271">
        <f t="shared" si="25"/>
        <v>15000</v>
      </c>
    </row>
    <row r="405" spans="1:4" s="36" customFormat="1" x14ac:dyDescent="0.2">
      <c r="A405" s="292" t="s">
        <v>448</v>
      </c>
      <c r="B405" s="271">
        <v>2000</v>
      </c>
      <c r="C405" s="271"/>
      <c r="D405" s="271">
        <f t="shared" si="25"/>
        <v>2000</v>
      </c>
    </row>
    <row r="406" spans="1:4" s="36" customFormat="1" x14ac:dyDescent="0.2">
      <c r="A406" s="244" t="s">
        <v>184</v>
      </c>
      <c r="B406" s="271">
        <v>64000</v>
      </c>
      <c r="C406" s="271"/>
      <c r="D406" s="271">
        <f t="shared" si="25"/>
        <v>64000</v>
      </c>
    </row>
    <row r="407" spans="1:4" s="36" customFormat="1" x14ac:dyDescent="0.2">
      <c r="A407" s="438"/>
      <c r="B407" s="491"/>
      <c r="C407" s="491"/>
      <c r="D407" s="491">
        <f t="shared" si="25"/>
        <v>0</v>
      </c>
    </row>
    <row r="408" spans="1:4" x14ac:dyDescent="0.2">
      <c r="A408" s="156" t="s">
        <v>449</v>
      </c>
      <c r="B408" s="491">
        <v>574675</v>
      </c>
      <c r="C408" s="491">
        <f>500-76460+130032</f>
        <v>54072</v>
      </c>
      <c r="D408" s="491">
        <f t="shared" si="25"/>
        <v>628747</v>
      </c>
    </row>
    <row r="409" spans="1:4" x14ac:dyDescent="0.2">
      <c r="A409" s="127" t="s">
        <v>394</v>
      </c>
      <c r="B409" s="266">
        <v>4151</v>
      </c>
      <c r="C409" s="266">
        <v>786</v>
      </c>
      <c r="D409" s="266">
        <f t="shared" si="25"/>
        <v>4937</v>
      </c>
    </row>
    <row r="410" spans="1:4" x14ac:dyDescent="0.2">
      <c r="A410" s="137" t="s">
        <v>810</v>
      </c>
      <c r="B410" s="266">
        <v>223690</v>
      </c>
      <c r="C410" s="266"/>
      <c r="D410" s="266">
        <f t="shared" si="25"/>
        <v>223690</v>
      </c>
    </row>
    <row r="411" spans="1:4" x14ac:dyDescent="0.2">
      <c r="A411" s="137" t="s">
        <v>811</v>
      </c>
      <c r="B411" s="266">
        <v>114690</v>
      </c>
      <c r="C411" s="266">
        <v>-76460</v>
      </c>
      <c r="D411" s="266">
        <f t="shared" si="25"/>
        <v>38230</v>
      </c>
    </row>
    <row r="412" spans="1:4" x14ac:dyDescent="0.2">
      <c r="A412" s="131" t="s">
        <v>1062</v>
      </c>
      <c r="B412" s="266"/>
      <c r="C412" s="266">
        <v>33000</v>
      </c>
      <c r="D412" s="266"/>
    </row>
    <row r="413" spans="1:4" x14ac:dyDescent="0.2">
      <c r="A413" s="131" t="s">
        <v>896</v>
      </c>
      <c r="B413" s="266"/>
      <c r="C413" s="266">
        <f>127032-33000</f>
        <v>94032</v>
      </c>
      <c r="D413" s="266">
        <f t="shared" si="25"/>
        <v>94032</v>
      </c>
    </row>
    <row r="414" spans="1:4" x14ac:dyDescent="0.2">
      <c r="A414" s="131" t="s">
        <v>921</v>
      </c>
      <c r="B414" s="266"/>
      <c r="C414" s="266">
        <v>3000</v>
      </c>
      <c r="D414" s="266">
        <f t="shared" si="25"/>
        <v>3000</v>
      </c>
    </row>
    <row r="415" spans="1:4" x14ac:dyDescent="0.2">
      <c r="A415" s="131"/>
      <c r="B415" s="266"/>
      <c r="C415" s="266"/>
      <c r="D415" s="266">
        <f t="shared" si="25"/>
        <v>0</v>
      </c>
    </row>
    <row r="416" spans="1:4" s="36" customFormat="1" x14ac:dyDescent="0.2">
      <c r="A416" s="156" t="s">
        <v>185</v>
      </c>
      <c r="B416" s="491">
        <v>64000</v>
      </c>
      <c r="C416" s="491"/>
      <c r="D416" s="491">
        <f t="shared" si="25"/>
        <v>64000</v>
      </c>
    </row>
    <row r="417" spans="1:4" x14ac:dyDescent="0.2">
      <c r="A417" s="156"/>
      <c r="B417" s="491"/>
      <c r="C417" s="264"/>
      <c r="D417" s="264">
        <f t="shared" si="25"/>
        <v>0</v>
      </c>
    </row>
    <row r="418" spans="1:4" x14ac:dyDescent="0.2">
      <c r="A418" s="156"/>
      <c r="B418" s="491"/>
      <c r="C418" s="492"/>
      <c r="D418" s="492">
        <f t="shared" si="25"/>
        <v>0</v>
      </c>
    </row>
    <row r="419" spans="1:4" ht="15.75" x14ac:dyDescent="0.2">
      <c r="A419" s="138" t="s">
        <v>378</v>
      </c>
      <c r="B419" s="159"/>
      <c r="C419" s="492"/>
      <c r="D419" s="492">
        <f t="shared" si="25"/>
        <v>0</v>
      </c>
    </row>
    <row r="420" spans="1:4" x14ac:dyDescent="0.2">
      <c r="A420" s="550"/>
      <c r="B420" s="491"/>
      <c r="C420" s="492"/>
      <c r="D420" s="492">
        <f t="shared" si="25"/>
        <v>0</v>
      </c>
    </row>
    <row r="421" spans="1:4" x14ac:dyDescent="0.2">
      <c r="A421" s="133" t="s">
        <v>386</v>
      </c>
      <c r="B421" s="160">
        <f>B429+B529</f>
        <v>27565728</v>
      </c>
      <c r="C421" s="513">
        <f>C429+C529</f>
        <v>43205</v>
      </c>
      <c r="D421" s="513">
        <f t="shared" si="25"/>
        <v>27608933</v>
      </c>
    </row>
    <row r="422" spans="1:4" s="36" customFormat="1" x14ac:dyDescent="0.2">
      <c r="A422" s="123" t="s">
        <v>422</v>
      </c>
      <c r="B422" s="17">
        <v>1278000</v>
      </c>
      <c r="C422" s="17"/>
      <c r="D422" s="17">
        <f t="shared" si="25"/>
        <v>1278000</v>
      </c>
    </row>
    <row r="423" spans="1:4" x14ac:dyDescent="0.2">
      <c r="A423" s="134" t="s">
        <v>387</v>
      </c>
      <c r="B423" s="160">
        <f>B424+B425+B427+B426</f>
        <v>27565728</v>
      </c>
      <c r="C423" s="513">
        <f>C424+C425+C426+C427</f>
        <v>43205</v>
      </c>
      <c r="D423" s="513">
        <f t="shared" si="25"/>
        <v>27608933</v>
      </c>
    </row>
    <row r="424" spans="1:4" x14ac:dyDescent="0.2">
      <c r="A424" s="135" t="s">
        <v>388</v>
      </c>
      <c r="B424" s="161">
        <f>'2.2 OMATULUD'!B329</f>
        <v>2118686</v>
      </c>
      <c r="C424" s="17">
        <f>'2.2 OMATULUD'!C329</f>
        <v>-22909</v>
      </c>
      <c r="D424" s="17">
        <f t="shared" si="25"/>
        <v>2095777</v>
      </c>
    </row>
    <row r="425" spans="1:4" x14ac:dyDescent="0.2">
      <c r="A425" s="136" t="s">
        <v>360</v>
      </c>
      <c r="B425" s="161">
        <f>B582+B588</f>
        <v>79823</v>
      </c>
      <c r="C425" s="17">
        <f>C593</f>
        <v>7900</v>
      </c>
      <c r="D425" s="17">
        <f t="shared" si="25"/>
        <v>87723</v>
      </c>
    </row>
    <row r="426" spans="1:4" ht="25.5" x14ac:dyDescent="0.2">
      <c r="A426" s="141" t="s">
        <v>404</v>
      </c>
      <c r="B426" s="161">
        <f>B583</f>
        <v>3690</v>
      </c>
      <c r="C426" s="17"/>
      <c r="D426" s="17">
        <f t="shared" si="25"/>
        <v>3690</v>
      </c>
    </row>
    <row r="427" spans="1:4" x14ac:dyDescent="0.2">
      <c r="A427" s="136" t="s">
        <v>389</v>
      </c>
      <c r="B427" s="161">
        <f>B421-B424-B425-B426</f>
        <v>25363529</v>
      </c>
      <c r="C427" s="17">
        <f>C421-C424-C425-C426</f>
        <v>58214</v>
      </c>
      <c r="D427" s="17">
        <f t="shared" si="25"/>
        <v>25421743</v>
      </c>
    </row>
    <row r="428" spans="1:4" x14ac:dyDescent="0.2">
      <c r="A428" s="438"/>
      <c r="B428" s="547"/>
      <c r="C428" s="492"/>
      <c r="D428" s="492">
        <f t="shared" si="25"/>
        <v>0</v>
      </c>
    </row>
    <row r="429" spans="1:4" s="36" customFormat="1" ht="15" x14ac:dyDescent="0.2">
      <c r="A429" s="238" t="s">
        <v>906</v>
      </c>
      <c r="B429" s="272">
        <f>B430+B458+B467+B505</f>
        <v>10667820</v>
      </c>
      <c r="C429" s="514">
        <f>C430+C458+C467+C505</f>
        <v>104541</v>
      </c>
      <c r="D429" s="514">
        <f t="shared" si="25"/>
        <v>10772361</v>
      </c>
    </row>
    <row r="430" spans="1:4" s="36" customFormat="1" x14ac:dyDescent="0.2">
      <c r="A430" s="235" t="s">
        <v>451</v>
      </c>
      <c r="B430" s="264">
        <f>B433+B436+B439+B442+B445+B448+B452+B455</f>
        <v>3192840</v>
      </c>
      <c r="C430" s="513">
        <f>C433+C436+C439+C442+C445+C448+C452+C455</f>
        <v>128367</v>
      </c>
      <c r="D430" s="513">
        <f t="shared" si="25"/>
        <v>3321207</v>
      </c>
    </row>
    <row r="431" spans="1:4" s="36" customFormat="1" x14ac:dyDescent="0.2">
      <c r="A431" s="137" t="s">
        <v>394</v>
      </c>
      <c r="B431" s="149">
        <f>B449+B456</f>
        <v>1073662</v>
      </c>
      <c r="C431" s="475">
        <f>C449+C456</f>
        <v>25520</v>
      </c>
      <c r="D431" s="475">
        <f t="shared" si="25"/>
        <v>1099182</v>
      </c>
    </row>
    <row r="432" spans="1:4" s="36" customFormat="1" x14ac:dyDescent="0.2">
      <c r="A432" s="153" t="s">
        <v>407</v>
      </c>
      <c r="B432" s="491"/>
      <c r="C432" s="492"/>
      <c r="D432" s="492">
        <f t="shared" si="25"/>
        <v>0</v>
      </c>
    </row>
    <row r="433" spans="1:4" x14ac:dyDescent="0.2">
      <c r="A433" s="461" t="s">
        <v>186</v>
      </c>
      <c r="B433" s="491">
        <v>943000</v>
      </c>
      <c r="C433" s="492">
        <v>39000</v>
      </c>
      <c r="D433" s="492">
        <f t="shared" si="25"/>
        <v>982000</v>
      </c>
    </row>
    <row r="434" spans="1:4" x14ac:dyDescent="0.2">
      <c r="A434" s="425"/>
      <c r="B434" s="491"/>
      <c r="C434" s="492"/>
      <c r="D434" s="492">
        <f t="shared" si="25"/>
        <v>0</v>
      </c>
    </row>
    <row r="435" spans="1:4" x14ac:dyDescent="0.2">
      <c r="A435" s="153" t="s">
        <v>407</v>
      </c>
      <c r="B435" s="491"/>
      <c r="C435" s="492"/>
      <c r="D435" s="492">
        <f t="shared" si="25"/>
        <v>0</v>
      </c>
    </row>
    <row r="436" spans="1:4" x14ac:dyDescent="0.2">
      <c r="A436" s="461" t="s">
        <v>187</v>
      </c>
      <c r="B436" s="491">
        <v>28250</v>
      </c>
      <c r="C436" s="492"/>
      <c r="D436" s="492">
        <f t="shared" si="25"/>
        <v>28250</v>
      </c>
    </row>
    <row r="437" spans="1:4" x14ac:dyDescent="0.2">
      <c r="A437" s="425"/>
      <c r="B437" s="491"/>
      <c r="C437" s="492"/>
      <c r="D437" s="492">
        <f t="shared" si="25"/>
        <v>0</v>
      </c>
    </row>
    <row r="438" spans="1:4" x14ac:dyDescent="0.2">
      <c r="A438" s="153" t="s">
        <v>407</v>
      </c>
      <c r="B438" s="491"/>
      <c r="C438" s="492"/>
      <c r="D438" s="492">
        <f t="shared" si="25"/>
        <v>0</v>
      </c>
    </row>
    <row r="439" spans="1:4" x14ac:dyDescent="0.2">
      <c r="A439" s="461" t="s">
        <v>188</v>
      </c>
      <c r="B439" s="507">
        <v>227855</v>
      </c>
      <c r="C439" s="492"/>
      <c r="D439" s="492">
        <f t="shared" si="25"/>
        <v>227855</v>
      </c>
    </row>
    <row r="440" spans="1:4" x14ac:dyDescent="0.2">
      <c r="A440" s="425"/>
      <c r="B440" s="491"/>
      <c r="C440" s="492"/>
      <c r="D440" s="492">
        <f t="shared" si="25"/>
        <v>0</v>
      </c>
    </row>
    <row r="441" spans="1:4" s="36" customFormat="1" x14ac:dyDescent="0.2">
      <c r="A441" s="153" t="s">
        <v>407</v>
      </c>
      <c r="B441" s="491"/>
      <c r="C441" s="492"/>
      <c r="D441" s="492">
        <f t="shared" si="25"/>
        <v>0</v>
      </c>
    </row>
    <row r="442" spans="1:4" s="36" customFormat="1" x14ac:dyDescent="0.2">
      <c r="A442" s="461" t="s">
        <v>189</v>
      </c>
      <c r="B442" s="507">
        <v>164350</v>
      </c>
      <c r="C442" s="492"/>
      <c r="D442" s="492">
        <f t="shared" si="25"/>
        <v>164350</v>
      </c>
    </row>
    <row r="443" spans="1:4" s="36" customFormat="1" x14ac:dyDescent="0.2">
      <c r="A443" s="246"/>
      <c r="B443" s="491"/>
      <c r="C443" s="492"/>
      <c r="D443" s="492">
        <f t="shared" si="25"/>
        <v>0</v>
      </c>
    </row>
    <row r="444" spans="1:4" x14ac:dyDescent="0.2">
      <c r="A444" s="153" t="s">
        <v>407</v>
      </c>
      <c r="B444" s="491"/>
      <c r="C444" s="492"/>
      <c r="D444" s="492">
        <f t="shared" ref="D444:D507" si="26">B444+C444</f>
        <v>0</v>
      </c>
    </row>
    <row r="445" spans="1:4" s="36" customFormat="1" x14ac:dyDescent="0.2">
      <c r="A445" s="461" t="s">
        <v>190</v>
      </c>
      <c r="B445" s="507">
        <v>14575</v>
      </c>
      <c r="C445" s="492"/>
      <c r="D445" s="492">
        <f t="shared" si="26"/>
        <v>14575</v>
      </c>
    </row>
    <row r="446" spans="1:4" x14ac:dyDescent="0.2">
      <c r="A446" s="438"/>
      <c r="B446" s="491"/>
      <c r="C446" s="492"/>
      <c r="D446" s="492">
        <f t="shared" si="26"/>
        <v>0</v>
      </c>
    </row>
    <row r="447" spans="1:4" x14ac:dyDescent="0.2">
      <c r="A447" s="153" t="s">
        <v>407</v>
      </c>
      <c r="B447" s="491"/>
      <c r="C447" s="492"/>
      <c r="D447" s="492">
        <f t="shared" si="26"/>
        <v>0</v>
      </c>
    </row>
    <row r="448" spans="1:4" x14ac:dyDescent="0.2">
      <c r="A448" s="461" t="s">
        <v>452</v>
      </c>
      <c r="B448" s="507">
        <v>1474705</v>
      </c>
      <c r="C448" s="492">
        <f>-2283+88450</f>
        <v>86167</v>
      </c>
      <c r="D448" s="492">
        <f t="shared" si="26"/>
        <v>1560872</v>
      </c>
    </row>
    <row r="449" spans="1:4" x14ac:dyDescent="0.2">
      <c r="A449" s="502" t="s">
        <v>394</v>
      </c>
      <c r="B449" s="266">
        <v>886108</v>
      </c>
      <c r="C449" s="475">
        <v>25520</v>
      </c>
      <c r="D449" s="475">
        <f t="shared" si="26"/>
        <v>911628</v>
      </c>
    </row>
    <row r="450" spans="1:4" x14ac:dyDescent="0.2">
      <c r="A450" s="425"/>
      <c r="B450" s="491"/>
      <c r="C450" s="492"/>
      <c r="D450" s="492">
        <f t="shared" si="26"/>
        <v>0</v>
      </c>
    </row>
    <row r="451" spans="1:4" x14ac:dyDescent="0.2">
      <c r="A451" s="153" t="s">
        <v>407</v>
      </c>
      <c r="B451" s="491"/>
      <c r="C451" s="492"/>
      <c r="D451" s="492">
        <f t="shared" si="26"/>
        <v>0</v>
      </c>
    </row>
    <row r="452" spans="1:4" ht="25.5" x14ac:dyDescent="0.2">
      <c r="A452" s="461" t="s">
        <v>453</v>
      </c>
      <c r="B452" s="491">
        <v>20775</v>
      </c>
      <c r="C452" s="492"/>
      <c r="D452" s="492">
        <f t="shared" si="26"/>
        <v>20775</v>
      </c>
    </row>
    <row r="453" spans="1:4" x14ac:dyDescent="0.2">
      <c r="A453" s="425"/>
      <c r="B453" s="491"/>
      <c r="C453" s="492"/>
      <c r="D453" s="492">
        <f t="shared" si="26"/>
        <v>0</v>
      </c>
    </row>
    <row r="454" spans="1:4" x14ac:dyDescent="0.2">
      <c r="A454" s="153" t="s">
        <v>407</v>
      </c>
      <c r="B454" s="507"/>
      <c r="C454" s="492"/>
      <c r="D454" s="492">
        <f t="shared" si="26"/>
        <v>0</v>
      </c>
    </row>
    <row r="455" spans="1:4" ht="25.5" x14ac:dyDescent="0.2">
      <c r="A455" s="461" t="s">
        <v>454</v>
      </c>
      <c r="B455" s="507">
        <f>322330-3000</f>
        <v>319330</v>
      </c>
      <c r="C455" s="492">
        <v>3200</v>
      </c>
      <c r="D455" s="492">
        <f t="shared" si="26"/>
        <v>322530</v>
      </c>
    </row>
    <row r="456" spans="1:4" x14ac:dyDescent="0.2">
      <c r="A456" s="502" t="s">
        <v>394</v>
      </c>
      <c r="B456" s="266">
        <v>187554</v>
      </c>
      <c r="C456" s="475"/>
      <c r="D456" s="475">
        <f t="shared" si="26"/>
        <v>187554</v>
      </c>
    </row>
    <row r="457" spans="1:4" x14ac:dyDescent="0.2">
      <c r="A457" s="247"/>
      <c r="B457" s="491"/>
      <c r="C457" s="492"/>
      <c r="D457" s="492">
        <f t="shared" si="26"/>
        <v>0</v>
      </c>
    </row>
    <row r="458" spans="1:4" x14ac:dyDescent="0.2">
      <c r="A458" s="235" t="s">
        <v>455</v>
      </c>
      <c r="B458" s="264">
        <f>B461+B465</f>
        <v>4046990</v>
      </c>
      <c r="C458" s="513">
        <f>C461+C465</f>
        <v>0</v>
      </c>
      <c r="D458" s="513">
        <f t="shared" si="26"/>
        <v>4046990</v>
      </c>
    </row>
    <row r="459" spans="1:4" s="36" customFormat="1" x14ac:dyDescent="0.2">
      <c r="A459" s="137" t="s">
        <v>394</v>
      </c>
      <c r="B459" s="149">
        <f>B462</f>
        <v>1134909</v>
      </c>
      <c r="C459" s="475">
        <f>C462</f>
        <v>0</v>
      </c>
      <c r="D459" s="475">
        <f t="shared" si="26"/>
        <v>1134909</v>
      </c>
    </row>
    <row r="460" spans="1:4" s="36" customFormat="1" x14ac:dyDescent="0.2">
      <c r="A460" s="153" t="s">
        <v>407</v>
      </c>
      <c r="B460" s="515"/>
      <c r="C460" s="492"/>
      <c r="D460" s="492">
        <f t="shared" si="26"/>
        <v>0</v>
      </c>
    </row>
    <row r="461" spans="1:4" s="36" customFormat="1" x14ac:dyDescent="0.2">
      <c r="A461" s="461" t="s">
        <v>456</v>
      </c>
      <c r="B461" s="491">
        <v>4022320</v>
      </c>
      <c r="C461" s="492"/>
      <c r="D461" s="492">
        <f t="shared" si="26"/>
        <v>4022320</v>
      </c>
    </row>
    <row r="462" spans="1:4" s="36" customFormat="1" x14ac:dyDescent="0.2">
      <c r="A462" s="502" t="s">
        <v>394</v>
      </c>
      <c r="B462" s="266">
        <v>1134909</v>
      </c>
      <c r="C462" s="475"/>
      <c r="D462" s="475">
        <f t="shared" si="26"/>
        <v>1134909</v>
      </c>
    </row>
    <row r="463" spans="1:4" s="36" customFormat="1" x14ac:dyDescent="0.2">
      <c r="A463" s="438"/>
      <c r="B463" s="491"/>
      <c r="C463" s="492"/>
      <c r="D463" s="492">
        <f t="shared" si="26"/>
        <v>0</v>
      </c>
    </row>
    <row r="464" spans="1:4" x14ac:dyDescent="0.2">
      <c r="A464" s="153" t="s">
        <v>407</v>
      </c>
      <c r="B464" s="491"/>
      <c r="C464" s="492"/>
      <c r="D464" s="492">
        <f t="shared" si="26"/>
        <v>0</v>
      </c>
    </row>
    <row r="465" spans="1:4" s="36" customFormat="1" ht="25.5" x14ac:dyDescent="0.2">
      <c r="A465" s="461" t="s">
        <v>191</v>
      </c>
      <c r="B465" s="491">
        <v>24670</v>
      </c>
      <c r="C465" s="492"/>
      <c r="D465" s="492">
        <f t="shared" si="26"/>
        <v>24670</v>
      </c>
    </row>
    <row r="466" spans="1:4" x14ac:dyDescent="0.2">
      <c r="A466" s="551"/>
      <c r="B466" s="491"/>
      <c r="C466" s="492"/>
      <c r="D466" s="492">
        <f t="shared" si="26"/>
        <v>0</v>
      </c>
    </row>
    <row r="467" spans="1:4" x14ac:dyDescent="0.2">
      <c r="A467" s="235" t="s">
        <v>457</v>
      </c>
      <c r="B467" s="264">
        <f>B470+B473+B477+B481+B486+B490+B494+B498+B502</f>
        <v>2855365</v>
      </c>
      <c r="C467" s="513">
        <f>C470+C473+C477+C481+C486+C490+C494+C498+C502</f>
        <v>-13826</v>
      </c>
      <c r="D467" s="513">
        <f t="shared" si="26"/>
        <v>2841539</v>
      </c>
    </row>
    <row r="468" spans="1:4" x14ac:dyDescent="0.2">
      <c r="A468" s="137" t="s">
        <v>394</v>
      </c>
      <c r="B468" s="266">
        <f>B474+B478+B482+B487+B491+B495+B499+B503</f>
        <v>1579914</v>
      </c>
      <c r="C468" s="475">
        <f>C474+C478+C482+C487+C491+C495+C499+C503</f>
        <v>0</v>
      </c>
      <c r="D468" s="475">
        <f t="shared" si="26"/>
        <v>1579914</v>
      </c>
    </row>
    <row r="469" spans="1:4" x14ac:dyDescent="0.2">
      <c r="A469" s="153" t="s">
        <v>407</v>
      </c>
      <c r="B469" s="266"/>
      <c r="C469" s="492"/>
      <c r="D469" s="492">
        <f t="shared" si="26"/>
        <v>0</v>
      </c>
    </row>
    <row r="470" spans="1:4" s="36" customFormat="1" x14ac:dyDescent="0.2">
      <c r="A470" s="461" t="s">
        <v>192</v>
      </c>
      <c r="B470" s="491">
        <v>37135</v>
      </c>
      <c r="C470" s="492"/>
      <c r="D470" s="492">
        <f t="shared" si="26"/>
        <v>37135</v>
      </c>
    </row>
    <row r="471" spans="1:4" s="36" customFormat="1" x14ac:dyDescent="0.2">
      <c r="A471" s="425"/>
      <c r="B471" s="491"/>
      <c r="C471" s="492"/>
      <c r="D471" s="492">
        <f t="shared" si="26"/>
        <v>0</v>
      </c>
    </row>
    <row r="472" spans="1:4" x14ac:dyDescent="0.2">
      <c r="A472" s="153" t="s">
        <v>407</v>
      </c>
      <c r="B472" s="491"/>
      <c r="C472" s="492"/>
      <c r="D472" s="492">
        <f t="shared" si="26"/>
        <v>0</v>
      </c>
    </row>
    <row r="473" spans="1:4" x14ac:dyDescent="0.2">
      <c r="A473" s="461" t="s">
        <v>458</v>
      </c>
      <c r="B473" s="491">
        <v>292930</v>
      </c>
      <c r="C473" s="492"/>
      <c r="D473" s="492">
        <f t="shared" si="26"/>
        <v>292930</v>
      </c>
    </row>
    <row r="474" spans="1:4" x14ac:dyDescent="0.2">
      <c r="A474" s="502" t="s">
        <v>394</v>
      </c>
      <c r="B474" s="266">
        <v>186254</v>
      </c>
      <c r="C474" s="475"/>
      <c r="D474" s="475">
        <f t="shared" si="26"/>
        <v>186254</v>
      </c>
    </row>
    <row r="475" spans="1:4" x14ac:dyDescent="0.2">
      <c r="A475" s="248"/>
      <c r="B475" s="491"/>
      <c r="C475" s="492"/>
      <c r="D475" s="492">
        <f t="shared" si="26"/>
        <v>0</v>
      </c>
    </row>
    <row r="476" spans="1:4" x14ac:dyDescent="0.2">
      <c r="A476" s="153" t="s">
        <v>407</v>
      </c>
      <c r="B476" s="507"/>
      <c r="C476" s="492"/>
      <c r="D476" s="492">
        <f t="shared" si="26"/>
        <v>0</v>
      </c>
    </row>
    <row r="477" spans="1:4" x14ac:dyDescent="0.2">
      <c r="A477" s="461" t="s">
        <v>193</v>
      </c>
      <c r="B477" s="491">
        <v>47135</v>
      </c>
      <c r="C477" s="492"/>
      <c r="D477" s="492">
        <f t="shared" si="26"/>
        <v>47135</v>
      </c>
    </row>
    <row r="478" spans="1:4" s="36" customFormat="1" x14ac:dyDescent="0.2">
      <c r="A478" s="502" t="s">
        <v>394</v>
      </c>
      <c r="B478" s="266">
        <v>20000</v>
      </c>
      <c r="C478" s="475"/>
      <c r="D478" s="475">
        <f t="shared" si="26"/>
        <v>20000</v>
      </c>
    </row>
    <row r="479" spans="1:4" x14ac:dyDescent="0.2">
      <c r="A479" s="243"/>
      <c r="B479" s="491"/>
      <c r="C479" s="492"/>
      <c r="D479" s="492">
        <f t="shared" si="26"/>
        <v>0</v>
      </c>
    </row>
    <row r="480" spans="1:4" x14ac:dyDescent="0.2">
      <c r="A480" s="153" t="s">
        <v>407</v>
      </c>
      <c r="B480" s="491"/>
      <c r="C480" s="492"/>
      <c r="D480" s="492">
        <f t="shared" si="26"/>
        <v>0</v>
      </c>
    </row>
    <row r="481" spans="1:4" x14ac:dyDescent="0.2">
      <c r="A481" s="461" t="s">
        <v>194</v>
      </c>
      <c r="B481" s="491">
        <f>141665-15000</f>
        <v>126665</v>
      </c>
      <c r="C481" s="492">
        <f>C483</f>
        <v>10000</v>
      </c>
      <c r="D481" s="492">
        <f t="shared" si="26"/>
        <v>136665</v>
      </c>
    </row>
    <row r="482" spans="1:4" s="36" customFormat="1" x14ac:dyDescent="0.2">
      <c r="A482" s="502" t="s">
        <v>394</v>
      </c>
      <c r="B482" s="266">
        <v>9587</v>
      </c>
      <c r="C482" s="475"/>
      <c r="D482" s="475">
        <f t="shared" si="26"/>
        <v>9587</v>
      </c>
    </row>
    <row r="483" spans="1:4" s="36" customFormat="1" x14ac:dyDescent="0.2">
      <c r="A483" s="237" t="s">
        <v>101</v>
      </c>
      <c r="B483" s="266">
        <v>47934</v>
      </c>
      <c r="C483" s="475">
        <v>10000</v>
      </c>
      <c r="D483" s="475">
        <f t="shared" si="26"/>
        <v>57934</v>
      </c>
    </row>
    <row r="484" spans="1:4" s="36" customFormat="1" x14ac:dyDescent="0.2">
      <c r="A484" s="425"/>
      <c r="B484" s="491"/>
      <c r="C484" s="492"/>
      <c r="D484" s="492">
        <f t="shared" si="26"/>
        <v>0</v>
      </c>
    </row>
    <row r="485" spans="1:4" s="36" customFormat="1" x14ac:dyDescent="0.2">
      <c r="A485" s="153" t="s">
        <v>407</v>
      </c>
      <c r="B485" s="507"/>
      <c r="C485" s="492"/>
      <c r="D485" s="492">
        <f t="shared" si="26"/>
        <v>0</v>
      </c>
    </row>
    <row r="486" spans="1:4" s="36" customFormat="1" x14ac:dyDescent="0.2">
      <c r="A486" s="461" t="s">
        <v>459</v>
      </c>
      <c r="B486" s="491">
        <v>380875</v>
      </c>
      <c r="C486" s="492"/>
      <c r="D486" s="492">
        <f t="shared" si="26"/>
        <v>380875</v>
      </c>
    </row>
    <row r="487" spans="1:4" x14ac:dyDescent="0.2">
      <c r="A487" s="502" t="s">
        <v>394</v>
      </c>
      <c r="B487" s="266">
        <v>222093</v>
      </c>
      <c r="C487" s="475"/>
      <c r="D487" s="475">
        <f t="shared" si="26"/>
        <v>222093</v>
      </c>
    </row>
    <row r="488" spans="1:4" x14ac:dyDescent="0.2">
      <c r="A488" s="249"/>
      <c r="B488" s="491"/>
      <c r="C488" s="492"/>
      <c r="D488" s="492">
        <f t="shared" si="26"/>
        <v>0</v>
      </c>
    </row>
    <row r="489" spans="1:4" x14ac:dyDescent="0.2">
      <c r="A489" s="153" t="s">
        <v>407</v>
      </c>
      <c r="B489" s="491"/>
      <c r="C489" s="492"/>
      <c r="D489" s="492">
        <f t="shared" si="26"/>
        <v>0</v>
      </c>
    </row>
    <row r="490" spans="1:4" x14ac:dyDescent="0.2">
      <c r="A490" s="461" t="s">
        <v>195</v>
      </c>
      <c r="B490" s="507">
        <v>16045</v>
      </c>
      <c r="C490" s="492"/>
      <c r="D490" s="492">
        <f t="shared" si="26"/>
        <v>16045</v>
      </c>
    </row>
    <row r="491" spans="1:4" x14ac:dyDescent="0.2">
      <c r="A491" s="502" t="s">
        <v>394</v>
      </c>
      <c r="B491" s="266">
        <v>959</v>
      </c>
      <c r="C491" s="475"/>
      <c r="D491" s="475">
        <f t="shared" si="26"/>
        <v>959</v>
      </c>
    </row>
    <row r="492" spans="1:4" x14ac:dyDescent="0.2">
      <c r="A492" s="438"/>
      <c r="B492" s="491"/>
      <c r="C492" s="492"/>
      <c r="D492" s="492">
        <f t="shared" si="26"/>
        <v>0</v>
      </c>
    </row>
    <row r="493" spans="1:4" s="36" customFormat="1" x14ac:dyDescent="0.2">
      <c r="A493" s="153" t="s">
        <v>407</v>
      </c>
      <c r="B493" s="491"/>
      <c r="C493" s="492"/>
      <c r="D493" s="492">
        <f t="shared" si="26"/>
        <v>0</v>
      </c>
    </row>
    <row r="494" spans="1:4" x14ac:dyDescent="0.2">
      <c r="A494" s="461" t="s">
        <v>460</v>
      </c>
      <c r="B494" s="507">
        <v>738855</v>
      </c>
      <c r="C494" s="492">
        <v>-23826</v>
      </c>
      <c r="D494" s="492">
        <f t="shared" si="26"/>
        <v>715029</v>
      </c>
    </row>
    <row r="495" spans="1:4" x14ac:dyDescent="0.2">
      <c r="A495" s="502" t="s">
        <v>394</v>
      </c>
      <c r="B495" s="266">
        <v>449491</v>
      </c>
      <c r="C495" s="475"/>
      <c r="D495" s="475">
        <f t="shared" si="26"/>
        <v>449491</v>
      </c>
    </row>
    <row r="496" spans="1:4" x14ac:dyDescent="0.2">
      <c r="A496" s="438"/>
      <c r="B496" s="491"/>
      <c r="C496" s="492"/>
      <c r="D496" s="492">
        <f t="shared" si="26"/>
        <v>0</v>
      </c>
    </row>
    <row r="497" spans="1:4" x14ac:dyDescent="0.2">
      <c r="A497" s="153" t="s">
        <v>407</v>
      </c>
      <c r="B497" s="273"/>
      <c r="C497" s="492"/>
      <c r="D497" s="492">
        <f t="shared" si="26"/>
        <v>0</v>
      </c>
    </row>
    <row r="498" spans="1:4" x14ac:dyDescent="0.2">
      <c r="A498" s="461" t="s">
        <v>196</v>
      </c>
      <c r="B498" s="492">
        <v>1124725</v>
      </c>
      <c r="C498" s="492"/>
      <c r="D498" s="492">
        <f t="shared" si="26"/>
        <v>1124725</v>
      </c>
    </row>
    <row r="499" spans="1:4" x14ac:dyDescent="0.2">
      <c r="A499" s="502" t="s">
        <v>394</v>
      </c>
      <c r="B499" s="266">
        <v>686922</v>
      </c>
      <c r="C499" s="475"/>
      <c r="D499" s="475">
        <f t="shared" si="26"/>
        <v>686922</v>
      </c>
    </row>
    <row r="500" spans="1:4" s="36" customFormat="1" x14ac:dyDescent="0.2">
      <c r="A500" s="249"/>
      <c r="B500" s="491"/>
      <c r="C500" s="492"/>
      <c r="D500" s="492">
        <f t="shared" si="26"/>
        <v>0</v>
      </c>
    </row>
    <row r="501" spans="1:4" x14ac:dyDescent="0.2">
      <c r="A501" s="153" t="s">
        <v>407</v>
      </c>
      <c r="B501" s="491"/>
      <c r="C501" s="492"/>
      <c r="D501" s="492">
        <f t="shared" si="26"/>
        <v>0</v>
      </c>
    </row>
    <row r="502" spans="1:4" s="36" customFormat="1" x14ac:dyDescent="0.2">
      <c r="A502" s="461" t="s">
        <v>461</v>
      </c>
      <c r="B502" s="491">
        <v>91000</v>
      </c>
      <c r="C502" s="492"/>
      <c r="D502" s="492">
        <f t="shared" si="26"/>
        <v>91000</v>
      </c>
    </row>
    <row r="503" spans="1:4" x14ac:dyDescent="0.2">
      <c r="A503" s="502" t="s">
        <v>394</v>
      </c>
      <c r="B503" s="266">
        <v>4608</v>
      </c>
      <c r="C503" s="475"/>
      <c r="D503" s="475">
        <f t="shared" si="26"/>
        <v>4608</v>
      </c>
    </row>
    <row r="504" spans="1:4" x14ac:dyDescent="0.2">
      <c r="A504" s="425"/>
      <c r="B504" s="491"/>
      <c r="C504" s="492"/>
      <c r="D504" s="492">
        <f t="shared" si="26"/>
        <v>0</v>
      </c>
    </row>
    <row r="505" spans="1:4" ht="25.5" x14ac:dyDescent="0.2">
      <c r="A505" s="250" t="s">
        <v>462</v>
      </c>
      <c r="B505" s="264">
        <f>B507+B510+B513+B516+B519+B524+B527</f>
        <v>572625</v>
      </c>
      <c r="C505" s="513">
        <f>C507+C510+C513+C516+C519+C524+C527</f>
        <v>-10000</v>
      </c>
      <c r="D505" s="513">
        <f t="shared" si="26"/>
        <v>562625</v>
      </c>
    </row>
    <row r="506" spans="1:4" x14ac:dyDescent="0.2">
      <c r="A506" s="153" t="s">
        <v>407</v>
      </c>
      <c r="B506" s="264"/>
      <c r="C506" s="492"/>
      <c r="D506" s="492">
        <f t="shared" si="26"/>
        <v>0</v>
      </c>
    </row>
    <row r="507" spans="1:4" ht="25.5" x14ac:dyDescent="0.2">
      <c r="A507" s="461" t="s">
        <v>197</v>
      </c>
      <c r="B507" s="491">
        <v>153390</v>
      </c>
      <c r="C507" s="492"/>
      <c r="D507" s="492">
        <f t="shared" si="26"/>
        <v>153390</v>
      </c>
    </row>
    <row r="508" spans="1:4" s="36" customFormat="1" x14ac:dyDescent="0.2">
      <c r="A508" s="551"/>
      <c r="B508" s="491"/>
      <c r="C508" s="492"/>
      <c r="D508" s="492">
        <f t="shared" ref="D508:D571" si="27">B508+C508</f>
        <v>0</v>
      </c>
    </row>
    <row r="509" spans="1:4" x14ac:dyDescent="0.2">
      <c r="A509" s="153" t="s">
        <v>407</v>
      </c>
      <c r="B509" s="491"/>
      <c r="C509" s="492"/>
      <c r="D509" s="492">
        <f t="shared" si="27"/>
        <v>0</v>
      </c>
    </row>
    <row r="510" spans="1:4" x14ac:dyDescent="0.2">
      <c r="A510" s="461" t="s">
        <v>198</v>
      </c>
      <c r="B510" s="491">
        <v>119515</v>
      </c>
      <c r="C510" s="492"/>
      <c r="D510" s="492">
        <f t="shared" si="27"/>
        <v>119515</v>
      </c>
    </row>
    <row r="511" spans="1:4" x14ac:dyDescent="0.2">
      <c r="A511" s="551"/>
      <c r="B511" s="491"/>
      <c r="C511" s="492"/>
      <c r="D511" s="492">
        <f t="shared" si="27"/>
        <v>0</v>
      </c>
    </row>
    <row r="512" spans="1:4" x14ac:dyDescent="0.2">
      <c r="A512" s="153" t="s">
        <v>407</v>
      </c>
      <c r="B512" s="491"/>
      <c r="C512" s="492"/>
      <c r="D512" s="492">
        <f t="shared" si="27"/>
        <v>0</v>
      </c>
    </row>
    <row r="513" spans="1:4" x14ac:dyDescent="0.2">
      <c r="A513" s="461" t="s">
        <v>199</v>
      </c>
      <c r="B513" s="491">
        <f>100345+4800</f>
        <v>105145</v>
      </c>
      <c r="C513" s="492"/>
      <c r="D513" s="492">
        <f t="shared" si="27"/>
        <v>105145</v>
      </c>
    </row>
    <row r="514" spans="1:4" x14ac:dyDescent="0.2">
      <c r="A514" s="438"/>
      <c r="B514" s="491"/>
      <c r="C514" s="492"/>
      <c r="D514" s="492">
        <f t="shared" si="27"/>
        <v>0</v>
      </c>
    </row>
    <row r="515" spans="1:4" x14ac:dyDescent="0.2">
      <c r="A515" s="153" t="s">
        <v>407</v>
      </c>
      <c r="B515" s="491"/>
      <c r="C515" s="492"/>
      <c r="D515" s="492">
        <f t="shared" si="27"/>
        <v>0</v>
      </c>
    </row>
    <row r="516" spans="1:4" x14ac:dyDescent="0.2">
      <c r="A516" s="461" t="s">
        <v>200</v>
      </c>
      <c r="B516" s="507">
        <v>9590</v>
      </c>
      <c r="C516" s="492"/>
      <c r="D516" s="492">
        <f t="shared" si="27"/>
        <v>9590</v>
      </c>
    </row>
    <row r="517" spans="1:4" x14ac:dyDescent="0.2">
      <c r="A517" s="438"/>
      <c r="B517" s="491"/>
      <c r="C517" s="492"/>
      <c r="D517" s="492">
        <f t="shared" si="27"/>
        <v>0</v>
      </c>
    </row>
    <row r="518" spans="1:4" x14ac:dyDescent="0.2">
      <c r="A518" s="153" t="s">
        <v>407</v>
      </c>
      <c r="B518" s="491"/>
      <c r="C518" s="492"/>
      <c r="D518" s="492">
        <f t="shared" si="27"/>
        <v>0</v>
      </c>
    </row>
    <row r="519" spans="1:4" x14ac:dyDescent="0.2">
      <c r="A519" s="461" t="s">
        <v>201</v>
      </c>
      <c r="B519" s="507">
        <v>59695</v>
      </c>
      <c r="C519" s="492">
        <v>-10000</v>
      </c>
      <c r="D519" s="492">
        <f t="shared" si="27"/>
        <v>49695</v>
      </c>
    </row>
    <row r="520" spans="1:4" x14ac:dyDescent="0.2">
      <c r="A520" s="360" t="s">
        <v>739</v>
      </c>
      <c r="B520" s="491"/>
      <c r="C520" s="492"/>
      <c r="D520" s="492">
        <f t="shared" si="27"/>
        <v>0</v>
      </c>
    </row>
    <row r="521" spans="1:4" x14ac:dyDescent="0.2">
      <c r="A521" s="251" t="s">
        <v>202</v>
      </c>
      <c r="B521" s="273"/>
      <c r="C521" s="492"/>
      <c r="D521" s="492">
        <f t="shared" si="27"/>
        <v>0</v>
      </c>
    </row>
    <row r="522" spans="1:4" x14ac:dyDescent="0.2">
      <c r="A522" s="231"/>
      <c r="B522" s="273"/>
      <c r="C522" s="492"/>
      <c r="D522" s="492">
        <f t="shared" si="27"/>
        <v>0</v>
      </c>
    </row>
    <row r="523" spans="1:4" x14ac:dyDescent="0.2">
      <c r="A523" s="153" t="s">
        <v>407</v>
      </c>
      <c r="B523" s="491"/>
      <c r="C523" s="492"/>
      <c r="D523" s="492">
        <f t="shared" si="27"/>
        <v>0</v>
      </c>
    </row>
    <row r="524" spans="1:4" x14ac:dyDescent="0.2">
      <c r="A524" s="461" t="s">
        <v>463</v>
      </c>
      <c r="B524" s="491">
        <v>14175</v>
      </c>
      <c r="C524" s="492"/>
      <c r="D524" s="492">
        <f t="shared" si="27"/>
        <v>14175</v>
      </c>
    </row>
    <row r="525" spans="1:4" x14ac:dyDescent="0.2">
      <c r="A525" s="551"/>
      <c r="B525" s="491"/>
      <c r="C525" s="492"/>
      <c r="D525" s="492">
        <f t="shared" si="27"/>
        <v>0</v>
      </c>
    </row>
    <row r="526" spans="1:4" x14ac:dyDescent="0.2">
      <c r="A526" s="153" t="s">
        <v>407</v>
      </c>
      <c r="B526" s="491"/>
      <c r="C526" s="492"/>
      <c r="D526" s="492">
        <f t="shared" si="27"/>
        <v>0</v>
      </c>
    </row>
    <row r="527" spans="1:4" x14ac:dyDescent="0.2">
      <c r="A527" s="461" t="s">
        <v>203</v>
      </c>
      <c r="B527" s="491">
        <f>121115-10000</f>
        <v>111115</v>
      </c>
      <c r="C527" s="492"/>
      <c r="D527" s="492">
        <f t="shared" si="27"/>
        <v>111115</v>
      </c>
    </row>
    <row r="528" spans="1:4" x14ac:dyDescent="0.2">
      <c r="A528" s="425"/>
      <c r="B528" s="491"/>
      <c r="C528" s="492"/>
      <c r="D528" s="492">
        <f t="shared" si="27"/>
        <v>0</v>
      </c>
    </row>
    <row r="529" spans="1:4" x14ac:dyDescent="0.2">
      <c r="A529" s="243" t="s">
        <v>392</v>
      </c>
      <c r="B529" s="306">
        <f>B531+B595</f>
        <v>16897908</v>
      </c>
      <c r="C529" s="513">
        <f>C531+C595</f>
        <v>-61336</v>
      </c>
      <c r="D529" s="513">
        <f t="shared" si="27"/>
        <v>16836572</v>
      </c>
    </row>
    <row r="530" spans="1:4" x14ac:dyDescent="0.2">
      <c r="A530" s="163"/>
      <c r="B530" s="264"/>
      <c r="C530" s="513"/>
      <c r="D530" s="513">
        <f t="shared" si="27"/>
        <v>0</v>
      </c>
    </row>
    <row r="531" spans="1:4" x14ac:dyDescent="0.2">
      <c r="A531" s="252" t="s">
        <v>907</v>
      </c>
      <c r="B531" s="274">
        <f>B533+B536+B538+B541+B543+B562+B564+B566+B579+B585</f>
        <v>14652262</v>
      </c>
      <c r="C531" s="277">
        <f>C533+C536+C538+C541+C543+C562+C564+C566+C579+C585+C590</f>
        <v>-58903</v>
      </c>
      <c r="D531" s="277">
        <f t="shared" si="27"/>
        <v>14593359</v>
      </c>
    </row>
    <row r="532" spans="1:4" x14ac:dyDescent="0.2">
      <c r="A532" s="163"/>
      <c r="B532" s="274"/>
      <c r="C532" s="492"/>
      <c r="D532" s="492">
        <f t="shared" si="27"/>
        <v>0</v>
      </c>
    </row>
    <row r="533" spans="1:4" x14ac:dyDescent="0.2">
      <c r="A533" s="129" t="s">
        <v>916</v>
      </c>
      <c r="B533" s="491">
        <v>990366</v>
      </c>
      <c r="C533" s="491">
        <v>-92590</v>
      </c>
      <c r="D533" s="491">
        <f t="shared" si="27"/>
        <v>897776</v>
      </c>
    </row>
    <row r="534" spans="1:4" x14ac:dyDescent="0.2">
      <c r="A534" s="127" t="s">
        <v>394</v>
      </c>
      <c r="B534" s="266">
        <v>609028</v>
      </c>
      <c r="C534" s="266">
        <v>-68310</v>
      </c>
      <c r="D534" s="266">
        <f t="shared" si="27"/>
        <v>540718</v>
      </c>
    </row>
    <row r="535" spans="1:4" x14ac:dyDescent="0.2">
      <c r="A535" s="438"/>
      <c r="B535" s="266"/>
      <c r="C535" s="492"/>
      <c r="D535" s="492">
        <f t="shared" si="27"/>
        <v>0</v>
      </c>
    </row>
    <row r="536" spans="1:4" x14ac:dyDescent="0.2">
      <c r="A536" s="129" t="s">
        <v>204</v>
      </c>
      <c r="B536" s="491">
        <v>1093945</v>
      </c>
      <c r="C536" s="491">
        <v>100000</v>
      </c>
      <c r="D536" s="491">
        <f t="shared" si="27"/>
        <v>1193945</v>
      </c>
    </row>
    <row r="537" spans="1:4" x14ac:dyDescent="0.2">
      <c r="A537" s="438"/>
      <c r="B537" s="491"/>
      <c r="C537" s="492"/>
      <c r="D537" s="492">
        <f t="shared" si="27"/>
        <v>0</v>
      </c>
    </row>
    <row r="538" spans="1:4" x14ac:dyDescent="0.2">
      <c r="A538" s="129" t="s">
        <v>466</v>
      </c>
      <c r="B538" s="491">
        <f>1790748-15000</f>
        <v>1775748</v>
      </c>
      <c r="C538" s="492"/>
      <c r="D538" s="492">
        <f t="shared" si="27"/>
        <v>1775748</v>
      </c>
    </row>
    <row r="539" spans="1:4" x14ac:dyDescent="0.2">
      <c r="A539" s="127" t="s">
        <v>394</v>
      </c>
      <c r="B539" s="266">
        <f>950167-9340</f>
        <v>940827</v>
      </c>
      <c r="C539" s="475"/>
      <c r="D539" s="475">
        <f t="shared" si="27"/>
        <v>940827</v>
      </c>
    </row>
    <row r="540" spans="1:4" x14ac:dyDescent="0.2">
      <c r="A540" s="127"/>
      <c r="B540" s="266"/>
      <c r="C540" s="492"/>
      <c r="D540" s="492">
        <f t="shared" si="27"/>
        <v>0</v>
      </c>
    </row>
    <row r="541" spans="1:4" x14ac:dyDescent="0.2">
      <c r="A541" s="129" t="s">
        <v>205</v>
      </c>
      <c r="B541" s="491">
        <v>131705</v>
      </c>
      <c r="C541" s="492"/>
      <c r="D541" s="492">
        <f t="shared" si="27"/>
        <v>131705</v>
      </c>
    </row>
    <row r="542" spans="1:4" x14ac:dyDescent="0.2">
      <c r="A542" s="164"/>
      <c r="B542" s="491"/>
      <c r="C542" s="492"/>
      <c r="D542" s="492">
        <f t="shared" si="27"/>
        <v>0</v>
      </c>
    </row>
    <row r="543" spans="1:4" x14ac:dyDescent="0.2">
      <c r="A543" s="129" t="s">
        <v>87</v>
      </c>
      <c r="B543" s="17">
        <f>B545+B556</f>
        <v>10469545</v>
      </c>
      <c r="C543" s="17">
        <f>C545+C556</f>
        <v>-100000</v>
      </c>
      <c r="D543" s="17">
        <f t="shared" si="27"/>
        <v>10369545</v>
      </c>
    </row>
    <row r="544" spans="1:4" x14ac:dyDescent="0.2">
      <c r="A544" s="129"/>
      <c r="B544" s="491"/>
      <c r="C544" s="492"/>
      <c r="D544" s="492">
        <f t="shared" si="27"/>
        <v>0</v>
      </c>
    </row>
    <row r="545" spans="1:4" x14ac:dyDescent="0.2">
      <c r="A545" s="552" t="s">
        <v>467</v>
      </c>
      <c r="B545" s="491">
        <f>SUM(B546:B554)</f>
        <v>3515680</v>
      </c>
      <c r="C545" s="492">
        <f>C546+C547+C548+C549+C550+C551+C552+C553+C554</f>
        <v>-83000</v>
      </c>
      <c r="D545" s="492">
        <f t="shared" si="27"/>
        <v>3432680</v>
      </c>
    </row>
    <row r="546" spans="1:4" x14ac:dyDescent="0.2">
      <c r="A546" s="136" t="s">
        <v>468</v>
      </c>
      <c r="B546" s="266">
        <v>44440</v>
      </c>
      <c r="C546" s="475"/>
      <c r="D546" s="475">
        <f t="shared" si="27"/>
        <v>44440</v>
      </c>
    </row>
    <row r="547" spans="1:4" x14ac:dyDescent="0.2">
      <c r="A547" s="136" t="s">
        <v>469</v>
      </c>
      <c r="B547" s="266">
        <v>150000</v>
      </c>
      <c r="C547" s="475"/>
      <c r="D547" s="475">
        <f t="shared" si="27"/>
        <v>150000</v>
      </c>
    </row>
    <row r="548" spans="1:4" x14ac:dyDescent="0.2">
      <c r="A548" s="136" t="s">
        <v>206</v>
      </c>
      <c r="B548" s="266">
        <v>1207325</v>
      </c>
      <c r="C548" s="475"/>
      <c r="D548" s="475">
        <f t="shared" si="27"/>
        <v>1207325</v>
      </c>
    </row>
    <row r="549" spans="1:4" x14ac:dyDescent="0.2">
      <c r="A549" s="136" t="s">
        <v>207</v>
      </c>
      <c r="B549" s="266">
        <v>25565</v>
      </c>
      <c r="C549" s="475"/>
      <c r="D549" s="475">
        <f t="shared" si="27"/>
        <v>25565</v>
      </c>
    </row>
    <row r="550" spans="1:4" x14ac:dyDescent="0.2">
      <c r="A550" s="253" t="s">
        <v>755</v>
      </c>
      <c r="B550" s="266">
        <v>1227230</v>
      </c>
      <c r="C550" s="266">
        <v>-100000</v>
      </c>
      <c r="D550" s="266">
        <f t="shared" si="27"/>
        <v>1127230</v>
      </c>
    </row>
    <row r="551" spans="1:4" x14ac:dyDescent="0.2">
      <c r="A551" s="253" t="s">
        <v>470</v>
      </c>
      <c r="B551" s="266">
        <v>750000</v>
      </c>
      <c r="C551" s="475"/>
      <c r="D551" s="475">
        <f t="shared" si="27"/>
        <v>750000</v>
      </c>
    </row>
    <row r="552" spans="1:4" x14ac:dyDescent="0.2">
      <c r="A552" s="136" t="s">
        <v>471</v>
      </c>
      <c r="B552" s="266">
        <v>53430</v>
      </c>
      <c r="C552" s="475">
        <v>17000</v>
      </c>
      <c r="D552" s="475">
        <f t="shared" si="27"/>
        <v>70430</v>
      </c>
    </row>
    <row r="553" spans="1:4" x14ac:dyDescent="0.2">
      <c r="A553" s="136" t="s">
        <v>756</v>
      </c>
      <c r="B553" s="266">
        <v>22690</v>
      </c>
      <c r="C553" s="475"/>
      <c r="D553" s="475">
        <f t="shared" si="27"/>
        <v>22690</v>
      </c>
    </row>
    <row r="554" spans="1:4" x14ac:dyDescent="0.2">
      <c r="A554" s="136" t="s">
        <v>841</v>
      </c>
      <c r="B554" s="266">
        <v>35000</v>
      </c>
      <c r="C554" s="475"/>
      <c r="D554" s="475">
        <f t="shared" si="27"/>
        <v>35000</v>
      </c>
    </row>
    <row r="555" spans="1:4" x14ac:dyDescent="0.2">
      <c r="A555" s="245"/>
      <c r="B555" s="266"/>
      <c r="C555" s="492"/>
      <c r="D555" s="492">
        <f t="shared" si="27"/>
        <v>0</v>
      </c>
    </row>
    <row r="556" spans="1:4" x14ac:dyDescent="0.2">
      <c r="A556" s="552" t="s">
        <v>472</v>
      </c>
      <c r="B556" s="491">
        <f>B557</f>
        <v>6953865</v>
      </c>
      <c r="C556" s="492">
        <f>C557</f>
        <v>-17000</v>
      </c>
      <c r="D556" s="492">
        <f t="shared" si="27"/>
        <v>6936865</v>
      </c>
    </row>
    <row r="557" spans="1:4" x14ac:dyDescent="0.2">
      <c r="A557" s="136" t="s">
        <v>853</v>
      </c>
      <c r="B557" s="265">
        <f>B558+B559</f>
        <v>6953865</v>
      </c>
      <c r="C557" s="17">
        <f>C558+C559</f>
        <v>-17000</v>
      </c>
      <c r="D557" s="17">
        <f t="shared" si="27"/>
        <v>6936865</v>
      </c>
    </row>
    <row r="558" spans="1:4" x14ac:dyDescent="0.2">
      <c r="A558" s="165" t="s">
        <v>852</v>
      </c>
      <c r="B558" s="271">
        <v>6950865</v>
      </c>
      <c r="C558" s="273">
        <v>-17000</v>
      </c>
      <c r="D558" s="273">
        <f t="shared" si="27"/>
        <v>6933865</v>
      </c>
    </row>
    <row r="559" spans="1:4" x14ac:dyDescent="0.2">
      <c r="A559" s="166" t="s">
        <v>473</v>
      </c>
      <c r="B559" s="271">
        <v>3000</v>
      </c>
      <c r="C559" s="273"/>
      <c r="D559" s="273">
        <f t="shared" si="27"/>
        <v>3000</v>
      </c>
    </row>
    <row r="560" spans="1:4" x14ac:dyDescent="0.2">
      <c r="A560" s="154" t="s">
        <v>874</v>
      </c>
      <c r="B560" s="271"/>
      <c r="C560" s="492"/>
      <c r="D560" s="492">
        <f t="shared" si="27"/>
        <v>0</v>
      </c>
    </row>
    <row r="561" spans="1:4" x14ac:dyDescent="0.2">
      <c r="A561" s="154"/>
      <c r="B561" s="271"/>
      <c r="C561" s="492"/>
      <c r="D561" s="492">
        <f t="shared" si="27"/>
        <v>0</v>
      </c>
    </row>
    <row r="562" spans="1:4" x14ac:dyDescent="0.2">
      <c r="A562" s="156" t="s">
        <v>474</v>
      </c>
      <c r="B562" s="491">
        <f>3300-1500</f>
        <v>1800</v>
      </c>
      <c r="C562" s="492"/>
      <c r="D562" s="492">
        <f t="shared" si="27"/>
        <v>1800</v>
      </c>
    </row>
    <row r="563" spans="1:4" x14ac:dyDescent="0.2">
      <c r="A563" s="156"/>
      <c r="B563" s="491"/>
      <c r="C563" s="492"/>
      <c r="D563" s="492">
        <f t="shared" si="27"/>
        <v>0</v>
      </c>
    </row>
    <row r="564" spans="1:4" x14ac:dyDescent="0.2">
      <c r="A564" s="129" t="s">
        <v>208</v>
      </c>
      <c r="B564" s="491">
        <f>3190-1500</f>
        <v>1690</v>
      </c>
      <c r="C564" s="492"/>
      <c r="D564" s="492">
        <f t="shared" si="27"/>
        <v>1690</v>
      </c>
    </row>
    <row r="565" spans="1:4" x14ac:dyDescent="0.2">
      <c r="A565" s="129"/>
      <c r="B565" s="491"/>
      <c r="C565" s="492"/>
      <c r="D565" s="492">
        <f t="shared" si="27"/>
        <v>0</v>
      </c>
    </row>
    <row r="566" spans="1:4" x14ac:dyDescent="0.2">
      <c r="A566" s="129" t="s">
        <v>157</v>
      </c>
      <c r="B566" s="491">
        <f>SUM(B567:B576)</f>
        <v>103950</v>
      </c>
      <c r="C566" s="492">
        <f>C577</f>
        <v>25787</v>
      </c>
      <c r="D566" s="492">
        <f t="shared" si="27"/>
        <v>129737</v>
      </c>
    </row>
    <row r="567" spans="1:4" x14ac:dyDescent="0.2">
      <c r="A567" s="180" t="s">
        <v>796</v>
      </c>
      <c r="B567" s="271">
        <v>17575</v>
      </c>
      <c r="C567" s="273"/>
      <c r="D567" s="273">
        <f t="shared" si="27"/>
        <v>17575</v>
      </c>
    </row>
    <row r="568" spans="1:4" x14ac:dyDescent="0.2">
      <c r="A568" s="167" t="s">
        <v>797</v>
      </c>
      <c r="B568" s="271">
        <v>7350</v>
      </c>
      <c r="C568" s="273"/>
      <c r="D568" s="273">
        <f t="shared" si="27"/>
        <v>7350</v>
      </c>
    </row>
    <row r="569" spans="1:4" x14ac:dyDescent="0.2">
      <c r="A569" s="167" t="s">
        <v>143</v>
      </c>
      <c r="B569" s="271">
        <v>3195</v>
      </c>
      <c r="C569" s="273"/>
      <c r="D569" s="273">
        <f t="shared" si="27"/>
        <v>3195</v>
      </c>
    </row>
    <row r="570" spans="1:4" x14ac:dyDescent="0.2">
      <c r="A570" s="167" t="s">
        <v>144</v>
      </c>
      <c r="B570" s="271">
        <v>17575</v>
      </c>
      <c r="C570" s="273"/>
      <c r="D570" s="273">
        <f t="shared" si="27"/>
        <v>17575</v>
      </c>
    </row>
    <row r="571" spans="1:4" x14ac:dyDescent="0.2">
      <c r="A571" s="167" t="s">
        <v>209</v>
      </c>
      <c r="B571" s="271">
        <v>3515</v>
      </c>
      <c r="C571" s="273"/>
      <c r="D571" s="273">
        <f t="shared" si="27"/>
        <v>3515</v>
      </c>
    </row>
    <row r="572" spans="1:4" x14ac:dyDescent="0.2">
      <c r="A572" s="167" t="s">
        <v>210</v>
      </c>
      <c r="B572" s="271">
        <v>1280</v>
      </c>
      <c r="C572" s="273"/>
      <c r="D572" s="273">
        <f t="shared" ref="D572:D635" si="28">B572+C572</f>
        <v>1280</v>
      </c>
    </row>
    <row r="573" spans="1:4" x14ac:dyDescent="0.2">
      <c r="A573" s="167" t="s">
        <v>757</v>
      </c>
      <c r="B573" s="271">
        <v>5500</v>
      </c>
      <c r="C573" s="273"/>
      <c r="D573" s="273">
        <f t="shared" si="28"/>
        <v>5500</v>
      </c>
    </row>
    <row r="574" spans="1:4" ht="22.5" x14ac:dyDescent="0.2">
      <c r="A574" s="167" t="s">
        <v>211</v>
      </c>
      <c r="B574" s="271">
        <v>22370</v>
      </c>
      <c r="C574" s="273"/>
      <c r="D574" s="273">
        <f t="shared" si="28"/>
        <v>22370</v>
      </c>
    </row>
    <row r="575" spans="1:4" x14ac:dyDescent="0.2">
      <c r="A575" s="167" t="s">
        <v>798</v>
      </c>
      <c r="B575" s="271">
        <v>6000</v>
      </c>
      <c r="C575" s="273">
        <v>-1600</v>
      </c>
      <c r="D575" s="273">
        <f t="shared" si="28"/>
        <v>4400</v>
      </c>
    </row>
    <row r="576" spans="1:4" x14ac:dyDescent="0.2">
      <c r="A576" s="167" t="s">
        <v>475</v>
      </c>
      <c r="B576" s="271">
        <v>19590</v>
      </c>
      <c r="C576" s="273">
        <v>1600</v>
      </c>
      <c r="D576" s="273">
        <f t="shared" si="28"/>
        <v>21190</v>
      </c>
    </row>
    <row r="577" spans="1:4" x14ac:dyDescent="0.2">
      <c r="A577" s="167" t="s">
        <v>909</v>
      </c>
      <c r="B577" s="271"/>
      <c r="C577" s="273">
        <v>25787</v>
      </c>
      <c r="D577" s="273">
        <f t="shared" si="28"/>
        <v>25787</v>
      </c>
    </row>
    <row r="578" spans="1:4" x14ac:dyDescent="0.2">
      <c r="A578" s="167"/>
      <c r="B578" s="271"/>
      <c r="C578" s="492"/>
      <c r="D578" s="492">
        <f t="shared" si="28"/>
        <v>0</v>
      </c>
    </row>
    <row r="579" spans="1:4" ht="38.25" x14ac:dyDescent="0.2">
      <c r="A579" s="158" t="s">
        <v>758</v>
      </c>
      <c r="B579" s="491">
        <v>66361</v>
      </c>
      <c r="C579" s="492"/>
      <c r="D579" s="492">
        <f t="shared" si="28"/>
        <v>66361</v>
      </c>
    </row>
    <row r="580" spans="1:4" x14ac:dyDescent="0.2">
      <c r="A580" s="127" t="s">
        <v>394</v>
      </c>
      <c r="B580" s="266">
        <v>44671</v>
      </c>
      <c r="C580" s="475"/>
      <c r="D580" s="475">
        <f t="shared" si="28"/>
        <v>44671</v>
      </c>
    </row>
    <row r="581" spans="1:4" x14ac:dyDescent="0.2">
      <c r="A581" s="127"/>
      <c r="B581" s="266"/>
      <c r="C581" s="492"/>
      <c r="D581" s="492">
        <f t="shared" si="28"/>
        <v>0</v>
      </c>
    </row>
    <row r="582" spans="1:4" x14ac:dyDescent="0.2">
      <c r="A582" s="131" t="s">
        <v>420</v>
      </c>
      <c r="B582" s="266">
        <f>66361-3690</f>
        <v>62671</v>
      </c>
      <c r="C582" s="475"/>
      <c r="D582" s="475">
        <f t="shared" si="28"/>
        <v>62671</v>
      </c>
    </row>
    <row r="583" spans="1:4" ht="24" x14ac:dyDescent="0.2">
      <c r="A583" s="131" t="s">
        <v>421</v>
      </c>
      <c r="B583" s="511">
        <v>3690</v>
      </c>
      <c r="C583" s="475"/>
      <c r="D583" s="475">
        <f t="shared" si="28"/>
        <v>3690</v>
      </c>
    </row>
    <row r="584" spans="1:4" x14ac:dyDescent="0.2">
      <c r="A584" s="167"/>
      <c r="B584" s="147"/>
      <c r="C584" s="492"/>
      <c r="D584" s="492">
        <f t="shared" si="28"/>
        <v>0</v>
      </c>
    </row>
    <row r="585" spans="1:4" ht="25.5" x14ac:dyDescent="0.2">
      <c r="A585" s="419" t="s">
        <v>759</v>
      </c>
      <c r="B585" s="491">
        <v>17152</v>
      </c>
      <c r="C585" s="492"/>
      <c r="D585" s="492">
        <f t="shared" si="28"/>
        <v>17152</v>
      </c>
    </row>
    <row r="586" spans="1:4" x14ac:dyDescent="0.2">
      <c r="A586" s="127" t="s">
        <v>394</v>
      </c>
      <c r="B586" s="266">
        <v>9923</v>
      </c>
      <c r="C586" s="475"/>
      <c r="D586" s="475">
        <f t="shared" si="28"/>
        <v>9923</v>
      </c>
    </row>
    <row r="587" spans="1:4" x14ac:dyDescent="0.2">
      <c r="A587" s="127"/>
      <c r="B587" s="491"/>
      <c r="C587" s="492"/>
      <c r="D587" s="492">
        <f t="shared" si="28"/>
        <v>0</v>
      </c>
    </row>
    <row r="588" spans="1:4" x14ac:dyDescent="0.2">
      <c r="A588" s="131" t="s">
        <v>420</v>
      </c>
      <c r="B588" s="266">
        <v>17152</v>
      </c>
      <c r="C588" s="475"/>
      <c r="D588" s="475">
        <f t="shared" si="28"/>
        <v>17152</v>
      </c>
    </row>
    <row r="589" spans="1:4" x14ac:dyDescent="0.2">
      <c r="A589" s="131"/>
      <c r="B589" s="266"/>
      <c r="C589" s="475"/>
      <c r="D589" s="475">
        <f t="shared" si="28"/>
        <v>0</v>
      </c>
    </row>
    <row r="590" spans="1:4" ht="25.5" x14ac:dyDescent="0.2">
      <c r="A590" s="419" t="s">
        <v>899</v>
      </c>
      <c r="B590" s="491"/>
      <c r="C590" s="492">
        <v>7900</v>
      </c>
      <c r="D590" s="492">
        <f t="shared" si="28"/>
        <v>7900</v>
      </c>
    </row>
    <row r="591" spans="1:4" x14ac:dyDescent="0.2">
      <c r="A591" s="127" t="s">
        <v>394</v>
      </c>
      <c r="B591" s="266"/>
      <c r="C591" s="475">
        <v>5895</v>
      </c>
      <c r="D591" s="475">
        <f t="shared" si="28"/>
        <v>5895</v>
      </c>
    </row>
    <row r="592" spans="1:4" x14ac:dyDescent="0.2">
      <c r="A592" s="127"/>
      <c r="B592" s="491"/>
      <c r="C592" s="492"/>
      <c r="D592" s="492">
        <f t="shared" si="28"/>
        <v>0</v>
      </c>
    </row>
    <row r="593" spans="1:4" x14ac:dyDescent="0.2">
      <c r="A593" s="131" t="s">
        <v>420</v>
      </c>
      <c r="B593" s="266"/>
      <c r="C593" s="475">
        <v>7900</v>
      </c>
      <c r="D593" s="475">
        <f t="shared" si="28"/>
        <v>7900</v>
      </c>
    </row>
    <row r="594" spans="1:4" x14ac:dyDescent="0.2">
      <c r="A594" s="131"/>
      <c r="B594" s="147"/>
      <c r="C594" s="492"/>
      <c r="D594" s="492">
        <f t="shared" si="28"/>
        <v>0</v>
      </c>
    </row>
    <row r="595" spans="1:4" x14ac:dyDescent="0.2">
      <c r="A595" s="168" t="s">
        <v>908</v>
      </c>
      <c r="B595" s="169">
        <f>B597+B600+B603+B608+B612+B614+B616+B618+B620+B622+B624+B626</f>
        <v>2245646</v>
      </c>
      <c r="C595" s="277">
        <f>C597+C600+C603+C608+C612+C614+C616+C618+C620+C622+C624+C626</f>
        <v>-2433</v>
      </c>
      <c r="D595" s="277">
        <f t="shared" si="28"/>
        <v>2243213</v>
      </c>
    </row>
    <row r="596" spans="1:4" x14ac:dyDescent="0.2">
      <c r="A596" s="131"/>
      <c r="B596" s="169"/>
      <c r="C596" s="492"/>
      <c r="D596" s="492">
        <f t="shared" si="28"/>
        <v>0</v>
      </c>
    </row>
    <row r="597" spans="1:4" x14ac:dyDescent="0.2">
      <c r="A597" s="129" t="s">
        <v>476</v>
      </c>
      <c r="B597" s="504">
        <f>B598</f>
        <v>200000</v>
      </c>
      <c r="C597" s="492">
        <v>-47000</v>
      </c>
      <c r="D597" s="492">
        <f t="shared" si="28"/>
        <v>153000</v>
      </c>
    </row>
    <row r="598" spans="1:4" x14ac:dyDescent="0.2">
      <c r="A598" s="163" t="s">
        <v>156</v>
      </c>
      <c r="B598" s="271">
        <v>200000</v>
      </c>
      <c r="C598" s="273"/>
      <c r="D598" s="273">
        <f t="shared" si="28"/>
        <v>200000</v>
      </c>
    </row>
    <row r="599" spans="1:4" x14ac:dyDescent="0.2">
      <c r="A599" s="168"/>
      <c r="B599" s="271"/>
      <c r="C599" s="492"/>
      <c r="D599" s="492">
        <f t="shared" si="28"/>
        <v>0</v>
      </c>
    </row>
    <row r="600" spans="1:4" x14ac:dyDescent="0.2">
      <c r="A600" s="129" t="s">
        <v>477</v>
      </c>
      <c r="B600" s="491">
        <v>193289</v>
      </c>
      <c r="C600" s="492">
        <v>44567</v>
      </c>
      <c r="D600" s="492">
        <f t="shared" si="28"/>
        <v>237856</v>
      </c>
    </row>
    <row r="601" spans="1:4" x14ac:dyDescent="0.2">
      <c r="A601" s="127" t="s">
        <v>394</v>
      </c>
      <c r="B601" s="266">
        <v>87300</v>
      </c>
      <c r="C601" s="475"/>
      <c r="D601" s="475">
        <f t="shared" si="28"/>
        <v>87300</v>
      </c>
    </row>
    <row r="602" spans="1:4" x14ac:dyDescent="0.2">
      <c r="A602" s="168"/>
      <c r="B602" s="266"/>
      <c r="C602" s="492"/>
      <c r="D602" s="492">
        <f t="shared" si="28"/>
        <v>0</v>
      </c>
    </row>
    <row r="603" spans="1:4" x14ac:dyDescent="0.2">
      <c r="A603" s="129" t="s">
        <v>478</v>
      </c>
      <c r="B603" s="491">
        <v>729120</v>
      </c>
      <c r="C603" s="492">
        <f>C605+C606</f>
        <v>0</v>
      </c>
      <c r="D603" s="492">
        <f t="shared" si="28"/>
        <v>729120</v>
      </c>
    </row>
    <row r="604" spans="1:4" x14ac:dyDescent="0.2">
      <c r="A604" s="127" t="s">
        <v>394</v>
      </c>
      <c r="B604" s="266">
        <v>7000</v>
      </c>
      <c r="C604" s="475"/>
      <c r="D604" s="475">
        <f t="shared" si="28"/>
        <v>7000</v>
      </c>
    </row>
    <row r="605" spans="1:4" x14ac:dyDescent="0.2">
      <c r="A605" s="163" t="s">
        <v>88</v>
      </c>
      <c r="B605" s="271">
        <v>451530</v>
      </c>
      <c r="C605" s="273"/>
      <c r="D605" s="273">
        <f t="shared" si="28"/>
        <v>451530</v>
      </c>
    </row>
    <row r="606" spans="1:4" x14ac:dyDescent="0.2">
      <c r="A606" s="154" t="s">
        <v>479</v>
      </c>
      <c r="B606" s="271">
        <v>277590</v>
      </c>
      <c r="C606" s="273"/>
      <c r="D606" s="273">
        <f t="shared" si="28"/>
        <v>277590</v>
      </c>
    </row>
    <row r="607" spans="1:4" x14ac:dyDescent="0.2">
      <c r="A607" s="154"/>
      <c r="B607" s="491"/>
      <c r="C607" s="492"/>
      <c r="D607" s="492">
        <f t="shared" si="28"/>
        <v>0</v>
      </c>
    </row>
    <row r="608" spans="1:4" x14ac:dyDescent="0.2">
      <c r="A608" s="129" t="s">
        <v>794</v>
      </c>
      <c r="B608" s="491">
        <f>B609+B610</f>
        <v>173105</v>
      </c>
      <c r="C608" s="492"/>
      <c r="D608" s="492">
        <f t="shared" si="28"/>
        <v>173105</v>
      </c>
    </row>
    <row r="609" spans="1:4" x14ac:dyDescent="0.2">
      <c r="A609" s="163" t="s">
        <v>782</v>
      </c>
      <c r="B609" s="271">
        <f>17935-5000</f>
        <v>12935</v>
      </c>
      <c r="C609" s="273"/>
      <c r="D609" s="273">
        <f t="shared" si="28"/>
        <v>12935</v>
      </c>
    </row>
    <row r="610" spans="1:4" x14ac:dyDescent="0.2">
      <c r="A610" s="154" t="s">
        <v>783</v>
      </c>
      <c r="B610" s="271">
        <v>160170</v>
      </c>
      <c r="C610" s="273"/>
      <c r="D610" s="273">
        <f t="shared" si="28"/>
        <v>160170</v>
      </c>
    </row>
    <row r="611" spans="1:4" x14ac:dyDescent="0.2">
      <c r="A611" s="170"/>
      <c r="B611" s="491"/>
      <c r="C611" s="492"/>
      <c r="D611" s="492">
        <f t="shared" si="28"/>
        <v>0</v>
      </c>
    </row>
    <row r="612" spans="1:4" s="36" customFormat="1" x14ac:dyDescent="0.2">
      <c r="A612" s="129" t="s">
        <v>145</v>
      </c>
      <c r="B612" s="491">
        <v>353145</v>
      </c>
      <c r="C612" s="492"/>
      <c r="D612" s="492">
        <f t="shared" si="28"/>
        <v>353145</v>
      </c>
    </row>
    <row r="613" spans="1:4" x14ac:dyDescent="0.2">
      <c r="A613" s="170"/>
      <c r="B613" s="491"/>
      <c r="C613" s="492"/>
      <c r="D613" s="492">
        <f t="shared" si="28"/>
        <v>0</v>
      </c>
    </row>
    <row r="614" spans="1:4" x14ac:dyDescent="0.2">
      <c r="A614" s="129" t="s">
        <v>212</v>
      </c>
      <c r="B614" s="491">
        <v>205342</v>
      </c>
      <c r="C614" s="492"/>
      <c r="D614" s="492">
        <f t="shared" si="28"/>
        <v>205342</v>
      </c>
    </row>
    <row r="615" spans="1:4" x14ac:dyDescent="0.2">
      <c r="A615" s="129"/>
      <c r="B615" s="491"/>
      <c r="C615" s="492"/>
      <c r="D615" s="492">
        <f t="shared" si="28"/>
        <v>0</v>
      </c>
    </row>
    <row r="616" spans="1:4" ht="25.5" x14ac:dyDescent="0.2">
      <c r="A616" s="158" t="s">
        <v>818</v>
      </c>
      <c r="B616" s="491">
        <v>26075</v>
      </c>
      <c r="C616" s="492"/>
      <c r="D616" s="492">
        <f t="shared" si="28"/>
        <v>26075</v>
      </c>
    </row>
    <row r="617" spans="1:4" x14ac:dyDescent="0.2">
      <c r="A617" s="158"/>
      <c r="B617" s="491"/>
      <c r="C617" s="492"/>
      <c r="D617" s="492">
        <f t="shared" si="28"/>
        <v>0</v>
      </c>
    </row>
    <row r="618" spans="1:4" s="36" customFormat="1" x14ac:dyDescent="0.2">
      <c r="A618" s="254" t="s">
        <v>213</v>
      </c>
      <c r="B618" s="491">
        <v>207000</v>
      </c>
      <c r="C618" s="492"/>
      <c r="D618" s="492">
        <f t="shared" si="28"/>
        <v>207000</v>
      </c>
    </row>
    <row r="619" spans="1:4" s="36" customFormat="1" x14ac:dyDescent="0.2">
      <c r="A619" s="154"/>
      <c r="B619" s="491"/>
      <c r="C619" s="492"/>
      <c r="D619" s="492">
        <f t="shared" si="28"/>
        <v>0</v>
      </c>
    </row>
    <row r="620" spans="1:4" s="36" customFormat="1" x14ac:dyDescent="0.2">
      <c r="A620" s="129" t="s">
        <v>480</v>
      </c>
      <c r="B620" s="491">
        <v>12230</v>
      </c>
      <c r="C620" s="492"/>
      <c r="D620" s="492">
        <f t="shared" si="28"/>
        <v>12230</v>
      </c>
    </row>
    <row r="621" spans="1:4" x14ac:dyDescent="0.2">
      <c r="A621" s="129"/>
      <c r="B621" s="491"/>
      <c r="C621" s="492"/>
      <c r="D621" s="492">
        <f t="shared" si="28"/>
        <v>0</v>
      </c>
    </row>
    <row r="622" spans="1:4" x14ac:dyDescent="0.2">
      <c r="A622" s="129" t="s">
        <v>800</v>
      </c>
      <c r="B622" s="491">
        <v>19170</v>
      </c>
      <c r="C622" s="492"/>
      <c r="D622" s="492">
        <f t="shared" si="28"/>
        <v>19170</v>
      </c>
    </row>
    <row r="623" spans="1:4" x14ac:dyDescent="0.2">
      <c r="A623" s="129"/>
      <c r="B623" s="491"/>
      <c r="C623" s="492"/>
      <c r="D623" s="492">
        <f t="shared" si="28"/>
        <v>0</v>
      </c>
    </row>
    <row r="624" spans="1:4" x14ac:dyDescent="0.2">
      <c r="A624" s="129" t="s">
        <v>799</v>
      </c>
      <c r="B624" s="491">
        <v>27170</v>
      </c>
      <c r="C624" s="492"/>
      <c r="D624" s="492">
        <f t="shared" si="28"/>
        <v>27170</v>
      </c>
    </row>
    <row r="625" spans="1:4" x14ac:dyDescent="0.2">
      <c r="A625" s="129"/>
      <c r="B625" s="491"/>
      <c r="C625" s="492"/>
      <c r="D625" s="492">
        <f t="shared" si="28"/>
        <v>0</v>
      </c>
    </row>
    <row r="626" spans="1:4" ht="38.25" x14ac:dyDescent="0.2">
      <c r="A626" s="158" t="s">
        <v>804</v>
      </c>
      <c r="B626" s="491">
        <v>100000</v>
      </c>
      <c r="C626" s="492"/>
      <c r="D626" s="492">
        <f t="shared" si="28"/>
        <v>100000</v>
      </c>
    </row>
    <row r="627" spans="1:4" x14ac:dyDescent="0.2">
      <c r="A627" s="158"/>
      <c r="B627" s="491"/>
      <c r="C627" s="492"/>
      <c r="D627" s="492">
        <f t="shared" si="28"/>
        <v>0</v>
      </c>
    </row>
    <row r="628" spans="1:4" x14ac:dyDescent="0.2">
      <c r="A628" s="129"/>
      <c r="B628" s="491"/>
      <c r="C628" s="492"/>
      <c r="D628" s="492">
        <f t="shared" si="28"/>
        <v>0</v>
      </c>
    </row>
    <row r="629" spans="1:4" ht="15.75" x14ac:dyDescent="0.2">
      <c r="A629" s="171" t="s">
        <v>914</v>
      </c>
      <c r="B629" s="139"/>
      <c r="C629" s="492"/>
      <c r="D629" s="492">
        <f t="shared" si="28"/>
        <v>0</v>
      </c>
    </row>
    <row r="630" spans="1:4" x14ac:dyDescent="0.2">
      <c r="A630" s="172"/>
      <c r="B630" s="139"/>
      <c r="C630" s="492"/>
      <c r="D630" s="492">
        <f t="shared" si="28"/>
        <v>0</v>
      </c>
    </row>
    <row r="631" spans="1:4" x14ac:dyDescent="0.2">
      <c r="A631" s="172" t="s">
        <v>386</v>
      </c>
      <c r="B631" s="516">
        <f>SUM(B638,B646)</f>
        <v>16034145</v>
      </c>
      <c r="C631" s="492"/>
      <c r="D631" s="492">
        <f t="shared" si="28"/>
        <v>16034145</v>
      </c>
    </row>
    <row r="632" spans="1:4" x14ac:dyDescent="0.2">
      <c r="A632" s="255" t="s">
        <v>422</v>
      </c>
      <c r="B632" s="420">
        <v>1687660</v>
      </c>
      <c r="C632" s="492"/>
      <c r="D632" s="492">
        <f t="shared" si="28"/>
        <v>1687660</v>
      </c>
    </row>
    <row r="633" spans="1:4" x14ac:dyDescent="0.2">
      <c r="A633" s="173" t="s">
        <v>387</v>
      </c>
      <c r="B633" s="516">
        <f>SUM(B634:B636)</f>
        <v>16034145</v>
      </c>
      <c r="C633" s="492"/>
      <c r="D633" s="492">
        <f t="shared" si="28"/>
        <v>16034145</v>
      </c>
    </row>
    <row r="634" spans="1:4" x14ac:dyDescent="0.2">
      <c r="A634" s="174" t="s">
        <v>388</v>
      </c>
      <c r="B634" s="420">
        <f>'2.2 OMATULUD'!B392</f>
        <v>3368610</v>
      </c>
      <c r="C634" s="492"/>
      <c r="D634" s="492">
        <f t="shared" si="28"/>
        <v>3368610</v>
      </c>
    </row>
    <row r="635" spans="1:4" x14ac:dyDescent="0.2">
      <c r="A635" s="141" t="s">
        <v>360</v>
      </c>
      <c r="B635" s="420">
        <f>B669</f>
        <v>136</v>
      </c>
      <c r="C635" s="492"/>
      <c r="D635" s="492">
        <f t="shared" si="28"/>
        <v>136</v>
      </c>
    </row>
    <row r="636" spans="1:4" x14ac:dyDescent="0.2">
      <c r="A636" s="141" t="s">
        <v>389</v>
      </c>
      <c r="B636" s="420">
        <f>B631-B634-B635</f>
        <v>12665399</v>
      </c>
      <c r="C636" s="492"/>
      <c r="D636" s="492">
        <f t="shared" ref="D636:D699" si="29">B636+C636</f>
        <v>12665399</v>
      </c>
    </row>
    <row r="637" spans="1:4" x14ac:dyDescent="0.2">
      <c r="A637" s="175"/>
      <c r="B637" s="517"/>
      <c r="C637" s="492"/>
      <c r="D637" s="492">
        <f t="shared" si="29"/>
        <v>0</v>
      </c>
    </row>
    <row r="638" spans="1:4" ht="15" x14ac:dyDescent="0.2">
      <c r="A638" s="176" t="s">
        <v>481</v>
      </c>
      <c r="B638" s="518">
        <f>SUM(B639)</f>
        <v>3417600</v>
      </c>
      <c r="C638" s="492"/>
      <c r="D638" s="492">
        <f t="shared" si="29"/>
        <v>3417600</v>
      </c>
    </row>
    <row r="639" spans="1:4" x14ac:dyDescent="0.2">
      <c r="A639" s="162" t="s">
        <v>482</v>
      </c>
      <c r="B639" s="516">
        <f>SUM(B641,B644)</f>
        <v>3417600</v>
      </c>
      <c r="C639" s="492"/>
      <c r="D639" s="492">
        <f t="shared" si="29"/>
        <v>3417600</v>
      </c>
    </row>
    <row r="640" spans="1:4" x14ac:dyDescent="0.2">
      <c r="A640" s="177" t="s">
        <v>407</v>
      </c>
      <c r="B640" s="420"/>
      <c r="C640" s="492"/>
      <c r="D640" s="492">
        <f t="shared" si="29"/>
        <v>0</v>
      </c>
    </row>
    <row r="641" spans="1:4" x14ac:dyDescent="0.2">
      <c r="A641" s="461" t="s">
        <v>483</v>
      </c>
      <c r="B641" s="432">
        <v>2897600</v>
      </c>
      <c r="C641" s="492"/>
      <c r="D641" s="492">
        <f t="shared" si="29"/>
        <v>2897600</v>
      </c>
    </row>
    <row r="642" spans="1:4" x14ac:dyDescent="0.2">
      <c r="A642" s="148"/>
      <c r="B642" s="519"/>
      <c r="C642" s="492"/>
      <c r="D642" s="492">
        <f t="shared" si="29"/>
        <v>0</v>
      </c>
    </row>
    <row r="643" spans="1:4" x14ac:dyDescent="0.2">
      <c r="A643" s="177" t="s">
        <v>407</v>
      </c>
      <c r="B643" s="519"/>
      <c r="C643" s="492"/>
      <c r="D643" s="492">
        <f t="shared" si="29"/>
        <v>0</v>
      </c>
    </row>
    <row r="644" spans="1:4" x14ac:dyDescent="0.2">
      <c r="A644" s="461" t="s">
        <v>484</v>
      </c>
      <c r="B644" s="432">
        <v>520000</v>
      </c>
      <c r="C644" s="492"/>
      <c r="D644" s="492">
        <f t="shared" si="29"/>
        <v>520000</v>
      </c>
    </row>
    <row r="645" spans="1:4" x14ac:dyDescent="0.2">
      <c r="A645" s="178"/>
      <c r="B645" s="492"/>
      <c r="C645" s="492"/>
      <c r="D645" s="492">
        <f t="shared" si="29"/>
        <v>0</v>
      </c>
    </row>
    <row r="646" spans="1:4" x14ac:dyDescent="0.2">
      <c r="A646" s="172" t="s">
        <v>392</v>
      </c>
      <c r="B646" s="516">
        <f>SUM(B648,B653,B665,B651,B667)</f>
        <v>12616545</v>
      </c>
      <c r="C646" s="492"/>
      <c r="D646" s="492">
        <f t="shared" si="29"/>
        <v>12616545</v>
      </c>
    </row>
    <row r="647" spans="1:4" x14ac:dyDescent="0.2">
      <c r="A647" s="172"/>
      <c r="B647" s="516"/>
      <c r="C647" s="492"/>
      <c r="D647" s="492">
        <f t="shared" si="29"/>
        <v>0</v>
      </c>
    </row>
    <row r="648" spans="1:4" x14ac:dyDescent="0.2">
      <c r="A648" s="126" t="s">
        <v>915</v>
      </c>
      <c r="B648" s="553">
        <v>1776927</v>
      </c>
      <c r="C648" s="492"/>
      <c r="D648" s="492">
        <f t="shared" si="29"/>
        <v>1776927</v>
      </c>
    </row>
    <row r="649" spans="1:4" x14ac:dyDescent="0.2">
      <c r="A649" s="179" t="s">
        <v>394</v>
      </c>
      <c r="B649" s="147">
        <v>1020401</v>
      </c>
      <c r="C649" s="492"/>
      <c r="D649" s="492">
        <f t="shared" si="29"/>
        <v>1020401</v>
      </c>
    </row>
    <row r="650" spans="1:4" s="36" customFormat="1" x14ac:dyDescent="0.2">
      <c r="A650" s="179"/>
      <c r="B650" s="147"/>
      <c r="C650" s="492"/>
      <c r="D650" s="492">
        <f t="shared" si="29"/>
        <v>0</v>
      </c>
    </row>
    <row r="651" spans="1:4" s="36" customFormat="1" x14ac:dyDescent="0.2">
      <c r="A651" s="126" t="s">
        <v>571</v>
      </c>
      <c r="B651" s="553">
        <v>153800</v>
      </c>
      <c r="C651" s="492"/>
      <c r="D651" s="492">
        <f t="shared" si="29"/>
        <v>153800</v>
      </c>
    </row>
    <row r="652" spans="1:4" s="36" customFormat="1" x14ac:dyDescent="0.2">
      <c r="A652" s="172"/>
      <c r="B652" s="420"/>
      <c r="C652" s="492"/>
      <c r="D652" s="492">
        <f t="shared" si="29"/>
        <v>0</v>
      </c>
    </row>
    <row r="653" spans="1:4" x14ac:dyDescent="0.2">
      <c r="A653" s="158" t="s">
        <v>485</v>
      </c>
      <c r="B653" s="553">
        <f>SUM(B654:B663)</f>
        <v>10250879</v>
      </c>
      <c r="C653" s="492"/>
      <c r="D653" s="492">
        <f t="shared" si="29"/>
        <v>10250879</v>
      </c>
    </row>
    <row r="654" spans="1:4" x14ac:dyDescent="0.2">
      <c r="A654" s="180" t="s">
        <v>89</v>
      </c>
      <c r="B654" s="520">
        <v>330000</v>
      </c>
      <c r="C654" s="492"/>
      <c r="D654" s="492">
        <f t="shared" si="29"/>
        <v>330000</v>
      </c>
    </row>
    <row r="655" spans="1:4" x14ac:dyDescent="0.2">
      <c r="A655" s="167" t="s">
        <v>486</v>
      </c>
      <c r="B655" s="520">
        <v>2400000</v>
      </c>
      <c r="C655" s="492"/>
      <c r="D655" s="492">
        <f t="shared" si="29"/>
        <v>2400000</v>
      </c>
    </row>
    <row r="656" spans="1:4" x14ac:dyDescent="0.2">
      <c r="A656" s="167" t="s">
        <v>487</v>
      </c>
      <c r="B656" s="520">
        <f>7462000-100000</f>
        <v>7362000</v>
      </c>
      <c r="C656" s="492"/>
      <c r="D656" s="492">
        <f t="shared" si="29"/>
        <v>7362000</v>
      </c>
    </row>
    <row r="657" spans="1:4" ht="22.5" x14ac:dyDescent="0.2">
      <c r="A657" s="167" t="s">
        <v>214</v>
      </c>
      <c r="B657" s="520">
        <v>47000</v>
      </c>
      <c r="C657" s="492"/>
      <c r="D657" s="492">
        <f t="shared" si="29"/>
        <v>47000</v>
      </c>
    </row>
    <row r="658" spans="1:4" s="36" customFormat="1" x14ac:dyDescent="0.2">
      <c r="A658" s="167" t="s">
        <v>215</v>
      </c>
      <c r="B658" s="520">
        <v>9600</v>
      </c>
      <c r="C658" s="492"/>
      <c r="D658" s="492">
        <f t="shared" si="29"/>
        <v>9600</v>
      </c>
    </row>
    <row r="659" spans="1:4" x14ac:dyDescent="0.2">
      <c r="A659" s="437" t="s">
        <v>819</v>
      </c>
      <c r="B659" s="520">
        <v>6400</v>
      </c>
      <c r="C659" s="492"/>
      <c r="D659" s="492">
        <f t="shared" si="29"/>
        <v>6400</v>
      </c>
    </row>
    <row r="660" spans="1:4" x14ac:dyDescent="0.2">
      <c r="A660" s="167" t="s">
        <v>216</v>
      </c>
      <c r="B660" s="520">
        <v>30000</v>
      </c>
      <c r="C660" s="492"/>
      <c r="D660" s="492">
        <f t="shared" si="29"/>
        <v>30000</v>
      </c>
    </row>
    <row r="661" spans="1:4" ht="22.5" x14ac:dyDescent="0.2">
      <c r="A661" s="167" t="s">
        <v>160</v>
      </c>
      <c r="B661" s="520">
        <v>14999</v>
      </c>
      <c r="C661" s="492"/>
      <c r="D661" s="492">
        <f t="shared" si="29"/>
        <v>14999</v>
      </c>
    </row>
    <row r="662" spans="1:4" x14ac:dyDescent="0.2">
      <c r="A662" s="167" t="s">
        <v>760</v>
      </c>
      <c r="B662" s="520">
        <v>13000</v>
      </c>
      <c r="C662" s="492"/>
      <c r="D662" s="492">
        <f t="shared" si="29"/>
        <v>13000</v>
      </c>
    </row>
    <row r="663" spans="1:4" x14ac:dyDescent="0.2">
      <c r="A663" s="167" t="s">
        <v>761</v>
      </c>
      <c r="B663" s="520">
        <v>37880</v>
      </c>
      <c r="C663" s="492"/>
      <c r="D663" s="492">
        <f t="shared" si="29"/>
        <v>37880</v>
      </c>
    </row>
    <row r="664" spans="1:4" x14ac:dyDescent="0.2">
      <c r="A664" s="192"/>
      <c r="B664" s="504"/>
      <c r="C664" s="492"/>
      <c r="D664" s="492">
        <f t="shared" si="29"/>
        <v>0</v>
      </c>
    </row>
    <row r="665" spans="1:4" s="36" customFormat="1" x14ac:dyDescent="0.2">
      <c r="A665" s="126" t="s">
        <v>217</v>
      </c>
      <c r="B665" s="504">
        <v>434500</v>
      </c>
      <c r="C665" s="492"/>
      <c r="D665" s="492">
        <f t="shared" si="29"/>
        <v>434500</v>
      </c>
    </row>
    <row r="666" spans="1:4" x14ac:dyDescent="0.2">
      <c r="A666" s="131"/>
      <c r="B666" s="147"/>
      <c r="C666" s="492"/>
      <c r="D666" s="492">
        <f t="shared" si="29"/>
        <v>0</v>
      </c>
    </row>
    <row r="667" spans="1:4" ht="25.5" x14ac:dyDescent="0.2">
      <c r="A667" s="126" t="s">
        <v>762</v>
      </c>
      <c r="B667" s="504">
        <v>439</v>
      </c>
      <c r="C667" s="492"/>
      <c r="D667" s="492">
        <f t="shared" si="29"/>
        <v>439</v>
      </c>
    </row>
    <row r="668" spans="1:4" x14ac:dyDescent="0.2">
      <c r="A668" s="131"/>
      <c r="B668" s="147"/>
      <c r="C668" s="492"/>
      <c r="D668" s="492">
        <f t="shared" si="29"/>
        <v>0</v>
      </c>
    </row>
    <row r="669" spans="1:4" x14ac:dyDescent="0.2">
      <c r="A669" s="131" t="s">
        <v>420</v>
      </c>
      <c r="B669" s="147">
        <v>136</v>
      </c>
      <c r="C669" s="492"/>
      <c r="D669" s="492">
        <f t="shared" si="29"/>
        <v>136</v>
      </c>
    </row>
    <row r="670" spans="1:4" x14ac:dyDescent="0.2">
      <c r="A670" s="131"/>
      <c r="B670" s="147"/>
      <c r="C670" s="492"/>
      <c r="D670" s="492">
        <f t="shared" si="29"/>
        <v>0</v>
      </c>
    </row>
    <row r="671" spans="1:4" x14ac:dyDescent="0.2">
      <c r="A671" s="131"/>
      <c r="B671" s="147"/>
      <c r="C671" s="492"/>
      <c r="D671" s="492">
        <f t="shared" si="29"/>
        <v>0</v>
      </c>
    </row>
    <row r="672" spans="1:4" ht="15.75" x14ac:dyDescent="0.2">
      <c r="A672" s="132" t="s">
        <v>864</v>
      </c>
      <c r="B672" s="491"/>
      <c r="C672" s="492"/>
      <c r="D672" s="492">
        <f t="shared" si="29"/>
        <v>0</v>
      </c>
    </row>
    <row r="673" spans="1:4" s="36" customFormat="1" x14ac:dyDescent="0.2">
      <c r="A673" s="438"/>
      <c r="B673" s="491"/>
      <c r="C673" s="492"/>
      <c r="D673" s="492">
        <f t="shared" si="29"/>
        <v>0</v>
      </c>
    </row>
    <row r="674" spans="1:4" s="36" customFormat="1" x14ac:dyDescent="0.2">
      <c r="A674" s="133" t="s">
        <v>386</v>
      </c>
      <c r="B674" s="264">
        <f>B681+B729</f>
        <v>8848144</v>
      </c>
      <c r="C674" s="513">
        <f>C681+C729</f>
        <v>-453880</v>
      </c>
      <c r="D674" s="513">
        <f t="shared" si="29"/>
        <v>8394264</v>
      </c>
    </row>
    <row r="675" spans="1:4" x14ac:dyDescent="0.2">
      <c r="A675" s="123" t="s">
        <v>422</v>
      </c>
      <c r="B675" s="17">
        <v>160500</v>
      </c>
      <c r="C675" s="17"/>
      <c r="D675" s="17">
        <f t="shared" si="29"/>
        <v>160500</v>
      </c>
    </row>
    <row r="676" spans="1:4" x14ac:dyDescent="0.2">
      <c r="A676" s="134" t="s">
        <v>387</v>
      </c>
      <c r="B676" s="264">
        <f>B677+B678+B679</f>
        <v>8848144</v>
      </c>
      <c r="C676" s="513">
        <f>C677+C678+C679</f>
        <v>-453880</v>
      </c>
      <c r="D676" s="513">
        <f t="shared" si="29"/>
        <v>8394264</v>
      </c>
    </row>
    <row r="677" spans="1:4" x14ac:dyDescent="0.2">
      <c r="A677" s="135" t="s">
        <v>388</v>
      </c>
      <c r="B677" s="265">
        <f>'2.2 OMATULUD'!B403</f>
        <v>1078914</v>
      </c>
      <c r="C677" s="17">
        <f>'2.2 OMATULUD'!C403</f>
        <v>-85500</v>
      </c>
      <c r="D677" s="17">
        <f t="shared" si="29"/>
        <v>993414</v>
      </c>
    </row>
    <row r="678" spans="1:4" x14ac:dyDescent="0.2">
      <c r="A678" s="136" t="s">
        <v>360</v>
      </c>
      <c r="B678" s="265">
        <f>B760+B765</f>
        <v>46568</v>
      </c>
      <c r="C678" s="17"/>
      <c r="D678" s="17">
        <f t="shared" si="29"/>
        <v>46568</v>
      </c>
    </row>
    <row r="679" spans="1:4" x14ac:dyDescent="0.2">
      <c r="A679" s="136" t="s">
        <v>389</v>
      </c>
      <c r="B679" s="265">
        <f>B674-B677-B678</f>
        <v>7722662</v>
      </c>
      <c r="C679" s="17">
        <f>C674-C677-C678</f>
        <v>-368380</v>
      </c>
      <c r="D679" s="17">
        <f t="shared" si="29"/>
        <v>7354282</v>
      </c>
    </row>
    <row r="680" spans="1:4" x14ac:dyDescent="0.2">
      <c r="A680" s="438"/>
      <c r="B680" s="265"/>
      <c r="C680" s="492"/>
      <c r="D680" s="492">
        <f t="shared" si="29"/>
        <v>0</v>
      </c>
    </row>
    <row r="681" spans="1:4" s="36" customFormat="1" ht="15" x14ac:dyDescent="0.2">
      <c r="A681" s="150" t="s">
        <v>488</v>
      </c>
      <c r="B681" s="272">
        <f>B682+B699+B723</f>
        <v>1316970</v>
      </c>
      <c r="C681" s="514">
        <f>C682+C699+C723</f>
        <v>-100</v>
      </c>
      <c r="D681" s="514">
        <f t="shared" si="29"/>
        <v>1316870</v>
      </c>
    </row>
    <row r="682" spans="1:4" s="36" customFormat="1" x14ac:dyDescent="0.2">
      <c r="A682" s="181" t="s">
        <v>489</v>
      </c>
      <c r="B682" s="264">
        <f>B685+B689+B692+B696</f>
        <v>553930</v>
      </c>
      <c r="C682" s="513">
        <f>C685+C689+C692+C696</f>
        <v>-100</v>
      </c>
      <c r="D682" s="513">
        <f t="shared" si="29"/>
        <v>553830</v>
      </c>
    </row>
    <row r="683" spans="1:4" x14ac:dyDescent="0.2">
      <c r="A683" s="137" t="s">
        <v>394</v>
      </c>
      <c r="B683" s="266">
        <f>B686+B693+B697</f>
        <v>64425</v>
      </c>
      <c r="C683" s="475">
        <f>C686+C693+C697</f>
        <v>0</v>
      </c>
      <c r="D683" s="475">
        <f t="shared" si="29"/>
        <v>64425</v>
      </c>
    </row>
    <row r="684" spans="1:4" x14ac:dyDescent="0.2">
      <c r="A684" s="153" t="s">
        <v>407</v>
      </c>
      <c r="B684" s="266"/>
      <c r="C684" s="492"/>
      <c r="D684" s="492">
        <f t="shared" si="29"/>
        <v>0</v>
      </c>
    </row>
    <row r="685" spans="1:4" x14ac:dyDescent="0.2">
      <c r="A685" s="461" t="s">
        <v>490</v>
      </c>
      <c r="B685" s="507">
        <v>172850</v>
      </c>
      <c r="C685" s="492"/>
      <c r="D685" s="492">
        <f t="shared" si="29"/>
        <v>172850</v>
      </c>
    </row>
    <row r="686" spans="1:4" x14ac:dyDescent="0.2">
      <c r="A686" s="502" t="s">
        <v>394</v>
      </c>
      <c r="B686" s="266">
        <v>1500</v>
      </c>
      <c r="C686" s="475"/>
      <c r="D686" s="475">
        <f t="shared" si="29"/>
        <v>1500</v>
      </c>
    </row>
    <row r="687" spans="1:4" x14ac:dyDescent="0.2">
      <c r="A687" s="137"/>
      <c r="B687" s="266"/>
      <c r="C687" s="492"/>
      <c r="D687" s="492">
        <f t="shared" si="29"/>
        <v>0</v>
      </c>
    </row>
    <row r="688" spans="1:4" x14ac:dyDescent="0.2">
      <c r="A688" s="153" t="s">
        <v>407</v>
      </c>
      <c r="B688" s="266"/>
      <c r="C688" s="492"/>
      <c r="D688" s="492">
        <f t="shared" si="29"/>
        <v>0</v>
      </c>
    </row>
    <row r="689" spans="1:4" x14ac:dyDescent="0.2">
      <c r="A689" s="461" t="s">
        <v>218</v>
      </c>
      <c r="B689" s="507">
        <f>273000-25000</f>
        <v>248000</v>
      </c>
      <c r="C689" s="492"/>
      <c r="D689" s="492">
        <f t="shared" si="29"/>
        <v>248000</v>
      </c>
    </row>
    <row r="690" spans="1:4" x14ac:dyDescent="0.2">
      <c r="A690" s="137"/>
      <c r="B690" s="491"/>
      <c r="C690" s="492"/>
      <c r="D690" s="492">
        <f t="shared" si="29"/>
        <v>0</v>
      </c>
    </row>
    <row r="691" spans="1:4" x14ac:dyDescent="0.2">
      <c r="A691" s="153" t="s">
        <v>407</v>
      </c>
      <c r="B691" s="266"/>
      <c r="C691" s="492"/>
      <c r="D691" s="492">
        <f t="shared" si="29"/>
        <v>0</v>
      </c>
    </row>
    <row r="692" spans="1:4" x14ac:dyDescent="0.2">
      <c r="A692" s="461" t="s">
        <v>219</v>
      </c>
      <c r="B692" s="507">
        <v>63900</v>
      </c>
      <c r="C692" s="492"/>
      <c r="D692" s="492">
        <f t="shared" si="29"/>
        <v>63900</v>
      </c>
    </row>
    <row r="693" spans="1:4" x14ac:dyDescent="0.2">
      <c r="A693" s="502" t="s">
        <v>394</v>
      </c>
      <c r="B693" s="266">
        <v>48045</v>
      </c>
      <c r="C693" s="475"/>
      <c r="D693" s="475">
        <f t="shared" si="29"/>
        <v>48045</v>
      </c>
    </row>
    <row r="694" spans="1:4" x14ac:dyDescent="0.2">
      <c r="A694" s="236"/>
      <c r="B694" s="266"/>
      <c r="C694" s="492"/>
      <c r="D694" s="492">
        <f t="shared" si="29"/>
        <v>0</v>
      </c>
    </row>
    <row r="695" spans="1:4" s="36" customFormat="1" x14ac:dyDescent="0.2">
      <c r="A695" s="153" t="s">
        <v>407</v>
      </c>
      <c r="B695" s="266"/>
      <c r="C695" s="492"/>
      <c r="D695" s="492">
        <f t="shared" si="29"/>
        <v>0</v>
      </c>
    </row>
    <row r="696" spans="1:4" x14ac:dyDescent="0.2">
      <c r="A696" s="461" t="s">
        <v>763</v>
      </c>
      <c r="B696" s="507">
        <v>69180</v>
      </c>
      <c r="C696" s="492">
        <f>-23100+23000</f>
        <v>-100</v>
      </c>
      <c r="D696" s="492">
        <f t="shared" si="29"/>
        <v>69080</v>
      </c>
    </row>
    <row r="697" spans="1:4" x14ac:dyDescent="0.2">
      <c r="A697" s="502" t="s">
        <v>394</v>
      </c>
      <c r="B697" s="266">
        <v>14880</v>
      </c>
      <c r="C697" s="475"/>
      <c r="D697" s="475">
        <f t="shared" si="29"/>
        <v>14880</v>
      </c>
    </row>
    <row r="698" spans="1:4" x14ac:dyDescent="0.2">
      <c r="A698" s="500"/>
      <c r="B698" s="266"/>
      <c r="C698" s="492"/>
      <c r="D698" s="492">
        <f t="shared" si="29"/>
        <v>0</v>
      </c>
    </row>
    <row r="699" spans="1:4" x14ac:dyDescent="0.2">
      <c r="A699" s="181" t="s">
        <v>491</v>
      </c>
      <c r="B699" s="513">
        <f>B702+B705+B709+B713+B717+B721</f>
        <v>755440</v>
      </c>
      <c r="C699" s="513">
        <f>C702+C705+C709+C713+C717+C721</f>
        <v>0</v>
      </c>
      <c r="D699" s="513">
        <f t="shared" si="29"/>
        <v>755440</v>
      </c>
    </row>
    <row r="700" spans="1:4" x14ac:dyDescent="0.2">
      <c r="A700" s="137" t="s">
        <v>394</v>
      </c>
      <c r="B700" s="266">
        <f>+B706+B710+B714+B718</f>
        <v>25522</v>
      </c>
      <c r="C700" s="475">
        <f>C706+C710+C714+C718</f>
        <v>0</v>
      </c>
      <c r="D700" s="475">
        <f t="shared" ref="D700:D763" si="30">B700+C700</f>
        <v>25522</v>
      </c>
    </row>
    <row r="701" spans="1:4" x14ac:dyDescent="0.2">
      <c r="A701" s="153" t="s">
        <v>407</v>
      </c>
      <c r="B701" s="266"/>
      <c r="C701" s="492"/>
      <c r="D701" s="492">
        <f t="shared" si="30"/>
        <v>0</v>
      </c>
    </row>
    <row r="702" spans="1:4" x14ac:dyDescent="0.2">
      <c r="A702" s="461" t="s">
        <v>492</v>
      </c>
      <c r="B702" s="507">
        <v>48000</v>
      </c>
      <c r="C702" s="492"/>
      <c r="D702" s="492">
        <f t="shared" si="30"/>
        <v>48000</v>
      </c>
    </row>
    <row r="703" spans="1:4" x14ac:dyDescent="0.2">
      <c r="A703" s="131"/>
      <c r="B703" s="266"/>
      <c r="C703" s="492"/>
      <c r="D703" s="492">
        <f t="shared" si="30"/>
        <v>0</v>
      </c>
    </row>
    <row r="704" spans="1:4" x14ac:dyDescent="0.2">
      <c r="A704" s="153" t="s">
        <v>407</v>
      </c>
      <c r="B704" s="266"/>
      <c r="C704" s="492"/>
      <c r="D704" s="492">
        <f t="shared" si="30"/>
        <v>0</v>
      </c>
    </row>
    <row r="705" spans="1:4" x14ac:dyDescent="0.2">
      <c r="A705" s="461" t="s">
        <v>493</v>
      </c>
      <c r="B705" s="507">
        <v>270915</v>
      </c>
      <c r="C705" s="492"/>
      <c r="D705" s="492">
        <f t="shared" si="30"/>
        <v>270915</v>
      </c>
    </row>
    <row r="706" spans="1:4" x14ac:dyDescent="0.2">
      <c r="A706" s="502" t="s">
        <v>394</v>
      </c>
      <c r="B706" s="266">
        <v>10354</v>
      </c>
      <c r="C706" s="475"/>
      <c r="D706" s="475">
        <f t="shared" si="30"/>
        <v>10354</v>
      </c>
    </row>
    <row r="707" spans="1:4" x14ac:dyDescent="0.2">
      <c r="A707" s="137"/>
      <c r="B707" s="266"/>
      <c r="C707" s="492"/>
      <c r="D707" s="492">
        <f t="shared" si="30"/>
        <v>0</v>
      </c>
    </row>
    <row r="708" spans="1:4" x14ac:dyDescent="0.2">
      <c r="A708" s="153" t="s">
        <v>407</v>
      </c>
      <c r="B708" s="266"/>
      <c r="C708" s="492"/>
      <c r="D708" s="492">
        <f t="shared" si="30"/>
        <v>0</v>
      </c>
    </row>
    <row r="709" spans="1:4" x14ac:dyDescent="0.2">
      <c r="A709" s="461" t="s">
        <v>494</v>
      </c>
      <c r="B709" s="507">
        <v>334330</v>
      </c>
      <c r="C709" s="492"/>
      <c r="D709" s="492">
        <f t="shared" si="30"/>
        <v>334330</v>
      </c>
    </row>
    <row r="710" spans="1:4" x14ac:dyDescent="0.2">
      <c r="A710" s="502" t="s">
        <v>394</v>
      </c>
      <c r="B710" s="266">
        <v>3748</v>
      </c>
      <c r="C710" s="475"/>
      <c r="D710" s="475">
        <f t="shared" si="30"/>
        <v>3748</v>
      </c>
    </row>
    <row r="711" spans="1:4" x14ac:dyDescent="0.2">
      <c r="A711" s="137"/>
      <c r="B711" s="266"/>
      <c r="C711" s="492"/>
      <c r="D711" s="492">
        <f t="shared" si="30"/>
        <v>0</v>
      </c>
    </row>
    <row r="712" spans="1:4" x14ac:dyDescent="0.2">
      <c r="A712" s="153" t="s">
        <v>407</v>
      </c>
      <c r="B712" s="266"/>
      <c r="C712" s="492"/>
      <c r="D712" s="492">
        <f t="shared" si="30"/>
        <v>0</v>
      </c>
    </row>
    <row r="713" spans="1:4" x14ac:dyDescent="0.2">
      <c r="A713" s="461" t="s">
        <v>495</v>
      </c>
      <c r="B713" s="507">
        <v>67455</v>
      </c>
      <c r="C713" s="492"/>
      <c r="D713" s="492">
        <f t="shared" si="30"/>
        <v>67455</v>
      </c>
    </row>
    <row r="714" spans="1:4" x14ac:dyDescent="0.2">
      <c r="A714" s="502" t="s">
        <v>394</v>
      </c>
      <c r="B714" s="266">
        <v>10416</v>
      </c>
      <c r="C714" s="475"/>
      <c r="D714" s="475">
        <f t="shared" si="30"/>
        <v>10416</v>
      </c>
    </row>
    <row r="715" spans="1:4" x14ac:dyDescent="0.2">
      <c r="A715" s="137"/>
      <c r="B715" s="271"/>
      <c r="C715" s="492"/>
      <c r="D715" s="492">
        <f t="shared" si="30"/>
        <v>0</v>
      </c>
    </row>
    <row r="716" spans="1:4" x14ac:dyDescent="0.2">
      <c r="A716" s="153" t="s">
        <v>407</v>
      </c>
      <c r="B716" s="266"/>
      <c r="C716" s="492"/>
      <c r="D716" s="492">
        <f t="shared" si="30"/>
        <v>0</v>
      </c>
    </row>
    <row r="717" spans="1:4" ht="25.5" x14ac:dyDescent="0.2">
      <c r="A717" s="461" t="s">
        <v>496</v>
      </c>
      <c r="B717" s="507">
        <v>31940</v>
      </c>
      <c r="C717" s="492"/>
      <c r="D717" s="492">
        <f t="shared" si="30"/>
        <v>31940</v>
      </c>
    </row>
    <row r="718" spans="1:4" x14ac:dyDescent="0.2">
      <c r="A718" s="502" t="s">
        <v>394</v>
      </c>
      <c r="B718" s="266">
        <v>1004</v>
      </c>
      <c r="C718" s="475"/>
      <c r="D718" s="475">
        <f t="shared" si="30"/>
        <v>1004</v>
      </c>
    </row>
    <row r="719" spans="1:4" x14ac:dyDescent="0.2">
      <c r="A719" s="137"/>
      <c r="B719" s="266"/>
      <c r="C719" s="492"/>
      <c r="D719" s="492">
        <f t="shared" si="30"/>
        <v>0</v>
      </c>
    </row>
    <row r="720" spans="1:4" x14ac:dyDescent="0.2">
      <c r="A720" s="153" t="s">
        <v>407</v>
      </c>
      <c r="B720" s="266"/>
      <c r="C720" s="492"/>
      <c r="D720" s="492">
        <f t="shared" si="30"/>
        <v>0</v>
      </c>
    </row>
    <row r="721" spans="1:4" x14ac:dyDescent="0.2">
      <c r="A721" s="461" t="s">
        <v>497</v>
      </c>
      <c r="B721" s="507">
        <v>2800</v>
      </c>
      <c r="C721" s="492"/>
      <c r="D721" s="492">
        <f t="shared" si="30"/>
        <v>2800</v>
      </c>
    </row>
    <row r="722" spans="1:4" x14ac:dyDescent="0.2">
      <c r="A722" s="236"/>
      <c r="B722" s="266"/>
      <c r="C722" s="513"/>
      <c r="D722" s="513">
        <f t="shared" si="30"/>
        <v>0</v>
      </c>
    </row>
    <row r="723" spans="1:4" x14ac:dyDescent="0.2">
      <c r="A723" s="181" t="s">
        <v>220</v>
      </c>
      <c r="B723" s="264">
        <f t="shared" ref="B723:C724" si="31">B726</f>
        <v>7600</v>
      </c>
      <c r="C723" s="513">
        <f t="shared" si="31"/>
        <v>0</v>
      </c>
      <c r="D723" s="513">
        <f t="shared" si="30"/>
        <v>7600</v>
      </c>
    </row>
    <row r="724" spans="1:4" x14ac:dyDescent="0.2">
      <c r="A724" s="137" t="s">
        <v>394</v>
      </c>
      <c r="B724" s="266">
        <f t="shared" si="31"/>
        <v>656</v>
      </c>
      <c r="C724" s="475">
        <f t="shared" si="31"/>
        <v>0</v>
      </c>
      <c r="D724" s="475">
        <f t="shared" si="30"/>
        <v>656</v>
      </c>
    </row>
    <row r="725" spans="1:4" x14ac:dyDescent="0.2">
      <c r="A725" s="153" t="s">
        <v>407</v>
      </c>
      <c r="B725" s="266"/>
      <c r="C725" s="492"/>
      <c r="D725" s="492">
        <f t="shared" si="30"/>
        <v>0</v>
      </c>
    </row>
    <row r="726" spans="1:4" x14ac:dyDescent="0.2">
      <c r="A726" s="461" t="s">
        <v>221</v>
      </c>
      <c r="B726" s="507">
        <f>9400-1800</f>
        <v>7600</v>
      </c>
      <c r="C726" s="492"/>
      <c r="D726" s="492">
        <f t="shared" si="30"/>
        <v>7600</v>
      </c>
    </row>
    <row r="727" spans="1:4" x14ac:dyDescent="0.2">
      <c r="A727" s="502" t="s">
        <v>394</v>
      </c>
      <c r="B727" s="266">
        <v>656</v>
      </c>
      <c r="C727" s="475"/>
      <c r="D727" s="475">
        <f t="shared" si="30"/>
        <v>656</v>
      </c>
    </row>
    <row r="728" spans="1:4" x14ac:dyDescent="0.2">
      <c r="A728" s="236"/>
      <c r="B728" s="266"/>
      <c r="C728" s="513"/>
      <c r="D728" s="513">
        <f t="shared" si="30"/>
        <v>0</v>
      </c>
    </row>
    <row r="729" spans="1:4" x14ac:dyDescent="0.2">
      <c r="A729" s="133" t="s">
        <v>392</v>
      </c>
      <c r="B729" s="264">
        <f>B731+B738+B744+B747+B749+B751+B753+B757+B762+B735+B755</f>
        <v>7531174</v>
      </c>
      <c r="C729" s="513">
        <f>C731+C735+C738+C744+C747+C749+C751+C753+C755+C757+C762</f>
        <v>-453780</v>
      </c>
      <c r="D729" s="513">
        <f t="shared" si="30"/>
        <v>7077394</v>
      </c>
    </row>
    <row r="730" spans="1:4" x14ac:dyDescent="0.2">
      <c r="A730" s="236"/>
      <c r="B730" s="264"/>
      <c r="C730" s="492"/>
      <c r="D730" s="492">
        <f t="shared" si="30"/>
        <v>0</v>
      </c>
    </row>
    <row r="731" spans="1:4" x14ac:dyDescent="0.2">
      <c r="A731" s="129" t="s">
        <v>498</v>
      </c>
      <c r="B731" s="491">
        <v>1949578</v>
      </c>
      <c r="C731" s="492">
        <f>C733</f>
        <v>56000</v>
      </c>
      <c r="D731" s="492">
        <f t="shared" si="30"/>
        <v>2005578</v>
      </c>
    </row>
    <row r="732" spans="1:4" x14ac:dyDescent="0.2">
      <c r="A732" s="127" t="s">
        <v>394</v>
      </c>
      <c r="B732" s="266">
        <v>1139641</v>
      </c>
      <c r="C732" s="475"/>
      <c r="D732" s="475">
        <f t="shared" si="30"/>
        <v>1139641</v>
      </c>
    </row>
    <row r="733" spans="1:4" x14ac:dyDescent="0.2">
      <c r="A733" s="137" t="s">
        <v>806</v>
      </c>
      <c r="B733" s="266">
        <v>200000</v>
      </c>
      <c r="C733" s="475">
        <v>56000</v>
      </c>
      <c r="D733" s="475">
        <f t="shared" si="30"/>
        <v>256000</v>
      </c>
    </row>
    <row r="734" spans="1:4" x14ac:dyDescent="0.2">
      <c r="A734" s="127"/>
      <c r="B734" s="266"/>
      <c r="C734" s="492"/>
      <c r="D734" s="492">
        <f t="shared" si="30"/>
        <v>0</v>
      </c>
    </row>
    <row r="735" spans="1:4" x14ac:dyDescent="0.2">
      <c r="A735" s="129" t="s">
        <v>146</v>
      </c>
      <c r="B735" s="491">
        <f>482000+50000</f>
        <v>532000</v>
      </c>
      <c r="C735" s="492">
        <f>-50000-5900</f>
        <v>-55900</v>
      </c>
      <c r="D735" s="492">
        <f t="shared" si="30"/>
        <v>476100</v>
      </c>
    </row>
    <row r="736" spans="1:4" x14ac:dyDescent="0.2">
      <c r="A736" s="127" t="s">
        <v>394</v>
      </c>
      <c r="B736" s="266">
        <v>125783</v>
      </c>
      <c r="C736" s="475">
        <v>-4400</v>
      </c>
      <c r="D736" s="475">
        <f t="shared" si="30"/>
        <v>121383</v>
      </c>
    </row>
    <row r="737" spans="1:4" x14ac:dyDescent="0.2">
      <c r="A737" s="128"/>
      <c r="B737" s="491"/>
      <c r="C737" s="492"/>
      <c r="D737" s="492">
        <f t="shared" si="30"/>
        <v>0</v>
      </c>
    </row>
    <row r="738" spans="1:4" x14ac:dyDescent="0.2">
      <c r="A738" s="128" t="s">
        <v>90</v>
      </c>
      <c r="B738" s="491">
        <f>B739+B740+B741+B742</f>
        <v>396860</v>
      </c>
      <c r="C738" s="491">
        <f>C739+C740+C741+C742</f>
        <v>-6500</v>
      </c>
      <c r="D738" s="491">
        <f t="shared" si="30"/>
        <v>390360</v>
      </c>
    </row>
    <row r="739" spans="1:4" x14ac:dyDescent="0.2">
      <c r="A739" s="183" t="s">
        <v>222</v>
      </c>
      <c r="B739" s="271">
        <f>258780-50000</f>
        <v>208780</v>
      </c>
      <c r="C739" s="271"/>
      <c r="D739" s="271">
        <f t="shared" si="30"/>
        <v>208780</v>
      </c>
    </row>
    <row r="740" spans="1:4" x14ac:dyDescent="0.2">
      <c r="A740" s="183" t="s">
        <v>223</v>
      </c>
      <c r="B740" s="271">
        <v>48000</v>
      </c>
      <c r="C740" s="271"/>
      <c r="D740" s="271">
        <f t="shared" si="30"/>
        <v>48000</v>
      </c>
    </row>
    <row r="741" spans="1:4" x14ac:dyDescent="0.2">
      <c r="A741" s="183" t="s">
        <v>499</v>
      </c>
      <c r="B741" s="271">
        <v>56170</v>
      </c>
      <c r="C741" s="271">
        <v>-6500</v>
      </c>
      <c r="D741" s="271">
        <f t="shared" si="30"/>
        <v>49670</v>
      </c>
    </row>
    <row r="742" spans="1:4" x14ac:dyDescent="0.2">
      <c r="A742" s="183" t="s">
        <v>500</v>
      </c>
      <c r="B742" s="271">
        <v>83910</v>
      </c>
      <c r="C742" s="273"/>
      <c r="D742" s="273">
        <f t="shared" si="30"/>
        <v>83910</v>
      </c>
    </row>
    <row r="743" spans="1:4" x14ac:dyDescent="0.2">
      <c r="A743" s="183"/>
      <c r="B743" s="271"/>
      <c r="C743" s="492"/>
      <c r="D743" s="492">
        <f t="shared" si="30"/>
        <v>0</v>
      </c>
    </row>
    <row r="744" spans="1:4" x14ac:dyDescent="0.2">
      <c r="A744" s="129" t="s">
        <v>224</v>
      </c>
      <c r="B744" s="491">
        <f>1000000-50000</f>
        <v>950000</v>
      </c>
      <c r="C744" s="492"/>
      <c r="D744" s="492">
        <f t="shared" si="30"/>
        <v>950000</v>
      </c>
    </row>
    <row r="745" spans="1:4" s="36" customFormat="1" x14ac:dyDescent="0.2">
      <c r="A745" s="127" t="s">
        <v>394</v>
      </c>
      <c r="B745" s="266">
        <f>746265-37310</f>
        <v>708955</v>
      </c>
      <c r="C745" s="475"/>
      <c r="D745" s="475">
        <f t="shared" si="30"/>
        <v>708955</v>
      </c>
    </row>
    <row r="746" spans="1:4" x14ac:dyDescent="0.2">
      <c r="A746" s="128"/>
      <c r="B746" s="266"/>
      <c r="C746" s="492"/>
      <c r="D746" s="492">
        <f t="shared" si="30"/>
        <v>0</v>
      </c>
    </row>
    <row r="747" spans="1:4" x14ac:dyDescent="0.2">
      <c r="A747" s="128" t="s">
        <v>225</v>
      </c>
      <c r="B747" s="491">
        <v>447380</v>
      </c>
      <c r="C747" s="492">
        <v>-447380</v>
      </c>
      <c r="D747" s="492">
        <f t="shared" si="30"/>
        <v>0</v>
      </c>
    </row>
    <row r="748" spans="1:4" x14ac:dyDescent="0.2">
      <c r="A748" s="182"/>
      <c r="B748" s="491"/>
      <c r="C748" s="492"/>
      <c r="D748" s="492">
        <f t="shared" si="30"/>
        <v>0</v>
      </c>
    </row>
    <row r="749" spans="1:4" x14ac:dyDescent="0.2">
      <c r="A749" s="129" t="s">
        <v>226</v>
      </c>
      <c r="B749" s="491">
        <v>190000</v>
      </c>
      <c r="C749" s="492"/>
      <c r="D749" s="492">
        <f t="shared" si="30"/>
        <v>190000</v>
      </c>
    </row>
    <row r="750" spans="1:4" x14ac:dyDescent="0.2">
      <c r="A750" s="129"/>
      <c r="B750" s="491"/>
      <c r="C750" s="492"/>
      <c r="D750" s="492">
        <f t="shared" si="30"/>
        <v>0</v>
      </c>
    </row>
    <row r="751" spans="1:4" x14ac:dyDescent="0.2">
      <c r="A751" s="129" t="s">
        <v>227</v>
      </c>
      <c r="B751" s="491">
        <f>2910000+70000</f>
        <v>2980000</v>
      </c>
      <c r="C751" s="492"/>
      <c r="D751" s="492">
        <f t="shared" si="30"/>
        <v>2980000</v>
      </c>
    </row>
    <row r="752" spans="1:4" x14ac:dyDescent="0.2">
      <c r="A752" s="156"/>
      <c r="B752" s="491"/>
      <c r="C752" s="492"/>
      <c r="D752" s="492">
        <f t="shared" si="30"/>
        <v>0</v>
      </c>
    </row>
    <row r="753" spans="1:4" s="36" customFormat="1" x14ac:dyDescent="0.2">
      <c r="A753" s="128" t="s">
        <v>228</v>
      </c>
      <c r="B753" s="491">
        <v>20570</v>
      </c>
      <c r="C753" s="492"/>
      <c r="D753" s="492">
        <f t="shared" si="30"/>
        <v>20570</v>
      </c>
    </row>
    <row r="754" spans="1:4" x14ac:dyDescent="0.2">
      <c r="A754" s="128"/>
      <c r="B754" s="491"/>
      <c r="C754" s="492"/>
      <c r="D754" s="492">
        <f t="shared" si="30"/>
        <v>0</v>
      </c>
    </row>
    <row r="755" spans="1:4" ht="51" x14ac:dyDescent="0.2">
      <c r="A755" s="158" t="s">
        <v>881</v>
      </c>
      <c r="B755" s="491">
        <v>10000</v>
      </c>
      <c r="C755" s="492"/>
      <c r="D755" s="492">
        <f t="shared" si="30"/>
        <v>10000</v>
      </c>
    </row>
    <row r="756" spans="1:4" x14ac:dyDescent="0.2">
      <c r="A756" s="128"/>
      <c r="B756" s="491"/>
      <c r="C756" s="492"/>
      <c r="D756" s="492">
        <f t="shared" si="30"/>
        <v>0</v>
      </c>
    </row>
    <row r="757" spans="1:4" ht="38.25" x14ac:dyDescent="0.2">
      <c r="A757" s="158" t="s">
        <v>229</v>
      </c>
      <c r="B757" s="491">
        <v>10000</v>
      </c>
      <c r="C757" s="492"/>
      <c r="D757" s="492">
        <f t="shared" si="30"/>
        <v>10000</v>
      </c>
    </row>
    <row r="758" spans="1:4" x14ac:dyDescent="0.2">
      <c r="A758" s="127" t="s">
        <v>394</v>
      </c>
      <c r="B758" s="266">
        <v>3945</v>
      </c>
      <c r="C758" s="17"/>
      <c r="D758" s="17">
        <f t="shared" si="30"/>
        <v>3945</v>
      </c>
    </row>
    <row r="759" spans="1:4" x14ac:dyDescent="0.2">
      <c r="A759" s="128"/>
      <c r="B759" s="266"/>
      <c r="C759" s="17"/>
      <c r="D759" s="17">
        <f t="shared" si="30"/>
        <v>0</v>
      </c>
    </row>
    <row r="760" spans="1:4" x14ac:dyDescent="0.2">
      <c r="A760" s="131" t="s">
        <v>420</v>
      </c>
      <c r="B760" s="266">
        <v>8500</v>
      </c>
      <c r="C760" s="17"/>
      <c r="D760" s="17">
        <f t="shared" si="30"/>
        <v>8500</v>
      </c>
    </row>
    <row r="761" spans="1:4" x14ac:dyDescent="0.2">
      <c r="A761" s="500"/>
      <c r="B761" s="147"/>
      <c r="C761" s="492"/>
      <c r="D761" s="492">
        <f t="shared" si="30"/>
        <v>0</v>
      </c>
    </row>
    <row r="762" spans="1:4" ht="38.25" x14ac:dyDescent="0.2">
      <c r="A762" s="158" t="s">
        <v>787</v>
      </c>
      <c r="B762" s="492">
        <v>44786</v>
      </c>
      <c r="C762" s="492"/>
      <c r="D762" s="492">
        <f t="shared" si="30"/>
        <v>44786</v>
      </c>
    </row>
    <row r="763" spans="1:4" s="36" customFormat="1" x14ac:dyDescent="0.2">
      <c r="A763" s="127" t="s">
        <v>394</v>
      </c>
      <c r="B763" s="266">
        <v>8815</v>
      </c>
      <c r="C763" s="475"/>
      <c r="D763" s="475">
        <f t="shared" si="30"/>
        <v>8815</v>
      </c>
    </row>
    <row r="764" spans="1:4" s="36" customFormat="1" x14ac:dyDescent="0.2">
      <c r="A764" s="128"/>
      <c r="B764" s="266"/>
      <c r="C764" s="475"/>
      <c r="D764" s="475">
        <f t="shared" ref="D764:D827" si="32">B764+C764</f>
        <v>0</v>
      </c>
    </row>
    <row r="765" spans="1:4" x14ac:dyDescent="0.2">
      <c r="A765" s="131" t="s">
        <v>420</v>
      </c>
      <c r="B765" s="266">
        <v>38068</v>
      </c>
      <c r="C765" s="475"/>
      <c r="D765" s="475">
        <f t="shared" si="32"/>
        <v>38068</v>
      </c>
    </row>
    <row r="766" spans="1:4" x14ac:dyDescent="0.2">
      <c r="A766" s="166"/>
      <c r="B766" s="268"/>
      <c r="C766" s="492"/>
      <c r="D766" s="492">
        <f t="shared" si="32"/>
        <v>0</v>
      </c>
    </row>
    <row r="767" spans="1:4" x14ac:dyDescent="0.2">
      <c r="A767" s="166"/>
      <c r="B767" s="268"/>
      <c r="C767" s="492"/>
      <c r="D767" s="492">
        <f t="shared" si="32"/>
        <v>0</v>
      </c>
    </row>
    <row r="768" spans="1:4" ht="15.75" x14ac:dyDescent="0.2">
      <c r="A768" s="138" t="s">
        <v>913</v>
      </c>
      <c r="B768" s="139"/>
      <c r="C768" s="492"/>
      <c r="D768" s="492">
        <f t="shared" si="32"/>
        <v>0</v>
      </c>
    </row>
    <row r="769" spans="1:4" x14ac:dyDescent="0.2">
      <c r="A769" s="133"/>
      <c r="B769" s="139"/>
      <c r="C769" s="492"/>
      <c r="D769" s="492">
        <f t="shared" si="32"/>
        <v>0</v>
      </c>
    </row>
    <row r="770" spans="1:4" x14ac:dyDescent="0.2">
      <c r="A770" s="133" t="s">
        <v>386</v>
      </c>
      <c r="B770" s="139">
        <f>SUM(B777,B796)</f>
        <v>60871982</v>
      </c>
      <c r="C770" s="139">
        <f t="shared" ref="C770" si="33">SUM(C777,C796)</f>
        <v>1557743</v>
      </c>
      <c r="D770" s="139">
        <f t="shared" si="32"/>
        <v>62429725</v>
      </c>
    </row>
    <row r="771" spans="1:4" s="36" customFormat="1" x14ac:dyDescent="0.2">
      <c r="A771" s="123" t="s">
        <v>422</v>
      </c>
      <c r="B771" s="140">
        <v>1970000</v>
      </c>
      <c r="C771" s="492"/>
      <c r="D771" s="492">
        <f t="shared" si="32"/>
        <v>1970000</v>
      </c>
    </row>
    <row r="772" spans="1:4" x14ac:dyDescent="0.2">
      <c r="A772" s="134" t="s">
        <v>387</v>
      </c>
      <c r="B772" s="139">
        <f>SUM(B773:B775)</f>
        <v>60871982</v>
      </c>
      <c r="C772" s="139">
        <f t="shared" ref="C772" si="34">SUM(C773:C775)</f>
        <v>1557743</v>
      </c>
      <c r="D772" s="139">
        <f t="shared" si="32"/>
        <v>62429725</v>
      </c>
    </row>
    <row r="773" spans="1:4" x14ac:dyDescent="0.2">
      <c r="A773" s="135" t="s">
        <v>388</v>
      </c>
      <c r="B773" s="140">
        <f>'2.2 OMATULUD'!B422</f>
        <v>6602030</v>
      </c>
      <c r="C773" s="492"/>
      <c r="D773" s="492">
        <f t="shared" si="32"/>
        <v>6602030</v>
      </c>
    </row>
    <row r="774" spans="1:4" x14ac:dyDescent="0.2">
      <c r="A774" s="136" t="s">
        <v>360</v>
      </c>
      <c r="B774" s="140">
        <f>SUM(B817,B821)</f>
        <v>518937</v>
      </c>
      <c r="C774" s="492"/>
      <c r="D774" s="492">
        <f t="shared" si="32"/>
        <v>518937</v>
      </c>
    </row>
    <row r="775" spans="1:4" x14ac:dyDescent="0.2">
      <c r="A775" s="136" t="s">
        <v>389</v>
      </c>
      <c r="B775" s="140">
        <f>B770-B773-B774</f>
        <v>53751015</v>
      </c>
      <c r="C775" s="140">
        <f t="shared" ref="C775" si="35">C770-C773-C774</f>
        <v>1557743</v>
      </c>
      <c r="D775" s="140">
        <f t="shared" si="32"/>
        <v>55308758</v>
      </c>
    </row>
    <row r="776" spans="1:4" x14ac:dyDescent="0.2">
      <c r="A776" s="142"/>
      <c r="B776" s="140"/>
      <c r="C776" s="492"/>
      <c r="D776" s="492">
        <f t="shared" si="32"/>
        <v>0</v>
      </c>
    </row>
    <row r="777" spans="1:4" ht="15" x14ac:dyDescent="0.2">
      <c r="A777" s="150" t="s">
        <v>501</v>
      </c>
      <c r="B777" s="143">
        <f>SUM(B778,B790,B794)</f>
        <v>56503560</v>
      </c>
      <c r="C777" s="143">
        <f t="shared" ref="C777" si="36">SUM(C778,C790,C794)</f>
        <v>1495460</v>
      </c>
      <c r="D777" s="143">
        <f t="shared" si="32"/>
        <v>57999020</v>
      </c>
    </row>
    <row r="778" spans="1:4" x14ac:dyDescent="0.2">
      <c r="A778" s="235" t="s">
        <v>502</v>
      </c>
      <c r="B778" s="139">
        <f>SUM(B780,B785,B788)</f>
        <v>54287400</v>
      </c>
      <c r="C778" s="139">
        <f t="shared" ref="C778" si="37">SUM(C780,C785,C788)</f>
        <v>1495460</v>
      </c>
      <c r="D778" s="139">
        <f t="shared" si="32"/>
        <v>55782860</v>
      </c>
    </row>
    <row r="779" spans="1:4" x14ac:dyDescent="0.2">
      <c r="A779" s="153" t="s">
        <v>407</v>
      </c>
      <c r="B779" s="140"/>
      <c r="C779" s="492"/>
      <c r="D779" s="492">
        <f t="shared" si="32"/>
        <v>0</v>
      </c>
    </row>
    <row r="780" spans="1:4" x14ac:dyDescent="0.2">
      <c r="A780" s="461" t="s">
        <v>866</v>
      </c>
      <c r="B780" s="507">
        <f>52450800+400000</f>
        <v>52850800</v>
      </c>
      <c r="C780" s="507">
        <v>1500000</v>
      </c>
      <c r="D780" s="507">
        <f t="shared" si="32"/>
        <v>54350800</v>
      </c>
    </row>
    <row r="781" spans="1:4" x14ac:dyDescent="0.2">
      <c r="A781" s="461"/>
      <c r="B781" s="507"/>
      <c r="C781" s="492"/>
      <c r="D781" s="492">
        <f t="shared" si="32"/>
        <v>0</v>
      </c>
    </row>
    <row r="782" spans="1:4" ht="22.5" x14ac:dyDescent="0.2">
      <c r="A782" s="476" t="s">
        <v>867</v>
      </c>
      <c r="B782" s="507"/>
      <c r="C782" s="492"/>
      <c r="D782" s="492">
        <f t="shared" si="32"/>
        <v>0</v>
      </c>
    </row>
    <row r="783" spans="1:4" x14ac:dyDescent="0.2">
      <c r="A783" s="185"/>
      <c r="B783" s="140"/>
      <c r="C783" s="492"/>
      <c r="D783" s="492">
        <f t="shared" si="32"/>
        <v>0</v>
      </c>
    </row>
    <row r="784" spans="1:4" x14ac:dyDescent="0.2">
      <c r="A784" s="153" t="s">
        <v>407</v>
      </c>
      <c r="B784" s="140"/>
      <c r="C784" s="492"/>
      <c r="D784" s="492">
        <f t="shared" si="32"/>
        <v>0</v>
      </c>
    </row>
    <row r="785" spans="1:4" x14ac:dyDescent="0.2">
      <c r="A785" s="461" t="s">
        <v>503</v>
      </c>
      <c r="B785" s="507">
        <f>1350600-110000</f>
        <v>1240600</v>
      </c>
      <c r="C785" s="492"/>
      <c r="D785" s="492">
        <f t="shared" si="32"/>
        <v>1240600</v>
      </c>
    </row>
    <row r="786" spans="1:4" x14ac:dyDescent="0.2">
      <c r="A786" s="184"/>
      <c r="B786" s="521"/>
      <c r="C786" s="492"/>
      <c r="D786" s="492">
        <f t="shared" si="32"/>
        <v>0</v>
      </c>
    </row>
    <row r="787" spans="1:4" x14ac:dyDescent="0.2">
      <c r="A787" s="153" t="s">
        <v>506</v>
      </c>
      <c r="B787" s="521"/>
      <c r="C787" s="492"/>
      <c r="D787" s="492">
        <f t="shared" si="32"/>
        <v>0</v>
      </c>
    </row>
    <row r="788" spans="1:4" x14ac:dyDescent="0.2">
      <c r="A788" s="461" t="s">
        <v>507</v>
      </c>
      <c r="B788" s="507">
        <v>196000</v>
      </c>
      <c r="C788" s="492">
        <v>-4540</v>
      </c>
      <c r="D788" s="492">
        <f t="shared" si="32"/>
        <v>191460</v>
      </c>
    </row>
    <row r="789" spans="1:4" x14ac:dyDescent="0.2">
      <c r="A789" s="186"/>
      <c r="B789" s="140"/>
      <c r="C789" s="492"/>
      <c r="D789" s="492">
        <f t="shared" si="32"/>
        <v>0</v>
      </c>
    </row>
    <row r="790" spans="1:4" x14ac:dyDescent="0.2">
      <c r="A790" s="235" t="s">
        <v>508</v>
      </c>
      <c r="B790" s="139">
        <v>1175900</v>
      </c>
      <c r="C790" s="492"/>
      <c r="D790" s="492">
        <f t="shared" si="32"/>
        <v>1175900</v>
      </c>
    </row>
    <row r="791" spans="1:4" x14ac:dyDescent="0.2">
      <c r="A791" s="184"/>
      <c r="B791" s="521"/>
      <c r="C791" s="492"/>
      <c r="D791" s="492">
        <f t="shared" si="32"/>
        <v>0</v>
      </c>
    </row>
    <row r="792" spans="1:4" ht="56.25" x14ac:dyDescent="0.2">
      <c r="A792" s="185" t="s">
        <v>842</v>
      </c>
      <c r="B792" s="521"/>
      <c r="C792" s="492"/>
      <c r="D792" s="492">
        <f t="shared" si="32"/>
        <v>0</v>
      </c>
    </row>
    <row r="793" spans="1:4" x14ac:dyDescent="0.2">
      <c r="A793" s="549"/>
      <c r="B793" s="140"/>
      <c r="C793" s="492"/>
      <c r="D793" s="492">
        <f t="shared" si="32"/>
        <v>0</v>
      </c>
    </row>
    <row r="794" spans="1:4" x14ac:dyDescent="0.2">
      <c r="A794" s="235" t="s">
        <v>509</v>
      </c>
      <c r="B794" s="139">
        <v>1040260</v>
      </c>
      <c r="C794" s="492"/>
      <c r="D794" s="492">
        <f t="shared" si="32"/>
        <v>1040260</v>
      </c>
    </row>
    <row r="795" spans="1:4" x14ac:dyDescent="0.2">
      <c r="A795" s="549"/>
      <c r="B795" s="522"/>
      <c r="C795" s="492"/>
      <c r="D795" s="492">
        <f t="shared" si="32"/>
        <v>0</v>
      </c>
    </row>
    <row r="796" spans="1:4" x14ac:dyDescent="0.2">
      <c r="A796" s="133" t="s">
        <v>392</v>
      </c>
      <c r="B796" s="139">
        <f>SUM(B798,B801,B808,B812,B823,B825,B819,B806)</f>
        <v>4368422</v>
      </c>
      <c r="C796" s="139">
        <f>SUM(C798,C801,C808,C812,C823,C825,C819,C806)</f>
        <v>62283</v>
      </c>
      <c r="D796" s="139">
        <f t="shared" si="32"/>
        <v>4430705</v>
      </c>
    </row>
    <row r="797" spans="1:4" x14ac:dyDescent="0.2">
      <c r="A797" s="133"/>
      <c r="B797" s="140"/>
      <c r="C797" s="492"/>
      <c r="D797" s="492">
        <f t="shared" si="32"/>
        <v>0</v>
      </c>
    </row>
    <row r="798" spans="1:4" x14ac:dyDescent="0.2">
      <c r="A798" s="128" t="s">
        <v>1060</v>
      </c>
      <c r="B798" s="522">
        <v>1262753</v>
      </c>
      <c r="C798" s="522">
        <v>57743</v>
      </c>
      <c r="D798" s="522">
        <f t="shared" si="32"/>
        <v>1320496</v>
      </c>
    </row>
    <row r="799" spans="1:4" x14ac:dyDescent="0.2">
      <c r="A799" s="127" t="s">
        <v>394</v>
      </c>
      <c r="B799" s="149">
        <v>815428</v>
      </c>
      <c r="C799" s="149">
        <v>43092</v>
      </c>
      <c r="D799" s="149">
        <f t="shared" si="32"/>
        <v>858520</v>
      </c>
    </row>
    <row r="800" spans="1:4" x14ac:dyDescent="0.2">
      <c r="A800" s="421" t="s">
        <v>1061</v>
      </c>
      <c r="B800" s="140"/>
      <c r="C800" s="492"/>
      <c r="D800" s="492">
        <f t="shared" si="32"/>
        <v>0</v>
      </c>
    </row>
    <row r="801" spans="1:4" s="36" customFormat="1" x14ac:dyDescent="0.2">
      <c r="A801" s="156" t="s">
        <v>510</v>
      </c>
      <c r="B801" s="523">
        <f>SUM(B802:B804)</f>
        <v>379951</v>
      </c>
      <c r="C801" s="523">
        <f>SUM(C802:C804)</f>
        <v>4540</v>
      </c>
      <c r="D801" s="523">
        <f t="shared" si="32"/>
        <v>384491</v>
      </c>
    </row>
    <row r="802" spans="1:4" x14ac:dyDescent="0.2">
      <c r="A802" s="163" t="s">
        <v>91</v>
      </c>
      <c r="B802" s="268">
        <v>242000</v>
      </c>
      <c r="C802" s="268"/>
      <c r="D802" s="268">
        <f t="shared" si="32"/>
        <v>242000</v>
      </c>
    </row>
    <row r="803" spans="1:4" x14ac:dyDescent="0.2">
      <c r="A803" s="257" t="s">
        <v>511</v>
      </c>
      <c r="B803" s="268">
        <v>111531</v>
      </c>
      <c r="C803" s="268"/>
      <c r="D803" s="268">
        <f t="shared" si="32"/>
        <v>111531</v>
      </c>
    </row>
    <row r="804" spans="1:4" x14ac:dyDescent="0.2">
      <c r="A804" s="257" t="s">
        <v>512</v>
      </c>
      <c r="B804" s="268">
        <v>26420</v>
      </c>
      <c r="C804" s="268">
        <v>4540</v>
      </c>
      <c r="D804" s="268">
        <f t="shared" si="32"/>
        <v>30960</v>
      </c>
    </row>
    <row r="805" spans="1:4" x14ac:dyDescent="0.2">
      <c r="A805" s="257"/>
      <c r="B805" s="268"/>
      <c r="C805" s="492"/>
      <c r="D805" s="492">
        <f t="shared" si="32"/>
        <v>0</v>
      </c>
    </row>
    <row r="806" spans="1:4" x14ac:dyDescent="0.2">
      <c r="A806" s="156" t="s">
        <v>820</v>
      </c>
      <c r="B806" s="523">
        <v>1927708</v>
      </c>
      <c r="C806" s="492"/>
      <c r="D806" s="492">
        <f t="shared" si="32"/>
        <v>1927708</v>
      </c>
    </row>
    <row r="807" spans="1:4" s="36" customFormat="1" x14ac:dyDescent="0.2">
      <c r="A807" s="438"/>
      <c r="B807" s="491"/>
      <c r="C807" s="492"/>
      <c r="D807" s="492">
        <f t="shared" si="32"/>
        <v>0</v>
      </c>
    </row>
    <row r="808" spans="1:4" x14ac:dyDescent="0.2">
      <c r="A808" s="129" t="s">
        <v>513</v>
      </c>
      <c r="B808" s="523">
        <f>SUM(B809:B810)</f>
        <v>109740</v>
      </c>
      <c r="C808" s="523">
        <f>SUM(C809:C810)</f>
        <v>0</v>
      </c>
      <c r="D808" s="523">
        <f t="shared" si="32"/>
        <v>109740</v>
      </c>
    </row>
    <row r="809" spans="1:4" x14ac:dyDescent="0.2">
      <c r="A809" s="163" t="s">
        <v>92</v>
      </c>
      <c r="B809" s="268">
        <v>106090</v>
      </c>
      <c r="C809" s="268">
        <v>3650</v>
      </c>
      <c r="D809" s="268">
        <f t="shared" si="32"/>
        <v>109740</v>
      </c>
    </row>
    <row r="810" spans="1:4" x14ac:dyDescent="0.2">
      <c r="A810" s="258" t="s">
        <v>514</v>
      </c>
      <c r="B810" s="268">
        <v>3650</v>
      </c>
      <c r="C810" s="268">
        <v>-3650</v>
      </c>
      <c r="D810" s="268">
        <f t="shared" si="32"/>
        <v>0</v>
      </c>
    </row>
    <row r="811" spans="1:4" x14ac:dyDescent="0.2">
      <c r="A811" s="133"/>
      <c r="B811" s="140"/>
      <c r="C811" s="492"/>
      <c r="D811" s="492">
        <f t="shared" si="32"/>
        <v>0</v>
      </c>
    </row>
    <row r="812" spans="1:4" x14ac:dyDescent="0.2">
      <c r="A812" s="129" t="s">
        <v>230</v>
      </c>
      <c r="B812" s="523">
        <f>B813+B814+B815</f>
        <v>635356</v>
      </c>
      <c r="C812" s="492"/>
      <c r="D812" s="492">
        <f t="shared" si="32"/>
        <v>635356</v>
      </c>
    </row>
    <row r="813" spans="1:4" s="36" customFormat="1" ht="22.5" x14ac:dyDescent="0.2">
      <c r="A813" s="422" t="s">
        <v>784</v>
      </c>
      <c r="B813" s="268">
        <v>610356</v>
      </c>
      <c r="C813" s="492"/>
      <c r="D813" s="492">
        <f t="shared" si="32"/>
        <v>610356</v>
      </c>
    </row>
    <row r="814" spans="1:4" x14ac:dyDescent="0.2">
      <c r="A814" s="257" t="s">
        <v>231</v>
      </c>
      <c r="B814" s="268">
        <v>15000</v>
      </c>
      <c r="C814" s="492"/>
      <c r="D814" s="492">
        <f t="shared" si="32"/>
        <v>15000</v>
      </c>
    </row>
    <row r="815" spans="1:4" x14ac:dyDescent="0.2">
      <c r="A815" s="154" t="s">
        <v>232</v>
      </c>
      <c r="B815" s="268">
        <v>10000</v>
      </c>
      <c r="C815" s="492"/>
      <c r="D815" s="492">
        <f t="shared" si="32"/>
        <v>10000</v>
      </c>
    </row>
    <row r="816" spans="1:4" x14ac:dyDescent="0.2">
      <c r="A816" s="154"/>
      <c r="B816" s="268"/>
      <c r="C816" s="492"/>
      <c r="D816" s="492">
        <f t="shared" si="32"/>
        <v>0</v>
      </c>
    </row>
    <row r="817" spans="1:4" x14ac:dyDescent="0.2">
      <c r="A817" s="131" t="s">
        <v>420</v>
      </c>
      <c r="B817" s="147">
        <v>518801</v>
      </c>
      <c r="C817" s="492"/>
      <c r="D817" s="492">
        <f t="shared" si="32"/>
        <v>518801</v>
      </c>
    </row>
    <row r="818" spans="1:4" s="36" customFormat="1" x14ac:dyDescent="0.2">
      <c r="A818" s="131"/>
      <c r="B818" s="147"/>
      <c r="C818" s="492"/>
      <c r="D818" s="492">
        <f t="shared" si="32"/>
        <v>0</v>
      </c>
    </row>
    <row r="819" spans="1:4" ht="25.5" x14ac:dyDescent="0.2">
      <c r="A819" s="126" t="s">
        <v>821</v>
      </c>
      <c r="B819" s="523">
        <v>439</v>
      </c>
      <c r="C819" s="492"/>
      <c r="D819" s="492">
        <f t="shared" si="32"/>
        <v>439</v>
      </c>
    </row>
    <row r="820" spans="1:4" x14ac:dyDescent="0.2">
      <c r="A820" s="129"/>
      <c r="B820" s="523"/>
      <c r="C820" s="492"/>
      <c r="D820" s="492">
        <f t="shared" si="32"/>
        <v>0</v>
      </c>
    </row>
    <row r="821" spans="1:4" x14ac:dyDescent="0.2">
      <c r="A821" s="131" t="s">
        <v>420</v>
      </c>
      <c r="B821" s="147">
        <v>136</v>
      </c>
      <c r="C821" s="492"/>
      <c r="D821" s="492">
        <f t="shared" si="32"/>
        <v>136</v>
      </c>
    </row>
    <row r="822" spans="1:4" x14ac:dyDescent="0.2">
      <c r="A822" s="259"/>
      <c r="B822" s="268"/>
      <c r="C822" s="492"/>
      <c r="D822" s="492">
        <f t="shared" si="32"/>
        <v>0</v>
      </c>
    </row>
    <row r="823" spans="1:4" x14ac:dyDescent="0.2">
      <c r="A823" s="129" t="s">
        <v>515</v>
      </c>
      <c r="B823" s="523">
        <v>38500</v>
      </c>
      <c r="C823" s="492"/>
      <c r="D823" s="492">
        <f t="shared" si="32"/>
        <v>38500</v>
      </c>
    </row>
    <row r="824" spans="1:4" s="36" customFormat="1" x14ac:dyDescent="0.2">
      <c r="A824" s="129"/>
      <c r="B824" s="523"/>
      <c r="C824" s="492"/>
      <c r="D824" s="492">
        <f t="shared" si="32"/>
        <v>0</v>
      </c>
    </row>
    <row r="825" spans="1:4" x14ac:dyDescent="0.2">
      <c r="A825" s="129" t="s">
        <v>516</v>
      </c>
      <c r="B825" s="523">
        <v>13975</v>
      </c>
      <c r="C825" s="492"/>
      <c r="D825" s="492">
        <f t="shared" si="32"/>
        <v>13975</v>
      </c>
    </row>
    <row r="826" spans="1:4" x14ac:dyDescent="0.2">
      <c r="A826" s="129"/>
      <c r="B826" s="491"/>
      <c r="C826" s="492"/>
      <c r="D826" s="492">
        <f t="shared" si="32"/>
        <v>0</v>
      </c>
    </row>
    <row r="827" spans="1:4" x14ac:dyDescent="0.2">
      <c r="A827" s="128"/>
      <c r="B827" s="491"/>
      <c r="C827" s="492"/>
      <c r="D827" s="492">
        <f t="shared" si="32"/>
        <v>0</v>
      </c>
    </row>
    <row r="828" spans="1:4" ht="15.75" x14ac:dyDescent="0.2">
      <c r="A828" s="138" t="s">
        <v>517</v>
      </c>
      <c r="B828" s="139"/>
      <c r="C828" s="492"/>
      <c r="D828" s="492">
        <f t="shared" ref="D828:D891" si="38">B828+C828</f>
        <v>0</v>
      </c>
    </row>
    <row r="829" spans="1:4" x14ac:dyDescent="0.2">
      <c r="A829" s="133"/>
      <c r="B829" s="139"/>
      <c r="C829" s="492"/>
      <c r="D829" s="492">
        <f t="shared" si="38"/>
        <v>0</v>
      </c>
    </row>
    <row r="830" spans="1:4" x14ac:dyDescent="0.2">
      <c r="A830" s="133" t="s">
        <v>386</v>
      </c>
      <c r="B830" s="139">
        <f>SUM(B836,B849,B853)</f>
        <v>39975539</v>
      </c>
      <c r="C830" s="139">
        <f t="shared" ref="C830" si="39">SUM(C836,C849,C853)</f>
        <v>4000000</v>
      </c>
      <c r="D830" s="139">
        <f t="shared" si="38"/>
        <v>43975539</v>
      </c>
    </row>
    <row r="831" spans="1:4" s="36" customFormat="1" x14ac:dyDescent="0.2">
      <c r="A831" s="123" t="s">
        <v>422</v>
      </c>
      <c r="B831" s="140">
        <v>36472573</v>
      </c>
      <c r="C831" s="492"/>
      <c r="D831" s="492">
        <f t="shared" si="38"/>
        <v>36472573</v>
      </c>
    </row>
    <row r="832" spans="1:4" x14ac:dyDescent="0.2">
      <c r="A832" s="134" t="s">
        <v>387</v>
      </c>
      <c r="B832" s="139">
        <f>SUM(B833:B834)</f>
        <v>39975539</v>
      </c>
      <c r="C832" s="139">
        <f t="shared" ref="C832" si="40">SUM(C833:C834)</f>
        <v>4000000</v>
      </c>
      <c r="D832" s="139">
        <f t="shared" si="38"/>
        <v>43975539</v>
      </c>
    </row>
    <row r="833" spans="1:4" x14ac:dyDescent="0.2">
      <c r="A833" s="135" t="s">
        <v>388</v>
      </c>
      <c r="B833" s="140">
        <f>'2.2 OMATULUD'!B434</f>
        <v>722758</v>
      </c>
      <c r="C833" s="492"/>
      <c r="D833" s="492">
        <f t="shared" si="38"/>
        <v>722758</v>
      </c>
    </row>
    <row r="834" spans="1:4" x14ac:dyDescent="0.2">
      <c r="A834" s="136" t="s">
        <v>389</v>
      </c>
      <c r="B834" s="140">
        <f>B830-B833</f>
        <v>39252781</v>
      </c>
      <c r="C834" s="140">
        <f t="shared" ref="C834" si="41">C830-C833</f>
        <v>4000000</v>
      </c>
      <c r="D834" s="140">
        <f t="shared" si="38"/>
        <v>43252781</v>
      </c>
    </row>
    <row r="835" spans="1:4" x14ac:dyDescent="0.2">
      <c r="A835" s="142"/>
      <c r="B835" s="140"/>
      <c r="C835" s="492"/>
      <c r="D835" s="492">
        <f t="shared" si="38"/>
        <v>0</v>
      </c>
    </row>
    <row r="836" spans="1:4" ht="15" x14ac:dyDescent="0.2">
      <c r="A836" s="150" t="s">
        <v>519</v>
      </c>
      <c r="B836" s="143">
        <f>SUM(B837,B847)</f>
        <v>21884941</v>
      </c>
      <c r="C836" s="143">
        <f t="shared" ref="C836" si="42">SUM(C837,C847)</f>
        <v>4000000</v>
      </c>
      <c r="D836" s="143">
        <f t="shared" si="38"/>
        <v>25884941</v>
      </c>
    </row>
    <row r="837" spans="1:4" x14ac:dyDescent="0.2">
      <c r="A837" s="235" t="s">
        <v>520</v>
      </c>
      <c r="B837" s="139">
        <f>SUM(B839,B842,B845)</f>
        <v>15151013</v>
      </c>
      <c r="C837" s="139">
        <f t="shared" ref="C837" si="43">SUM(C839,C842,C845)</f>
        <v>4000000</v>
      </c>
      <c r="D837" s="139">
        <f t="shared" si="38"/>
        <v>19151013</v>
      </c>
    </row>
    <row r="838" spans="1:4" x14ac:dyDescent="0.2">
      <c r="A838" s="153" t="s">
        <v>407</v>
      </c>
      <c r="B838" s="140"/>
      <c r="C838" s="492"/>
      <c r="D838" s="492">
        <f t="shared" si="38"/>
        <v>0</v>
      </c>
    </row>
    <row r="839" spans="1:4" x14ac:dyDescent="0.2">
      <c r="A839" s="461" t="s">
        <v>521</v>
      </c>
      <c r="B839" s="507">
        <v>4026173</v>
      </c>
      <c r="C839" s="492">
        <v>4000000</v>
      </c>
      <c r="D839" s="492">
        <f t="shared" si="38"/>
        <v>8026173</v>
      </c>
    </row>
    <row r="840" spans="1:4" x14ac:dyDescent="0.2">
      <c r="A840" s="425"/>
      <c r="B840" s="507"/>
      <c r="C840" s="492"/>
      <c r="D840" s="492">
        <f t="shared" si="38"/>
        <v>0</v>
      </c>
    </row>
    <row r="841" spans="1:4" x14ac:dyDescent="0.2">
      <c r="A841" s="153" t="s">
        <v>407</v>
      </c>
      <c r="B841" s="140"/>
      <c r="C841" s="492"/>
      <c r="D841" s="492">
        <f t="shared" si="38"/>
        <v>0</v>
      </c>
    </row>
    <row r="842" spans="1:4" x14ac:dyDescent="0.2">
      <c r="A842" s="461" t="s">
        <v>522</v>
      </c>
      <c r="B842" s="507">
        <f>11741375-700000</f>
        <v>11041375</v>
      </c>
      <c r="C842" s="492"/>
      <c r="D842" s="492">
        <f t="shared" si="38"/>
        <v>11041375</v>
      </c>
    </row>
    <row r="843" spans="1:4" x14ac:dyDescent="0.2">
      <c r="A843" s="425"/>
      <c r="B843" s="507"/>
      <c r="C843" s="492"/>
      <c r="D843" s="492">
        <f t="shared" si="38"/>
        <v>0</v>
      </c>
    </row>
    <row r="844" spans="1:4" x14ac:dyDescent="0.2">
      <c r="A844" s="153" t="s">
        <v>407</v>
      </c>
      <c r="B844" s="140"/>
      <c r="C844" s="492"/>
      <c r="D844" s="492">
        <f t="shared" si="38"/>
        <v>0</v>
      </c>
    </row>
    <row r="845" spans="1:4" x14ac:dyDescent="0.2">
      <c r="A845" s="461" t="s">
        <v>233</v>
      </c>
      <c r="B845" s="507">
        <v>83465</v>
      </c>
      <c r="C845" s="492"/>
      <c r="D845" s="492">
        <f t="shared" si="38"/>
        <v>83465</v>
      </c>
    </row>
    <row r="846" spans="1:4" x14ac:dyDescent="0.2">
      <c r="A846" s="425"/>
      <c r="B846" s="507"/>
      <c r="C846" s="492"/>
      <c r="D846" s="492">
        <f t="shared" si="38"/>
        <v>0</v>
      </c>
    </row>
    <row r="847" spans="1:4" x14ac:dyDescent="0.2">
      <c r="A847" s="235" t="s">
        <v>234</v>
      </c>
      <c r="B847" s="139">
        <f>7228928-495000</f>
        <v>6733928</v>
      </c>
      <c r="C847" s="492"/>
      <c r="D847" s="492">
        <f t="shared" si="38"/>
        <v>6733928</v>
      </c>
    </row>
    <row r="848" spans="1:4" x14ac:dyDescent="0.2">
      <c r="A848" s="549"/>
      <c r="B848" s="522"/>
      <c r="C848" s="492"/>
      <c r="D848" s="492">
        <f t="shared" si="38"/>
        <v>0</v>
      </c>
    </row>
    <row r="849" spans="1:4" ht="15" x14ac:dyDescent="0.2">
      <c r="A849" s="150" t="s">
        <v>528</v>
      </c>
      <c r="B849" s="143">
        <f>SUM(B850)</f>
        <v>854362</v>
      </c>
      <c r="C849" s="492"/>
      <c r="D849" s="492">
        <f t="shared" si="38"/>
        <v>854362</v>
      </c>
    </row>
    <row r="850" spans="1:4" x14ac:dyDescent="0.2">
      <c r="A850" s="235" t="s">
        <v>529</v>
      </c>
      <c r="B850" s="139">
        <f>914362-60000</f>
        <v>854362</v>
      </c>
      <c r="C850" s="492"/>
      <c r="D850" s="492">
        <f t="shared" si="38"/>
        <v>854362</v>
      </c>
    </row>
    <row r="851" spans="1:4" x14ac:dyDescent="0.2">
      <c r="A851" s="137" t="s">
        <v>394</v>
      </c>
      <c r="B851" s="266">
        <v>325204</v>
      </c>
      <c r="C851" s="492"/>
      <c r="D851" s="492">
        <f t="shared" si="38"/>
        <v>325204</v>
      </c>
    </row>
    <row r="852" spans="1:4" x14ac:dyDescent="0.2">
      <c r="A852" s="154"/>
      <c r="B852" s="140"/>
      <c r="C852" s="492"/>
      <c r="D852" s="492">
        <f t="shared" si="38"/>
        <v>0</v>
      </c>
    </row>
    <row r="853" spans="1:4" x14ac:dyDescent="0.2">
      <c r="A853" s="133" t="s">
        <v>392</v>
      </c>
      <c r="B853" s="139">
        <f>SUM(B855,B858,B868,B870,B872,B874,B879,B882,B884,B886,B888)</f>
        <v>17236236</v>
      </c>
      <c r="C853" s="139">
        <f t="shared" ref="C853" si="44">SUM(C855,C858,C868,C870,C872,C874,C879,C882,C884,C886,C888)</f>
        <v>0</v>
      </c>
      <c r="D853" s="139">
        <f t="shared" si="38"/>
        <v>17236236</v>
      </c>
    </row>
    <row r="854" spans="1:4" x14ac:dyDescent="0.2">
      <c r="A854" s="133"/>
      <c r="B854" s="140"/>
      <c r="C854" s="492"/>
      <c r="D854" s="492">
        <f t="shared" si="38"/>
        <v>0</v>
      </c>
    </row>
    <row r="855" spans="1:4" x14ac:dyDescent="0.2">
      <c r="A855" s="128" t="s">
        <v>523</v>
      </c>
      <c r="B855" s="522">
        <v>1294595</v>
      </c>
      <c r="C855" s="492"/>
      <c r="D855" s="492">
        <f t="shared" si="38"/>
        <v>1294595</v>
      </c>
    </row>
    <row r="856" spans="1:4" x14ac:dyDescent="0.2">
      <c r="A856" s="127" t="s">
        <v>394</v>
      </c>
      <c r="B856" s="149">
        <v>849400</v>
      </c>
      <c r="C856" s="492"/>
      <c r="D856" s="492">
        <f t="shared" si="38"/>
        <v>849400</v>
      </c>
    </row>
    <row r="857" spans="1:4" x14ac:dyDescent="0.2">
      <c r="A857" s="133"/>
      <c r="B857" s="140"/>
      <c r="C857" s="492"/>
      <c r="D857" s="492">
        <f t="shared" si="38"/>
        <v>0</v>
      </c>
    </row>
    <row r="858" spans="1:4" x14ac:dyDescent="0.2">
      <c r="A858" s="158" t="s">
        <v>235</v>
      </c>
      <c r="B858" s="523">
        <f>SUM(B859:B866)-B864-B862</f>
        <v>14174599</v>
      </c>
      <c r="C858" s="523">
        <f t="shared" ref="C858" si="45">SUM(C859:C866)-C864-C862</f>
        <v>100000</v>
      </c>
      <c r="D858" s="523">
        <f t="shared" si="38"/>
        <v>14274599</v>
      </c>
    </row>
    <row r="859" spans="1:4" x14ac:dyDescent="0.2">
      <c r="A859" s="163" t="s">
        <v>236</v>
      </c>
      <c r="B859" s="268">
        <v>4209779</v>
      </c>
      <c r="C859" s="492">
        <v>100000</v>
      </c>
      <c r="D859" s="492">
        <f t="shared" si="38"/>
        <v>4309779</v>
      </c>
    </row>
    <row r="860" spans="1:4" ht="22.5" x14ac:dyDescent="0.2">
      <c r="A860" s="257" t="s">
        <v>237</v>
      </c>
      <c r="B860" s="268">
        <v>370000</v>
      </c>
      <c r="C860" s="492"/>
      <c r="D860" s="492">
        <f t="shared" si="38"/>
        <v>370000</v>
      </c>
    </row>
    <row r="861" spans="1:4" x14ac:dyDescent="0.2">
      <c r="A861" s="257" t="s">
        <v>802</v>
      </c>
      <c r="B861" s="268">
        <v>270000</v>
      </c>
      <c r="C861" s="273"/>
      <c r="D861" s="273">
        <f t="shared" si="38"/>
        <v>270000</v>
      </c>
    </row>
    <row r="862" spans="1:4" x14ac:dyDescent="0.2">
      <c r="A862" s="462" t="s">
        <v>823</v>
      </c>
      <c r="B862" s="524">
        <v>225000</v>
      </c>
      <c r="C862" s="492"/>
      <c r="D862" s="492">
        <f t="shared" si="38"/>
        <v>225000</v>
      </c>
    </row>
    <row r="863" spans="1:4" x14ac:dyDescent="0.2">
      <c r="A863" s="258" t="s">
        <v>822</v>
      </c>
      <c r="B863" s="268">
        <v>9219255</v>
      </c>
      <c r="C863" s="273"/>
      <c r="D863" s="273">
        <f t="shared" si="38"/>
        <v>9219255</v>
      </c>
    </row>
    <row r="864" spans="1:4" x14ac:dyDescent="0.2">
      <c r="A864" s="462" t="s">
        <v>823</v>
      </c>
      <c r="B864" s="524">
        <v>7682713</v>
      </c>
      <c r="C864" s="492"/>
      <c r="D864" s="492">
        <f t="shared" si="38"/>
        <v>7682713</v>
      </c>
    </row>
    <row r="865" spans="1:4" ht="22.5" x14ac:dyDescent="0.2">
      <c r="A865" s="167" t="s">
        <v>238</v>
      </c>
      <c r="B865" s="268">
        <v>25565</v>
      </c>
      <c r="C865" s="492"/>
      <c r="D865" s="492">
        <f t="shared" si="38"/>
        <v>25565</v>
      </c>
    </row>
    <row r="866" spans="1:4" ht="22.5" x14ac:dyDescent="0.2">
      <c r="A866" s="257" t="s">
        <v>854</v>
      </c>
      <c r="B866" s="268">
        <v>80000</v>
      </c>
      <c r="C866" s="492"/>
      <c r="D866" s="492">
        <f t="shared" si="38"/>
        <v>80000</v>
      </c>
    </row>
    <row r="867" spans="1:4" x14ac:dyDescent="0.2">
      <c r="A867" s="260"/>
      <c r="B867" s="268"/>
      <c r="C867" s="492"/>
      <c r="D867" s="492">
        <f t="shared" si="38"/>
        <v>0</v>
      </c>
    </row>
    <row r="868" spans="1:4" ht="25.5" x14ac:dyDescent="0.2">
      <c r="A868" s="158" t="s">
        <v>239</v>
      </c>
      <c r="B868" s="523">
        <v>158820</v>
      </c>
      <c r="C868" s="492"/>
      <c r="D868" s="492">
        <f t="shared" si="38"/>
        <v>158820</v>
      </c>
    </row>
    <row r="869" spans="1:4" x14ac:dyDescent="0.2">
      <c r="A869" s="182"/>
      <c r="B869" s="269"/>
      <c r="C869" s="492"/>
      <c r="D869" s="492">
        <f t="shared" si="38"/>
        <v>0</v>
      </c>
    </row>
    <row r="870" spans="1:4" s="36" customFormat="1" x14ac:dyDescent="0.2">
      <c r="A870" s="158" t="s">
        <v>524</v>
      </c>
      <c r="B870" s="523">
        <v>185786</v>
      </c>
      <c r="C870" s="492"/>
      <c r="D870" s="492">
        <f t="shared" si="38"/>
        <v>185786</v>
      </c>
    </row>
    <row r="871" spans="1:4" x14ac:dyDescent="0.2">
      <c r="A871" s="129"/>
      <c r="B871" s="523"/>
      <c r="C871" s="492"/>
      <c r="D871" s="492">
        <f t="shared" si="38"/>
        <v>0</v>
      </c>
    </row>
    <row r="872" spans="1:4" x14ac:dyDescent="0.2">
      <c r="A872" s="158" t="s">
        <v>525</v>
      </c>
      <c r="B872" s="523">
        <v>45000</v>
      </c>
      <c r="C872" s="492">
        <v>-3000</v>
      </c>
      <c r="D872" s="492">
        <f t="shared" si="38"/>
        <v>42000</v>
      </c>
    </row>
    <row r="873" spans="1:4" x14ac:dyDescent="0.2">
      <c r="A873" s="158"/>
      <c r="B873" s="523"/>
      <c r="C873" s="525"/>
      <c r="D873" s="525">
        <f t="shared" si="38"/>
        <v>0</v>
      </c>
    </row>
    <row r="874" spans="1:4" x14ac:dyDescent="0.2">
      <c r="A874" s="158" t="s">
        <v>543</v>
      </c>
      <c r="B874" s="523">
        <v>291836</v>
      </c>
      <c r="C874" s="492">
        <v>3000</v>
      </c>
      <c r="D874" s="492">
        <f t="shared" si="38"/>
        <v>294836</v>
      </c>
    </row>
    <row r="875" spans="1:4" x14ac:dyDescent="0.2">
      <c r="A875" s="163" t="s">
        <v>240</v>
      </c>
      <c r="B875" s="268"/>
      <c r="C875" s="492"/>
      <c r="D875" s="492">
        <f t="shared" si="38"/>
        <v>0</v>
      </c>
    </row>
    <row r="876" spans="1:4" s="36" customFormat="1" x14ac:dyDescent="0.2">
      <c r="A876" s="258" t="s">
        <v>241</v>
      </c>
      <c r="B876" s="268"/>
      <c r="C876" s="492"/>
      <c r="D876" s="492">
        <f t="shared" si="38"/>
        <v>0</v>
      </c>
    </row>
    <row r="877" spans="1:4" s="36" customFormat="1" x14ac:dyDescent="0.2">
      <c r="A877" s="258" t="s">
        <v>242</v>
      </c>
      <c r="B877" s="268"/>
      <c r="C877" s="492"/>
      <c r="D877" s="492">
        <f t="shared" si="38"/>
        <v>0</v>
      </c>
    </row>
    <row r="878" spans="1:4" x14ac:dyDescent="0.2">
      <c r="A878" s="158"/>
      <c r="B878" s="523"/>
      <c r="C878" s="492"/>
      <c r="D878" s="492">
        <f t="shared" si="38"/>
        <v>0</v>
      </c>
    </row>
    <row r="879" spans="1:4" x14ac:dyDescent="0.2">
      <c r="A879" s="158" t="s">
        <v>243</v>
      </c>
      <c r="B879" s="523">
        <v>185600</v>
      </c>
      <c r="C879" s="492"/>
      <c r="D879" s="492">
        <f t="shared" si="38"/>
        <v>185600</v>
      </c>
    </row>
    <row r="880" spans="1:4" x14ac:dyDescent="0.2">
      <c r="A880" s="127" t="s">
        <v>394</v>
      </c>
      <c r="B880" s="149">
        <v>67003</v>
      </c>
      <c r="C880" s="492"/>
      <c r="D880" s="492">
        <f t="shared" si="38"/>
        <v>67003</v>
      </c>
    </row>
    <row r="881" spans="1:4" x14ac:dyDescent="0.2">
      <c r="A881" s="256"/>
      <c r="B881" s="268"/>
      <c r="C881" s="492"/>
      <c r="D881" s="492">
        <f t="shared" si="38"/>
        <v>0</v>
      </c>
    </row>
    <row r="882" spans="1:4" s="36" customFormat="1" ht="25.5" x14ac:dyDescent="0.2">
      <c r="A882" s="158" t="s">
        <v>244</v>
      </c>
      <c r="B882" s="523">
        <f>639000-244000</f>
        <v>395000</v>
      </c>
      <c r="C882" s="492"/>
      <c r="D882" s="492">
        <f t="shared" si="38"/>
        <v>395000</v>
      </c>
    </row>
    <row r="883" spans="1:4" s="36" customFormat="1" x14ac:dyDescent="0.2">
      <c r="A883" s="158"/>
      <c r="B883" s="523"/>
      <c r="C883" s="492"/>
      <c r="D883" s="492">
        <f t="shared" si="38"/>
        <v>0</v>
      </c>
    </row>
    <row r="884" spans="1:4" ht="25.5" x14ac:dyDescent="0.2">
      <c r="A884" s="158" t="s">
        <v>245</v>
      </c>
      <c r="B884" s="523">
        <v>395000</v>
      </c>
      <c r="C884" s="492"/>
      <c r="D884" s="492">
        <f t="shared" si="38"/>
        <v>395000</v>
      </c>
    </row>
    <row r="885" spans="1:4" x14ac:dyDescent="0.2">
      <c r="A885" s="158"/>
      <c r="B885" s="523"/>
      <c r="C885" s="492"/>
      <c r="D885" s="492">
        <f t="shared" si="38"/>
        <v>0</v>
      </c>
    </row>
    <row r="886" spans="1:4" ht="25.5" x14ac:dyDescent="0.2">
      <c r="A886" s="158" t="s">
        <v>764</v>
      </c>
      <c r="B886" s="523">
        <v>100000</v>
      </c>
      <c r="C886" s="492">
        <v>-100000</v>
      </c>
      <c r="D886" s="492">
        <f t="shared" si="38"/>
        <v>0</v>
      </c>
    </row>
    <row r="887" spans="1:4" x14ac:dyDescent="0.2">
      <c r="A887" s="158"/>
      <c r="B887" s="523"/>
      <c r="C887" s="492"/>
      <c r="D887" s="492">
        <f t="shared" si="38"/>
        <v>0</v>
      </c>
    </row>
    <row r="888" spans="1:4" s="36" customFormat="1" ht="25.5" x14ac:dyDescent="0.2">
      <c r="A888" s="158" t="s">
        <v>526</v>
      </c>
      <c r="B888" s="523">
        <v>10000</v>
      </c>
      <c r="C888" s="492"/>
      <c r="D888" s="492">
        <f t="shared" si="38"/>
        <v>10000</v>
      </c>
    </row>
    <row r="889" spans="1:4" x14ac:dyDescent="0.2">
      <c r="A889" s="259"/>
      <c r="B889" s="268"/>
      <c r="C889" s="492"/>
      <c r="D889" s="492">
        <f t="shared" si="38"/>
        <v>0</v>
      </c>
    </row>
    <row r="890" spans="1:4" x14ac:dyDescent="0.2">
      <c r="A890" s="259"/>
      <c r="B890" s="268"/>
      <c r="C890" s="492"/>
      <c r="D890" s="492">
        <f t="shared" si="38"/>
        <v>0</v>
      </c>
    </row>
    <row r="891" spans="1:4" ht="15.75" x14ac:dyDescent="0.2">
      <c r="A891" s="138" t="s">
        <v>527</v>
      </c>
      <c r="B891" s="139"/>
      <c r="C891" s="492"/>
      <c r="D891" s="492">
        <f t="shared" si="38"/>
        <v>0</v>
      </c>
    </row>
    <row r="892" spans="1:4" x14ac:dyDescent="0.2">
      <c r="A892" s="133"/>
      <c r="B892" s="139"/>
      <c r="C892" s="492"/>
      <c r="D892" s="492">
        <f t="shared" ref="D892:D953" si="46">B892+C892</f>
        <v>0</v>
      </c>
    </row>
    <row r="893" spans="1:4" x14ac:dyDescent="0.2">
      <c r="A893" s="133" t="s">
        <v>386</v>
      </c>
      <c r="B893" s="139">
        <f>SUM(B900,B910,B913)</f>
        <v>5575220</v>
      </c>
      <c r="C893" s="139">
        <f>SUM(C900,C910,C913)</f>
        <v>-16783</v>
      </c>
      <c r="D893" s="139">
        <f t="shared" si="46"/>
        <v>5558437</v>
      </c>
    </row>
    <row r="894" spans="1:4" s="36" customFormat="1" x14ac:dyDescent="0.2">
      <c r="A894" s="123" t="s">
        <v>422</v>
      </c>
      <c r="B894" s="140">
        <v>1150000</v>
      </c>
      <c r="C894" s="140"/>
      <c r="D894" s="140">
        <f t="shared" si="46"/>
        <v>1150000</v>
      </c>
    </row>
    <row r="895" spans="1:4" s="36" customFormat="1" x14ac:dyDescent="0.2">
      <c r="A895" s="134" t="s">
        <v>387</v>
      </c>
      <c r="B895" s="139">
        <f>SUM(B896:B898)</f>
        <v>5575220</v>
      </c>
      <c r="C895" s="139">
        <f>SUM(C896:C898)</f>
        <v>-16783</v>
      </c>
      <c r="D895" s="139">
        <f t="shared" si="46"/>
        <v>5558437</v>
      </c>
    </row>
    <row r="896" spans="1:4" x14ac:dyDescent="0.2">
      <c r="A896" s="135" t="s">
        <v>388</v>
      </c>
      <c r="B896" s="140">
        <f>'2.2 OMATULUD'!B454</f>
        <v>2149745</v>
      </c>
      <c r="C896" s="140">
        <f>'2.2 OMATULUD'!C454</f>
        <v>9750</v>
      </c>
      <c r="D896" s="140">
        <f t="shared" si="46"/>
        <v>2159495</v>
      </c>
    </row>
    <row r="897" spans="1:4" x14ac:dyDescent="0.2">
      <c r="A897" s="136" t="s">
        <v>360</v>
      </c>
      <c r="B897" s="140">
        <f>SUM(B949,B954,B959)</f>
        <v>56611</v>
      </c>
      <c r="C897" s="140"/>
      <c r="D897" s="140">
        <f t="shared" si="46"/>
        <v>56611</v>
      </c>
    </row>
    <row r="898" spans="1:4" x14ac:dyDescent="0.2">
      <c r="A898" s="136" t="s">
        <v>389</v>
      </c>
      <c r="B898" s="140">
        <f>B893-B896-B897</f>
        <v>3368864</v>
      </c>
      <c r="C898" s="140">
        <f>C893-C896-C897</f>
        <v>-26533</v>
      </c>
      <c r="D898" s="140">
        <f t="shared" si="46"/>
        <v>3342331</v>
      </c>
    </row>
    <row r="899" spans="1:4" x14ac:dyDescent="0.2">
      <c r="A899" s="142"/>
      <c r="B899" s="140"/>
      <c r="C899" s="140"/>
      <c r="D899" s="140">
        <f t="shared" si="46"/>
        <v>0</v>
      </c>
    </row>
    <row r="900" spans="1:4" ht="15" x14ac:dyDescent="0.2">
      <c r="A900" s="187" t="s">
        <v>528</v>
      </c>
      <c r="B900" s="143">
        <f>SUM(B901,B903,B906,B908)</f>
        <v>1695600</v>
      </c>
      <c r="C900" s="143">
        <f>SUM(C901,C903,C906,C908)</f>
        <v>25750</v>
      </c>
      <c r="D900" s="143">
        <f t="shared" si="46"/>
        <v>1721350</v>
      </c>
    </row>
    <row r="901" spans="1:4" x14ac:dyDescent="0.2">
      <c r="A901" s="235" t="s">
        <v>529</v>
      </c>
      <c r="B901" s="139">
        <f>146000-50000</f>
        <v>96000</v>
      </c>
      <c r="C901" s="139">
        <v>36000</v>
      </c>
      <c r="D901" s="139">
        <f t="shared" si="46"/>
        <v>132000</v>
      </c>
    </row>
    <row r="902" spans="1:4" x14ac:dyDescent="0.2">
      <c r="A902" s="185"/>
      <c r="B902" s="523"/>
      <c r="C902" s="523"/>
      <c r="D902" s="523">
        <f t="shared" si="46"/>
        <v>0</v>
      </c>
    </row>
    <row r="903" spans="1:4" x14ac:dyDescent="0.2">
      <c r="A903" s="235" t="s">
        <v>246</v>
      </c>
      <c r="B903" s="139">
        <v>1022600</v>
      </c>
      <c r="C903" s="139">
        <v>22000</v>
      </c>
      <c r="D903" s="139">
        <f t="shared" si="46"/>
        <v>1044600</v>
      </c>
    </row>
    <row r="904" spans="1:4" x14ac:dyDescent="0.2">
      <c r="A904" s="137" t="s">
        <v>394</v>
      </c>
      <c r="B904" s="149">
        <v>537396</v>
      </c>
      <c r="C904" s="149"/>
      <c r="D904" s="149">
        <f t="shared" si="46"/>
        <v>537396</v>
      </c>
    </row>
    <row r="905" spans="1:4" s="36" customFormat="1" x14ac:dyDescent="0.2">
      <c r="A905" s="549"/>
      <c r="B905" s="507"/>
      <c r="C905" s="507"/>
      <c r="D905" s="507">
        <f t="shared" si="46"/>
        <v>0</v>
      </c>
    </row>
    <row r="906" spans="1:4" x14ac:dyDescent="0.2">
      <c r="A906" s="235" t="s">
        <v>247</v>
      </c>
      <c r="B906" s="139">
        <v>470000</v>
      </c>
      <c r="C906" s="139"/>
      <c r="D906" s="139">
        <f t="shared" si="46"/>
        <v>470000</v>
      </c>
    </row>
    <row r="907" spans="1:4" x14ac:dyDescent="0.2">
      <c r="A907" s="549"/>
      <c r="B907" s="140"/>
      <c r="C907" s="140"/>
      <c r="D907" s="140">
        <f t="shared" si="46"/>
        <v>0</v>
      </c>
    </row>
    <row r="908" spans="1:4" x14ac:dyDescent="0.2">
      <c r="A908" s="235" t="s">
        <v>248</v>
      </c>
      <c r="B908" s="139">
        <f>167000-60000</f>
        <v>107000</v>
      </c>
      <c r="C908" s="139">
        <v>-32250</v>
      </c>
      <c r="D908" s="139">
        <f t="shared" si="46"/>
        <v>74750</v>
      </c>
    </row>
    <row r="909" spans="1:4" x14ac:dyDescent="0.2">
      <c r="A909" s="549"/>
      <c r="B909" s="522"/>
      <c r="C909" s="522"/>
      <c r="D909" s="522">
        <f t="shared" si="46"/>
        <v>0</v>
      </c>
    </row>
    <row r="910" spans="1:4" ht="15" x14ac:dyDescent="0.2">
      <c r="A910" s="238" t="s">
        <v>530</v>
      </c>
      <c r="B910" s="143">
        <f>SUM(B911)</f>
        <v>2300</v>
      </c>
      <c r="C910" s="143"/>
      <c r="D910" s="143">
        <f t="shared" si="46"/>
        <v>2300</v>
      </c>
    </row>
    <row r="911" spans="1:4" x14ac:dyDescent="0.2">
      <c r="A911" s="235" t="s">
        <v>531</v>
      </c>
      <c r="B911" s="139">
        <v>2300</v>
      </c>
      <c r="C911" s="139"/>
      <c r="D911" s="139">
        <f t="shared" si="46"/>
        <v>2300</v>
      </c>
    </row>
    <row r="912" spans="1:4" x14ac:dyDescent="0.2">
      <c r="A912" s="186"/>
      <c r="B912" s="140"/>
      <c r="C912" s="140"/>
      <c r="D912" s="140">
        <f t="shared" si="46"/>
        <v>0</v>
      </c>
    </row>
    <row r="913" spans="1:4" x14ac:dyDescent="0.2">
      <c r="A913" s="133" t="s">
        <v>392</v>
      </c>
      <c r="B913" s="139">
        <f>B915+B918+B926+B928+B931+B937+B924+B946+B951+B956+B940+B942+B921</f>
        <v>3877320</v>
      </c>
      <c r="C913" s="139">
        <f>C915+C918+C926+C928+C931+C937+C924+C946+C951+C956+C940+C942+C944+C921</f>
        <v>-42533</v>
      </c>
      <c r="D913" s="139">
        <f t="shared" si="46"/>
        <v>3834787</v>
      </c>
    </row>
    <row r="914" spans="1:4" x14ac:dyDescent="0.2">
      <c r="A914" s="133"/>
      <c r="B914" s="140"/>
      <c r="C914" s="140"/>
      <c r="D914" s="140">
        <f t="shared" si="46"/>
        <v>0</v>
      </c>
    </row>
    <row r="915" spans="1:4" x14ac:dyDescent="0.2">
      <c r="A915" s="128" t="s">
        <v>532</v>
      </c>
      <c r="B915" s="523">
        <v>1053619</v>
      </c>
      <c r="C915" s="523"/>
      <c r="D915" s="523">
        <f t="shared" si="46"/>
        <v>1053619</v>
      </c>
    </row>
    <row r="916" spans="1:4" x14ac:dyDescent="0.2">
      <c r="A916" s="127" t="s">
        <v>394</v>
      </c>
      <c r="B916" s="149">
        <v>705414</v>
      </c>
      <c r="C916" s="149"/>
      <c r="D916" s="149">
        <f t="shared" si="46"/>
        <v>705414</v>
      </c>
    </row>
    <row r="917" spans="1:4" x14ac:dyDescent="0.2">
      <c r="A917" s="129"/>
      <c r="B917" s="523"/>
      <c r="C917" s="523"/>
      <c r="D917" s="523">
        <f t="shared" si="46"/>
        <v>0</v>
      </c>
    </row>
    <row r="918" spans="1:4" x14ac:dyDescent="0.2">
      <c r="A918" s="128" t="s">
        <v>249</v>
      </c>
      <c r="B918" s="523">
        <v>850000</v>
      </c>
      <c r="C918" s="523">
        <f>10000+14467</f>
        <v>24467</v>
      </c>
      <c r="D918" s="523">
        <f t="shared" si="46"/>
        <v>874467</v>
      </c>
    </row>
    <row r="919" spans="1:4" x14ac:dyDescent="0.2">
      <c r="A919" s="127" t="s">
        <v>394</v>
      </c>
      <c r="B919" s="149">
        <v>459035</v>
      </c>
      <c r="C919" s="149"/>
      <c r="D919" s="149">
        <f t="shared" si="46"/>
        <v>459035</v>
      </c>
    </row>
    <row r="920" spans="1:4" x14ac:dyDescent="0.2">
      <c r="A920" s="188"/>
      <c r="B920" s="526"/>
      <c r="C920" s="526"/>
      <c r="D920" s="526">
        <f t="shared" si="46"/>
        <v>0</v>
      </c>
    </row>
    <row r="921" spans="1:4" x14ac:dyDescent="0.2">
      <c r="A921" s="158" t="s">
        <v>843</v>
      </c>
      <c r="B921" s="523">
        <f>50000+21879</f>
        <v>71879</v>
      </c>
      <c r="C921" s="523"/>
      <c r="D921" s="523">
        <f t="shared" si="46"/>
        <v>71879</v>
      </c>
    </row>
    <row r="922" spans="1:4" x14ac:dyDescent="0.2">
      <c r="A922" s="127" t="s">
        <v>394</v>
      </c>
      <c r="B922" s="147">
        <v>34028</v>
      </c>
      <c r="C922" s="147"/>
      <c r="D922" s="147">
        <f t="shared" si="46"/>
        <v>34028</v>
      </c>
    </row>
    <row r="923" spans="1:4" x14ac:dyDescent="0.2">
      <c r="A923" s="241"/>
      <c r="B923" s="523"/>
      <c r="C923" s="523"/>
      <c r="D923" s="523">
        <f t="shared" si="46"/>
        <v>0</v>
      </c>
    </row>
    <row r="924" spans="1:4" s="36" customFormat="1" x14ac:dyDescent="0.2">
      <c r="A924" s="129" t="s">
        <v>253</v>
      </c>
      <c r="B924" s="523">
        <v>180197</v>
      </c>
      <c r="C924" s="523"/>
      <c r="D924" s="523">
        <f t="shared" si="46"/>
        <v>180197</v>
      </c>
    </row>
    <row r="925" spans="1:4" s="36" customFormat="1" x14ac:dyDescent="0.2">
      <c r="A925" s="133"/>
      <c r="B925" s="140"/>
      <c r="C925" s="140"/>
      <c r="D925" s="140">
        <f t="shared" si="46"/>
        <v>0</v>
      </c>
    </row>
    <row r="926" spans="1:4" x14ac:dyDescent="0.2">
      <c r="A926" s="128" t="s">
        <v>533</v>
      </c>
      <c r="B926" s="522">
        <v>125000</v>
      </c>
      <c r="C926" s="522"/>
      <c r="D926" s="522">
        <f t="shared" si="46"/>
        <v>125000</v>
      </c>
    </row>
    <row r="927" spans="1:4" x14ac:dyDescent="0.2">
      <c r="A927" s="184"/>
      <c r="B927" s="140"/>
      <c r="C927" s="140"/>
      <c r="D927" s="140">
        <f t="shared" si="46"/>
        <v>0</v>
      </c>
    </row>
    <row r="928" spans="1:4" x14ac:dyDescent="0.2">
      <c r="A928" s="128" t="s">
        <v>98</v>
      </c>
      <c r="B928" s="523">
        <v>1083541</v>
      </c>
      <c r="C928" s="523"/>
      <c r="D928" s="523">
        <f t="shared" si="46"/>
        <v>1083541</v>
      </c>
    </row>
    <row r="929" spans="1:4" x14ac:dyDescent="0.2">
      <c r="A929" s="127" t="s">
        <v>394</v>
      </c>
      <c r="B929" s="149">
        <v>62167</v>
      </c>
      <c r="C929" s="149"/>
      <c r="D929" s="149">
        <f t="shared" si="46"/>
        <v>62167</v>
      </c>
    </row>
    <row r="930" spans="1:4" x14ac:dyDescent="0.2">
      <c r="A930" s="185"/>
      <c r="B930" s="140"/>
      <c r="C930" s="140"/>
      <c r="D930" s="140">
        <f t="shared" si="46"/>
        <v>0</v>
      </c>
    </row>
    <row r="931" spans="1:4" x14ac:dyDescent="0.2">
      <c r="A931" s="158" t="s">
        <v>543</v>
      </c>
      <c r="B931" s="523">
        <v>399000</v>
      </c>
      <c r="C931" s="523">
        <v>-77000</v>
      </c>
      <c r="D931" s="523">
        <f t="shared" si="46"/>
        <v>322000</v>
      </c>
    </row>
    <row r="932" spans="1:4" x14ac:dyDescent="0.2">
      <c r="A932" s="163" t="s">
        <v>250</v>
      </c>
      <c r="B932" s="268"/>
      <c r="C932" s="268"/>
      <c r="D932" s="268">
        <f t="shared" si="46"/>
        <v>0</v>
      </c>
    </row>
    <row r="933" spans="1:4" x14ac:dyDescent="0.2">
      <c r="A933" s="154" t="s">
        <v>251</v>
      </c>
      <c r="B933" s="268"/>
      <c r="C933" s="268"/>
      <c r="D933" s="268">
        <f t="shared" si="46"/>
        <v>0</v>
      </c>
    </row>
    <row r="934" spans="1:4" x14ac:dyDescent="0.2">
      <c r="A934" s="154" t="s">
        <v>162</v>
      </c>
      <c r="B934" s="268"/>
      <c r="C934" s="268"/>
      <c r="D934" s="268">
        <f t="shared" si="46"/>
        <v>0</v>
      </c>
    </row>
    <row r="935" spans="1:4" x14ac:dyDescent="0.2">
      <c r="A935" s="154" t="s">
        <v>163</v>
      </c>
      <c r="B935" s="268"/>
      <c r="C935" s="268"/>
      <c r="D935" s="268">
        <f t="shared" si="46"/>
        <v>0</v>
      </c>
    </row>
    <row r="936" spans="1:4" x14ac:dyDescent="0.2">
      <c r="A936" s="127"/>
      <c r="B936" s="149"/>
      <c r="C936" s="149"/>
      <c r="D936" s="149">
        <f t="shared" si="46"/>
        <v>0</v>
      </c>
    </row>
    <row r="937" spans="1:4" x14ac:dyDescent="0.2">
      <c r="A937" s="128" t="s">
        <v>252</v>
      </c>
      <c r="B937" s="522">
        <v>26378</v>
      </c>
      <c r="C937" s="522"/>
      <c r="D937" s="522">
        <f t="shared" si="46"/>
        <v>26378</v>
      </c>
    </row>
    <row r="938" spans="1:4" s="36" customFormat="1" x14ac:dyDescent="0.2">
      <c r="A938" s="127" t="s">
        <v>394</v>
      </c>
      <c r="B938" s="149">
        <v>6000</v>
      </c>
      <c r="C938" s="149"/>
      <c r="D938" s="149">
        <f t="shared" si="46"/>
        <v>6000</v>
      </c>
    </row>
    <row r="939" spans="1:4" s="36" customFormat="1" x14ac:dyDescent="0.2">
      <c r="A939" s="188"/>
      <c r="B939" s="526"/>
      <c r="C939" s="526"/>
      <c r="D939" s="526">
        <f t="shared" si="46"/>
        <v>0</v>
      </c>
    </row>
    <row r="940" spans="1:4" x14ac:dyDescent="0.2">
      <c r="A940" s="128" t="s">
        <v>255</v>
      </c>
      <c r="B940" s="522">
        <v>9500</v>
      </c>
      <c r="C940" s="522"/>
      <c r="D940" s="522">
        <f t="shared" si="46"/>
        <v>9500</v>
      </c>
    </row>
    <row r="941" spans="1:4" x14ac:dyDescent="0.2">
      <c r="A941" s="554"/>
      <c r="B941" s="522"/>
      <c r="C941" s="522"/>
      <c r="D941" s="522">
        <f t="shared" si="46"/>
        <v>0</v>
      </c>
    </row>
    <row r="942" spans="1:4" x14ac:dyDescent="0.2">
      <c r="A942" s="129" t="s">
        <v>164</v>
      </c>
      <c r="B942" s="522">
        <v>10000</v>
      </c>
      <c r="C942" s="522"/>
      <c r="D942" s="522">
        <f t="shared" si="46"/>
        <v>10000</v>
      </c>
    </row>
    <row r="943" spans="1:4" x14ac:dyDescent="0.2">
      <c r="A943" s="127"/>
      <c r="B943" s="149"/>
      <c r="C943" s="522"/>
      <c r="D943" s="522">
        <f t="shared" si="46"/>
        <v>0</v>
      </c>
    </row>
    <row r="944" spans="1:4" s="500" customFormat="1" x14ac:dyDescent="0.2">
      <c r="A944" s="129" t="s">
        <v>1063</v>
      </c>
      <c r="B944" s="522"/>
      <c r="C944" s="522">
        <v>10000</v>
      </c>
      <c r="D944" s="522">
        <f t="shared" si="46"/>
        <v>10000</v>
      </c>
    </row>
    <row r="945" spans="1:4" s="500" customFormat="1" x14ac:dyDescent="0.2">
      <c r="A945" s="127"/>
      <c r="B945" s="149"/>
      <c r="C945" s="149"/>
      <c r="D945" s="149">
        <f t="shared" si="46"/>
        <v>0</v>
      </c>
    </row>
    <row r="946" spans="1:4" ht="25.5" x14ac:dyDescent="0.2">
      <c r="A946" s="158" t="s">
        <v>254</v>
      </c>
      <c r="B946" s="523">
        <v>4117</v>
      </c>
      <c r="C946" s="523"/>
      <c r="D946" s="523">
        <f t="shared" si="46"/>
        <v>4117</v>
      </c>
    </row>
    <row r="947" spans="1:4" x14ac:dyDescent="0.2">
      <c r="A947" s="127" t="s">
        <v>394</v>
      </c>
      <c r="B947" s="149">
        <v>1650</v>
      </c>
      <c r="C947" s="149"/>
      <c r="D947" s="149">
        <f t="shared" si="46"/>
        <v>1650</v>
      </c>
    </row>
    <row r="948" spans="1:4" x14ac:dyDescent="0.2">
      <c r="A948" s="188"/>
      <c r="B948" s="526"/>
      <c r="C948" s="526"/>
      <c r="D948" s="526">
        <f t="shared" si="46"/>
        <v>0</v>
      </c>
    </row>
    <row r="949" spans="1:4" s="36" customFormat="1" x14ac:dyDescent="0.2">
      <c r="A949" s="131" t="s">
        <v>420</v>
      </c>
      <c r="B949" s="147">
        <v>2167</v>
      </c>
      <c r="C949" s="147"/>
      <c r="D949" s="147">
        <f t="shared" si="46"/>
        <v>2167</v>
      </c>
    </row>
    <row r="950" spans="1:4" s="36" customFormat="1" x14ac:dyDescent="0.2">
      <c r="A950" s="131"/>
      <c r="B950" s="147"/>
      <c r="C950" s="147"/>
      <c r="D950" s="147">
        <f t="shared" si="46"/>
        <v>0</v>
      </c>
    </row>
    <row r="951" spans="1:4" ht="25.5" x14ac:dyDescent="0.2">
      <c r="A951" s="158" t="s">
        <v>765</v>
      </c>
      <c r="B951" s="523">
        <v>33808</v>
      </c>
      <c r="C951" s="523"/>
      <c r="D951" s="523">
        <f t="shared" si="46"/>
        <v>33808</v>
      </c>
    </row>
    <row r="952" spans="1:4" x14ac:dyDescent="0.2">
      <c r="A952" s="127" t="s">
        <v>394</v>
      </c>
      <c r="B952" s="147">
        <v>16783</v>
      </c>
      <c r="C952" s="147"/>
      <c r="D952" s="147">
        <f t="shared" si="46"/>
        <v>16783</v>
      </c>
    </row>
    <row r="953" spans="1:4" x14ac:dyDescent="0.2">
      <c r="A953" s="188"/>
      <c r="B953" s="147"/>
      <c r="C953" s="147"/>
      <c r="D953" s="147">
        <f t="shared" si="46"/>
        <v>0</v>
      </c>
    </row>
    <row r="954" spans="1:4" x14ac:dyDescent="0.2">
      <c r="A954" s="131" t="s">
        <v>420</v>
      </c>
      <c r="B954" s="147">
        <v>28705</v>
      </c>
      <c r="C954" s="147"/>
      <c r="D954" s="147">
        <f t="shared" ref="D954:D1017" si="47">B954+C954</f>
        <v>28705</v>
      </c>
    </row>
    <row r="955" spans="1:4" x14ac:dyDescent="0.2">
      <c r="A955" s="188"/>
      <c r="B955" s="526"/>
      <c r="C955" s="526"/>
      <c r="D955" s="526">
        <f t="shared" si="47"/>
        <v>0</v>
      </c>
    </row>
    <row r="956" spans="1:4" ht="38.25" x14ac:dyDescent="0.2">
      <c r="A956" s="158" t="s">
        <v>766</v>
      </c>
      <c r="B956" s="523">
        <v>30281</v>
      </c>
      <c r="C956" s="523"/>
      <c r="D956" s="523">
        <f t="shared" si="47"/>
        <v>30281</v>
      </c>
    </row>
    <row r="957" spans="1:4" x14ac:dyDescent="0.2">
      <c r="A957" s="127" t="s">
        <v>394</v>
      </c>
      <c r="B957" s="147">
        <v>10210</v>
      </c>
      <c r="C957" s="147"/>
      <c r="D957" s="147">
        <f t="shared" si="47"/>
        <v>10210</v>
      </c>
    </row>
    <row r="958" spans="1:4" x14ac:dyDescent="0.2">
      <c r="A958" s="188"/>
      <c r="B958" s="147"/>
      <c r="C958" s="147"/>
      <c r="D958" s="147">
        <f t="shared" si="47"/>
        <v>0</v>
      </c>
    </row>
    <row r="959" spans="1:4" x14ac:dyDescent="0.2">
      <c r="A959" s="131" t="s">
        <v>420</v>
      </c>
      <c r="B959" s="147">
        <v>25739</v>
      </c>
      <c r="C959" s="147"/>
      <c r="D959" s="147">
        <f t="shared" si="47"/>
        <v>25739</v>
      </c>
    </row>
    <row r="960" spans="1:4" x14ac:dyDescent="0.2">
      <c r="A960" s="188"/>
      <c r="B960" s="526"/>
      <c r="C960" s="492"/>
      <c r="D960" s="492">
        <f t="shared" si="47"/>
        <v>0</v>
      </c>
    </row>
    <row r="961" spans="1:4" x14ac:dyDescent="0.2">
      <c r="A961" s="438"/>
      <c r="B961" s="491"/>
      <c r="C961" s="492"/>
      <c r="D961" s="492">
        <f t="shared" si="47"/>
        <v>0</v>
      </c>
    </row>
    <row r="962" spans="1:4" ht="15.75" x14ac:dyDescent="0.2">
      <c r="A962" s="132" t="s">
        <v>911</v>
      </c>
      <c r="B962" s="491"/>
      <c r="C962" s="492"/>
      <c r="D962" s="492">
        <f t="shared" si="47"/>
        <v>0</v>
      </c>
    </row>
    <row r="963" spans="1:4" x14ac:dyDescent="0.2">
      <c r="A963" s="438"/>
      <c r="B963" s="491"/>
      <c r="C963" s="492"/>
      <c r="D963" s="492">
        <f t="shared" si="47"/>
        <v>0</v>
      </c>
    </row>
    <row r="964" spans="1:4" x14ac:dyDescent="0.2">
      <c r="A964" s="133" t="s">
        <v>386</v>
      </c>
      <c r="B964" s="139">
        <f>SUM(B971,B976)</f>
        <v>3070333</v>
      </c>
      <c r="C964" s="492"/>
      <c r="D964" s="492">
        <f t="shared" si="47"/>
        <v>3070333</v>
      </c>
    </row>
    <row r="965" spans="1:4" x14ac:dyDescent="0.2">
      <c r="A965" s="123" t="s">
        <v>422</v>
      </c>
      <c r="B965" s="140">
        <v>89000</v>
      </c>
      <c r="C965" s="492"/>
      <c r="D965" s="492">
        <f t="shared" si="47"/>
        <v>89000</v>
      </c>
    </row>
    <row r="966" spans="1:4" x14ac:dyDescent="0.2">
      <c r="A966" s="134" t="s">
        <v>387</v>
      </c>
      <c r="B966" s="139">
        <f>SUM(B967:B969)</f>
        <v>3070333</v>
      </c>
      <c r="C966" s="492"/>
      <c r="D966" s="492">
        <f t="shared" si="47"/>
        <v>3070333</v>
      </c>
    </row>
    <row r="967" spans="1:4" x14ac:dyDescent="0.2">
      <c r="A967" s="135" t="s">
        <v>388</v>
      </c>
      <c r="B967" s="140">
        <f>'2.2 OMATULUD'!B475</f>
        <v>5300</v>
      </c>
      <c r="C967" s="492"/>
      <c r="D967" s="492">
        <f t="shared" si="47"/>
        <v>5300</v>
      </c>
    </row>
    <row r="968" spans="1:4" x14ac:dyDescent="0.2">
      <c r="A968" s="136" t="s">
        <v>360</v>
      </c>
      <c r="B968" s="140">
        <f>SUM(B989,B993,B998)</f>
        <v>36766</v>
      </c>
      <c r="C968" s="492"/>
      <c r="D968" s="492">
        <f t="shared" si="47"/>
        <v>36766</v>
      </c>
    </row>
    <row r="969" spans="1:4" x14ac:dyDescent="0.2">
      <c r="A969" s="136" t="s">
        <v>389</v>
      </c>
      <c r="B969" s="140">
        <f>B964-B967-B968</f>
        <v>3028267</v>
      </c>
      <c r="C969" s="492"/>
      <c r="D969" s="492">
        <f t="shared" si="47"/>
        <v>3028267</v>
      </c>
    </row>
    <row r="970" spans="1:4" x14ac:dyDescent="0.2">
      <c r="A970" s="438"/>
      <c r="B970" s="491"/>
      <c r="C970" s="492"/>
      <c r="D970" s="492">
        <f t="shared" si="47"/>
        <v>0</v>
      </c>
    </row>
    <row r="971" spans="1:4" ht="15" x14ac:dyDescent="0.2">
      <c r="A971" s="150" t="s">
        <v>912</v>
      </c>
      <c r="B971" s="272">
        <f>SUM(B972,B974)</f>
        <v>537414</v>
      </c>
      <c r="C971" s="492"/>
      <c r="D971" s="492">
        <f t="shared" si="47"/>
        <v>537414</v>
      </c>
    </row>
    <row r="972" spans="1:4" x14ac:dyDescent="0.2">
      <c r="A972" s="181" t="s">
        <v>534</v>
      </c>
      <c r="B972" s="264">
        <v>447414</v>
      </c>
      <c r="C972" s="492"/>
      <c r="D972" s="492">
        <f t="shared" si="47"/>
        <v>447414</v>
      </c>
    </row>
    <row r="973" spans="1:4" x14ac:dyDescent="0.2">
      <c r="A973" s="231"/>
      <c r="B973" s="492"/>
      <c r="C973" s="492"/>
      <c r="D973" s="492">
        <f t="shared" si="47"/>
        <v>0</v>
      </c>
    </row>
    <row r="974" spans="1:4" x14ac:dyDescent="0.2">
      <c r="A974" s="181" t="s">
        <v>535</v>
      </c>
      <c r="B974" s="264">
        <v>90000</v>
      </c>
      <c r="C974" s="492"/>
      <c r="D974" s="492">
        <f t="shared" si="47"/>
        <v>90000</v>
      </c>
    </row>
    <row r="975" spans="1:4" x14ac:dyDescent="0.2">
      <c r="A975" s="438"/>
      <c r="B975" s="491"/>
      <c r="C975" s="492"/>
      <c r="D975" s="492">
        <f t="shared" si="47"/>
        <v>0</v>
      </c>
    </row>
    <row r="976" spans="1:4" x14ac:dyDescent="0.2">
      <c r="A976" s="133" t="s">
        <v>392</v>
      </c>
      <c r="B976" s="264">
        <f>B978+B981+B983+B986+B991+B995</f>
        <v>2532919</v>
      </c>
      <c r="C976" s="492"/>
      <c r="D976" s="492">
        <f t="shared" si="47"/>
        <v>2532919</v>
      </c>
    </row>
    <row r="977" spans="1:4" x14ac:dyDescent="0.2">
      <c r="A977" s="133"/>
      <c r="B977" s="264"/>
      <c r="C977" s="492"/>
      <c r="D977" s="492">
        <f t="shared" si="47"/>
        <v>0</v>
      </c>
    </row>
    <row r="978" spans="1:4" x14ac:dyDescent="0.2">
      <c r="A978" s="129" t="s">
        <v>911</v>
      </c>
      <c r="B978" s="491">
        <f>2494642-18392</f>
        <v>2476250</v>
      </c>
      <c r="C978" s="492"/>
      <c r="D978" s="492">
        <f t="shared" si="47"/>
        <v>2476250</v>
      </c>
    </row>
    <row r="979" spans="1:4" x14ac:dyDescent="0.2">
      <c r="A979" s="127" t="s">
        <v>394</v>
      </c>
      <c r="B979" s="266">
        <f>1742831-13606</f>
        <v>1729225</v>
      </c>
      <c r="C979" s="492"/>
      <c r="D979" s="492">
        <f t="shared" si="47"/>
        <v>1729225</v>
      </c>
    </row>
    <row r="980" spans="1:4" x14ac:dyDescent="0.2">
      <c r="A980" s="127"/>
      <c r="B980" s="266"/>
      <c r="C980" s="492"/>
      <c r="D980" s="492">
        <f t="shared" si="47"/>
        <v>0</v>
      </c>
    </row>
    <row r="981" spans="1:4" x14ac:dyDescent="0.2">
      <c r="A981" s="129" t="s">
        <v>767</v>
      </c>
      <c r="B981" s="491">
        <v>1000</v>
      </c>
      <c r="C981" s="492"/>
      <c r="D981" s="492">
        <f t="shared" si="47"/>
        <v>1000</v>
      </c>
    </row>
    <row r="982" spans="1:4" x14ac:dyDescent="0.2">
      <c r="A982" s="421"/>
      <c r="B982" s="266"/>
      <c r="C982" s="492"/>
      <c r="D982" s="492">
        <f t="shared" si="47"/>
        <v>0</v>
      </c>
    </row>
    <row r="983" spans="1:4" x14ac:dyDescent="0.2">
      <c r="A983" s="129" t="s">
        <v>768</v>
      </c>
      <c r="B983" s="491">
        <v>12000</v>
      </c>
      <c r="C983" s="492"/>
      <c r="D983" s="492">
        <f t="shared" si="47"/>
        <v>12000</v>
      </c>
    </row>
    <row r="984" spans="1:4" s="500" customFormat="1" x14ac:dyDescent="0.2">
      <c r="A984" s="127" t="s">
        <v>394</v>
      </c>
      <c r="B984" s="491"/>
      <c r="C984" s="491">
        <v>5739</v>
      </c>
      <c r="D984" s="491">
        <f t="shared" si="47"/>
        <v>5739</v>
      </c>
    </row>
    <row r="985" spans="1:4" x14ac:dyDescent="0.2">
      <c r="A985" s="129"/>
      <c r="B985" s="491"/>
      <c r="C985" s="492"/>
      <c r="D985" s="492">
        <f t="shared" si="47"/>
        <v>0</v>
      </c>
    </row>
    <row r="986" spans="1:4" ht="25.5" x14ac:dyDescent="0.2">
      <c r="A986" s="126" t="s">
        <v>165</v>
      </c>
      <c r="B986" s="491">
        <v>19230</v>
      </c>
      <c r="C986" s="492"/>
      <c r="D986" s="492">
        <f t="shared" si="47"/>
        <v>19230</v>
      </c>
    </row>
    <row r="987" spans="1:4" s="36" customFormat="1" x14ac:dyDescent="0.2">
      <c r="A987" s="127" t="s">
        <v>394</v>
      </c>
      <c r="B987" s="266">
        <v>6132</v>
      </c>
      <c r="C987" s="492"/>
      <c r="D987" s="492">
        <f t="shared" si="47"/>
        <v>6132</v>
      </c>
    </row>
    <row r="988" spans="1:4" s="36" customFormat="1" x14ac:dyDescent="0.2">
      <c r="A988" s="131"/>
      <c r="B988" s="149"/>
      <c r="C988" s="492"/>
      <c r="D988" s="492">
        <f t="shared" si="47"/>
        <v>0</v>
      </c>
    </row>
    <row r="989" spans="1:4" s="36" customFormat="1" x14ac:dyDescent="0.2">
      <c r="A989" s="131" t="s">
        <v>420</v>
      </c>
      <c r="B989" s="149">
        <v>16230</v>
      </c>
      <c r="C989" s="492"/>
      <c r="D989" s="492">
        <f t="shared" si="47"/>
        <v>16230</v>
      </c>
    </row>
    <row r="990" spans="1:4" s="36" customFormat="1" x14ac:dyDescent="0.2">
      <c r="A990" s="127"/>
      <c r="B990" s="130"/>
      <c r="C990" s="492"/>
      <c r="D990" s="492">
        <f t="shared" si="47"/>
        <v>0</v>
      </c>
    </row>
    <row r="991" spans="1:4" ht="25.5" x14ac:dyDescent="0.2">
      <c r="A991" s="158" t="s">
        <v>762</v>
      </c>
      <c r="B991" s="547">
        <v>439</v>
      </c>
      <c r="C991" s="492"/>
      <c r="D991" s="492">
        <f t="shared" si="47"/>
        <v>439</v>
      </c>
    </row>
    <row r="992" spans="1:4" x14ac:dyDescent="0.2">
      <c r="A992" s="127"/>
      <c r="B992" s="130"/>
      <c r="C992" s="492"/>
      <c r="D992" s="492">
        <f t="shared" si="47"/>
        <v>0</v>
      </c>
    </row>
    <row r="993" spans="1:4" x14ac:dyDescent="0.2">
      <c r="A993" s="131" t="s">
        <v>420</v>
      </c>
      <c r="B993" s="130">
        <v>136</v>
      </c>
      <c r="C993" s="492"/>
      <c r="D993" s="492">
        <f t="shared" si="47"/>
        <v>136</v>
      </c>
    </row>
    <row r="994" spans="1:4" x14ac:dyDescent="0.2">
      <c r="A994" s="131"/>
      <c r="B994" s="130"/>
      <c r="C994" s="492"/>
      <c r="D994" s="492">
        <f t="shared" si="47"/>
        <v>0</v>
      </c>
    </row>
    <row r="995" spans="1:4" ht="51" x14ac:dyDescent="0.2">
      <c r="A995" s="158" t="s">
        <v>785</v>
      </c>
      <c r="B995" s="547">
        <v>24000</v>
      </c>
      <c r="C995" s="492"/>
      <c r="D995" s="492">
        <f t="shared" si="47"/>
        <v>24000</v>
      </c>
    </row>
    <row r="996" spans="1:4" x14ac:dyDescent="0.2">
      <c r="A996" s="127" t="s">
        <v>394</v>
      </c>
      <c r="B996" s="130">
        <v>7812</v>
      </c>
      <c r="C996" s="492"/>
      <c r="D996" s="492">
        <f t="shared" si="47"/>
        <v>7812</v>
      </c>
    </row>
    <row r="997" spans="1:4" x14ac:dyDescent="0.2">
      <c r="A997" s="127"/>
      <c r="B997" s="130"/>
      <c r="C997" s="492"/>
      <c r="D997" s="492">
        <f t="shared" si="47"/>
        <v>0</v>
      </c>
    </row>
    <row r="998" spans="1:4" x14ac:dyDescent="0.2">
      <c r="A998" s="131" t="s">
        <v>420</v>
      </c>
      <c r="B998" s="130">
        <v>20400</v>
      </c>
      <c r="C998" s="492"/>
      <c r="D998" s="492">
        <f t="shared" si="47"/>
        <v>20400</v>
      </c>
    </row>
    <row r="999" spans="1:4" s="36" customFormat="1" x14ac:dyDescent="0.2">
      <c r="A999" s="131"/>
      <c r="B999" s="149"/>
      <c r="C999" s="492"/>
      <c r="D999" s="492">
        <f t="shared" si="47"/>
        <v>0</v>
      </c>
    </row>
    <row r="1000" spans="1:4" x14ac:dyDescent="0.2">
      <c r="A1000" s="438"/>
      <c r="B1000" s="491"/>
      <c r="C1000" s="492"/>
      <c r="D1000" s="492">
        <f t="shared" si="47"/>
        <v>0</v>
      </c>
    </row>
    <row r="1001" spans="1:4" ht="15.75" x14ac:dyDescent="0.2">
      <c r="A1001" s="138" t="s">
        <v>377</v>
      </c>
      <c r="B1001" s="523"/>
      <c r="C1001" s="492"/>
      <c r="D1001" s="492">
        <f t="shared" si="47"/>
        <v>0</v>
      </c>
    </row>
    <row r="1002" spans="1:4" x14ac:dyDescent="0.2">
      <c r="A1002" s="133"/>
      <c r="B1002" s="523"/>
      <c r="C1002" s="492"/>
      <c r="D1002" s="492">
        <f t="shared" si="47"/>
        <v>0</v>
      </c>
    </row>
    <row r="1003" spans="1:4" x14ac:dyDescent="0.2">
      <c r="A1003" s="133" t="s">
        <v>386</v>
      </c>
      <c r="B1003" s="139">
        <f>SUM(B1008)</f>
        <v>3169912</v>
      </c>
      <c r="C1003" s="492"/>
      <c r="D1003" s="492">
        <f t="shared" si="47"/>
        <v>3169912</v>
      </c>
    </row>
    <row r="1004" spans="1:4" x14ac:dyDescent="0.2">
      <c r="A1004" s="136" t="s">
        <v>422</v>
      </c>
      <c r="B1004" s="140">
        <v>2725</v>
      </c>
      <c r="C1004" s="492"/>
      <c r="D1004" s="492">
        <f t="shared" si="47"/>
        <v>2725</v>
      </c>
    </row>
    <row r="1005" spans="1:4" x14ac:dyDescent="0.2">
      <c r="A1005" s="134" t="s">
        <v>387</v>
      </c>
      <c r="B1005" s="139">
        <f>SUM(B1006)</f>
        <v>3169912</v>
      </c>
      <c r="C1005" s="492"/>
      <c r="D1005" s="492">
        <f t="shared" si="47"/>
        <v>3169912</v>
      </c>
    </row>
    <row r="1006" spans="1:4" s="36" customFormat="1" x14ac:dyDescent="0.2">
      <c r="A1006" s="136" t="s">
        <v>518</v>
      </c>
      <c r="B1006" s="140">
        <f>B1003</f>
        <v>3169912</v>
      </c>
      <c r="C1006" s="492"/>
      <c r="D1006" s="492">
        <f t="shared" si="47"/>
        <v>3169912</v>
      </c>
    </row>
    <row r="1007" spans="1:4" x14ac:dyDescent="0.2">
      <c r="A1007" s="438"/>
      <c r="B1007" s="491"/>
      <c r="C1007" s="492"/>
      <c r="D1007" s="492">
        <f t="shared" si="47"/>
        <v>0</v>
      </c>
    </row>
    <row r="1008" spans="1:4" ht="15" x14ac:dyDescent="0.2">
      <c r="A1008" s="238" t="s">
        <v>536</v>
      </c>
      <c r="B1008" s="143">
        <f>SUM(B1009)</f>
        <v>3169912</v>
      </c>
      <c r="C1008" s="492"/>
      <c r="D1008" s="492">
        <f t="shared" si="47"/>
        <v>3169912</v>
      </c>
    </row>
    <row r="1009" spans="1:4" x14ac:dyDescent="0.2">
      <c r="A1009" s="235" t="s">
        <v>537</v>
      </c>
      <c r="B1009" s="139">
        <f>3263454-93542</f>
        <v>3169912</v>
      </c>
      <c r="C1009" s="492"/>
      <c r="D1009" s="492">
        <f t="shared" si="47"/>
        <v>3169912</v>
      </c>
    </row>
    <row r="1010" spans="1:4" x14ac:dyDescent="0.2">
      <c r="A1010" s="137" t="s">
        <v>394</v>
      </c>
      <c r="B1010" s="149">
        <f>1961503-69600</f>
        <v>1891903</v>
      </c>
      <c r="C1010" s="492"/>
      <c r="D1010" s="492">
        <f t="shared" si="47"/>
        <v>1891903</v>
      </c>
    </row>
    <row r="1011" spans="1:4" x14ac:dyDescent="0.2">
      <c r="A1011" s="133"/>
      <c r="B1011" s="491"/>
      <c r="C1011" s="492"/>
      <c r="D1011" s="492">
        <f t="shared" si="47"/>
        <v>0</v>
      </c>
    </row>
    <row r="1012" spans="1:4" x14ac:dyDescent="0.2">
      <c r="A1012" s="133"/>
      <c r="B1012" s="491"/>
      <c r="C1012" s="492"/>
      <c r="D1012" s="492">
        <f t="shared" si="47"/>
        <v>0</v>
      </c>
    </row>
    <row r="1013" spans="1:4" ht="15.75" x14ac:dyDescent="0.2">
      <c r="A1013" s="138" t="s">
        <v>538</v>
      </c>
      <c r="B1013" s="515"/>
      <c r="C1013" s="492"/>
      <c r="D1013" s="492">
        <f t="shared" si="47"/>
        <v>0</v>
      </c>
    </row>
    <row r="1014" spans="1:4" s="36" customFormat="1" x14ac:dyDescent="0.2">
      <c r="A1014" s="438"/>
      <c r="B1014" s="515"/>
      <c r="C1014" s="492"/>
      <c r="D1014" s="492">
        <f t="shared" si="47"/>
        <v>0</v>
      </c>
    </row>
    <row r="1015" spans="1:4" x14ac:dyDescent="0.2">
      <c r="A1015" s="133" t="s">
        <v>386</v>
      </c>
      <c r="B1015" s="264">
        <f>B1022+B1028+B1041+B1046</f>
        <v>1761785</v>
      </c>
      <c r="C1015" s="264">
        <f>C1022+C1028+C1041+C1046</f>
        <v>0</v>
      </c>
      <c r="D1015" s="264">
        <f t="shared" si="47"/>
        <v>1761785</v>
      </c>
    </row>
    <row r="1016" spans="1:4" x14ac:dyDescent="0.2">
      <c r="A1016" s="123" t="s">
        <v>422</v>
      </c>
      <c r="B1016" s="116">
        <v>305400</v>
      </c>
      <c r="C1016" s="492"/>
      <c r="D1016" s="492">
        <f t="shared" si="47"/>
        <v>305400</v>
      </c>
    </row>
    <row r="1017" spans="1:4" x14ac:dyDescent="0.2">
      <c r="A1017" s="134" t="s">
        <v>387</v>
      </c>
      <c r="B1017" s="264">
        <f>B1018+B1020+B1019</f>
        <v>1761785</v>
      </c>
      <c r="C1017" s="492"/>
      <c r="D1017" s="492">
        <f t="shared" si="47"/>
        <v>1761785</v>
      </c>
    </row>
    <row r="1018" spans="1:4" x14ac:dyDescent="0.2">
      <c r="A1018" s="135" t="s">
        <v>388</v>
      </c>
      <c r="B1018" s="265">
        <f>'2.2 OMATULUD'!B479</f>
        <v>328270</v>
      </c>
      <c r="C1018" s="492"/>
      <c r="D1018" s="492">
        <f t="shared" ref="D1018:D1078" si="48">B1018+C1018</f>
        <v>328270</v>
      </c>
    </row>
    <row r="1019" spans="1:4" s="36" customFormat="1" x14ac:dyDescent="0.2">
      <c r="A1019" s="136" t="s">
        <v>360</v>
      </c>
      <c r="B1019" s="265">
        <f>B1057</f>
        <v>10212</v>
      </c>
      <c r="C1019" s="492"/>
      <c r="D1019" s="492">
        <f t="shared" si="48"/>
        <v>10212</v>
      </c>
    </row>
    <row r="1020" spans="1:4" x14ac:dyDescent="0.2">
      <c r="A1020" s="136" t="s">
        <v>389</v>
      </c>
      <c r="B1020" s="265">
        <f>B1015-B1018-B1019</f>
        <v>1423303</v>
      </c>
      <c r="C1020" s="492"/>
      <c r="D1020" s="492">
        <f t="shared" si="48"/>
        <v>1423303</v>
      </c>
    </row>
    <row r="1021" spans="1:4" x14ac:dyDescent="0.2">
      <c r="A1021" s="136"/>
      <c r="B1021" s="265"/>
      <c r="C1021" s="492"/>
      <c r="D1021" s="492">
        <f t="shared" si="48"/>
        <v>0</v>
      </c>
    </row>
    <row r="1022" spans="1:4" ht="15" x14ac:dyDescent="0.2">
      <c r="A1022" s="189" t="s">
        <v>423</v>
      </c>
      <c r="B1022" s="272">
        <f>B1023</f>
        <v>85350</v>
      </c>
      <c r="C1022" s="492"/>
      <c r="D1022" s="492">
        <f t="shared" si="48"/>
        <v>85350</v>
      </c>
    </row>
    <row r="1023" spans="1:4" x14ac:dyDescent="0.2">
      <c r="A1023" s="181" t="s">
        <v>424</v>
      </c>
      <c r="B1023" s="139">
        <f>B1025</f>
        <v>85350</v>
      </c>
      <c r="C1023" s="492"/>
      <c r="D1023" s="492">
        <f t="shared" si="48"/>
        <v>85350</v>
      </c>
    </row>
    <row r="1024" spans="1:4" x14ac:dyDescent="0.2">
      <c r="A1024" s="190" t="s">
        <v>407</v>
      </c>
      <c r="B1024" s="491"/>
      <c r="C1024" s="492"/>
      <c r="D1024" s="492">
        <f t="shared" si="48"/>
        <v>0</v>
      </c>
    </row>
    <row r="1025" spans="1:4" x14ac:dyDescent="0.2">
      <c r="A1025" s="426" t="s">
        <v>426</v>
      </c>
      <c r="B1025" s="504">
        <v>85350</v>
      </c>
      <c r="C1025" s="492"/>
      <c r="D1025" s="492">
        <f t="shared" si="48"/>
        <v>85350</v>
      </c>
    </row>
    <row r="1026" spans="1:4" x14ac:dyDescent="0.2">
      <c r="A1026" s="502" t="s">
        <v>394</v>
      </c>
      <c r="B1026" s="147">
        <v>47506</v>
      </c>
      <c r="C1026" s="492"/>
      <c r="D1026" s="492">
        <f t="shared" si="48"/>
        <v>47506</v>
      </c>
    </row>
    <row r="1027" spans="1:4" x14ac:dyDescent="0.2">
      <c r="A1027" s="137"/>
      <c r="B1027" s="266"/>
      <c r="C1027" s="492"/>
      <c r="D1027" s="492">
        <f t="shared" si="48"/>
        <v>0</v>
      </c>
    </row>
    <row r="1028" spans="1:4" ht="15" x14ac:dyDescent="0.2">
      <c r="A1028" s="189" t="s">
        <v>450</v>
      </c>
      <c r="B1028" s="272">
        <f>B1029</f>
        <v>296641</v>
      </c>
      <c r="C1028" s="272">
        <f>C1029</f>
        <v>0</v>
      </c>
      <c r="D1028" s="272">
        <f t="shared" si="48"/>
        <v>296641</v>
      </c>
    </row>
    <row r="1029" spans="1:4" ht="25.5" x14ac:dyDescent="0.2">
      <c r="A1029" s="191" t="s">
        <v>539</v>
      </c>
      <c r="B1029" s="139">
        <f>B1031+B1035+B1039</f>
        <v>296641</v>
      </c>
      <c r="C1029" s="139">
        <f>C1031+C1035+C1039</f>
        <v>0</v>
      </c>
      <c r="D1029" s="139">
        <f t="shared" si="48"/>
        <v>296641</v>
      </c>
    </row>
    <row r="1030" spans="1:4" x14ac:dyDescent="0.2">
      <c r="A1030" s="190" t="s">
        <v>407</v>
      </c>
      <c r="B1030" s="140"/>
      <c r="C1030" s="492"/>
      <c r="D1030" s="492">
        <f t="shared" si="48"/>
        <v>0</v>
      </c>
    </row>
    <row r="1031" spans="1:4" x14ac:dyDescent="0.2">
      <c r="A1031" s="426" t="s">
        <v>540</v>
      </c>
      <c r="B1031" s="522">
        <v>140861</v>
      </c>
      <c r="C1031" s="492"/>
      <c r="D1031" s="492">
        <f t="shared" si="48"/>
        <v>140861</v>
      </c>
    </row>
    <row r="1032" spans="1:4" x14ac:dyDescent="0.2">
      <c r="A1032" s="502" t="s">
        <v>394</v>
      </c>
      <c r="B1032" s="149">
        <v>87169</v>
      </c>
      <c r="C1032" s="475">
        <v>-4440</v>
      </c>
      <c r="D1032" s="475">
        <f t="shared" si="48"/>
        <v>82729</v>
      </c>
    </row>
    <row r="1033" spans="1:4" x14ac:dyDescent="0.2">
      <c r="A1033" s="154"/>
      <c r="B1033" s="140"/>
      <c r="C1033" s="492"/>
      <c r="D1033" s="492">
        <f t="shared" si="48"/>
        <v>0</v>
      </c>
    </row>
    <row r="1034" spans="1:4" x14ac:dyDescent="0.2">
      <c r="A1034" s="190" t="s">
        <v>407</v>
      </c>
      <c r="B1034" s="522"/>
      <c r="C1034" s="492"/>
      <c r="D1034" s="492">
        <f t="shared" si="48"/>
        <v>0</v>
      </c>
    </row>
    <row r="1035" spans="1:4" x14ac:dyDescent="0.2">
      <c r="A1035" s="426" t="s">
        <v>575</v>
      </c>
      <c r="B1035" s="522">
        <v>104710</v>
      </c>
      <c r="C1035" s="492"/>
      <c r="D1035" s="492">
        <f t="shared" si="48"/>
        <v>104710</v>
      </c>
    </row>
    <row r="1036" spans="1:4" x14ac:dyDescent="0.2">
      <c r="A1036" s="502" t="s">
        <v>394</v>
      </c>
      <c r="B1036" s="149">
        <v>77834</v>
      </c>
      <c r="C1036" s="492"/>
      <c r="D1036" s="492">
        <f t="shared" si="48"/>
        <v>77834</v>
      </c>
    </row>
    <row r="1037" spans="1:4" x14ac:dyDescent="0.2">
      <c r="A1037" s="423"/>
      <c r="B1037" s="140"/>
      <c r="C1037" s="492"/>
      <c r="D1037" s="492">
        <f t="shared" si="48"/>
        <v>0</v>
      </c>
    </row>
    <row r="1038" spans="1:4" x14ac:dyDescent="0.2">
      <c r="A1038" s="190" t="s">
        <v>407</v>
      </c>
      <c r="B1038" s="522"/>
      <c r="C1038" s="492"/>
      <c r="D1038" s="492">
        <f t="shared" si="48"/>
        <v>0</v>
      </c>
    </row>
    <row r="1039" spans="1:4" x14ac:dyDescent="0.2">
      <c r="A1039" s="426" t="s">
        <v>79</v>
      </c>
      <c r="B1039" s="522">
        <v>51070</v>
      </c>
      <c r="C1039" s="492"/>
      <c r="D1039" s="492">
        <f t="shared" si="48"/>
        <v>51070</v>
      </c>
    </row>
    <row r="1040" spans="1:4" x14ac:dyDescent="0.2">
      <c r="A1040" s="261"/>
      <c r="B1040" s="522"/>
      <c r="C1040" s="492"/>
      <c r="D1040" s="492">
        <f t="shared" si="48"/>
        <v>0</v>
      </c>
    </row>
    <row r="1041" spans="1:4" ht="15" x14ac:dyDescent="0.2">
      <c r="A1041" s="189" t="s">
        <v>528</v>
      </c>
      <c r="B1041" s="272">
        <f>B1042+B1044</f>
        <v>159065</v>
      </c>
      <c r="C1041" s="492"/>
      <c r="D1041" s="492">
        <f t="shared" si="48"/>
        <v>159065</v>
      </c>
    </row>
    <row r="1042" spans="1:4" x14ac:dyDescent="0.2">
      <c r="A1042" s="235" t="s">
        <v>529</v>
      </c>
      <c r="B1042" s="139">
        <v>129000</v>
      </c>
      <c r="C1042" s="492"/>
      <c r="D1042" s="492">
        <f t="shared" si="48"/>
        <v>129000</v>
      </c>
    </row>
    <row r="1043" spans="1:4" x14ac:dyDescent="0.2">
      <c r="A1043" s="488"/>
      <c r="B1043" s="140"/>
      <c r="C1043" s="492"/>
      <c r="D1043" s="492">
        <f t="shared" si="48"/>
        <v>0</v>
      </c>
    </row>
    <row r="1044" spans="1:4" s="36" customFormat="1" x14ac:dyDescent="0.2">
      <c r="A1044" s="235" t="s">
        <v>80</v>
      </c>
      <c r="B1044" s="139">
        <v>30065</v>
      </c>
      <c r="C1044" s="492"/>
      <c r="D1044" s="492">
        <f t="shared" si="48"/>
        <v>30065</v>
      </c>
    </row>
    <row r="1045" spans="1:4" x14ac:dyDescent="0.2">
      <c r="A1045" s="136"/>
      <c r="B1045" s="265"/>
      <c r="C1045" s="492"/>
      <c r="D1045" s="492">
        <f t="shared" si="48"/>
        <v>0</v>
      </c>
    </row>
    <row r="1046" spans="1:4" x14ac:dyDescent="0.2">
      <c r="A1046" s="192" t="s">
        <v>392</v>
      </c>
      <c r="B1046" s="264">
        <f>B1048+B1051+B1059+B1061+B1063+B1065+B1067+B1054</f>
        <v>1220729</v>
      </c>
      <c r="C1046" s="492"/>
      <c r="D1046" s="492">
        <f t="shared" si="48"/>
        <v>1220729</v>
      </c>
    </row>
    <row r="1047" spans="1:4" s="36" customFormat="1" x14ac:dyDescent="0.2">
      <c r="A1047" s="192"/>
      <c r="B1047" s="264"/>
      <c r="C1047" s="492"/>
      <c r="D1047" s="492">
        <f t="shared" si="48"/>
        <v>0</v>
      </c>
    </row>
    <row r="1048" spans="1:4" x14ac:dyDescent="0.2">
      <c r="A1048" s="129" t="s">
        <v>541</v>
      </c>
      <c r="B1048" s="491">
        <v>857173</v>
      </c>
      <c r="C1048" s="492"/>
      <c r="D1048" s="492">
        <f t="shared" si="48"/>
        <v>857173</v>
      </c>
    </row>
    <row r="1049" spans="1:4" x14ac:dyDescent="0.2">
      <c r="A1049" s="127" t="s">
        <v>394</v>
      </c>
      <c r="B1049" s="193">
        <v>545996</v>
      </c>
      <c r="C1049" s="492"/>
      <c r="D1049" s="492">
        <f t="shared" si="48"/>
        <v>545996</v>
      </c>
    </row>
    <row r="1050" spans="1:4" x14ac:dyDescent="0.2">
      <c r="A1050" s="129"/>
      <c r="B1050" s="491"/>
      <c r="C1050" s="492"/>
      <c r="D1050" s="492">
        <f t="shared" si="48"/>
        <v>0</v>
      </c>
    </row>
    <row r="1051" spans="1:4" x14ac:dyDescent="0.2">
      <c r="A1051" s="129" t="s">
        <v>542</v>
      </c>
      <c r="B1051" s="522">
        <v>76980</v>
      </c>
      <c r="C1051" s="492"/>
      <c r="D1051" s="492">
        <f t="shared" si="48"/>
        <v>76980</v>
      </c>
    </row>
    <row r="1052" spans="1:4" x14ac:dyDescent="0.2">
      <c r="A1052" s="127" t="s">
        <v>394</v>
      </c>
      <c r="B1052" s="149">
        <v>40200</v>
      </c>
      <c r="C1052" s="492"/>
      <c r="D1052" s="492">
        <f t="shared" si="48"/>
        <v>40200</v>
      </c>
    </row>
    <row r="1053" spans="1:4" s="36" customFormat="1" x14ac:dyDescent="0.2">
      <c r="A1053" s="127"/>
      <c r="B1053" s="149"/>
      <c r="C1053" s="492"/>
      <c r="D1053" s="492">
        <f t="shared" si="48"/>
        <v>0</v>
      </c>
    </row>
    <row r="1054" spans="1:4" x14ac:dyDescent="0.2">
      <c r="A1054" s="129" t="s">
        <v>773</v>
      </c>
      <c r="B1054" s="522">
        <v>10212</v>
      </c>
      <c r="C1054" s="492"/>
      <c r="D1054" s="492">
        <f t="shared" si="48"/>
        <v>10212</v>
      </c>
    </row>
    <row r="1055" spans="1:4" x14ac:dyDescent="0.2">
      <c r="A1055" s="127" t="s">
        <v>394</v>
      </c>
      <c r="B1055" s="149">
        <v>747</v>
      </c>
      <c r="C1055" s="492"/>
      <c r="D1055" s="492">
        <f t="shared" si="48"/>
        <v>747</v>
      </c>
    </row>
    <row r="1056" spans="1:4" x14ac:dyDescent="0.2">
      <c r="A1056" s="127"/>
      <c r="B1056" s="149"/>
      <c r="C1056" s="492"/>
      <c r="D1056" s="492">
        <f t="shared" si="48"/>
        <v>0</v>
      </c>
    </row>
    <row r="1057" spans="1:4" x14ac:dyDescent="0.2">
      <c r="A1057" s="137" t="s">
        <v>420</v>
      </c>
      <c r="B1057" s="147">
        <v>10212</v>
      </c>
      <c r="C1057" s="492"/>
      <c r="D1057" s="492">
        <f t="shared" si="48"/>
        <v>10212</v>
      </c>
    </row>
    <row r="1058" spans="1:4" s="36" customFormat="1" x14ac:dyDescent="0.2">
      <c r="A1058" s="227"/>
      <c r="B1058" s="555"/>
      <c r="C1058" s="492"/>
      <c r="D1058" s="492">
        <f t="shared" si="48"/>
        <v>0</v>
      </c>
    </row>
    <row r="1059" spans="1:4" x14ac:dyDescent="0.2">
      <c r="A1059" s="196" t="s">
        <v>576</v>
      </c>
      <c r="B1059" s="555">
        <v>38000</v>
      </c>
      <c r="C1059" s="492"/>
      <c r="D1059" s="492">
        <f t="shared" si="48"/>
        <v>38000</v>
      </c>
    </row>
    <row r="1060" spans="1:4" x14ac:dyDescent="0.2">
      <c r="A1060" s="156"/>
      <c r="B1060" s="491"/>
      <c r="C1060" s="492"/>
      <c r="D1060" s="492">
        <f t="shared" si="48"/>
        <v>0</v>
      </c>
    </row>
    <row r="1061" spans="1:4" x14ac:dyDescent="0.2">
      <c r="A1061" s="158" t="s">
        <v>543</v>
      </c>
      <c r="B1061" s="523">
        <v>22000</v>
      </c>
      <c r="C1061" s="492"/>
      <c r="D1061" s="492">
        <f t="shared" si="48"/>
        <v>22000</v>
      </c>
    </row>
    <row r="1062" spans="1:4" x14ac:dyDescent="0.2">
      <c r="A1062" s="158"/>
      <c r="B1062" s="523"/>
      <c r="C1062" s="492"/>
      <c r="D1062" s="492">
        <f t="shared" si="48"/>
        <v>0</v>
      </c>
    </row>
    <row r="1063" spans="1:4" x14ac:dyDescent="0.2">
      <c r="A1063" s="128" t="s">
        <v>572</v>
      </c>
      <c r="B1063" s="522">
        <v>67200</v>
      </c>
      <c r="C1063" s="492"/>
      <c r="D1063" s="492">
        <f t="shared" si="48"/>
        <v>67200</v>
      </c>
    </row>
    <row r="1064" spans="1:4" x14ac:dyDescent="0.2">
      <c r="A1064" s="488"/>
      <c r="B1064" s="140"/>
      <c r="C1064" s="492"/>
      <c r="D1064" s="492">
        <f t="shared" si="48"/>
        <v>0</v>
      </c>
    </row>
    <row r="1065" spans="1:4" x14ac:dyDescent="0.2">
      <c r="A1065" s="128" t="s">
        <v>573</v>
      </c>
      <c r="B1065" s="522">
        <v>120404</v>
      </c>
      <c r="C1065" s="492"/>
      <c r="D1065" s="492">
        <f t="shared" si="48"/>
        <v>120404</v>
      </c>
    </row>
    <row r="1066" spans="1:4" x14ac:dyDescent="0.2">
      <c r="A1066" s="182"/>
      <c r="B1066" s="491"/>
      <c r="C1066" s="492"/>
      <c r="D1066" s="492">
        <f t="shared" si="48"/>
        <v>0</v>
      </c>
    </row>
    <row r="1067" spans="1:4" x14ac:dyDescent="0.2">
      <c r="A1067" s="128" t="s">
        <v>69</v>
      </c>
      <c r="B1067" s="491">
        <v>28760</v>
      </c>
      <c r="C1067" s="492"/>
      <c r="D1067" s="492">
        <f t="shared" si="48"/>
        <v>28760</v>
      </c>
    </row>
    <row r="1068" spans="1:4" x14ac:dyDescent="0.2">
      <c r="A1068" s="438"/>
      <c r="B1068" s="491"/>
      <c r="C1068" s="492"/>
      <c r="D1068" s="492">
        <f t="shared" si="48"/>
        <v>0</v>
      </c>
    </row>
    <row r="1069" spans="1:4" x14ac:dyDescent="0.2">
      <c r="A1069" s="438"/>
      <c r="B1069" s="491"/>
      <c r="C1069" s="492"/>
      <c r="D1069" s="492">
        <f t="shared" si="48"/>
        <v>0</v>
      </c>
    </row>
    <row r="1070" spans="1:4" ht="15.75" x14ac:dyDescent="0.2">
      <c r="A1070" s="138" t="s">
        <v>544</v>
      </c>
      <c r="B1070" s="515"/>
      <c r="C1070" s="492"/>
      <c r="D1070" s="492">
        <f t="shared" si="48"/>
        <v>0</v>
      </c>
    </row>
    <row r="1071" spans="1:4" x14ac:dyDescent="0.2">
      <c r="A1071" s="438"/>
      <c r="B1071" s="515"/>
      <c r="C1071" s="492"/>
      <c r="D1071" s="492">
        <f t="shared" si="48"/>
        <v>0</v>
      </c>
    </row>
    <row r="1072" spans="1:4" x14ac:dyDescent="0.2">
      <c r="A1072" s="133" t="s">
        <v>386</v>
      </c>
      <c r="B1072" s="264">
        <f>B1078+B1091+B1097</f>
        <v>3848627</v>
      </c>
      <c r="C1072" s="264">
        <f>C1078+C1091+C1097</f>
        <v>245020</v>
      </c>
      <c r="D1072" s="264">
        <f t="shared" si="48"/>
        <v>4093647</v>
      </c>
    </row>
    <row r="1073" spans="1:4" x14ac:dyDescent="0.2">
      <c r="A1073" s="123" t="s">
        <v>422</v>
      </c>
      <c r="B1073" s="116">
        <v>2422716</v>
      </c>
      <c r="C1073" s="492"/>
      <c r="D1073" s="492">
        <f t="shared" si="48"/>
        <v>2422716</v>
      </c>
    </row>
    <row r="1074" spans="1:4" x14ac:dyDescent="0.2">
      <c r="A1074" s="134" t="s">
        <v>387</v>
      </c>
      <c r="B1074" s="264">
        <f>B1075+B1076</f>
        <v>3848627</v>
      </c>
      <c r="C1074" s="264">
        <f>C1075+C1076</f>
        <v>245020</v>
      </c>
      <c r="D1074" s="264">
        <f t="shared" si="48"/>
        <v>4093647</v>
      </c>
    </row>
    <row r="1075" spans="1:4" x14ac:dyDescent="0.2">
      <c r="A1075" s="135" t="s">
        <v>388</v>
      </c>
      <c r="B1075" s="265">
        <f>'2.2 OMATULUD'!B512</f>
        <v>3399944</v>
      </c>
      <c r="C1075" s="492">
        <f>'2.2 OMATULUD'!C512</f>
        <v>229000</v>
      </c>
      <c r="D1075" s="492">
        <f t="shared" si="48"/>
        <v>3628944</v>
      </c>
    </row>
    <row r="1076" spans="1:4" x14ac:dyDescent="0.2">
      <c r="A1076" s="136" t="s">
        <v>389</v>
      </c>
      <c r="B1076" s="265">
        <f>B1072-B1075</f>
        <v>448683</v>
      </c>
      <c r="C1076" s="265">
        <f>C1072-C1075</f>
        <v>16020</v>
      </c>
      <c r="D1076" s="265">
        <f t="shared" si="48"/>
        <v>464703</v>
      </c>
    </row>
    <row r="1077" spans="1:4" x14ac:dyDescent="0.2">
      <c r="A1077" s="136"/>
      <c r="B1077" s="116"/>
      <c r="C1077" s="492"/>
      <c r="D1077" s="492">
        <f t="shared" si="48"/>
        <v>0</v>
      </c>
    </row>
    <row r="1078" spans="1:4" ht="15" x14ac:dyDescent="0.2">
      <c r="A1078" s="189" t="s">
        <v>450</v>
      </c>
      <c r="B1078" s="272">
        <f>B1079</f>
        <v>472094</v>
      </c>
      <c r="C1078" s="272">
        <f>C1079</f>
        <v>12451</v>
      </c>
      <c r="D1078" s="272">
        <f t="shared" si="48"/>
        <v>484545</v>
      </c>
    </row>
    <row r="1079" spans="1:4" ht="25.5" x14ac:dyDescent="0.2">
      <c r="A1079" s="191" t="s">
        <v>539</v>
      </c>
      <c r="B1079" s="139">
        <f>B1081+B1085+B1089</f>
        <v>472094</v>
      </c>
      <c r="C1079" s="139">
        <f>C1081+C1085+C1089</f>
        <v>12451</v>
      </c>
      <c r="D1079" s="139">
        <f t="shared" ref="D1079:D1139" si="49">B1079+C1079</f>
        <v>484545</v>
      </c>
    </row>
    <row r="1080" spans="1:4" x14ac:dyDescent="0.2">
      <c r="A1080" s="190" t="s">
        <v>407</v>
      </c>
      <c r="B1080" s="140"/>
      <c r="C1080" s="492"/>
      <c r="D1080" s="492">
        <f t="shared" si="49"/>
        <v>0</v>
      </c>
    </row>
    <row r="1081" spans="1:4" x14ac:dyDescent="0.2">
      <c r="A1081" s="426" t="s">
        <v>540</v>
      </c>
      <c r="B1081" s="522">
        <v>232321</v>
      </c>
      <c r="C1081" s="522">
        <v>6673</v>
      </c>
      <c r="D1081" s="522">
        <f t="shared" si="49"/>
        <v>238994</v>
      </c>
    </row>
    <row r="1082" spans="1:4" x14ac:dyDescent="0.2">
      <c r="A1082" s="502" t="s">
        <v>394</v>
      </c>
      <c r="B1082" s="149">
        <v>116718</v>
      </c>
      <c r="C1082" s="149">
        <v>4920</v>
      </c>
      <c r="D1082" s="149">
        <f t="shared" si="49"/>
        <v>121638</v>
      </c>
    </row>
    <row r="1083" spans="1:4" x14ac:dyDescent="0.2">
      <c r="A1083" s="154"/>
      <c r="B1083" s="522"/>
      <c r="C1083" s="492"/>
      <c r="D1083" s="492">
        <f t="shared" si="49"/>
        <v>0</v>
      </c>
    </row>
    <row r="1084" spans="1:4" x14ac:dyDescent="0.2">
      <c r="A1084" s="190" t="s">
        <v>407</v>
      </c>
      <c r="B1084" s="522"/>
      <c r="C1084" s="492"/>
      <c r="D1084" s="492">
        <f t="shared" si="49"/>
        <v>0</v>
      </c>
    </row>
    <row r="1085" spans="1:4" x14ac:dyDescent="0.2">
      <c r="A1085" s="426" t="s">
        <v>575</v>
      </c>
      <c r="B1085" s="522">
        <v>188643</v>
      </c>
      <c r="C1085" s="522">
        <v>5778</v>
      </c>
      <c r="D1085" s="522">
        <f t="shared" si="49"/>
        <v>194421</v>
      </c>
    </row>
    <row r="1086" spans="1:4" x14ac:dyDescent="0.2">
      <c r="A1086" s="502" t="s">
        <v>394</v>
      </c>
      <c r="B1086" s="149">
        <v>139046</v>
      </c>
      <c r="C1086" s="149">
        <v>4260</v>
      </c>
      <c r="D1086" s="149">
        <f t="shared" si="49"/>
        <v>143306</v>
      </c>
    </row>
    <row r="1087" spans="1:4" x14ac:dyDescent="0.2">
      <c r="A1087" s="195"/>
      <c r="B1087" s="140"/>
      <c r="C1087" s="492"/>
      <c r="D1087" s="492">
        <f t="shared" si="49"/>
        <v>0</v>
      </c>
    </row>
    <row r="1088" spans="1:4" x14ac:dyDescent="0.2">
      <c r="A1088" s="190" t="s">
        <v>407</v>
      </c>
      <c r="B1088" s="522"/>
      <c r="C1088" s="492"/>
      <c r="D1088" s="492">
        <f t="shared" si="49"/>
        <v>0</v>
      </c>
    </row>
    <row r="1089" spans="1:4" x14ac:dyDescent="0.2">
      <c r="A1089" s="426" t="s">
        <v>79</v>
      </c>
      <c r="B1089" s="522">
        <v>51130</v>
      </c>
      <c r="C1089" s="492"/>
      <c r="D1089" s="492">
        <f t="shared" si="49"/>
        <v>51130</v>
      </c>
    </row>
    <row r="1090" spans="1:4" x14ac:dyDescent="0.2">
      <c r="A1090" s="198"/>
      <c r="B1090" s="522"/>
      <c r="C1090" s="492"/>
      <c r="D1090" s="492">
        <f t="shared" si="49"/>
        <v>0</v>
      </c>
    </row>
    <row r="1091" spans="1:4" ht="15" x14ac:dyDescent="0.2">
      <c r="A1091" s="189" t="s">
        <v>528</v>
      </c>
      <c r="B1091" s="272">
        <f>B1092+B1095</f>
        <v>507780</v>
      </c>
      <c r="C1091" s="272">
        <f>C1092+C1095</f>
        <v>82100</v>
      </c>
      <c r="D1091" s="272">
        <f t="shared" si="49"/>
        <v>589880</v>
      </c>
    </row>
    <row r="1092" spans="1:4" x14ac:dyDescent="0.2">
      <c r="A1092" s="235" t="s">
        <v>529</v>
      </c>
      <c r="B1092" s="139">
        <v>495000</v>
      </c>
      <c r="C1092" s="139">
        <v>79600</v>
      </c>
      <c r="D1092" s="139">
        <f t="shared" si="49"/>
        <v>574600</v>
      </c>
    </row>
    <row r="1093" spans="1:4" x14ac:dyDescent="0.2">
      <c r="A1093" s="137" t="s">
        <v>394</v>
      </c>
      <c r="B1093" s="149">
        <v>30852</v>
      </c>
      <c r="C1093" s="492"/>
      <c r="D1093" s="492">
        <f t="shared" si="49"/>
        <v>30852</v>
      </c>
    </row>
    <row r="1094" spans="1:4" x14ac:dyDescent="0.2">
      <c r="A1094" s="488"/>
      <c r="B1094" s="140"/>
      <c r="C1094" s="492"/>
      <c r="D1094" s="492">
        <f t="shared" si="49"/>
        <v>0</v>
      </c>
    </row>
    <row r="1095" spans="1:4" x14ac:dyDescent="0.2">
      <c r="A1095" s="235" t="s">
        <v>80</v>
      </c>
      <c r="B1095" s="139">
        <v>12780</v>
      </c>
      <c r="C1095" s="139">
        <v>2500</v>
      </c>
      <c r="D1095" s="139">
        <f t="shared" si="49"/>
        <v>15280</v>
      </c>
    </row>
    <row r="1096" spans="1:4" x14ac:dyDescent="0.2">
      <c r="A1096" s="136"/>
      <c r="B1096" s="116"/>
      <c r="C1096" s="492"/>
      <c r="D1096" s="492">
        <f t="shared" si="49"/>
        <v>0</v>
      </c>
    </row>
    <row r="1097" spans="1:4" x14ac:dyDescent="0.2">
      <c r="A1097" s="192" t="s">
        <v>392</v>
      </c>
      <c r="B1097" s="264">
        <f>B1099+B1102+B1108+B1110+B1112+B1114+B1116+B1118</f>
        <v>2868753</v>
      </c>
      <c r="C1097" s="264">
        <f>C1099+C1102+C1108+C1110+C1112+C1114+C1116+C1118+C1120+C1123</f>
        <v>150469</v>
      </c>
      <c r="D1097" s="264">
        <f t="shared" si="49"/>
        <v>3019222</v>
      </c>
    </row>
    <row r="1098" spans="1:4" x14ac:dyDescent="0.2">
      <c r="A1098" s="192"/>
      <c r="B1098" s="491"/>
      <c r="C1098" s="492"/>
      <c r="D1098" s="492">
        <f t="shared" si="49"/>
        <v>0</v>
      </c>
    </row>
    <row r="1099" spans="1:4" s="36" customFormat="1" x14ac:dyDescent="0.2">
      <c r="A1099" s="129" t="s">
        <v>541</v>
      </c>
      <c r="B1099" s="491">
        <v>1887438</v>
      </c>
      <c r="C1099" s="492"/>
      <c r="D1099" s="492">
        <f t="shared" si="49"/>
        <v>1887438</v>
      </c>
    </row>
    <row r="1100" spans="1:4" x14ac:dyDescent="0.2">
      <c r="A1100" s="127" t="s">
        <v>394</v>
      </c>
      <c r="B1100" s="266">
        <v>1096638</v>
      </c>
      <c r="C1100" s="492"/>
      <c r="D1100" s="492">
        <f t="shared" si="49"/>
        <v>1096638</v>
      </c>
    </row>
    <row r="1101" spans="1:4" x14ac:dyDescent="0.2">
      <c r="A1101" s="182"/>
      <c r="B1101" s="491"/>
      <c r="C1101" s="492"/>
      <c r="D1101" s="492">
        <f t="shared" si="49"/>
        <v>0</v>
      </c>
    </row>
    <row r="1102" spans="1:4" x14ac:dyDescent="0.2">
      <c r="A1102" s="196" t="s">
        <v>576</v>
      </c>
      <c r="B1102" s="555">
        <f>281195+10000</f>
        <v>291195</v>
      </c>
      <c r="C1102" s="491">
        <v>29000</v>
      </c>
      <c r="D1102" s="491">
        <f t="shared" si="49"/>
        <v>320195</v>
      </c>
    </row>
    <row r="1103" spans="1:4" x14ac:dyDescent="0.2">
      <c r="A1103" s="163" t="s">
        <v>256</v>
      </c>
      <c r="B1103" s="271">
        <f>191000+10000</f>
        <v>201000</v>
      </c>
      <c r="C1103" s="492"/>
      <c r="D1103" s="492">
        <f t="shared" si="49"/>
        <v>201000</v>
      </c>
    </row>
    <row r="1104" spans="1:4" x14ac:dyDescent="0.2">
      <c r="A1104" s="166" t="s">
        <v>882</v>
      </c>
      <c r="B1104" s="271">
        <v>10000</v>
      </c>
      <c r="C1104" s="492"/>
      <c r="D1104" s="492">
        <f t="shared" si="49"/>
        <v>10000</v>
      </c>
    </row>
    <row r="1105" spans="1:4" x14ac:dyDescent="0.2">
      <c r="A1105" s="166" t="s">
        <v>774</v>
      </c>
      <c r="B1105" s="271"/>
      <c r="C1105" s="492"/>
      <c r="D1105" s="492">
        <f t="shared" si="49"/>
        <v>0</v>
      </c>
    </row>
    <row r="1106" spans="1:4" x14ac:dyDescent="0.2">
      <c r="A1106" s="127" t="s">
        <v>394</v>
      </c>
      <c r="B1106" s="266">
        <v>12782</v>
      </c>
      <c r="C1106" s="492"/>
      <c r="D1106" s="492">
        <f t="shared" si="49"/>
        <v>12782</v>
      </c>
    </row>
    <row r="1107" spans="1:4" x14ac:dyDescent="0.2">
      <c r="A1107" s="156"/>
      <c r="B1107" s="491"/>
      <c r="C1107" s="492"/>
      <c r="D1107" s="492">
        <f t="shared" si="49"/>
        <v>0</v>
      </c>
    </row>
    <row r="1108" spans="1:4" x14ac:dyDescent="0.2">
      <c r="A1108" s="156" t="s">
        <v>71</v>
      </c>
      <c r="B1108" s="491">
        <v>1920</v>
      </c>
      <c r="C1108" s="492"/>
      <c r="D1108" s="492">
        <f t="shared" si="49"/>
        <v>1920</v>
      </c>
    </row>
    <row r="1109" spans="1:4" x14ac:dyDescent="0.2">
      <c r="A1109" s="182"/>
      <c r="B1109" s="194"/>
      <c r="C1109" s="492"/>
      <c r="D1109" s="492">
        <f t="shared" si="49"/>
        <v>0</v>
      </c>
    </row>
    <row r="1110" spans="1:4" x14ac:dyDescent="0.2">
      <c r="A1110" s="158" t="s">
        <v>543</v>
      </c>
      <c r="B1110" s="523">
        <f>139000-10000</f>
        <v>129000</v>
      </c>
      <c r="C1110" s="523">
        <v>40340</v>
      </c>
      <c r="D1110" s="523">
        <f t="shared" si="49"/>
        <v>169340</v>
      </c>
    </row>
    <row r="1111" spans="1:4" x14ac:dyDescent="0.2">
      <c r="A1111" s="158"/>
      <c r="B1111" s="523"/>
      <c r="C1111" s="492"/>
      <c r="D1111" s="492">
        <f t="shared" si="49"/>
        <v>0</v>
      </c>
    </row>
    <row r="1112" spans="1:4" x14ac:dyDescent="0.2">
      <c r="A1112" s="128" t="s">
        <v>572</v>
      </c>
      <c r="B1112" s="522">
        <v>75300</v>
      </c>
      <c r="C1112" s="492"/>
      <c r="D1112" s="492">
        <f t="shared" si="49"/>
        <v>75300</v>
      </c>
    </row>
    <row r="1113" spans="1:4" x14ac:dyDescent="0.2">
      <c r="A1113" s="488"/>
      <c r="B1113" s="140"/>
      <c r="C1113" s="492"/>
      <c r="D1113" s="492">
        <f t="shared" si="49"/>
        <v>0</v>
      </c>
    </row>
    <row r="1114" spans="1:4" x14ac:dyDescent="0.2">
      <c r="A1114" s="128" t="s">
        <v>573</v>
      </c>
      <c r="B1114" s="522">
        <v>420000</v>
      </c>
      <c r="C1114" s="492"/>
      <c r="D1114" s="492">
        <f t="shared" si="49"/>
        <v>420000</v>
      </c>
    </row>
    <row r="1115" spans="1:4" x14ac:dyDescent="0.2">
      <c r="A1115" s="156"/>
      <c r="B1115" s="491"/>
      <c r="C1115" s="492"/>
      <c r="D1115" s="492">
        <f t="shared" si="49"/>
        <v>0</v>
      </c>
    </row>
    <row r="1116" spans="1:4" x14ac:dyDescent="0.2">
      <c r="A1116" s="158" t="s">
        <v>154</v>
      </c>
      <c r="B1116" s="523">
        <v>9000</v>
      </c>
      <c r="C1116" s="492"/>
      <c r="D1116" s="492">
        <f t="shared" si="49"/>
        <v>9000</v>
      </c>
    </row>
    <row r="1117" spans="1:4" x14ac:dyDescent="0.2">
      <c r="A1117" s="182"/>
      <c r="B1117" s="491"/>
      <c r="C1117" s="492"/>
      <c r="D1117" s="492">
        <f t="shared" si="49"/>
        <v>0</v>
      </c>
    </row>
    <row r="1118" spans="1:4" x14ac:dyDescent="0.2">
      <c r="A1118" s="128" t="s">
        <v>69</v>
      </c>
      <c r="B1118" s="491">
        <v>54900</v>
      </c>
      <c r="C1118" s="492"/>
      <c r="D1118" s="492">
        <f t="shared" si="49"/>
        <v>54900</v>
      </c>
    </row>
    <row r="1119" spans="1:4" x14ac:dyDescent="0.2">
      <c r="A1119" s="128"/>
      <c r="B1119" s="491"/>
      <c r="C1119" s="492"/>
      <c r="D1119" s="492">
        <f t="shared" si="49"/>
        <v>0</v>
      </c>
    </row>
    <row r="1120" spans="1:4" x14ac:dyDescent="0.2">
      <c r="A1120" s="129" t="s">
        <v>1022</v>
      </c>
      <c r="B1120" s="491"/>
      <c r="C1120" s="491">
        <f>35000+11129</f>
        <v>46129</v>
      </c>
      <c r="D1120" s="491">
        <f t="shared" si="49"/>
        <v>46129</v>
      </c>
    </row>
    <row r="1121" spans="1:4" x14ac:dyDescent="0.2">
      <c r="A1121" s="127" t="s">
        <v>394</v>
      </c>
      <c r="B1121" s="491"/>
      <c r="C1121" s="266">
        <v>15116</v>
      </c>
      <c r="D1121" s="266">
        <f t="shared" si="49"/>
        <v>15116</v>
      </c>
    </row>
    <row r="1122" spans="1:4" x14ac:dyDescent="0.2">
      <c r="A1122" s="128"/>
      <c r="B1122" s="491"/>
      <c r="C1122" s="492"/>
      <c r="D1122" s="492">
        <f t="shared" si="49"/>
        <v>0</v>
      </c>
    </row>
    <row r="1123" spans="1:4" x14ac:dyDescent="0.2">
      <c r="A1123" s="129" t="s">
        <v>1018</v>
      </c>
      <c r="B1123" s="491"/>
      <c r="C1123" s="522">
        <v>35000</v>
      </c>
      <c r="D1123" s="522">
        <f t="shared" si="49"/>
        <v>35000</v>
      </c>
    </row>
    <row r="1124" spans="1:4" x14ac:dyDescent="0.2">
      <c r="A1124" s="127" t="s">
        <v>394</v>
      </c>
      <c r="B1124" s="491"/>
      <c r="C1124" s="149">
        <v>13892</v>
      </c>
      <c r="D1124" s="149">
        <f t="shared" si="49"/>
        <v>13892</v>
      </c>
    </row>
    <row r="1125" spans="1:4" x14ac:dyDescent="0.2">
      <c r="A1125" s="438"/>
      <c r="B1125" s="491"/>
      <c r="C1125" s="492"/>
      <c r="D1125" s="492">
        <f t="shared" si="49"/>
        <v>0</v>
      </c>
    </row>
    <row r="1126" spans="1:4" x14ac:dyDescent="0.2">
      <c r="A1126" s="438"/>
      <c r="B1126" s="491"/>
      <c r="C1126" s="492"/>
      <c r="D1126" s="492">
        <f t="shared" si="49"/>
        <v>0</v>
      </c>
    </row>
    <row r="1127" spans="1:4" ht="15.75" x14ac:dyDescent="0.2">
      <c r="A1127" s="138" t="s">
        <v>574</v>
      </c>
      <c r="B1127" s="491"/>
      <c r="C1127" s="492"/>
      <c r="D1127" s="492">
        <f t="shared" si="49"/>
        <v>0</v>
      </c>
    </row>
    <row r="1128" spans="1:4" x14ac:dyDescent="0.2">
      <c r="A1128" s="438"/>
      <c r="B1128" s="491"/>
      <c r="C1128" s="492"/>
      <c r="D1128" s="492">
        <f t="shared" si="49"/>
        <v>0</v>
      </c>
    </row>
    <row r="1129" spans="1:4" x14ac:dyDescent="0.2">
      <c r="A1129" s="133" t="s">
        <v>386</v>
      </c>
      <c r="B1129" s="264">
        <f>B1136+B1149+B1152</f>
        <v>1661624</v>
      </c>
      <c r="C1129" s="264">
        <f>C1136+C1149+C1152</f>
        <v>10300</v>
      </c>
      <c r="D1129" s="264">
        <f t="shared" si="49"/>
        <v>1671924</v>
      </c>
    </row>
    <row r="1130" spans="1:4" x14ac:dyDescent="0.2">
      <c r="A1130" s="123" t="s">
        <v>422</v>
      </c>
      <c r="B1130" s="116">
        <v>107580</v>
      </c>
      <c r="C1130" s="492"/>
      <c r="D1130" s="492">
        <f t="shared" si="49"/>
        <v>107580</v>
      </c>
    </row>
    <row r="1131" spans="1:4" x14ac:dyDescent="0.2">
      <c r="A1131" s="134" t="s">
        <v>387</v>
      </c>
      <c r="B1131" s="264">
        <f>B1132+B1133+B1134</f>
        <v>1661624</v>
      </c>
      <c r="C1131" s="264">
        <f t="shared" ref="C1131" si="50">C1132+C1133+C1134</f>
        <v>10300</v>
      </c>
      <c r="D1131" s="264">
        <f t="shared" si="49"/>
        <v>1671924</v>
      </c>
    </row>
    <row r="1132" spans="1:4" x14ac:dyDescent="0.2">
      <c r="A1132" s="135" t="s">
        <v>388</v>
      </c>
      <c r="B1132" s="265">
        <f>'2.2 OMATULUD'!B536</f>
        <v>243485</v>
      </c>
      <c r="C1132" s="492">
        <f>'2.2 OMATULUD'!C536</f>
        <v>10300</v>
      </c>
      <c r="D1132" s="492">
        <f t="shared" si="49"/>
        <v>253785</v>
      </c>
    </row>
    <row r="1133" spans="1:4" x14ac:dyDescent="0.2">
      <c r="A1133" s="136" t="s">
        <v>360</v>
      </c>
      <c r="B1133" s="265">
        <f>B1170</f>
        <v>72</v>
      </c>
      <c r="C1133" s="492"/>
      <c r="D1133" s="492">
        <f t="shared" si="49"/>
        <v>72</v>
      </c>
    </row>
    <row r="1134" spans="1:4" x14ac:dyDescent="0.2">
      <c r="A1134" s="136" t="s">
        <v>389</v>
      </c>
      <c r="B1134" s="265">
        <f>B1129-B1132-B1133</f>
        <v>1418067</v>
      </c>
      <c r="C1134" s="492"/>
      <c r="D1134" s="492">
        <f t="shared" si="49"/>
        <v>1418067</v>
      </c>
    </row>
    <row r="1135" spans="1:4" x14ac:dyDescent="0.2">
      <c r="A1135" s="136"/>
      <c r="B1135" s="556"/>
      <c r="C1135" s="492"/>
      <c r="D1135" s="492">
        <f t="shared" si="49"/>
        <v>0</v>
      </c>
    </row>
    <row r="1136" spans="1:4" ht="15" x14ac:dyDescent="0.2">
      <c r="A1136" s="189" t="s">
        <v>450</v>
      </c>
      <c r="B1136" s="272">
        <f>B1137</f>
        <v>445283</v>
      </c>
      <c r="C1136" s="272">
        <f>C1137</f>
        <v>1800</v>
      </c>
      <c r="D1136" s="272">
        <f t="shared" si="49"/>
        <v>447083</v>
      </c>
    </row>
    <row r="1137" spans="1:4" ht="25.5" x14ac:dyDescent="0.2">
      <c r="A1137" s="191" t="s">
        <v>539</v>
      </c>
      <c r="B1137" s="264">
        <f>B1139+B1143+B1147</f>
        <v>445283</v>
      </c>
      <c r="C1137" s="264">
        <f>C1139+C1143+C1147</f>
        <v>1800</v>
      </c>
      <c r="D1137" s="264">
        <f t="shared" si="49"/>
        <v>447083</v>
      </c>
    </row>
    <row r="1138" spans="1:4" x14ac:dyDescent="0.2">
      <c r="A1138" s="190" t="s">
        <v>407</v>
      </c>
      <c r="B1138" s="491"/>
      <c r="C1138" s="492"/>
      <c r="D1138" s="492">
        <f t="shared" si="49"/>
        <v>0</v>
      </c>
    </row>
    <row r="1139" spans="1:4" x14ac:dyDescent="0.2">
      <c r="A1139" s="426" t="s">
        <v>540</v>
      </c>
      <c r="B1139" s="491">
        <v>164559</v>
      </c>
      <c r="C1139" s="491">
        <v>22080</v>
      </c>
      <c r="D1139" s="491">
        <f t="shared" si="49"/>
        <v>186639</v>
      </c>
    </row>
    <row r="1140" spans="1:4" x14ac:dyDescent="0.2">
      <c r="A1140" s="502" t="s">
        <v>394</v>
      </c>
      <c r="B1140" s="266">
        <v>83518</v>
      </c>
      <c r="C1140" s="266">
        <v>15880</v>
      </c>
      <c r="D1140" s="266">
        <f t="shared" ref="D1140:D1200" si="51">B1140+C1140</f>
        <v>99398</v>
      </c>
    </row>
    <row r="1141" spans="1:4" x14ac:dyDescent="0.2">
      <c r="A1141" s="154"/>
      <c r="B1141" s="491"/>
      <c r="C1141" s="492"/>
      <c r="D1141" s="492">
        <f t="shared" si="51"/>
        <v>0</v>
      </c>
    </row>
    <row r="1142" spans="1:4" s="36" customFormat="1" x14ac:dyDescent="0.2">
      <c r="A1142" s="190" t="s">
        <v>407</v>
      </c>
      <c r="B1142" s="491"/>
      <c r="C1142" s="492"/>
      <c r="D1142" s="492">
        <f t="shared" si="51"/>
        <v>0</v>
      </c>
    </row>
    <row r="1143" spans="1:4" x14ac:dyDescent="0.2">
      <c r="A1143" s="426" t="s">
        <v>575</v>
      </c>
      <c r="B1143" s="491">
        <v>247724</v>
      </c>
      <c r="C1143" s="491">
        <v>-20280</v>
      </c>
      <c r="D1143" s="491">
        <f t="shared" si="51"/>
        <v>227444</v>
      </c>
    </row>
    <row r="1144" spans="1:4" x14ac:dyDescent="0.2">
      <c r="A1144" s="502" t="s">
        <v>394</v>
      </c>
      <c r="B1144" s="266">
        <v>172803</v>
      </c>
      <c r="C1144" s="266">
        <v>-15880</v>
      </c>
      <c r="D1144" s="266">
        <f t="shared" si="51"/>
        <v>156923</v>
      </c>
    </row>
    <row r="1145" spans="1:4" x14ac:dyDescent="0.2">
      <c r="A1145" s="154"/>
      <c r="B1145" s="491"/>
      <c r="C1145" s="492"/>
      <c r="D1145" s="492">
        <f t="shared" si="51"/>
        <v>0</v>
      </c>
    </row>
    <row r="1146" spans="1:4" x14ac:dyDescent="0.2">
      <c r="A1146" s="190" t="s">
        <v>407</v>
      </c>
      <c r="B1146" s="491"/>
      <c r="C1146" s="492"/>
      <c r="D1146" s="492">
        <f t="shared" si="51"/>
        <v>0</v>
      </c>
    </row>
    <row r="1147" spans="1:4" x14ac:dyDescent="0.2">
      <c r="A1147" s="426" t="s">
        <v>79</v>
      </c>
      <c r="B1147" s="491">
        <v>33000</v>
      </c>
      <c r="C1147" s="492"/>
      <c r="D1147" s="492">
        <f t="shared" si="51"/>
        <v>33000</v>
      </c>
    </row>
    <row r="1148" spans="1:4" s="36" customFormat="1" x14ac:dyDescent="0.2">
      <c r="A1148" s="195"/>
      <c r="B1148" s="491"/>
      <c r="C1148" s="492"/>
      <c r="D1148" s="492">
        <f t="shared" si="51"/>
        <v>0</v>
      </c>
    </row>
    <row r="1149" spans="1:4" ht="15" x14ac:dyDescent="0.2">
      <c r="A1149" s="189" t="s">
        <v>528</v>
      </c>
      <c r="B1149" s="272">
        <f>B1150</f>
        <v>83085</v>
      </c>
      <c r="C1149" s="492"/>
      <c r="D1149" s="492">
        <f t="shared" si="51"/>
        <v>83085</v>
      </c>
    </row>
    <row r="1150" spans="1:4" x14ac:dyDescent="0.2">
      <c r="A1150" s="235" t="s">
        <v>529</v>
      </c>
      <c r="B1150" s="139">
        <v>83085</v>
      </c>
      <c r="C1150" s="492"/>
      <c r="D1150" s="492">
        <f t="shared" si="51"/>
        <v>83085</v>
      </c>
    </row>
    <row r="1151" spans="1:4" x14ac:dyDescent="0.2">
      <c r="A1151" s="136"/>
      <c r="B1151" s="556"/>
      <c r="C1151" s="492"/>
      <c r="D1151" s="492">
        <f t="shared" si="51"/>
        <v>0</v>
      </c>
    </row>
    <row r="1152" spans="1:4" x14ac:dyDescent="0.2">
      <c r="A1152" s="192" t="s">
        <v>392</v>
      </c>
      <c r="B1152" s="264">
        <f>B1154+B1157+B1159+B1161+B1163+B1167+B1172+B1165</f>
        <v>1133256</v>
      </c>
      <c r="C1152" s="264">
        <f>C1154+C1157+C1159+C1161+C1163+C1167+C1172+C1165</f>
        <v>8500</v>
      </c>
      <c r="D1152" s="264">
        <f t="shared" si="51"/>
        <v>1141756</v>
      </c>
    </row>
    <row r="1153" spans="1:4" x14ac:dyDescent="0.2">
      <c r="A1153" s="192"/>
      <c r="B1153" s="491"/>
      <c r="C1153" s="492"/>
      <c r="D1153" s="492">
        <f t="shared" si="51"/>
        <v>0</v>
      </c>
    </row>
    <row r="1154" spans="1:4" x14ac:dyDescent="0.2">
      <c r="A1154" s="129" t="s">
        <v>541</v>
      </c>
      <c r="B1154" s="491">
        <v>989584</v>
      </c>
      <c r="C1154" s="492"/>
      <c r="D1154" s="492">
        <f t="shared" si="51"/>
        <v>989584</v>
      </c>
    </row>
    <row r="1155" spans="1:4" s="36" customFormat="1" x14ac:dyDescent="0.2">
      <c r="A1155" s="127" t="s">
        <v>394</v>
      </c>
      <c r="B1155" s="266">
        <v>633603</v>
      </c>
      <c r="C1155" s="492"/>
      <c r="D1155" s="492">
        <f t="shared" si="51"/>
        <v>633603</v>
      </c>
    </row>
    <row r="1156" spans="1:4" x14ac:dyDescent="0.2">
      <c r="A1156" s="182"/>
      <c r="B1156" s="491"/>
      <c r="C1156" s="492"/>
      <c r="D1156" s="492">
        <f t="shared" si="51"/>
        <v>0</v>
      </c>
    </row>
    <row r="1157" spans="1:4" x14ac:dyDescent="0.2">
      <c r="A1157" s="196" t="s">
        <v>576</v>
      </c>
      <c r="B1157" s="491">
        <f>33500+5000</f>
        <v>38500</v>
      </c>
      <c r="C1157" s="491">
        <v>400</v>
      </c>
      <c r="D1157" s="491">
        <f t="shared" si="51"/>
        <v>38900</v>
      </c>
    </row>
    <row r="1158" spans="1:4" s="36" customFormat="1" x14ac:dyDescent="0.2">
      <c r="A1158" s="156"/>
      <c r="B1158" s="491"/>
      <c r="C1158" s="492"/>
      <c r="D1158" s="492">
        <f t="shared" si="51"/>
        <v>0</v>
      </c>
    </row>
    <row r="1159" spans="1:4" x14ac:dyDescent="0.2">
      <c r="A1159" s="156" t="s">
        <v>71</v>
      </c>
      <c r="B1159" s="491">
        <v>5800</v>
      </c>
      <c r="C1159" s="492"/>
      <c r="D1159" s="492">
        <f t="shared" si="51"/>
        <v>5800</v>
      </c>
    </row>
    <row r="1160" spans="1:4" x14ac:dyDescent="0.2">
      <c r="A1160" s="156"/>
      <c r="B1160" s="491"/>
      <c r="C1160" s="492"/>
      <c r="D1160" s="492">
        <f t="shared" si="51"/>
        <v>0</v>
      </c>
    </row>
    <row r="1161" spans="1:4" x14ac:dyDescent="0.2">
      <c r="A1161" s="158" t="s">
        <v>543</v>
      </c>
      <c r="B1161" s="523">
        <v>31500</v>
      </c>
      <c r="C1161" s="492"/>
      <c r="D1161" s="492">
        <f t="shared" si="51"/>
        <v>31500</v>
      </c>
    </row>
    <row r="1162" spans="1:4" x14ac:dyDescent="0.2">
      <c r="A1162" s="158"/>
      <c r="B1162" s="523"/>
      <c r="C1162" s="492"/>
      <c r="D1162" s="492">
        <f t="shared" si="51"/>
        <v>0</v>
      </c>
    </row>
    <row r="1163" spans="1:4" x14ac:dyDescent="0.2">
      <c r="A1163" s="128" t="s">
        <v>572</v>
      </c>
      <c r="B1163" s="522">
        <v>38400</v>
      </c>
      <c r="C1163" s="522">
        <v>8100</v>
      </c>
      <c r="D1163" s="522">
        <f t="shared" si="51"/>
        <v>46500</v>
      </c>
    </row>
    <row r="1164" spans="1:4" s="36" customFormat="1" x14ac:dyDescent="0.2">
      <c r="A1164" s="488"/>
      <c r="B1164" s="140"/>
      <c r="C1164" s="492"/>
      <c r="D1164" s="492">
        <f t="shared" si="51"/>
        <v>0</v>
      </c>
    </row>
    <row r="1165" spans="1:4" x14ac:dyDescent="0.2">
      <c r="A1165" s="128" t="s">
        <v>573</v>
      </c>
      <c r="B1165" s="522">
        <v>4400</v>
      </c>
      <c r="C1165" s="492"/>
      <c r="D1165" s="492">
        <f t="shared" si="51"/>
        <v>4400</v>
      </c>
    </row>
    <row r="1166" spans="1:4" x14ac:dyDescent="0.2">
      <c r="A1166" s="131"/>
      <c r="B1166" s="147"/>
      <c r="C1166" s="492"/>
      <c r="D1166" s="492">
        <f t="shared" si="51"/>
        <v>0</v>
      </c>
    </row>
    <row r="1167" spans="1:4" ht="25.5" x14ac:dyDescent="0.2">
      <c r="A1167" s="361" t="s">
        <v>795</v>
      </c>
      <c r="B1167" s="522">
        <v>72</v>
      </c>
      <c r="C1167" s="492"/>
      <c r="D1167" s="492">
        <f t="shared" si="51"/>
        <v>72</v>
      </c>
    </row>
    <row r="1168" spans="1:4" x14ac:dyDescent="0.2">
      <c r="A1168" s="127" t="s">
        <v>394</v>
      </c>
      <c r="B1168" s="362">
        <v>53</v>
      </c>
      <c r="C1168" s="492"/>
      <c r="D1168" s="492">
        <f t="shared" si="51"/>
        <v>53</v>
      </c>
    </row>
    <row r="1169" spans="1:4" x14ac:dyDescent="0.2">
      <c r="A1169" s="363"/>
      <c r="B1169" s="362"/>
      <c r="C1169" s="492"/>
      <c r="D1169" s="492">
        <f t="shared" si="51"/>
        <v>0</v>
      </c>
    </row>
    <row r="1170" spans="1:4" x14ac:dyDescent="0.2">
      <c r="A1170" s="364" t="s">
        <v>420</v>
      </c>
      <c r="B1170" s="147">
        <v>72</v>
      </c>
      <c r="C1170" s="492"/>
      <c r="D1170" s="492">
        <f t="shared" si="51"/>
        <v>72</v>
      </c>
    </row>
    <row r="1171" spans="1:4" x14ac:dyDescent="0.2">
      <c r="A1171" s="182"/>
      <c r="B1171" s="556"/>
      <c r="C1171" s="492"/>
      <c r="D1171" s="492">
        <f t="shared" si="51"/>
        <v>0</v>
      </c>
    </row>
    <row r="1172" spans="1:4" s="36" customFormat="1" x14ac:dyDescent="0.2">
      <c r="A1172" s="128" t="s">
        <v>69</v>
      </c>
      <c r="B1172" s="556">
        <v>25000</v>
      </c>
      <c r="C1172" s="492"/>
      <c r="D1172" s="492">
        <f t="shared" si="51"/>
        <v>25000</v>
      </c>
    </row>
    <row r="1173" spans="1:4" x14ac:dyDescent="0.2">
      <c r="A1173" s="488"/>
      <c r="B1173" s="556"/>
      <c r="C1173" s="492"/>
      <c r="D1173" s="492">
        <f t="shared" si="51"/>
        <v>0</v>
      </c>
    </row>
    <row r="1174" spans="1:4" x14ac:dyDescent="0.2">
      <c r="A1174" s="438"/>
      <c r="B1174" s="491"/>
      <c r="C1174" s="492"/>
      <c r="D1174" s="492">
        <f t="shared" si="51"/>
        <v>0</v>
      </c>
    </row>
    <row r="1175" spans="1:4" ht="15.75" x14ac:dyDescent="0.2">
      <c r="A1175" s="138" t="s">
        <v>577</v>
      </c>
      <c r="B1175" s="491"/>
      <c r="C1175" s="492"/>
      <c r="D1175" s="492">
        <f t="shared" si="51"/>
        <v>0</v>
      </c>
    </row>
    <row r="1176" spans="1:4" x14ac:dyDescent="0.2">
      <c r="A1176" s="438"/>
      <c r="B1176" s="491"/>
      <c r="C1176" s="492"/>
      <c r="D1176" s="492">
        <f t="shared" si="51"/>
        <v>0</v>
      </c>
    </row>
    <row r="1177" spans="1:4" x14ac:dyDescent="0.2">
      <c r="A1177" s="133" t="s">
        <v>386</v>
      </c>
      <c r="B1177" s="264">
        <f>B1183+B1189+B1202+B1205+B1213</f>
        <v>4407415</v>
      </c>
      <c r="C1177" s="264">
        <f>C1183+C1189+C1202+C1205+C1213</f>
        <v>62617</v>
      </c>
      <c r="D1177" s="264">
        <f t="shared" si="51"/>
        <v>4470032</v>
      </c>
    </row>
    <row r="1178" spans="1:4" x14ac:dyDescent="0.2">
      <c r="A1178" s="123" t="s">
        <v>422</v>
      </c>
      <c r="B1178" s="265">
        <v>574800</v>
      </c>
      <c r="C1178" s="265">
        <v>4121</v>
      </c>
      <c r="D1178" s="265">
        <f t="shared" si="51"/>
        <v>578921</v>
      </c>
    </row>
    <row r="1179" spans="1:4" x14ac:dyDescent="0.2">
      <c r="A1179" s="134" t="s">
        <v>387</v>
      </c>
      <c r="B1179" s="264">
        <f>B1180+B1181</f>
        <v>4407415</v>
      </c>
      <c r="C1179" s="264">
        <f t="shared" ref="C1179" si="52">C1180+C1181</f>
        <v>62617</v>
      </c>
      <c r="D1179" s="264">
        <f t="shared" si="51"/>
        <v>4470032</v>
      </c>
    </row>
    <row r="1180" spans="1:4" x14ac:dyDescent="0.2">
      <c r="A1180" s="135" t="s">
        <v>388</v>
      </c>
      <c r="B1180" s="265">
        <f>'2.2 OMATULUD'!B558</f>
        <v>1125310</v>
      </c>
      <c r="C1180" s="265">
        <f>'2.2 OMATULUD'!C599</f>
        <v>7060</v>
      </c>
      <c r="D1180" s="265">
        <f t="shared" si="51"/>
        <v>1132370</v>
      </c>
    </row>
    <row r="1181" spans="1:4" x14ac:dyDescent="0.2">
      <c r="A1181" s="136" t="s">
        <v>389</v>
      </c>
      <c r="B1181" s="265">
        <f>B1177-B1180</f>
        <v>3282105</v>
      </c>
      <c r="C1181" s="265">
        <f>C1177-C1180</f>
        <v>55557</v>
      </c>
      <c r="D1181" s="265">
        <f t="shared" si="51"/>
        <v>3337662</v>
      </c>
    </row>
    <row r="1182" spans="1:4" x14ac:dyDescent="0.2">
      <c r="A1182" s="136"/>
      <c r="B1182" s="491"/>
      <c r="C1182" s="492"/>
      <c r="D1182" s="492">
        <f t="shared" si="51"/>
        <v>0</v>
      </c>
    </row>
    <row r="1183" spans="1:4" ht="15" x14ac:dyDescent="0.2">
      <c r="A1183" s="189" t="s">
        <v>423</v>
      </c>
      <c r="B1183" s="272">
        <f>B1184</f>
        <v>320000</v>
      </c>
      <c r="C1183" s="492"/>
      <c r="D1183" s="492">
        <f t="shared" si="51"/>
        <v>320000</v>
      </c>
    </row>
    <row r="1184" spans="1:4" x14ac:dyDescent="0.2">
      <c r="A1184" s="181" t="s">
        <v>424</v>
      </c>
      <c r="B1184" s="139">
        <f>B1186</f>
        <v>320000</v>
      </c>
      <c r="C1184" s="492"/>
      <c r="D1184" s="492">
        <f t="shared" si="51"/>
        <v>320000</v>
      </c>
    </row>
    <row r="1185" spans="1:4" x14ac:dyDescent="0.2">
      <c r="A1185" s="190" t="s">
        <v>407</v>
      </c>
      <c r="B1185" s="491"/>
      <c r="C1185" s="492"/>
      <c r="D1185" s="492">
        <f t="shared" si="51"/>
        <v>0</v>
      </c>
    </row>
    <row r="1186" spans="1:4" x14ac:dyDescent="0.2">
      <c r="A1186" s="426" t="s">
        <v>426</v>
      </c>
      <c r="B1186" s="491">
        <v>320000</v>
      </c>
      <c r="C1186" s="492"/>
      <c r="D1186" s="492">
        <f t="shared" si="51"/>
        <v>320000</v>
      </c>
    </row>
    <row r="1187" spans="1:4" x14ac:dyDescent="0.2">
      <c r="A1187" s="502" t="s">
        <v>394</v>
      </c>
      <c r="B1187" s="266">
        <v>159413</v>
      </c>
      <c r="C1187" s="492"/>
      <c r="D1187" s="492">
        <f t="shared" si="51"/>
        <v>159413</v>
      </c>
    </row>
    <row r="1188" spans="1:4" x14ac:dyDescent="0.2">
      <c r="A1188" s="502"/>
      <c r="B1188" s="266"/>
      <c r="C1188" s="492"/>
      <c r="D1188" s="492">
        <f t="shared" si="51"/>
        <v>0</v>
      </c>
    </row>
    <row r="1189" spans="1:4" ht="15" x14ac:dyDescent="0.2">
      <c r="A1189" s="189" t="s">
        <v>450</v>
      </c>
      <c r="B1189" s="272">
        <f>B1190</f>
        <v>706240</v>
      </c>
      <c r="C1189" s="492"/>
      <c r="D1189" s="492">
        <f t="shared" si="51"/>
        <v>706240</v>
      </c>
    </row>
    <row r="1190" spans="1:4" ht="25.5" x14ac:dyDescent="0.2">
      <c r="A1190" s="191" t="s">
        <v>539</v>
      </c>
      <c r="B1190" s="264">
        <f>B1192+B1196+B1200</f>
        <v>706240</v>
      </c>
      <c r="C1190" s="492"/>
      <c r="D1190" s="492">
        <f t="shared" si="51"/>
        <v>706240</v>
      </c>
    </row>
    <row r="1191" spans="1:4" x14ac:dyDescent="0.2">
      <c r="A1191" s="190" t="s">
        <v>407</v>
      </c>
      <c r="B1191" s="491"/>
      <c r="C1191" s="492"/>
      <c r="D1191" s="492">
        <f t="shared" si="51"/>
        <v>0</v>
      </c>
    </row>
    <row r="1192" spans="1:4" x14ac:dyDescent="0.2">
      <c r="A1192" s="426" t="s">
        <v>540</v>
      </c>
      <c r="B1192" s="491">
        <v>219000</v>
      </c>
      <c r="C1192" s="492"/>
      <c r="D1192" s="492">
        <f t="shared" si="51"/>
        <v>219000</v>
      </c>
    </row>
    <row r="1193" spans="1:4" x14ac:dyDescent="0.2">
      <c r="A1193" s="502" t="s">
        <v>394</v>
      </c>
      <c r="B1193" s="266">
        <v>133575</v>
      </c>
      <c r="C1193" s="492"/>
      <c r="D1193" s="492">
        <f t="shared" si="51"/>
        <v>133575</v>
      </c>
    </row>
    <row r="1194" spans="1:4" x14ac:dyDescent="0.2">
      <c r="A1194" s="502"/>
      <c r="B1194" s="266"/>
      <c r="C1194" s="492"/>
      <c r="D1194" s="492">
        <f t="shared" si="51"/>
        <v>0</v>
      </c>
    </row>
    <row r="1195" spans="1:4" s="36" customFormat="1" x14ac:dyDescent="0.2">
      <c r="A1195" s="190" t="s">
        <v>407</v>
      </c>
      <c r="B1195" s="491"/>
      <c r="C1195" s="492"/>
      <c r="D1195" s="492">
        <f t="shared" si="51"/>
        <v>0</v>
      </c>
    </row>
    <row r="1196" spans="1:4" s="36" customFormat="1" x14ac:dyDescent="0.2">
      <c r="A1196" s="426" t="s">
        <v>575</v>
      </c>
      <c r="B1196" s="491">
        <v>414700</v>
      </c>
      <c r="C1196" s="492"/>
      <c r="D1196" s="492">
        <f t="shared" si="51"/>
        <v>414700</v>
      </c>
    </row>
    <row r="1197" spans="1:4" x14ac:dyDescent="0.2">
      <c r="A1197" s="502" t="s">
        <v>394</v>
      </c>
      <c r="B1197" s="266">
        <v>298764</v>
      </c>
      <c r="C1197" s="492"/>
      <c r="D1197" s="492">
        <f t="shared" si="51"/>
        <v>298764</v>
      </c>
    </row>
    <row r="1198" spans="1:4" x14ac:dyDescent="0.2">
      <c r="A1198" s="502"/>
      <c r="B1198" s="266"/>
      <c r="C1198" s="492"/>
      <c r="D1198" s="492">
        <f t="shared" si="51"/>
        <v>0</v>
      </c>
    </row>
    <row r="1199" spans="1:4" x14ac:dyDescent="0.2">
      <c r="A1199" s="190" t="s">
        <v>407</v>
      </c>
      <c r="B1199" s="491"/>
      <c r="C1199" s="492"/>
      <c r="D1199" s="492">
        <f t="shared" si="51"/>
        <v>0</v>
      </c>
    </row>
    <row r="1200" spans="1:4" x14ac:dyDescent="0.2">
      <c r="A1200" s="426" t="s">
        <v>79</v>
      </c>
      <c r="B1200" s="491">
        <v>72540</v>
      </c>
      <c r="C1200" s="492"/>
      <c r="D1200" s="492">
        <f t="shared" si="51"/>
        <v>72540</v>
      </c>
    </row>
    <row r="1201" spans="1:4" x14ac:dyDescent="0.2">
      <c r="A1201" s="426"/>
      <c r="B1201" s="491"/>
      <c r="C1201" s="492"/>
      <c r="D1201" s="492">
        <f t="shared" ref="D1201:D1261" si="53">B1201+C1201</f>
        <v>0</v>
      </c>
    </row>
    <row r="1202" spans="1:4" s="36" customFormat="1" ht="15" x14ac:dyDescent="0.2">
      <c r="A1202" s="189" t="s">
        <v>528</v>
      </c>
      <c r="B1202" s="272">
        <f>B1203</f>
        <v>172560</v>
      </c>
      <c r="C1202" s="492"/>
      <c r="D1202" s="492">
        <f t="shared" si="53"/>
        <v>172560</v>
      </c>
    </row>
    <row r="1203" spans="1:4" x14ac:dyDescent="0.2">
      <c r="A1203" s="235" t="s">
        <v>529</v>
      </c>
      <c r="B1203" s="139">
        <v>172560</v>
      </c>
      <c r="C1203" s="492"/>
      <c r="D1203" s="492">
        <f t="shared" si="53"/>
        <v>172560</v>
      </c>
    </row>
    <row r="1204" spans="1:4" x14ac:dyDescent="0.2">
      <c r="A1204" s="549"/>
      <c r="B1204" s="507"/>
      <c r="C1204" s="492"/>
      <c r="D1204" s="492">
        <f t="shared" si="53"/>
        <v>0</v>
      </c>
    </row>
    <row r="1205" spans="1:4" ht="15" x14ac:dyDescent="0.2">
      <c r="A1205" s="189" t="s">
        <v>481</v>
      </c>
      <c r="B1205" s="272">
        <f>B1206</f>
        <v>535800</v>
      </c>
      <c r="C1205" s="492"/>
      <c r="D1205" s="492">
        <f t="shared" si="53"/>
        <v>535800</v>
      </c>
    </row>
    <row r="1206" spans="1:4" x14ac:dyDescent="0.2">
      <c r="A1206" s="235" t="s">
        <v>482</v>
      </c>
      <c r="B1206" s="139">
        <f>B1208+B1211</f>
        <v>535800</v>
      </c>
      <c r="C1206" s="492"/>
      <c r="D1206" s="492">
        <f t="shared" si="53"/>
        <v>535800</v>
      </c>
    </row>
    <row r="1207" spans="1:4" x14ac:dyDescent="0.2">
      <c r="A1207" s="153" t="s">
        <v>407</v>
      </c>
      <c r="B1207" s="140"/>
      <c r="C1207" s="492"/>
      <c r="D1207" s="492">
        <f t="shared" si="53"/>
        <v>0</v>
      </c>
    </row>
    <row r="1208" spans="1:4" x14ac:dyDescent="0.2">
      <c r="A1208" s="461" t="s">
        <v>483</v>
      </c>
      <c r="B1208" s="507">
        <v>415600</v>
      </c>
      <c r="C1208" s="492"/>
      <c r="D1208" s="492">
        <f t="shared" si="53"/>
        <v>415600</v>
      </c>
    </row>
    <row r="1209" spans="1:4" s="36" customFormat="1" x14ac:dyDescent="0.2">
      <c r="A1209" s="197"/>
      <c r="B1209" s="140"/>
      <c r="C1209" s="492"/>
      <c r="D1209" s="492">
        <f t="shared" si="53"/>
        <v>0</v>
      </c>
    </row>
    <row r="1210" spans="1:4" x14ac:dyDescent="0.2">
      <c r="A1210" s="153" t="s">
        <v>506</v>
      </c>
      <c r="B1210" s="140"/>
      <c r="C1210" s="492"/>
      <c r="D1210" s="492">
        <f t="shared" si="53"/>
        <v>0</v>
      </c>
    </row>
    <row r="1211" spans="1:4" x14ac:dyDescent="0.2">
      <c r="A1211" s="461" t="s">
        <v>572</v>
      </c>
      <c r="B1211" s="507">
        <v>120200</v>
      </c>
      <c r="C1211" s="492"/>
      <c r="D1211" s="492">
        <f t="shared" si="53"/>
        <v>120200</v>
      </c>
    </row>
    <row r="1212" spans="1:4" x14ac:dyDescent="0.2">
      <c r="A1212" s="262"/>
      <c r="B1212" s="491"/>
      <c r="C1212" s="492"/>
      <c r="D1212" s="492">
        <f t="shared" si="53"/>
        <v>0</v>
      </c>
    </row>
    <row r="1213" spans="1:4" x14ac:dyDescent="0.2">
      <c r="A1213" s="192" t="s">
        <v>392</v>
      </c>
      <c r="B1213" s="264">
        <f>B1215+B1218+B1224+B1226+B1228+B1230</f>
        <v>2672815</v>
      </c>
      <c r="C1213" s="264">
        <f>C1215+C1218+C1224+C1226+C1228+C1230+C1221</f>
        <v>62617</v>
      </c>
      <c r="D1213" s="264">
        <f t="shared" si="53"/>
        <v>2735432</v>
      </c>
    </row>
    <row r="1214" spans="1:4" x14ac:dyDescent="0.2">
      <c r="A1214" s="192"/>
      <c r="B1214" s="491"/>
      <c r="C1214" s="492"/>
      <c r="D1214" s="492">
        <f t="shared" si="53"/>
        <v>0</v>
      </c>
    </row>
    <row r="1215" spans="1:4" s="36" customFormat="1" x14ac:dyDescent="0.2">
      <c r="A1215" s="129" t="s">
        <v>541</v>
      </c>
      <c r="B1215" s="491">
        <v>2286625</v>
      </c>
      <c r="C1215" s="492"/>
      <c r="D1215" s="492">
        <f t="shared" si="53"/>
        <v>2286625</v>
      </c>
    </row>
    <row r="1216" spans="1:4" x14ac:dyDescent="0.2">
      <c r="A1216" s="127" t="s">
        <v>394</v>
      </c>
      <c r="B1216" s="266">
        <v>1285698</v>
      </c>
      <c r="C1216" s="492"/>
      <c r="D1216" s="492">
        <f t="shared" si="53"/>
        <v>1285698</v>
      </c>
    </row>
    <row r="1217" spans="1:4" x14ac:dyDescent="0.2">
      <c r="A1217" s="156"/>
      <c r="B1217" s="491"/>
      <c r="C1217" s="492"/>
      <c r="D1217" s="492">
        <f t="shared" si="53"/>
        <v>0</v>
      </c>
    </row>
    <row r="1218" spans="1:4" x14ac:dyDescent="0.2">
      <c r="A1218" s="156" t="s">
        <v>68</v>
      </c>
      <c r="B1218" s="491">
        <v>170000</v>
      </c>
      <c r="C1218" s="492"/>
      <c r="D1218" s="492">
        <f t="shared" si="53"/>
        <v>170000</v>
      </c>
    </row>
    <row r="1219" spans="1:4" x14ac:dyDescent="0.2">
      <c r="A1219" s="127" t="s">
        <v>394</v>
      </c>
      <c r="B1219" s="266">
        <v>75590</v>
      </c>
      <c r="C1219" s="492"/>
      <c r="D1219" s="492">
        <f t="shared" si="53"/>
        <v>75590</v>
      </c>
    </row>
    <row r="1220" spans="1:4" x14ac:dyDescent="0.2">
      <c r="A1220" s="127"/>
      <c r="B1220" s="266"/>
      <c r="C1220" s="492"/>
      <c r="D1220" s="492">
        <f t="shared" si="53"/>
        <v>0</v>
      </c>
    </row>
    <row r="1221" spans="1:4" x14ac:dyDescent="0.2">
      <c r="A1221" s="156" t="s">
        <v>910</v>
      </c>
      <c r="B1221" s="266"/>
      <c r="C1221" s="491">
        <v>62617</v>
      </c>
      <c r="D1221" s="491">
        <f t="shared" si="53"/>
        <v>62617</v>
      </c>
    </row>
    <row r="1222" spans="1:4" x14ac:dyDescent="0.2">
      <c r="A1222" s="127" t="s">
        <v>394</v>
      </c>
      <c r="B1222" s="266"/>
      <c r="C1222" s="266">
        <v>35824</v>
      </c>
      <c r="D1222" s="266">
        <f t="shared" si="53"/>
        <v>35824</v>
      </c>
    </row>
    <row r="1223" spans="1:4" x14ac:dyDescent="0.2">
      <c r="A1223" s="182"/>
      <c r="B1223" s="265"/>
      <c r="C1223" s="492"/>
      <c r="D1223" s="492">
        <f t="shared" si="53"/>
        <v>0</v>
      </c>
    </row>
    <row r="1224" spans="1:4" s="36" customFormat="1" x14ac:dyDescent="0.2">
      <c r="A1224" s="196" t="s">
        <v>576</v>
      </c>
      <c r="B1224" s="491">
        <v>74790</v>
      </c>
      <c r="C1224" s="492"/>
      <c r="D1224" s="492">
        <f t="shared" si="53"/>
        <v>74790</v>
      </c>
    </row>
    <row r="1225" spans="1:4" x14ac:dyDescent="0.2">
      <c r="A1225" s="156"/>
      <c r="B1225" s="491"/>
      <c r="C1225" s="492"/>
      <c r="D1225" s="492">
        <f t="shared" si="53"/>
        <v>0</v>
      </c>
    </row>
    <row r="1226" spans="1:4" x14ac:dyDescent="0.2">
      <c r="A1226" s="158" t="s">
        <v>543</v>
      </c>
      <c r="B1226" s="523">
        <v>31400</v>
      </c>
      <c r="C1226" s="492"/>
      <c r="D1226" s="492">
        <f t="shared" si="53"/>
        <v>31400</v>
      </c>
    </row>
    <row r="1227" spans="1:4" x14ac:dyDescent="0.2">
      <c r="A1227" s="158"/>
      <c r="B1227" s="523"/>
      <c r="C1227" s="492"/>
      <c r="D1227" s="492">
        <f t="shared" si="53"/>
        <v>0</v>
      </c>
    </row>
    <row r="1228" spans="1:4" x14ac:dyDescent="0.2">
      <c r="A1228" s="128" t="s">
        <v>573</v>
      </c>
      <c r="B1228" s="522">
        <v>80000</v>
      </c>
      <c r="C1228" s="492"/>
      <c r="D1228" s="492">
        <f t="shared" si="53"/>
        <v>80000</v>
      </c>
    </row>
    <row r="1229" spans="1:4" x14ac:dyDescent="0.2">
      <c r="A1229" s="182"/>
      <c r="B1229" s="491"/>
      <c r="C1229" s="492"/>
      <c r="D1229" s="492">
        <f t="shared" si="53"/>
        <v>0</v>
      </c>
    </row>
    <row r="1230" spans="1:4" x14ac:dyDescent="0.2">
      <c r="A1230" s="128" t="s">
        <v>69</v>
      </c>
      <c r="B1230" s="491">
        <v>30000</v>
      </c>
      <c r="C1230" s="492"/>
      <c r="D1230" s="492">
        <f t="shared" si="53"/>
        <v>30000</v>
      </c>
    </row>
    <row r="1231" spans="1:4" x14ac:dyDescent="0.2">
      <c r="A1231" s="438"/>
      <c r="B1231" s="491"/>
      <c r="C1231" s="492"/>
      <c r="D1231" s="492">
        <f t="shared" si="53"/>
        <v>0</v>
      </c>
    </row>
    <row r="1232" spans="1:4" x14ac:dyDescent="0.2">
      <c r="A1232" s="438"/>
      <c r="B1232" s="491"/>
      <c r="C1232" s="492"/>
      <c r="D1232" s="492">
        <f t="shared" si="53"/>
        <v>0</v>
      </c>
    </row>
    <row r="1233" spans="1:4" ht="15.75" x14ac:dyDescent="0.2">
      <c r="A1233" s="138" t="s">
        <v>70</v>
      </c>
      <c r="B1233" s="491"/>
      <c r="C1233" s="492"/>
      <c r="D1233" s="492">
        <f t="shared" si="53"/>
        <v>0</v>
      </c>
    </row>
    <row r="1234" spans="1:4" x14ac:dyDescent="0.2">
      <c r="A1234" s="438"/>
      <c r="B1234" s="491"/>
      <c r="C1234" s="492"/>
      <c r="D1234" s="492">
        <f t="shared" si="53"/>
        <v>0</v>
      </c>
    </row>
    <row r="1235" spans="1:4" x14ac:dyDescent="0.2">
      <c r="A1235" s="133" t="s">
        <v>386</v>
      </c>
      <c r="B1235" s="264">
        <f>B1241+B1261+B1264+B1248</f>
        <v>2435709</v>
      </c>
      <c r="C1235" s="264">
        <f>C1241+C1261+C1264+C1248</f>
        <v>69667</v>
      </c>
      <c r="D1235" s="264">
        <f t="shared" si="53"/>
        <v>2505376</v>
      </c>
    </row>
    <row r="1236" spans="1:4" x14ac:dyDescent="0.2">
      <c r="A1236" s="123" t="s">
        <v>422</v>
      </c>
      <c r="B1236" s="265">
        <v>486800</v>
      </c>
      <c r="C1236" s="492"/>
      <c r="D1236" s="492">
        <f t="shared" si="53"/>
        <v>486800</v>
      </c>
    </row>
    <row r="1237" spans="1:4" x14ac:dyDescent="0.2">
      <c r="A1237" s="134" t="s">
        <v>387</v>
      </c>
      <c r="B1237" s="264">
        <f>B1238+B1239</f>
        <v>2435709</v>
      </c>
      <c r="C1237" s="264">
        <f>C1238+C1239</f>
        <v>69667</v>
      </c>
      <c r="D1237" s="264">
        <f t="shared" si="53"/>
        <v>2505376</v>
      </c>
    </row>
    <row r="1238" spans="1:4" x14ac:dyDescent="0.2">
      <c r="A1238" s="135" t="s">
        <v>388</v>
      </c>
      <c r="B1238" s="265">
        <f>'2.2 OMATULUD'!B607</f>
        <v>600750</v>
      </c>
      <c r="C1238" s="492">
        <f>'2.2 OMATULUD'!C607</f>
        <v>69012</v>
      </c>
      <c r="D1238" s="492">
        <f t="shared" si="53"/>
        <v>669762</v>
      </c>
    </row>
    <row r="1239" spans="1:4" x14ac:dyDescent="0.2">
      <c r="A1239" s="136" t="s">
        <v>389</v>
      </c>
      <c r="B1239" s="265">
        <f>B1235-B1238</f>
        <v>1834959</v>
      </c>
      <c r="C1239" s="265">
        <f>C1235-C1238</f>
        <v>655</v>
      </c>
      <c r="D1239" s="265">
        <f t="shared" si="53"/>
        <v>1835614</v>
      </c>
    </row>
    <row r="1240" spans="1:4" x14ac:dyDescent="0.2">
      <c r="A1240" s="136"/>
      <c r="B1240" s="265"/>
      <c r="C1240" s="492"/>
      <c r="D1240" s="492">
        <f t="shared" si="53"/>
        <v>0</v>
      </c>
    </row>
    <row r="1241" spans="1:4" ht="15" x14ac:dyDescent="0.2">
      <c r="A1241" s="189" t="s">
        <v>423</v>
      </c>
      <c r="B1241" s="272">
        <f>B1242</f>
        <v>166675</v>
      </c>
      <c r="C1241" s="272">
        <f>C1242</f>
        <v>-15620</v>
      </c>
      <c r="D1241" s="272">
        <f t="shared" si="53"/>
        <v>151055</v>
      </c>
    </row>
    <row r="1242" spans="1:4" x14ac:dyDescent="0.2">
      <c r="A1242" s="181" t="s">
        <v>424</v>
      </c>
      <c r="B1242" s="139">
        <f>B1244</f>
        <v>166675</v>
      </c>
      <c r="C1242" s="139">
        <f>C1244</f>
        <v>-15620</v>
      </c>
      <c r="D1242" s="139">
        <f t="shared" si="53"/>
        <v>151055</v>
      </c>
    </row>
    <row r="1243" spans="1:4" x14ac:dyDescent="0.2">
      <c r="A1243" s="190" t="s">
        <v>407</v>
      </c>
      <c r="B1243" s="491"/>
      <c r="C1243" s="492"/>
      <c r="D1243" s="492">
        <f t="shared" si="53"/>
        <v>0</v>
      </c>
    </row>
    <row r="1244" spans="1:4" x14ac:dyDescent="0.2">
      <c r="A1244" s="426" t="s">
        <v>426</v>
      </c>
      <c r="B1244" s="491">
        <v>166675</v>
      </c>
      <c r="C1244" s="491">
        <v>-15620</v>
      </c>
      <c r="D1244" s="491">
        <f t="shared" si="53"/>
        <v>151055</v>
      </c>
    </row>
    <row r="1245" spans="1:4" x14ac:dyDescent="0.2">
      <c r="A1245" s="502" t="s">
        <v>394</v>
      </c>
      <c r="B1245" s="266">
        <v>90042</v>
      </c>
      <c r="C1245" s="266">
        <v>-7254</v>
      </c>
      <c r="D1245" s="266">
        <f t="shared" si="53"/>
        <v>82788</v>
      </c>
    </row>
    <row r="1246" spans="1:4" x14ac:dyDescent="0.2">
      <c r="A1246" s="237" t="s">
        <v>651</v>
      </c>
      <c r="B1246" s="266">
        <v>10000</v>
      </c>
      <c r="C1246" s="266">
        <v>-10000</v>
      </c>
      <c r="D1246" s="266">
        <f t="shared" si="53"/>
        <v>0</v>
      </c>
    </row>
    <row r="1247" spans="1:4" x14ac:dyDescent="0.2">
      <c r="A1247" s="502"/>
      <c r="B1247" s="266"/>
      <c r="C1247" s="492"/>
      <c r="D1247" s="492">
        <f t="shared" si="53"/>
        <v>0</v>
      </c>
    </row>
    <row r="1248" spans="1:4" s="36" customFormat="1" ht="15" x14ac:dyDescent="0.2">
      <c r="A1248" s="189" t="s">
        <v>450</v>
      </c>
      <c r="B1248" s="272">
        <f>B1249</f>
        <v>580700</v>
      </c>
      <c r="C1248" s="272">
        <f>C1249</f>
        <v>7232</v>
      </c>
      <c r="D1248" s="272">
        <f t="shared" si="53"/>
        <v>587932</v>
      </c>
    </row>
    <row r="1249" spans="1:4" s="36" customFormat="1" ht="25.5" x14ac:dyDescent="0.2">
      <c r="A1249" s="191" t="s">
        <v>539</v>
      </c>
      <c r="B1249" s="139">
        <f>B1251+B1255+B1259</f>
        <v>580700</v>
      </c>
      <c r="C1249" s="139">
        <f>C1251+C1255+C1259</f>
        <v>7232</v>
      </c>
      <c r="D1249" s="139">
        <f t="shared" si="53"/>
        <v>587932</v>
      </c>
    </row>
    <row r="1250" spans="1:4" s="36" customFormat="1" x14ac:dyDescent="0.2">
      <c r="A1250" s="190" t="s">
        <v>407</v>
      </c>
      <c r="B1250" s="140"/>
      <c r="C1250" s="492"/>
      <c r="D1250" s="492">
        <f t="shared" si="53"/>
        <v>0</v>
      </c>
    </row>
    <row r="1251" spans="1:4" x14ac:dyDescent="0.2">
      <c r="A1251" s="426" t="s">
        <v>540</v>
      </c>
      <c r="B1251" s="491">
        <v>205100</v>
      </c>
      <c r="C1251" s="491">
        <v>5832</v>
      </c>
      <c r="D1251" s="491">
        <f t="shared" si="53"/>
        <v>210932</v>
      </c>
    </row>
    <row r="1252" spans="1:4" x14ac:dyDescent="0.2">
      <c r="A1252" s="502" t="s">
        <v>394</v>
      </c>
      <c r="B1252" s="149">
        <v>107819</v>
      </c>
      <c r="C1252" s="492"/>
      <c r="D1252" s="492">
        <f t="shared" si="53"/>
        <v>107819</v>
      </c>
    </row>
    <row r="1253" spans="1:4" x14ac:dyDescent="0.2">
      <c r="A1253" s="502"/>
      <c r="B1253" s="149"/>
      <c r="C1253" s="492"/>
      <c r="D1253" s="492">
        <f t="shared" si="53"/>
        <v>0</v>
      </c>
    </row>
    <row r="1254" spans="1:4" s="36" customFormat="1" x14ac:dyDescent="0.2">
      <c r="A1254" s="190" t="s">
        <v>407</v>
      </c>
      <c r="B1254" s="522"/>
      <c r="C1254" s="492"/>
      <c r="D1254" s="492">
        <f t="shared" si="53"/>
        <v>0</v>
      </c>
    </row>
    <row r="1255" spans="1:4" x14ac:dyDescent="0.2">
      <c r="A1255" s="426" t="s">
        <v>575</v>
      </c>
      <c r="B1255" s="491">
        <v>318300</v>
      </c>
      <c r="C1255" s="491">
        <v>1400</v>
      </c>
      <c r="D1255" s="491">
        <f t="shared" si="53"/>
        <v>319700</v>
      </c>
    </row>
    <row r="1256" spans="1:4" x14ac:dyDescent="0.2">
      <c r="A1256" s="502" t="s">
        <v>394</v>
      </c>
      <c r="B1256" s="149">
        <f>220122+6767</f>
        <v>226889</v>
      </c>
      <c r="C1256" s="492"/>
      <c r="D1256" s="492">
        <f t="shared" si="53"/>
        <v>226889</v>
      </c>
    </row>
    <row r="1257" spans="1:4" x14ac:dyDescent="0.2">
      <c r="A1257" s="502"/>
      <c r="B1257" s="149"/>
      <c r="C1257" s="492"/>
      <c r="D1257" s="492">
        <f t="shared" si="53"/>
        <v>0</v>
      </c>
    </row>
    <row r="1258" spans="1:4" x14ac:dyDescent="0.2">
      <c r="A1258" s="190" t="s">
        <v>407</v>
      </c>
      <c r="B1258" s="522"/>
      <c r="C1258" s="492"/>
      <c r="D1258" s="492">
        <f t="shared" si="53"/>
        <v>0</v>
      </c>
    </row>
    <row r="1259" spans="1:4" x14ac:dyDescent="0.2">
      <c r="A1259" s="426" t="s">
        <v>79</v>
      </c>
      <c r="B1259" s="491">
        <v>57300</v>
      </c>
      <c r="C1259" s="492"/>
      <c r="D1259" s="492">
        <f t="shared" si="53"/>
        <v>57300</v>
      </c>
    </row>
    <row r="1260" spans="1:4" x14ac:dyDescent="0.2">
      <c r="A1260" s="426"/>
      <c r="B1260" s="491"/>
      <c r="C1260" s="492"/>
      <c r="D1260" s="492">
        <f t="shared" si="53"/>
        <v>0</v>
      </c>
    </row>
    <row r="1261" spans="1:4" ht="15" x14ac:dyDescent="0.2">
      <c r="A1261" s="189" t="s">
        <v>528</v>
      </c>
      <c r="B1261" s="272">
        <f>B1262</f>
        <v>101700</v>
      </c>
      <c r="C1261" s="492"/>
      <c r="D1261" s="492">
        <f t="shared" si="53"/>
        <v>101700</v>
      </c>
    </row>
    <row r="1262" spans="1:4" s="36" customFormat="1" x14ac:dyDescent="0.2">
      <c r="A1262" s="235" t="s">
        <v>529</v>
      </c>
      <c r="B1262" s="139">
        <v>101700</v>
      </c>
      <c r="C1262" s="492"/>
      <c r="D1262" s="492">
        <f t="shared" ref="D1262:D1322" si="54">B1262+C1262</f>
        <v>101700</v>
      </c>
    </row>
    <row r="1263" spans="1:4" s="36" customFormat="1" x14ac:dyDescent="0.2">
      <c r="A1263" s="136"/>
      <c r="B1263" s="265"/>
      <c r="C1263" s="492"/>
      <c r="D1263" s="492">
        <f t="shared" si="54"/>
        <v>0</v>
      </c>
    </row>
    <row r="1264" spans="1:4" x14ac:dyDescent="0.2">
      <c r="A1264" s="192" t="s">
        <v>392</v>
      </c>
      <c r="B1264" s="264">
        <f>B1266+B1269+B1272+B1274+B1276+B1280+B1282+B1278</f>
        <v>1586634</v>
      </c>
      <c r="C1264" s="264">
        <f>C1266+C1269+C1272+C1274+C1276+C1280+C1282+C1278</f>
        <v>78055</v>
      </c>
      <c r="D1264" s="264">
        <f t="shared" si="54"/>
        <v>1664689</v>
      </c>
    </row>
    <row r="1265" spans="1:4" x14ac:dyDescent="0.2">
      <c r="A1265" s="192"/>
      <c r="B1265" s="491"/>
      <c r="C1265" s="492"/>
      <c r="D1265" s="492">
        <f t="shared" si="54"/>
        <v>0</v>
      </c>
    </row>
    <row r="1266" spans="1:4" x14ac:dyDescent="0.2">
      <c r="A1266" s="129" t="s">
        <v>541</v>
      </c>
      <c r="B1266" s="491">
        <v>1273359</v>
      </c>
      <c r="C1266" s="491">
        <f>21040+655</f>
        <v>21695</v>
      </c>
      <c r="D1266" s="491">
        <f t="shared" si="54"/>
        <v>1295054</v>
      </c>
    </row>
    <row r="1267" spans="1:4" x14ac:dyDescent="0.2">
      <c r="A1267" s="127" t="s">
        <v>394</v>
      </c>
      <c r="B1267" s="266">
        <v>827727</v>
      </c>
      <c r="C1267" s="266">
        <v>7254</v>
      </c>
      <c r="D1267" s="266">
        <f t="shared" si="54"/>
        <v>834981</v>
      </c>
    </row>
    <row r="1268" spans="1:4" x14ac:dyDescent="0.2">
      <c r="A1268" s="128"/>
      <c r="B1268" s="491"/>
      <c r="C1268" s="492"/>
      <c r="D1268" s="492">
        <f t="shared" si="54"/>
        <v>0</v>
      </c>
    </row>
    <row r="1269" spans="1:4" x14ac:dyDescent="0.2">
      <c r="A1269" s="129" t="s">
        <v>542</v>
      </c>
      <c r="B1269" s="491">
        <v>75925</v>
      </c>
      <c r="C1269" s="491">
        <v>2630</v>
      </c>
      <c r="D1269" s="491">
        <f t="shared" si="54"/>
        <v>78555</v>
      </c>
    </row>
    <row r="1270" spans="1:4" x14ac:dyDescent="0.2">
      <c r="A1270" s="127" t="s">
        <v>394</v>
      </c>
      <c r="B1270" s="149">
        <v>39540</v>
      </c>
      <c r="C1270" s="492"/>
      <c r="D1270" s="492">
        <f t="shared" si="54"/>
        <v>39540</v>
      </c>
    </row>
    <row r="1271" spans="1:4" s="36" customFormat="1" x14ac:dyDescent="0.2">
      <c r="A1271" s="127"/>
      <c r="B1271" s="149"/>
      <c r="C1271" s="492"/>
      <c r="D1271" s="492">
        <f t="shared" si="54"/>
        <v>0</v>
      </c>
    </row>
    <row r="1272" spans="1:4" x14ac:dyDescent="0.2">
      <c r="A1272" s="196" t="s">
        <v>576</v>
      </c>
      <c r="B1272" s="491">
        <f>42500+8000</f>
        <v>50500</v>
      </c>
      <c r="C1272" s="491">
        <v>1500</v>
      </c>
      <c r="D1272" s="491">
        <f t="shared" si="54"/>
        <v>52000</v>
      </c>
    </row>
    <row r="1273" spans="1:4" x14ac:dyDescent="0.2">
      <c r="A1273" s="156"/>
      <c r="B1273" s="491"/>
      <c r="C1273" s="492"/>
      <c r="D1273" s="492">
        <f t="shared" si="54"/>
        <v>0</v>
      </c>
    </row>
    <row r="1274" spans="1:4" x14ac:dyDescent="0.2">
      <c r="A1274" s="156" t="s">
        <v>71</v>
      </c>
      <c r="B1274" s="491">
        <f>2000+2000</f>
        <v>4000</v>
      </c>
      <c r="C1274" s="492"/>
      <c r="D1274" s="492">
        <f t="shared" si="54"/>
        <v>4000</v>
      </c>
    </row>
    <row r="1275" spans="1:4" s="36" customFormat="1" x14ac:dyDescent="0.2">
      <c r="A1275" s="182"/>
      <c r="B1275" s="194"/>
      <c r="C1275" s="492"/>
      <c r="D1275" s="492">
        <f t="shared" si="54"/>
        <v>0</v>
      </c>
    </row>
    <row r="1276" spans="1:4" x14ac:dyDescent="0.2">
      <c r="A1276" s="158" t="s">
        <v>543</v>
      </c>
      <c r="B1276" s="523">
        <v>33400</v>
      </c>
      <c r="C1276" s="523">
        <v>6500</v>
      </c>
      <c r="D1276" s="523">
        <f t="shared" si="54"/>
        <v>39900</v>
      </c>
    </row>
    <row r="1277" spans="1:4" x14ac:dyDescent="0.2">
      <c r="A1277" s="128"/>
      <c r="B1277" s="522"/>
      <c r="C1277" s="492"/>
      <c r="D1277" s="492">
        <f t="shared" si="54"/>
        <v>0</v>
      </c>
    </row>
    <row r="1278" spans="1:4" x14ac:dyDescent="0.2">
      <c r="A1278" s="128" t="s">
        <v>572</v>
      </c>
      <c r="B1278" s="507">
        <v>40500</v>
      </c>
      <c r="C1278" s="507">
        <v>39400</v>
      </c>
      <c r="D1278" s="507">
        <f t="shared" si="54"/>
        <v>79900</v>
      </c>
    </row>
    <row r="1279" spans="1:4" x14ac:dyDescent="0.2">
      <c r="A1279" s="158"/>
      <c r="B1279" s="523"/>
      <c r="C1279" s="492"/>
      <c r="D1279" s="492">
        <f t="shared" si="54"/>
        <v>0</v>
      </c>
    </row>
    <row r="1280" spans="1:4" x14ac:dyDescent="0.2">
      <c r="A1280" s="128" t="s">
        <v>573</v>
      </c>
      <c r="B1280" s="522">
        <v>80950</v>
      </c>
      <c r="C1280" s="522">
        <v>7050</v>
      </c>
      <c r="D1280" s="522">
        <f t="shared" si="54"/>
        <v>88000</v>
      </c>
    </row>
    <row r="1281" spans="1:4" x14ac:dyDescent="0.2">
      <c r="A1281" s="182"/>
      <c r="B1281" s="491"/>
      <c r="C1281" s="492"/>
      <c r="D1281" s="492">
        <f t="shared" si="54"/>
        <v>0</v>
      </c>
    </row>
    <row r="1282" spans="1:4" s="36" customFormat="1" x14ac:dyDescent="0.2">
      <c r="A1282" s="128" t="s">
        <v>69</v>
      </c>
      <c r="B1282" s="491">
        <v>28000</v>
      </c>
      <c r="C1282" s="491">
        <v>-720</v>
      </c>
      <c r="D1282" s="491">
        <f t="shared" si="54"/>
        <v>27280</v>
      </c>
    </row>
    <row r="1283" spans="1:4" x14ac:dyDescent="0.2">
      <c r="A1283" s="438"/>
      <c r="B1283" s="491"/>
      <c r="C1283" s="492"/>
      <c r="D1283" s="492">
        <f t="shared" si="54"/>
        <v>0</v>
      </c>
    </row>
    <row r="1284" spans="1:4" x14ac:dyDescent="0.2">
      <c r="A1284" s="438"/>
      <c r="B1284" s="491"/>
      <c r="C1284" s="492"/>
      <c r="D1284" s="492">
        <f t="shared" si="54"/>
        <v>0</v>
      </c>
    </row>
    <row r="1285" spans="1:4" ht="15.75" x14ac:dyDescent="0.2">
      <c r="A1285" s="138" t="s">
        <v>72</v>
      </c>
      <c r="B1285" s="491"/>
      <c r="C1285" s="492"/>
      <c r="D1285" s="492">
        <f t="shared" si="54"/>
        <v>0</v>
      </c>
    </row>
    <row r="1286" spans="1:4" x14ac:dyDescent="0.2">
      <c r="A1286" s="438"/>
      <c r="B1286" s="491"/>
      <c r="C1286" s="492"/>
      <c r="D1286" s="492">
        <f t="shared" si="54"/>
        <v>0</v>
      </c>
    </row>
    <row r="1287" spans="1:4" x14ac:dyDescent="0.2">
      <c r="A1287" s="133" t="s">
        <v>386</v>
      </c>
      <c r="B1287" s="264">
        <f>B1293+B1299+B1330+B1327</f>
        <v>2099868</v>
      </c>
      <c r="C1287" s="264">
        <f>C1293+C1299+C1330+C1327</f>
        <v>27700</v>
      </c>
      <c r="D1287" s="264">
        <f t="shared" si="54"/>
        <v>2127568</v>
      </c>
    </row>
    <row r="1288" spans="1:4" s="36" customFormat="1" x14ac:dyDescent="0.2">
      <c r="A1288" s="123" t="s">
        <v>422</v>
      </c>
      <c r="B1288" s="265">
        <v>418704</v>
      </c>
      <c r="C1288" s="492"/>
      <c r="D1288" s="492">
        <f t="shared" si="54"/>
        <v>418704</v>
      </c>
    </row>
    <row r="1289" spans="1:4" x14ac:dyDescent="0.2">
      <c r="A1289" s="134" t="s">
        <v>387</v>
      </c>
      <c r="B1289" s="264">
        <f>B1290+B1291</f>
        <v>2099868</v>
      </c>
      <c r="C1289" s="264">
        <f t="shared" ref="C1289" si="55">C1290+C1291</f>
        <v>27700</v>
      </c>
      <c r="D1289" s="264">
        <f t="shared" si="54"/>
        <v>2127568</v>
      </c>
    </row>
    <row r="1290" spans="1:4" x14ac:dyDescent="0.2">
      <c r="A1290" s="135" t="s">
        <v>388</v>
      </c>
      <c r="B1290" s="265">
        <f>'2.2 OMATULUD'!B652</f>
        <v>456155</v>
      </c>
      <c r="C1290" s="265">
        <f>'2.2 OMATULUD'!C652</f>
        <v>27700</v>
      </c>
      <c r="D1290" s="265">
        <f t="shared" si="54"/>
        <v>483855</v>
      </c>
    </row>
    <row r="1291" spans="1:4" x14ac:dyDescent="0.2">
      <c r="A1291" s="136" t="s">
        <v>389</v>
      </c>
      <c r="B1291" s="265">
        <f>B1287-B1290</f>
        <v>1643713</v>
      </c>
      <c r="C1291" s="265">
        <f>C1287-C1290</f>
        <v>0</v>
      </c>
      <c r="D1291" s="265">
        <f t="shared" si="54"/>
        <v>1643713</v>
      </c>
    </row>
    <row r="1292" spans="1:4" x14ac:dyDescent="0.2">
      <c r="A1292" s="136"/>
      <c r="B1292" s="491"/>
      <c r="C1292" s="492"/>
      <c r="D1292" s="492">
        <f t="shared" si="54"/>
        <v>0</v>
      </c>
    </row>
    <row r="1293" spans="1:4" ht="15" x14ac:dyDescent="0.2">
      <c r="A1293" s="189" t="s">
        <v>423</v>
      </c>
      <c r="B1293" s="272">
        <f>B1294</f>
        <v>223480</v>
      </c>
      <c r="C1293" s="272">
        <f>C1294</f>
        <v>0</v>
      </c>
      <c r="D1293" s="272">
        <f t="shared" si="54"/>
        <v>223480</v>
      </c>
    </row>
    <row r="1294" spans="1:4" x14ac:dyDescent="0.2">
      <c r="A1294" s="181" t="s">
        <v>424</v>
      </c>
      <c r="B1294" s="139">
        <f>B1296</f>
        <v>223480</v>
      </c>
      <c r="C1294" s="139">
        <f>C1296</f>
        <v>0</v>
      </c>
      <c r="D1294" s="139">
        <f t="shared" si="54"/>
        <v>223480</v>
      </c>
    </row>
    <row r="1295" spans="1:4" x14ac:dyDescent="0.2">
      <c r="A1295" s="190" t="s">
        <v>407</v>
      </c>
      <c r="B1295" s="491"/>
      <c r="C1295" s="492"/>
      <c r="D1295" s="492">
        <f t="shared" si="54"/>
        <v>0</v>
      </c>
    </row>
    <row r="1296" spans="1:4" x14ac:dyDescent="0.2">
      <c r="A1296" s="426" t="s">
        <v>426</v>
      </c>
      <c r="B1296" s="491">
        <v>223480</v>
      </c>
      <c r="C1296" s="492"/>
      <c r="D1296" s="492">
        <f t="shared" si="54"/>
        <v>223480</v>
      </c>
    </row>
    <row r="1297" spans="1:4" x14ac:dyDescent="0.2">
      <c r="A1297" s="502" t="s">
        <v>394</v>
      </c>
      <c r="B1297" s="266">
        <v>126372</v>
      </c>
      <c r="C1297" s="266">
        <v>-3100</v>
      </c>
      <c r="D1297" s="266">
        <f t="shared" si="54"/>
        <v>123272</v>
      </c>
    </row>
    <row r="1298" spans="1:4" x14ac:dyDescent="0.2">
      <c r="A1298" s="154"/>
      <c r="B1298" s="491"/>
      <c r="C1298" s="492"/>
      <c r="D1298" s="492">
        <f t="shared" si="54"/>
        <v>0</v>
      </c>
    </row>
    <row r="1299" spans="1:4" ht="15" x14ac:dyDescent="0.2">
      <c r="A1299" s="189" t="s">
        <v>450</v>
      </c>
      <c r="B1299" s="272">
        <f>B1301+B1306+B1311</f>
        <v>601830</v>
      </c>
      <c r="C1299" s="272">
        <f>C1301+C1306+C1311</f>
        <v>24364</v>
      </c>
      <c r="D1299" s="272">
        <f t="shared" si="54"/>
        <v>626194</v>
      </c>
    </row>
    <row r="1300" spans="1:4" x14ac:dyDescent="0.2">
      <c r="A1300" s="127"/>
      <c r="B1300" s="266"/>
      <c r="C1300" s="492"/>
      <c r="D1300" s="492">
        <f t="shared" si="54"/>
        <v>0</v>
      </c>
    </row>
    <row r="1301" spans="1:4" x14ac:dyDescent="0.2">
      <c r="A1301" s="181" t="s">
        <v>455</v>
      </c>
      <c r="B1301" s="264">
        <f>B1303</f>
        <v>138395</v>
      </c>
      <c r="C1301" s="264">
        <f>C1303</f>
        <v>11000</v>
      </c>
      <c r="D1301" s="264">
        <f t="shared" si="54"/>
        <v>149395</v>
      </c>
    </row>
    <row r="1302" spans="1:4" x14ac:dyDescent="0.2">
      <c r="A1302" s="190" t="s">
        <v>407</v>
      </c>
      <c r="B1302" s="491"/>
      <c r="C1302" s="492"/>
      <c r="D1302" s="492">
        <f t="shared" si="54"/>
        <v>0</v>
      </c>
    </row>
    <row r="1303" spans="1:4" x14ac:dyDescent="0.2">
      <c r="A1303" s="426" t="s">
        <v>456</v>
      </c>
      <c r="B1303" s="491">
        <v>138395</v>
      </c>
      <c r="C1303" s="491">
        <v>11000</v>
      </c>
      <c r="D1303" s="491">
        <f t="shared" si="54"/>
        <v>149395</v>
      </c>
    </row>
    <row r="1304" spans="1:4" x14ac:dyDescent="0.2">
      <c r="A1304" s="502" t="s">
        <v>394</v>
      </c>
      <c r="B1304" s="266">
        <v>42565</v>
      </c>
      <c r="C1304" s="266">
        <v>4300</v>
      </c>
      <c r="D1304" s="266">
        <f t="shared" si="54"/>
        <v>46865</v>
      </c>
    </row>
    <row r="1305" spans="1:4" x14ac:dyDescent="0.2">
      <c r="A1305" s="154"/>
      <c r="B1305" s="491"/>
      <c r="C1305" s="492"/>
      <c r="D1305" s="492">
        <f t="shared" si="54"/>
        <v>0</v>
      </c>
    </row>
    <row r="1306" spans="1:4" x14ac:dyDescent="0.2">
      <c r="A1306" s="181" t="s">
        <v>457</v>
      </c>
      <c r="B1306" s="264">
        <f>B1308</f>
        <v>59505</v>
      </c>
      <c r="C1306" s="264">
        <f>C1308</f>
        <v>2364</v>
      </c>
      <c r="D1306" s="264">
        <f t="shared" si="54"/>
        <v>61869</v>
      </c>
    </row>
    <row r="1307" spans="1:4" x14ac:dyDescent="0.2">
      <c r="A1307" s="190" t="s">
        <v>407</v>
      </c>
      <c r="B1307" s="491"/>
      <c r="C1307" s="492"/>
      <c r="D1307" s="492">
        <f t="shared" si="54"/>
        <v>0</v>
      </c>
    </row>
    <row r="1308" spans="1:4" x14ac:dyDescent="0.2">
      <c r="A1308" s="426" t="s">
        <v>73</v>
      </c>
      <c r="B1308" s="491">
        <v>59505</v>
      </c>
      <c r="C1308" s="491">
        <v>2364</v>
      </c>
      <c r="D1308" s="491">
        <f t="shared" si="54"/>
        <v>61869</v>
      </c>
    </row>
    <row r="1309" spans="1:4" x14ac:dyDescent="0.2">
      <c r="A1309" s="502" t="s">
        <v>394</v>
      </c>
      <c r="B1309" s="266">
        <v>33250</v>
      </c>
      <c r="C1309" s="266">
        <v>1764</v>
      </c>
      <c r="D1309" s="266">
        <f t="shared" si="54"/>
        <v>35014</v>
      </c>
    </row>
    <row r="1310" spans="1:4" s="36" customFormat="1" x14ac:dyDescent="0.2">
      <c r="A1310" s="154"/>
      <c r="B1310" s="491"/>
      <c r="C1310" s="492"/>
      <c r="D1310" s="492">
        <f t="shared" si="54"/>
        <v>0</v>
      </c>
    </row>
    <row r="1311" spans="1:4" s="36" customFormat="1" ht="25.5" x14ac:dyDescent="0.2">
      <c r="A1311" s="191" t="s">
        <v>539</v>
      </c>
      <c r="B1311" s="264">
        <f>B1313+B1317+B1321+B1325</f>
        <v>403930</v>
      </c>
      <c r="C1311" s="264">
        <f>C1313+C1317+C1321+C1325</f>
        <v>11000</v>
      </c>
      <c r="D1311" s="264">
        <f t="shared" si="54"/>
        <v>414930</v>
      </c>
    </row>
    <row r="1312" spans="1:4" x14ac:dyDescent="0.2">
      <c r="A1312" s="190" t="s">
        <v>407</v>
      </c>
      <c r="B1312" s="491"/>
      <c r="C1312" s="492"/>
      <c r="D1312" s="492">
        <f t="shared" si="54"/>
        <v>0</v>
      </c>
    </row>
    <row r="1313" spans="1:4" x14ac:dyDescent="0.2">
      <c r="A1313" s="426" t="s">
        <v>540</v>
      </c>
      <c r="B1313" s="491">
        <v>131040</v>
      </c>
      <c r="C1313" s="492"/>
      <c r="D1313" s="492">
        <f t="shared" si="54"/>
        <v>131040</v>
      </c>
    </row>
    <row r="1314" spans="1:4" x14ac:dyDescent="0.2">
      <c r="A1314" s="502" t="s">
        <v>394</v>
      </c>
      <c r="B1314" s="266">
        <v>63386</v>
      </c>
      <c r="C1314" s="492"/>
      <c r="D1314" s="492">
        <f t="shared" si="54"/>
        <v>63386</v>
      </c>
    </row>
    <row r="1315" spans="1:4" x14ac:dyDescent="0.2">
      <c r="A1315" s="154"/>
      <c r="B1315" s="491"/>
      <c r="C1315" s="492"/>
      <c r="D1315" s="492">
        <f t="shared" si="54"/>
        <v>0</v>
      </c>
    </row>
    <row r="1316" spans="1:4" x14ac:dyDescent="0.2">
      <c r="A1316" s="190" t="s">
        <v>407</v>
      </c>
      <c r="B1316" s="491"/>
      <c r="C1316" s="492"/>
      <c r="D1316" s="492">
        <f t="shared" si="54"/>
        <v>0</v>
      </c>
    </row>
    <row r="1317" spans="1:4" x14ac:dyDescent="0.2">
      <c r="A1317" s="426" t="s">
        <v>575</v>
      </c>
      <c r="B1317" s="491">
        <v>112560</v>
      </c>
      <c r="C1317" s="492"/>
      <c r="D1317" s="492">
        <f t="shared" si="54"/>
        <v>112560</v>
      </c>
    </row>
    <row r="1318" spans="1:4" x14ac:dyDescent="0.2">
      <c r="A1318" s="502" t="s">
        <v>394</v>
      </c>
      <c r="B1318" s="266">
        <v>82140</v>
      </c>
      <c r="C1318" s="492"/>
      <c r="D1318" s="492">
        <f t="shared" si="54"/>
        <v>82140</v>
      </c>
    </row>
    <row r="1319" spans="1:4" x14ac:dyDescent="0.2">
      <c r="A1319" s="182"/>
      <c r="B1319" s="271"/>
      <c r="C1319" s="492"/>
      <c r="D1319" s="492">
        <f t="shared" si="54"/>
        <v>0</v>
      </c>
    </row>
    <row r="1320" spans="1:4" x14ac:dyDescent="0.2">
      <c r="A1320" s="190" t="s">
        <v>407</v>
      </c>
      <c r="B1320" s="491"/>
      <c r="C1320" s="492"/>
      <c r="D1320" s="492">
        <f t="shared" si="54"/>
        <v>0</v>
      </c>
    </row>
    <row r="1321" spans="1:4" s="36" customFormat="1" x14ac:dyDescent="0.2">
      <c r="A1321" s="426" t="s">
        <v>74</v>
      </c>
      <c r="B1321" s="491">
        <v>144330</v>
      </c>
      <c r="C1321" s="491">
        <v>11000</v>
      </c>
      <c r="D1321" s="491">
        <f t="shared" si="54"/>
        <v>155330</v>
      </c>
    </row>
    <row r="1322" spans="1:4" x14ac:dyDescent="0.2">
      <c r="A1322" s="502" t="s">
        <v>394</v>
      </c>
      <c r="B1322" s="266">
        <v>64679</v>
      </c>
      <c r="C1322" s="266">
        <v>7500</v>
      </c>
      <c r="D1322" s="266">
        <f t="shared" si="54"/>
        <v>72179</v>
      </c>
    </row>
    <row r="1323" spans="1:4" x14ac:dyDescent="0.2">
      <c r="A1323" s="154"/>
      <c r="B1323" s="491"/>
      <c r="C1323" s="492"/>
      <c r="D1323" s="492">
        <f t="shared" ref="D1323:D1383" si="56">B1323+C1323</f>
        <v>0</v>
      </c>
    </row>
    <row r="1324" spans="1:4" x14ac:dyDescent="0.2">
      <c r="A1324" s="190" t="s">
        <v>407</v>
      </c>
      <c r="B1324" s="491"/>
      <c r="C1324" s="492"/>
      <c r="D1324" s="492">
        <f t="shared" si="56"/>
        <v>0</v>
      </c>
    </row>
    <row r="1325" spans="1:4" x14ac:dyDescent="0.2">
      <c r="A1325" s="426" t="s">
        <v>79</v>
      </c>
      <c r="B1325" s="491">
        <v>16000</v>
      </c>
      <c r="C1325" s="492"/>
      <c r="D1325" s="492">
        <f t="shared" si="56"/>
        <v>16000</v>
      </c>
    </row>
    <row r="1326" spans="1:4" x14ac:dyDescent="0.2">
      <c r="A1326" s="198"/>
      <c r="B1326" s="491"/>
      <c r="C1326" s="492"/>
      <c r="D1326" s="492">
        <f t="shared" si="56"/>
        <v>0</v>
      </c>
    </row>
    <row r="1327" spans="1:4" s="36" customFormat="1" ht="15" x14ac:dyDescent="0.2">
      <c r="A1327" s="189" t="s">
        <v>528</v>
      </c>
      <c r="B1327" s="272">
        <f>B1328</f>
        <v>50000</v>
      </c>
      <c r="C1327" s="492"/>
      <c r="D1327" s="492">
        <f t="shared" si="56"/>
        <v>50000</v>
      </c>
    </row>
    <row r="1328" spans="1:4" x14ac:dyDescent="0.2">
      <c r="A1328" s="235" t="s">
        <v>529</v>
      </c>
      <c r="B1328" s="139">
        <v>50000</v>
      </c>
      <c r="C1328" s="492"/>
      <c r="D1328" s="492">
        <f t="shared" si="56"/>
        <v>50000</v>
      </c>
    </row>
    <row r="1329" spans="1:4" x14ac:dyDescent="0.2">
      <c r="A1329" s="136"/>
      <c r="B1329" s="491"/>
      <c r="C1329" s="492"/>
      <c r="D1329" s="492">
        <f t="shared" si="56"/>
        <v>0</v>
      </c>
    </row>
    <row r="1330" spans="1:4" x14ac:dyDescent="0.2">
      <c r="A1330" s="192" t="s">
        <v>392</v>
      </c>
      <c r="B1330" s="264">
        <f>B1332++B1335+B1337+B1339+B1341+B1343</f>
        <v>1224558</v>
      </c>
      <c r="C1330" s="264">
        <f>C1332++C1335+C1337+C1339+C1341+C1343</f>
        <v>3336</v>
      </c>
      <c r="D1330" s="264">
        <f t="shared" si="56"/>
        <v>1227894</v>
      </c>
    </row>
    <row r="1331" spans="1:4" x14ac:dyDescent="0.2">
      <c r="A1331" s="192"/>
      <c r="B1331" s="264"/>
      <c r="C1331" s="492"/>
      <c r="D1331" s="492">
        <f t="shared" si="56"/>
        <v>0</v>
      </c>
    </row>
    <row r="1332" spans="1:4" x14ac:dyDescent="0.2">
      <c r="A1332" s="129" t="s">
        <v>541</v>
      </c>
      <c r="B1332" s="491">
        <f>1042048+53+18392</f>
        <v>1060493</v>
      </c>
      <c r="C1332" s="491">
        <f>-2364+8700</f>
        <v>6336</v>
      </c>
      <c r="D1332" s="491">
        <f t="shared" si="56"/>
        <v>1066829</v>
      </c>
    </row>
    <row r="1333" spans="1:4" s="36" customFormat="1" x14ac:dyDescent="0.2">
      <c r="A1333" s="127" t="s">
        <v>394</v>
      </c>
      <c r="B1333" s="266">
        <f>626961+13606</f>
        <v>640567</v>
      </c>
      <c r="C1333" s="266">
        <v>-1764</v>
      </c>
      <c r="D1333" s="266">
        <f t="shared" si="56"/>
        <v>638803</v>
      </c>
    </row>
    <row r="1334" spans="1:4" x14ac:dyDescent="0.2">
      <c r="A1334" s="199"/>
      <c r="B1334" s="555"/>
      <c r="C1334" s="492"/>
      <c r="D1334" s="492">
        <f t="shared" si="56"/>
        <v>0</v>
      </c>
    </row>
    <row r="1335" spans="1:4" x14ac:dyDescent="0.2">
      <c r="A1335" s="196" t="s">
        <v>576</v>
      </c>
      <c r="B1335" s="522">
        <v>25565</v>
      </c>
      <c r="C1335" s="492"/>
      <c r="D1335" s="492">
        <f t="shared" si="56"/>
        <v>25565</v>
      </c>
    </row>
    <row r="1336" spans="1:4" x14ac:dyDescent="0.2">
      <c r="A1336" s="156"/>
      <c r="B1336" s="491"/>
      <c r="C1336" s="492"/>
      <c r="D1336" s="492">
        <f t="shared" si="56"/>
        <v>0</v>
      </c>
    </row>
    <row r="1337" spans="1:4" x14ac:dyDescent="0.2">
      <c r="A1337" s="158" t="s">
        <v>543</v>
      </c>
      <c r="B1337" s="523">
        <v>60000</v>
      </c>
      <c r="C1337" s="492"/>
      <c r="D1337" s="492">
        <f t="shared" si="56"/>
        <v>60000</v>
      </c>
    </row>
    <row r="1338" spans="1:4" x14ac:dyDescent="0.2">
      <c r="A1338" s="158"/>
      <c r="B1338" s="523"/>
      <c r="C1338" s="492"/>
      <c r="D1338" s="492">
        <f t="shared" si="56"/>
        <v>0</v>
      </c>
    </row>
    <row r="1339" spans="1:4" x14ac:dyDescent="0.2">
      <c r="A1339" s="128" t="s">
        <v>572</v>
      </c>
      <c r="B1339" s="522">
        <v>12000</v>
      </c>
      <c r="C1339" s="522">
        <v>-6500</v>
      </c>
      <c r="D1339" s="522">
        <f t="shared" si="56"/>
        <v>5500</v>
      </c>
    </row>
    <row r="1340" spans="1:4" x14ac:dyDescent="0.2">
      <c r="A1340" s="488"/>
      <c r="B1340" s="140"/>
      <c r="C1340" s="492"/>
      <c r="D1340" s="492">
        <f t="shared" si="56"/>
        <v>0</v>
      </c>
    </row>
    <row r="1341" spans="1:4" x14ac:dyDescent="0.2">
      <c r="A1341" s="128" t="s">
        <v>573</v>
      </c>
      <c r="B1341" s="522">
        <v>26500</v>
      </c>
      <c r="C1341" s="522">
        <v>3500</v>
      </c>
      <c r="D1341" s="522">
        <f t="shared" si="56"/>
        <v>30000</v>
      </c>
    </row>
    <row r="1342" spans="1:4" x14ac:dyDescent="0.2">
      <c r="A1342" s="182"/>
      <c r="B1342" s="491"/>
      <c r="C1342" s="492"/>
      <c r="D1342" s="492">
        <f t="shared" si="56"/>
        <v>0</v>
      </c>
    </row>
    <row r="1343" spans="1:4" x14ac:dyDescent="0.2">
      <c r="A1343" s="128" t="s">
        <v>69</v>
      </c>
      <c r="B1343" s="491">
        <v>40000</v>
      </c>
      <c r="C1343" s="492"/>
      <c r="D1343" s="492">
        <f t="shared" si="56"/>
        <v>40000</v>
      </c>
    </row>
    <row r="1344" spans="1:4" x14ac:dyDescent="0.2">
      <c r="A1344" s="128"/>
      <c r="B1344" s="491"/>
      <c r="C1344" s="492"/>
      <c r="D1344" s="492">
        <f t="shared" si="56"/>
        <v>0</v>
      </c>
    </row>
    <row r="1345" spans="1:4" x14ac:dyDescent="0.2">
      <c r="A1345" s="128"/>
      <c r="B1345" s="491"/>
      <c r="C1345" s="492"/>
      <c r="D1345" s="492">
        <f t="shared" si="56"/>
        <v>0</v>
      </c>
    </row>
    <row r="1346" spans="1:4" ht="15.75" x14ac:dyDescent="0.2">
      <c r="A1346" s="138" t="s">
        <v>75</v>
      </c>
      <c r="B1346" s="491"/>
      <c r="C1346" s="492"/>
      <c r="D1346" s="492">
        <f t="shared" si="56"/>
        <v>0</v>
      </c>
    </row>
    <row r="1347" spans="1:4" x14ac:dyDescent="0.2">
      <c r="A1347" s="438"/>
      <c r="B1347" s="491"/>
      <c r="C1347" s="492"/>
      <c r="D1347" s="492">
        <f t="shared" si="56"/>
        <v>0</v>
      </c>
    </row>
    <row r="1348" spans="1:4" x14ac:dyDescent="0.2">
      <c r="A1348" s="133" t="s">
        <v>386</v>
      </c>
      <c r="B1348" s="264">
        <f>B1354+B1360+B1373+B1379</f>
        <v>1443149</v>
      </c>
      <c r="C1348" s="264">
        <f>C1354+C1360+C1373+C1379</f>
        <v>52464</v>
      </c>
      <c r="D1348" s="264">
        <f t="shared" si="56"/>
        <v>1495613</v>
      </c>
    </row>
    <row r="1349" spans="1:4" x14ac:dyDescent="0.2">
      <c r="A1349" s="123" t="s">
        <v>422</v>
      </c>
      <c r="B1349" s="265">
        <v>245421</v>
      </c>
      <c r="C1349" s="492"/>
      <c r="D1349" s="492">
        <f t="shared" si="56"/>
        <v>245421</v>
      </c>
    </row>
    <row r="1350" spans="1:4" x14ac:dyDescent="0.2">
      <c r="A1350" s="134" t="s">
        <v>387</v>
      </c>
      <c r="B1350" s="264">
        <f>B1351+B1352</f>
        <v>1443149</v>
      </c>
      <c r="C1350" s="264">
        <f t="shared" ref="C1350" si="57">C1351+C1352</f>
        <v>52464</v>
      </c>
      <c r="D1350" s="264">
        <f t="shared" si="56"/>
        <v>1495613</v>
      </c>
    </row>
    <row r="1351" spans="1:4" x14ac:dyDescent="0.2">
      <c r="A1351" s="135" t="s">
        <v>388</v>
      </c>
      <c r="B1351" s="265">
        <f>'2.2 OMATULUD'!B700</f>
        <v>410547</v>
      </c>
      <c r="C1351" s="265">
        <f>'2.2 OMATULUD'!C700</f>
        <v>21943</v>
      </c>
      <c r="D1351" s="265">
        <f t="shared" si="56"/>
        <v>432490</v>
      </c>
    </row>
    <row r="1352" spans="1:4" x14ac:dyDescent="0.2">
      <c r="A1352" s="136" t="s">
        <v>389</v>
      </c>
      <c r="B1352" s="265">
        <f>B1348-B1351</f>
        <v>1032602</v>
      </c>
      <c r="C1352" s="17">
        <f>C1348-C1351</f>
        <v>30521</v>
      </c>
      <c r="D1352" s="17">
        <f t="shared" si="56"/>
        <v>1063123</v>
      </c>
    </row>
    <row r="1353" spans="1:4" x14ac:dyDescent="0.2">
      <c r="A1353" s="136"/>
      <c r="B1353" s="491"/>
      <c r="C1353" s="492"/>
      <c r="D1353" s="492">
        <f t="shared" si="56"/>
        <v>0</v>
      </c>
    </row>
    <row r="1354" spans="1:4" ht="15" x14ac:dyDescent="0.2">
      <c r="A1354" s="189" t="s">
        <v>423</v>
      </c>
      <c r="B1354" s="272">
        <f>B1355</f>
        <v>174287</v>
      </c>
      <c r="C1354" s="272">
        <f>C1355</f>
        <v>7200</v>
      </c>
      <c r="D1354" s="272">
        <f t="shared" si="56"/>
        <v>181487</v>
      </c>
    </row>
    <row r="1355" spans="1:4" x14ac:dyDescent="0.2">
      <c r="A1355" s="181" t="s">
        <v>424</v>
      </c>
      <c r="B1355" s="139">
        <f>B1357</f>
        <v>174287</v>
      </c>
      <c r="C1355" s="139">
        <f>C1357</f>
        <v>7200</v>
      </c>
      <c r="D1355" s="139">
        <f t="shared" si="56"/>
        <v>181487</v>
      </c>
    </row>
    <row r="1356" spans="1:4" x14ac:dyDescent="0.2">
      <c r="A1356" s="190" t="s">
        <v>407</v>
      </c>
      <c r="B1356" s="491"/>
      <c r="C1356" s="492"/>
      <c r="D1356" s="492">
        <f t="shared" si="56"/>
        <v>0</v>
      </c>
    </row>
    <row r="1357" spans="1:4" x14ac:dyDescent="0.2">
      <c r="A1357" s="426" t="s">
        <v>426</v>
      </c>
      <c r="B1357" s="491">
        <v>174287</v>
      </c>
      <c r="C1357" s="491">
        <v>7200</v>
      </c>
      <c r="D1357" s="491">
        <f t="shared" si="56"/>
        <v>181487</v>
      </c>
    </row>
    <row r="1358" spans="1:4" x14ac:dyDescent="0.2">
      <c r="A1358" s="502" t="s">
        <v>394</v>
      </c>
      <c r="B1358" s="266">
        <v>92027</v>
      </c>
      <c r="C1358" s="492"/>
      <c r="D1358" s="492">
        <f t="shared" si="56"/>
        <v>92027</v>
      </c>
    </row>
    <row r="1359" spans="1:4" x14ac:dyDescent="0.2">
      <c r="A1359" s="502"/>
      <c r="B1359" s="266"/>
      <c r="C1359" s="492"/>
      <c r="D1359" s="492">
        <f t="shared" si="56"/>
        <v>0</v>
      </c>
    </row>
    <row r="1360" spans="1:4" s="36" customFormat="1" ht="15" x14ac:dyDescent="0.2">
      <c r="A1360" s="189" t="s">
        <v>450</v>
      </c>
      <c r="B1360" s="272">
        <f>B1361</f>
        <v>158448</v>
      </c>
      <c r="C1360" s="272">
        <f>C1361</f>
        <v>1207</v>
      </c>
      <c r="D1360" s="272">
        <f t="shared" si="56"/>
        <v>159655</v>
      </c>
    </row>
    <row r="1361" spans="1:4" s="36" customFormat="1" ht="25.5" x14ac:dyDescent="0.2">
      <c r="A1361" s="191" t="s">
        <v>539</v>
      </c>
      <c r="B1361" s="264">
        <f>B1363+B1367+B1371</f>
        <v>158448</v>
      </c>
      <c r="C1361" s="264">
        <f>C1363+C1367+C1371</f>
        <v>1207</v>
      </c>
      <c r="D1361" s="264">
        <f t="shared" si="56"/>
        <v>159655</v>
      </c>
    </row>
    <row r="1362" spans="1:4" x14ac:dyDescent="0.2">
      <c r="A1362" s="190" t="s">
        <v>407</v>
      </c>
      <c r="B1362" s="491"/>
      <c r="C1362" s="492"/>
      <c r="D1362" s="492">
        <f t="shared" si="56"/>
        <v>0</v>
      </c>
    </row>
    <row r="1363" spans="1:4" x14ac:dyDescent="0.2">
      <c r="A1363" s="426" t="s">
        <v>540</v>
      </c>
      <c r="B1363" s="491">
        <v>109288</v>
      </c>
      <c r="C1363" s="492"/>
      <c r="D1363" s="492">
        <f t="shared" si="56"/>
        <v>109288</v>
      </c>
    </row>
    <row r="1364" spans="1:4" x14ac:dyDescent="0.2">
      <c r="A1364" s="502" t="s">
        <v>394</v>
      </c>
      <c r="B1364" s="266">
        <v>54316</v>
      </c>
      <c r="C1364" s="492"/>
      <c r="D1364" s="492">
        <f t="shared" si="56"/>
        <v>54316</v>
      </c>
    </row>
    <row r="1365" spans="1:4" x14ac:dyDescent="0.2">
      <c r="A1365" s="502"/>
      <c r="B1365" s="266"/>
      <c r="C1365" s="492"/>
      <c r="D1365" s="492">
        <f t="shared" si="56"/>
        <v>0</v>
      </c>
    </row>
    <row r="1366" spans="1:4" x14ac:dyDescent="0.2">
      <c r="A1366" s="190" t="s">
        <v>407</v>
      </c>
      <c r="B1366" s="491"/>
      <c r="C1366" s="492"/>
      <c r="D1366" s="492">
        <f t="shared" si="56"/>
        <v>0</v>
      </c>
    </row>
    <row r="1367" spans="1:4" s="36" customFormat="1" x14ac:dyDescent="0.2">
      <c r="A1367" s="426" t="s">
        <v>575</v>
      </c>
      <c r="B1367" s="491">
        <v>39570</v>
      </c>
      <c r="C1367" s="492">
        <v>1207</v>
      </c>
      <c r="D1367" s="492">
        <f t="shared" si="56"/>
        <v>40777</v>
      </c>
    </row>
    <row r="1368" spans="1:4" x14ac:dyDescent="0.2">
      <c r="A1368" s="502" t="s">
        <v>394</v>
      </c>
      <c r="B1368" s="266">
        <v>27565</v>
      </c>
      <c r="C1368" s="475">
        <v>901</v>
      </c>
      <c r="D1368" s="475">
        <f t="shared" si="56"/>
        <v>28466</v>
      </c>
    </row>
    <row r="1369" spans="1:4" x14ac:dyDescent="0.2">
      <c r="A1369" s="502"/>
      <c r="B1369" s="266"/>
      <c r="C1369" s="492"/>
      <c r="D1369" s="492">
        <f t="shared" si="56"/>
        <v>0</v>
      </c>
    </row>
    <row r="1370" spans="1:4" x14ac:dyDescent="0.2">
      <c r="A1370" s="190" t="s">
        <v>407</v>
      </c>
      <c r="B1370" s="491"/>
      <c r="C1370" s="492"/>
      <c r="D1370" s="492">
        <f t="shared" si="56"/>
        <v>0</v>
      </c>
    </row>
    <row r="1371" spans="1:4" x14ac:dyDescent="0.2">
      <c r="A1371" s="426" t="s">
        <v>79</v>
      </c>
      <c r="B1371" s="491">
        <v>9590</v>
      </c>
      <c r="C1371" s="492"/>
      <c r="D1371" s="492">
        <f t="shared" si="56"/>
        <v>9590</v>
      </c>
    </row>
    <row r="1372" spans="1:4" x14ac:dyDescent="0.2">
      <c r="A1372" s="426"/>
      <c r="B1372" s="491"/>
      <c r="C1372" s="492"/>
      <c r="D1372" s="492">
        <f t="shared" si="56"/>
        <v>0</v>
      </c>
    </row>
    <row r="1373" spans="1:4" ht="15" x14ac:dyDescent="0.2">
      <c r="A1373" s="189" t="s">
        <v>528</v>
      </c>
      <c r="B1373" s="272">
        <f>B1374+B1377</f>
        <v>197860</v>
      </c>
      <c r="C1373" s="272">
        <f>C1374</f>
        <v>29314</v>
      </c>
      <c r="D1373" s="272">
        <f t="shared" si="56"/>
        <v>227174</v>
      </c>
    </row>
    <row r="1374" spans="1:4" x14ac:dyDescent="0.2">
      <c r="A1374" s="235" t="s">
        <v>775</v>
      </c>
      <c r="B1374" s="139">
        <v>132860</v>
      </c>
      <c r="C1374" s="139">
        <v>29314</v>
      </c>
      <c r="D1374" s="139">
        <f t="shared" si="56"/>
        <v>162174</v>
      </c>
    </row>
    <row r="1375" spans="1:4" s="36" customFormat="1" x14ac:dyDescent="0.2">
      <c r="A1375" s="463" t="s">
        <v>844</v>
      </c>
      <c r="B1375" s="507"/>
      <c r="C1375" s="492"/>
      <c r="D1375" s="492">
        <f t="shared" si="56"/>
        <v>0</v>
      </c>
    </row>
    <row r="1376" spans="1:4" x14ac:dyDescent="0.2">
      <c r="A1376" s="488"/>
      <c r="B1376" s="140"/>
      <c r="C1376" s="492"/>
      <c r="D1376" s="492">
        <f t="shared" si="56"/>
        <v>0</v>
      </c>
    </row>
    <row r="1377" spans="1:4" x14ac:dyDescent="0.2">
      <c r="A1377" s="235" t="s">
        <v>80</v>
      </c>
      <c r="B1377" s="139">
        <v>65000</v>
      </c>
      <c r="C1377" s="492"/>
      <c r="D1377" s="492">
        <f t="shared" si="56"/>
        <v>65000</v>
      </c>
    </row>
    <row r="1378" spans="1:4" x14ac:dyDescent="0.2">
      <c r="A1378" s="136"/>
      <c r="B1378" s="491"/>
      <c r="C1378" s="492"/>
      <c r="D1378" s="492">
        <f t="shared" si="56"/>
        <v>0</v>
      </c>
    </row>
    <row r="1379" spans="1:4" x14ac:dyDescent="0.2">
      <c r="A1379" s="192" t="s">
        <v>392</v>
      </c>
      <c r="B1379" s="264">
        <f>B1381+B1384+B1387+B1390+B1392+B1394+B1396</f>
        <v>912554</v>
      </c>
      <c r="C1379" s="264">
        <f>C1381+C1384+C1387+C1390+C1392+C1394+C1396</f>
        <v>14743</v>
      </c>
      <c r="D1379" s="264">
        <f t="shared" si="56"/>
        <v>927297</v>
      </c>
    </row>
    <row r="1380" spans="1:4" x14ac:dyDescent="0.2">
      <c r="A1380" s="192"/>
      <c r="B1380" s="491"/>
      <c r="C1380" s="492"/>
      <c r="D1380" s="492">
        <f t="shared" si="56"/>
        <v>0</v>
      </c>
    </row>
    <row r="1381" spans="1:4" s="36" customFormat="1" x14ac:dyDescent="0.2">
      <c r="A1381" s="129" t="s">
        <v>541</v>
      </c>
      <c r="B1381" s="491">
        <v>632608</v>
      </c>
      <c r="C1381" s="491">
        <v>5443</v>
      </c>
      <c r="D1381" s="491">
        <f t="shared" si="56"/>
        <v>638051</v>
      </c>
    </row>
    <row r="1382" spans="1:4" x14ac:dyDescent="0.2">
      <c r="A1382" s="127" t="s">
        <v>394</v>
      </c>
      <c r="B1382" s="266">
        <v>405229</v>
      </c>
      <c r="C1382" s="492"/>
      <c r="D1382" s="492">
        <f t="shared" si="56"/>
        <v>405229</v>
      </c>
    </row>
    <row r="1383" spans="1:4" x14ac:dyDescent="0.2">
      <c r="A1383" s="170"/>
      <c r="B1383" s="491"/>
      <c r="C1383" s="492"/>
      <c r="D1383" s="492">
        <f t="shared" si="56"/>
        <v>0</v>
      </c>
    </row>
    <row r="1384" spans="1:4" x14ac:dyDescent="0.2">
      <c r="A1384" s="129" t="s">
        <v>76</v>
      </c>
      <c r="B1384" s="522">
        <v>36430</v>
      </c>
      <c r="C1384" s="492"/>
      <c r="D1384" s="492">
        <f t="shared" ref="D1384:D1441" si="58">B1384+C1384</f>
        <v>36430</v>
      </c>
    </row>
    <row r="1385" spans="1:4" x14ac:dyDescent="0.2">
      <c r="A1385" s="127" t="s">
        <v>394</v>
      </c>
      <c r="B1385" s="149">
        <v>18980</v>
      </c>
      <c r="C1385" s="492"/>
      <c r="D1385" s="492">
        <f t="shared" si="58"/>
        <v>18980</v>
      </c>
    </row>
    <row r="1386" spans="1:4" x14ac:dyDescent="0.2">
      <c r="A1386" s="182"/>
      <c r="B1386" s="140"/>
      <c r="C1386" s="492"/>
      <c r="D1386" s="492">
        <f t="shared" si="58"/>
        <v>0</v>
      </c>
    </row>
    <row r="1387" spans="1:4" s="36" customFormat="1" x14ac:dyDescent="0.2">
      <c r="A1387" s="129" t="s">
        <v>77</v>
      </c>
      <c r="B1387" s="522">
        <v>61675</v>
      </c>
      <c r="C1387" s="522">
        <v>-5000</v>
      </c>
      <c r="D1387" s="522">
        <f t="shared" si="58"/>
        <v>56675</v>
      </c>
    </row>
    <row r="1388" spans="1:4" x14ac:dyDescent="0.2">
      <c r="A1388" s="127" t="s">
        <v>394</v>
      </c>
      <c r="B1388" s="149">
        <v>33766</v>
      </c>
      <c r="C1388" s="149">
        <v>-3731</v>
      </c>
      <c r="D1388" s="149">
        <f t="shared" si="58"/>
        <v>30035</v>
      </c>
    </row>
    <row r="1389" spans="1:4" x14ac:dyDescent="0.2">
      <c r="A1389" s="127"/>
      <c r="B1389" s="149"/>
      <c r="C1389" s="492"/>
      <c r="D1389" s="492">
        <f t="shared" si="58"/>
        <v>0</v>
      </c>
    </row>
    <row r="1390" spans="1:4" x14ac:dyDescent="0.2">
      <c r="A1390" s="196" t="s">
        <v>576</v>
      </c>
      <c r="B1390" s="491">
        <v>18310</v>
      </c>
      <c r="C1390" s="491">
        <v>3000</v>
      </c>
      <c r="D1390" s="491">
        <f t="shared" si="58"/>
        <v>21310</v>
      </c>
    </row>
    <row r="1391" spans="1:4" x14ac:dyDescent="0.2">
      <c r="A1391" s="156"/>
      <c r="B1391" s="491"/>
      <c r="C1391" s="492"/>
      <c r="D1391" s="492">
        <f t="shared" si="58"/>
        <v>0</v>
      </c>
    </row>
    <row r="1392" spans="1:4" x14ac:dyDescent="0.2">
      <c r="A1392" s="158" t="s">
        <v>543</v>
      </c>
      <c r="B1392" s="523">
        <v>30959</v>
      </c>
      <c r="C1392" s="523">
        <v>11300</v>
      </c>
      <c r="D1392" s="523">
        <f t="shared" si="58"/>
        <v>42259</v>
      </c>
    </row>
    <row r="1393" spans="1:4" x14ac:dyDescent="0.2">
      <c r="A1393" s="488"/>
      <c r="B1393" s="140"/>
      <c r="C1393" s="492"/>
      <c r="D1393" s="492">
        <f t="shared" si="58"/>
        <v>0</v>
      </c>
    </row>
    <row r="1394" spans="1:4" x14ac:dyDescent="0.2">
      <c r="A1394" s="128" t="s">
        <v>573</v>
      </c>
      <c r="B1394" s="522">
        <v>120048</v>
      </c>
      <c r="C1394" s="492"/>
      <c r="D1394" s="492">
        <f t="shared" si="58"/>
        <v>120048</v>
      </c>
    </row>
    <row r="1395" spans="1:4" x14ac:dyDescent="0.2">
      <c r="A1395" s="182"/>
      <c r="B1395" s="491"/>
      <c r="C1395" s="492"/>
      <c r="D1395" s="492">
        <f t="shared" si="58"/>
        <v>0</v>
      </c>
    </row>
    <row r="1396" spans="1:4" x14ac:dyDescent="0.2">
      <c r="A1396" s="128" t="s">
        <v>69</v>
      </c>
      <c r="B1396" s="491">
        <v>12524</v>
      </c>
      <c r="C1396" s="492"/>
      <c r="D1396" s="492">
        <f t="shared" si="58"/>
        <v>12524</v>
      </c>
    </row>
    <row r="1397" spans="1:4" x14ac:dyDescent="0.2">
      <c r="A1397" s="438"/>
      <c r="B1397" s="491"/>
      <c r="C1397" s="492"/>
      <c r="D1397" s="492">
        <f t="shared" si="58"/>
        <v>0</v>
      </c>
    </row>
    <row r="1398" spans="1:4" x14ac:dyDescent="0.2">
      <c r="A1398" s="438"/>
      <c r="B1398" s="491"/>
      <c r="C1398" s="492"/>
      <c r="D1398" s="492">
        <f t="shared" si="58"/>
        <v>0</v>
      </c>
    </row>
    <row r="1399" spans="1:4" ht="15.75" x14ac:dyDescent="0.2">
      <c r="A1399" s="138" t="s">
        <v>78</v>
      </c>
      <c r="B1399" s="491"/>
      <c r="C1399" s="492"/>
      <c r="D1399" s="492">
        <f t="shared" si="58"/>
        <v>0</v>
      </c>
    </row>
    <row r="1400" spans="1:4" x14ac:dyDescent="0.2">
      <c r="A1400" s="438"/>
      <c r="B1400" s="491"/>
      <c r="C1400" s="492"/>
      <c r="D1400" s="492">
        <f t="shared" si="58"/>
        <v>0</v>
      </c>
    </row>
    <row r="1401" spans="1:4" x14ac:dyDescent="0.2">
      <c r="A1401" s="133" t="s">
        <v>386</v>
      </c>
      <c r="B1401" s="264">
        <f>B1408+B1414+B1430+B1435</f>
        <v>3718805</v>
      </c>
      <c r="C1401" s="264">
        <f>C1408+C1414+C1430+C1435</f>
        <v>91263</v>
      </c>
      <c r="D1401" s="264">
        <f t="shared" si="58"/>
        <v>3810068</v>
      </c>
    </row>
    <row r="1402" spans="1:4" x14ac:dyDescent="0.2">
      <c r="A1402" s="123" t="s">
        <v>422</v>
      </c>
      <c r="B1402" s="116">
        <v>815613</v>
      </c>
      <c r="C1402" s="492"/>
      <c r="D1402" s="492">
        <f t="shared" si="58"/>
        <v>815613</v>
      </c>
    </row>
    <row r="1403" spans="1:4" x14ac:dyDescent="0.2">
      <c r="A1403" s="134" t="s">
        <v>387</v>
      </c>
      <c r="B1403" s="264">
        <f>B1404+B1406</f>
        <v>3718805</v>
      </c>
      <c r="C1403" s="264">
        <f>C1404+C1406+C1405</f>
        <v>91263</v>
      </c>
      <c r="D1403" s="264">
        <f t="shared" si="58"/>
        <v>3810068</v>
      </c>
    </row>
    <row r="1404" spans="1:4" x14ac:dyDescent="0.2">
      <c r="A1404" s="135" t="s">
        <v>388</v>
      </c>
      <c r="B1404" s="265">
        <f>'2.2 OMATULUD'!B734</f>
        <v>1251200</v>
      </c>
      <c r="C1404" s="265"/>
      <c r="D1404" s="265">
        <f t="shared" si="58"/>
        <v>1251200</v>
      </c>
    </row>
    <row r="1405" spans="1:4" x14ac:dyDescent="0.2">
      <c r="A1405" s="124" t="s">
        <v>360</v>
      </c>
      <c r="B1405" s="265"/>
      <c r="C1405" s="265">
        <f>C1449</f>
        <v>19500</v>
      </c>
      <c r="D1405" s="265">
        <f t="shared" si="58"/>
        <v>19500</v>
      </c>
    </row>
    <row r="1406" spans="1:4" x14ac:dyDescent="0.2">
      <c r="A1406" s="136" t="s">
        <v>389</v>
      </c>
      <c r="B1406" s="265">
        <f>B1401-B1404</f>
        <v>2467605</v>
      </c>
      <c r="C1406" s="265">
        <f>C1401-C1405-C1404</f>
        <v>71763</v>
      </c>
      <c r="D1406" s="265">
        <f t="shared" si="58"/>
        <v>2539368</v>
      </c>
    </row>
    <row r="1407" spans="1:4" x14ac:dyDescent="0.2">
      <c r="A1407" s="136"/>
      <c r="B1407" s="556"/>
      <c r="C1407" s="556"/>
      <c r="D1407" s="492">
        <f t="shared" si="58"/>
        <v>0</v>
      </c>
    </row>
    <row r="1408" spans="1:4" ht="15" x14ac:dyDescent="0.2">
      <c r="A1408" s="189" t="s">
        <v>423</v>
      </c>
      <c r="B1408" s="272">
        <f>B1409</f>
        <v>478108</v>
      </c>
      <c r="C1408" s="272">
        <f>C1409</f>
        <v>3520</v>
      </c>
      <c r="D1408" s="492">
        <f t="shared" si="58"/>
        <v>481628</v>
      </c>
    </row>
    <row r="1409" spans="1:4" x14ac:dyDescent="0.2">
      <c r="A1409" s="181" t="s">
        <v>424</v>
      </c>
      <c r="B1409" s="139">
        <f>B1411</f>
        <v>478108</v>
      </c>
      <c r="C1409" s="139">
        <f>C1411</f>
        <v>3520</v>
      </c>
      <c r="D1409" s="492">
        <f t="shared" si="58"/>
        <v>481628</v>
      </c>
    </row>
    <row r="1410" spans="1:4" x14ac:dyDescent="0.2">
      <c r="A1410" s="190" t="s">
        <v>407</v>
      </c>
      <c r="B1410" s="491"/>
      <c r="C1410" s="492"/>
      <c r="D1410" s="492">
        <f t="shared" si="58"/>
        <v>0</v>
      </c>
    </row>
    <row r="1411" spans="1:4" x14ac:dyDescent="0.2">
      <c r="A1411" s="426" t="s">
        <v>426</v>
      </c>
      <c r="B1411" s="491">
        <v>478108</v>
      </c>
      <c r="C1411" s="492">
        <v>3520</v>
      </c>
      <c r="D1411" s="492">
        <f t="shared" si="58"/>
        <v>481628</v>
      </c>
    </row>
    <row r="1412" spans="1:4" x14ac:dyDescent="0.2">
      <c r="A1412" s="502" t="s">
        <v>394</v>
      </c>
      <c r="B1412" s="266">
        <v>253855</v>
      </c>
      <c r="C1412" s="492"/>
      <c r="D1412" s="492">
        <f t="shared" si="58"/>
        <v>253855</v>
      </c>
    </row>
    <row r="1413" spans="1:4" x14ac:dyDescent="0.2">
      <c r="A1413" s="502"/>
      <c r="B1413" s="266"/>
      <c r="C1413" s="492"/>
      <c r="D1413" s="492">
        <f t="shared" si="58"/>
        <v>0</v>
      </c>
    </row>
    <row r="1414" spans="1:4" ht="15" x14ac:dyDescent="0.2">
      <c r="A1414" s="189" t="s">
        <v>450</v>
      </c>
      <c r="B1414" s="272">
        <f>B1415</f>
        <v>707597</v>
      </c>
      <c r="C1414" s="272">
        <f>C1415</f>
        <v>4243</v>
      </c>
      <c r="D1414" s="272">
        <f t="shared" si="58"/>
        <v>711840</v>
      </c>
    </row>
    <row r="1415" spans="1:4" ht="25.5" x14ac:dyDescent="0.2">
      <c r="A1415" s="191" t="s">
        <v>539</v>
      </c>
      <c r="B1415" s="264">
        <f>B1417+B1421+B1428</f>
        <v>707597</v>
      </c>
      <c r="C1415" s="264">
        <f>C1417+C1421+C1428</f>
        <v>4243</v>
      </c>
      <c r="D1415" s="264">
        <f t="shared" si="58"/>
        <v>711840</v>
      </c>
    </row>
    <row r="1416" spans="1:4" x14ac:dyDescent="0.2">
      <c r="A1416" s="190" t="s">
        <v>407</v>
      </c>
      <c r="B1416" s="491"/>
      <c r="C1416" s="491"/>
      <c r="D1416" s="491">
        <f t="shared" si="58"/>
        <v>0</v>
      </c>
    </row>
    <row r="1417" spans="1:4" x14ac:dyDescent="0.2">
      <c r="A1417" s="426" t="s">
        <v>540</v>
      </c>
      <c r="B1417" s="491">
        <v>219907</v>
      </c>
      <c r="C1417" s="492"/>
      <c r="D1417" s="492">
        <f t="shared" si="58"/>
        <v>219907</v>
      </c>
    </row>
    <row r="1418" spans="1:4" x14ac:dyDescent="0.2">
      <c r="A1418" s="502" t="s">
        <v>394</v>
      </c>
      <c r="B1418" s="266">
        <v>111181</v>
      </c>
      <c r="C1418" s="492"/>
      <c r="D1418" s="492">
        <f t="shared" si="58"/>
        <v>111181</v>
      </c>
    </row>
    <row r="1419" spans="1:4" x14ac:dyDescent="0.2">
      <c r="A1419" s="426"/>
      <c r="B1419" s="491"/>
      <c r="C1419" s="492"/>
      <c r="D1419" s="492">
        <f t="shared" si="58"/>
        <v>0</v>
      </c>
    </row>
    <row r="1420" spans="1:4" x14ac:dyDescent="0.2">
      <c r="A1420" s="190" t="s">
        <v>407</v>
      </c>
      <c r="B1420" s="491"/>
      <c r="C1420" s="492"/>
      <c r="D1420" s="492">
        <f t="shared" si="58"/>
        <v>0</v>
      </c>
    </row>
    <row r="1421" spans="1:4" x14ac:dyDescent="0.2">
      <c r="A1421" s="426" t="s">
        <v>575</v>
      </c>
      <c r="B1421" s="491">
        <v>359450</v>
      </c>
      <c r="C1421" s="492">
        <v>4243</v>
      </c>
      <c r="D1421" s="492">
        <f t="shared" si="58"/>
        <v>363693</v>
      </c>
    </row>
    <row r="1422" spans="1:4" x14ac:dyDescent="0.2">
      <c r="A1422" s="502" t="s">
        <v>394</v>
      </c>
      <c r="B1422" s="266">
        <v>247103</v>
      </c>
      <c r="C1422" s="475">
        <v>3166</v>
      </c>
      <c r="D1422" s="475">
        <f t="shared" si="58"/>
        <v>250269</v>
      </c>
    </row>
    <row r="1423" spans="1:4" ht="22.5" x14ac:dyDescent="0.2">
      <c r="A1423" s="200" t="s">
        <v>838</v>
      </c>
      <c r="B1423" s="275">
        <v>94432</v>
      </c>
      <c r="C1423" s="529">
        <v>3166</v>
      </c>
      <c r="D1423" s="529">
        <f t="shared" si="58"/>
        <v>97598</v>
      </c>
    </row>
    <row r="1424" spans="1:4" ht="22.5" x14ac:dyDescent="0.2">
      <c r="A1424" s="448" t="s">
        <v>836</v>
      </c>
      <c r="B1424" s="275">
        <v>42742</v>
      </c>
      <c r="C1424" s="492"/>
      <c r="D1424" s="492">
        <f t="shared" si="58"/>
        <v>42742</v>
      </c>
    </row>
    <row r="1425" spans="1:4" ht="22.5" x14ac:dyDescent="0.2">
      <c r="A1425" s="448" t="s">
        <v>837</v>
      </c>
      <c r="B1425" s="275">
        <v>109929</v>
      </c>
      <c r="C1425" s="492"/>
      <c r="D1425" s="492">
        <f t="shared" si="58"/>
        <v>109929</v>
      </c>
    </row>
    <row r="1426" spans="1:4" x14ac:dyDescent="0.2">
      <c r="A1426" s="200"/>
      <c r="B1426" s="275"/>
      <c r="C1426" s="492"/>
      <c r="D1426" s="492">
        <f t="shared" si="58"/>
        <v>0</v>
      </c>
    </row>
    <row r="1427" spans="1:4" x14ac:dyDescent="0.2">
      <c r="A1427" s="190" t="s">
        <v>407</v>
      </c>
      <c r="B1427" s="491"/>
      <c r="C1427" s="492"/>
      <c r="D1427" s="492">
        <f t="shared" si="58"/>
        <v>0</v>
      </c>
    </row>
    <row r="1428" spans="1:4" x14ac:dyDescent="0.2">
      <c r="A1428" s="426" t="s">
        <v>79</v>
      </c>
      <c r="B1428" s="491">
        <v>128240</v>
      </c>
      <c r="C1428" s="492"/>
      <c r="D1428" s="492">
        <f t="shared" si="58"/>
        <v>128240</v>
      </c>
    </row>
    <row r="1429" spans="1:4" x14ac:dyDescent="0.2">
      <c r="A1429" s="461"/>
      <c r="B1429" s="507"/>
      <c r="C1429" s="492"/>
      <c r="D1429" s="492">
        <f t="shared" si="58"/>
        <v>0</v>
      </c>
    </row>
    <row r="1430" spans="1:4" ht="15" x14ac:dyDescent="0.2">
      <c r="A1430" s="189" t="s">
        <v>528</v>
      </c>
      <c r="B1430" s="272">
        <f>B1431+B1433</f>
        <v>210830</v>
      </c>
      <c r="C1430" s="272">
        <f>C1431+C1433</f>
        <v>60000</v>
      </c>
      <c r="D1430" s="272">
        <f t="shared" si="58"/>
        <v>270830</v>
      </c>
    </row>
    <row r="1431" spans="1:4" x14ac:dyDescent="0.2">
      <c r="A1431" s="235" t="s">
        <v>529</v>
      </c>
      <c r="B1431" s="139">
        <v>160830</v>
      </c>
      <c r="C1431" s="139">
        <v>60000</v>
      </c>
      <c r="D1431" s="139">
        <f t="shared" si="58"/>
        <v>220830</v>
      </c>
    </row>
    <row r="1432" spans="1:4" x14ac:dyDescent="0.2">
      <c r="A1432" s="488"/>
      <c r="B1432" s="140"/>
      <c r="C1432" s="492"/>
      <c r="D1432" s="492">
        <f t="shared" si="58"/>
        <v>0</v>
      </c>
    </row>
    <row r="1433" spans="1:4" x14ac:dyDescent="0.2">
      <c r="A1433" s="235" t="s">
        <v>80</v>
      </c>
      <c r="B1433" s="139">
        <v>50000</v>
      </c>
      <c r="C1433" s="492"/>
      <c r="D1433" s="492">
        <f t="shared" si="58"/>
        <v>50000</v>
      </c>
    </row>
    <row r="1434" spans="1:4" x14ac:dyDescent="0.2">
      <c r="A1434" s="136"/>
      <c r="B1434" s="556"/>
      <c r="C1434" s="492"/>
      <c r="D1434" s="492">
        <f t="shared" si="58"/>
        <v>0</v>
      </c>
    </row>
    <row r="1435" spans="1:4" x14ac:dyDescent="0.2">
      <c r="A1435" s="192" t="s">
        <v>392</v>
      </c>
      <c r="B1435" s="264">
        <f>B1437+B1440+B1442+B1451+B1453+B1455+B1457</f>
        <v>2322270</v>
      </c>
      <c r="C1435" s="264">
        <f>C1437+C1440+C1442+C1446+C1451+C1453+C1455+C1457</f>
        <v>23500</v>
      </c>
      <c r="D1435" s="264">
        <f t="shared" si="58"/>
        <v>2345770</v>
      </c>
    </row>
    <row r="1436" spans="1:4" x14ac:dyDescent="0.2">
      <c r="A1436" s="192"/>
      <c r="B1436" s="264"/>
      <c r="C1436" s="492"/>
      <c r="D1436" s="492">
        <f t="shared" si="58"/>
        <v>0</v>
      </c>
    </row>
    <row r="1437" spans="1:4" x14ac:dyDescent="0.2">
      <c r="A1437" s="129" t="s">
        <v>541</v>
      </c>
      <c r="B1437" s="491">
        <v>1524945</v>
      </c>
      <c r="C1437" s="491"/>
      <c r="D1437" s="491">
        <f t="shared" si="58"/>
        <v>1524945</v>
      </c>
    </row>
    <row r="1438" spans="1:4" x14ac:dyDescent="0.2">
      <c r="A1438" s="127" t="s">
        <v>394</v>
      </c>
      <c r="B1438" s="266">
        <v>973527</v>
      </c>
      <c r="C1438" s="492"/>
      <c r="D1438" s="492">
        <f t="shared" si="58"/>
        <v>973527</v>
      </c>
    </row>
    <row r="1439" spans="1:4" x14ac:dyDescent="0.2">
      <c r="A1439" s="182"/>
      <c r="B1439" s="265"/>
      <c r="C1439" s="492"/>
      <c r="D1439" s="492">
        <f t="shared" si="58"/>
        <v>0</v>
      </c>
    </row>
    <row r="1440" spans="1:4" x14ac:dyDescent="0.2">
      <c r="A1440" s="196" t="s">
        <v>576</v>
      </c>
      <c r="B1440" s="491">
        <v>60750</v>
      </c>
      <c r="C1440" s="492"/>
      <c r="D1440" s="492">
        <f t="shared" si="58"/>
        <v>60750</v>
      </c>
    </row>
    <row r="1441" spans="1:4" x14ac:dyDescent="0.2">
      <c r="A1441" s="185"/>
      <c r="B1441" s="491"/>
      <c r="C1441" s="492"/>
      <c r="D1441" s="492">
        <f t="shared" si="58"/>
        <v>0</v>
      </c>
    </row>
    <row r="1442" spans="1:4" x14ac:dyDescent="0.2">
      <c r="A1442" s="156" t="s">
        <v>17</v>
      </c>
      <c r="B1442" s="491">
        <v>13600</v>
      </c>
      <c r="C1442" s="491">
        <v>0</v>
      </c>
      <c r="D1442" s="491">
        <f t="shared" ref="D1442:D1506" si="59">B1442+C1442</f>
        <v>13600</v>
      </c>
    </row>
    <row r="1443" spans="1:4" ht="33.75" x14ac:dyDescent="0.2">
      <c r="A1443" s="188" t="s">
        <v>1023</v>
      </c>
      <c r="B1443" s="194"/>
      <c r="C1443" s="271">
        <v>3817</v>
      </c>
      <c r="D1443" s="271">
        <f t="shared" si="59"/>
        <v>3817</v>
      </c>
    </row>
    <row r="1444" spans="1:4" ht="33.75" x14ac:dyDescent="0.2">
      <c r="A1444" s="200" t="s">
        <v>1024</v>
      </c>
      <c r="B1444" s="194"/>
      <c r="C1444" s="271">
        <v>3724</v>
      </c>
      <c r="D1444" s="271">
        <f t="shared" si="59"/>
        <v>3724</v>
      </c>
    </row>
    <row r="1445" spans="1:4" x14ac:dyDescent="0.2">
      <c r="A1445" s="182"/>
      <c r="B1445" s="194"/>
      <c r="C1445" s="492"/>
      <c r="D1445" s="492">
        <f t="shared" si="59"/>
        <v>0</v>
      </c>
    </row>
    <row r="1446" spans="1:4" ht="38.25" x14ac:dyDescent="0.2">
      <c r="A1446" s="158" t="s">
        <v>1021</v>
      </c>
      <c r="B1446" s="194"/>
      <c r="C1446" s="491">
        <v>26000</v>
      </c>
      <c r="D1446" s="491">
        <f t="shared" si="59"/>
        <v>26000</v>
      </c>
    </row>
    <row r="1447" spans="1:4" s="10" customFormat="1" x14ac:dyDescent="0.2">
      <c r="A1447" s="127" t="s">
        <v>394</v>
      </c>
      <c r="B1447" s="194"/>
      <c r="C1447" s="265">
        <v>16418</v>
      </c>
      <c r="D1447" s="265">
        <f t="shared" si="59"/>
        <v>16418</v>
      </c>
    </row>
    <row r="1448" spans="1:4" x14ac:dyDescent="0.2">
      <c r="A1448" s="135"/>
      <c r="B1448" s="194"/>
      <c r="C1448" s="491"/>
      <c r="D1448" s="491">
        <f t="shared" si="59"/>
        <v>0</v>
      </c>
    </row>
    <row r="1449" spans="1:4" s="10" customFormat="1" x14ac:dyDescent="0.2">
      <c r="A1449" s="131" t="s">
        <v>420</v>
      </c>
      <c r="B1449" s="194"/>
      <c r="C1449" s="265">
        <v>19500</v>
      </c>
      <c r="D1449" s="265">
        <f t="shared" si="59"/>
        <v>19500</v>
      </c>
    </row>
    <row r="1450" spans="1:4" x14ac:dyDescent="0.2">
      <c r="A1450" s="131"/>
      <c r="B1450" s="194"/>
      <c r="C1450" s="491"/>
      <c r="D1450" s="491">
        <f t="shared" si="59"/>
        <v>0</v>
      </c>
    </row>
    <row r="1451" spans="1:4" x14ac:dyDescent="0.2">
      <c r="A1451" s="158" t="s">
        <v>543</v>
      </c>
      <c r="B1451" s="523">
        <v>33675</v>
      </c>
      <c r="C1451" s="491"/>
      <c r="D1451" s="491">
        <f t="shared" si="59"/>
        <v>33675</v>
      </c>
    </row>
    <row r="1452" spans="1:4" x14ac:dyDescent="0.2">
      <c r="A1452" s="158"/>
      <c r="B1452" s="523"/>
      <c r="C1452" s="491"/>
      <c r="D1452" s="491">
        <f t="shared" si="59"/>
        <v>0</v>
      </c>
    </row>
    <row r="1453" spans="1:4" x14ac:dyDescent="0.2">
      <c r="A1453" s="128" t="s">
        <v>572</v>
      </c>
      <c r="B1453" s="522">
        <v>434100</v>
      </c>
      <c r="C1453" s="491"/>
      <c r="D1453" s="491">
        <f t="shared" si="59"/>
        <v>434100</v>
      </c>
    </row>
    <row r="1454" spans="1:4" x14ac:dyDescent="0.2">
      <c r="A1454" s="488"/>
      <c r="B1454" s="140"/>
      <c r="C1454" s="491"/>
      <c r="D1454" s="491">
        <f t="shared" si="59"/>
        <v>0</v>
      </c>
    </row>
    <row r="1455" spans="1:4" x14ac:dyDescent="0.2">
      <c r="A1455" s="128" t="s">
        <v>573</v>
      </c>
      <c r="B1455" s="522">
        <v>195200</v>
      </c>
      <c r="C1455" s="491"/>
      <c r="D1455" s="491">
        <f t="shared" si="59"/>
        <v>195200</v>
      </c>
    </row>
    <row r="1456" spans="1:4" x14ac:dyDescent="0.2">
      <c r="A1456" s="182"/>
      <c r="B1456" s="491"/>
      <c r="C1456" s="491"/>
      <c r="D1456" s="491">
        <f t="shared" si="59"/>
        <v>0</v>
      </c>
    </row>
    <row r="1457" spans="1:4" x14ac:dyDescent="0.2">
      <c r="A1457" s="128" t="s">
        <v>69</v>
      </c>
      <c r="B1457" s="491">
        <v>60000</v>
      </c>
      <c r="C1457" s="491">
        <v>-2500</v>
      </c>
      <c r="D1457" s="491">
        <f t="shared" si="59"/>
        <v>57500</v>
      </c>
    </row>
    <row r="1458" spans="1:4" x14ac:dyDescent="0.2">
      <c r="A1458" s="500"/>
      <c r="B1458" s="527"/>
      <c r="C1458" s="492"/>
      <c r="D1458" s="492">
        <f t="shared" si="59"/>
        <v>0</v>
      </c>
    </row>
    <row r="1459" spans="1:4" x14ac:dyDescent="0.2">
      <c r="A1459" s="500"/>
      <c r="B1459" s="527"/>
      <c r="C1459" s="492"/>
      <c r="D1459" s="492">
        <f t="shared" si="59"/>
        <v>0</v>
      </c>
    </row>
    <row r="1460" spans="1:4" x14ac:dyDescent="0.2">
      <c r="A1460" s="500"/>
      <c r="B1460" s="527"/>
      <c r="C1460" s="492"/>
      <c r="D1460" s="492">
        <f t="shared" si="59"/>
        <v>0</v>
      </c>
    </row>
    <row r="1461" spans="1:4" ht="15.75" x14ac:dyDescent="0.2">
      <c r="A1461" s="138" t="s">
        <v>81</v>
      </c>
      <c r="B1461" s="491"/>
      <c r="C1461" s="492"/>
      <c r="D1461" s="492">
        <f t="shared" si="59"/>
        <v>0</v>
      </c>
    </row>
    <row r="1462" spans="1:4" x14ac:dyDescent="0.2">
      <c r="A1462" s="128"/>
      <c r="B1462" s="491"/>
      <c r="C1462" s="492"/>
      <c r="D1462" s="492">
        <f t="shared" si="59"/>
        <v>0</v>
      </c>
    </row>
    <row r="1463" spans="1:4" x14ac:dyDescent="0.2">
      <c r="A1463" s="125" t="s">
        <v>82</v>
      </c>
      <c r="B1463" s="264">
        <v>5200000</v>
      </c>
      <c r="C1463" s="264">
        <f>-60121-45500</f>
        <v>-105621</v>
      </c>
      <c r="D1463" s="264">
        <f t="shared" si="59"/>
        <v>5094379</v>
      </c>
    </row>
    <row r="1464" spans="1:4" x14ac:dyDescent="0.2">
      <c r="A1464" s="125"/>
      <c r="B1464" s="264"/>
      <c r="C1464" s="492"/>
      <c r="D1464" s="492">
        <f t="shared" si="59"/>
        <v>0</v>
      </c>
    </row>
    <row r="1465" spans="1:4" x14ac:dyDescent="0.2">
      <c r="A1465" s="125" t="s">
        <v>815</v>
      </c>
      <c r="B1465" s="431">
        <f>B1467+B1469+B1471+B1473+B1475+B1479+B1477</f>
        <v>1064195</v>
      </c>
      <c r="C1465" s="431">
        <f t="shared" ref="C1465" si="60">C1467+C1469+C1471+C1473+C1475+C1479+C1477</f>
        <v>-653614</v>
      </c>
      <c r="D1465" s="431">
        <f t="shared" si="59"/>
        <v>410581</v>
      </c>
    </row>
    <row r="1466" spans="1:4" x14ac:dyDescent="0.2">
      <c r="A1466" s="434" t="s">
        <v>394</v>
      </c>
      <c r="B1466" s="435">
        <f>B1468+B1470+B1472+B1474+B1476+B1480+B1478</f>
        <v>794175</v>
      </c>
      <c r="C1466" s="435">
        <f t="shared" ref="C1466" si="61">C1468+C1470+C1472+C1474+C1476+C1480+C1478</f>
        <v>-487771</v>
      </c>
      <c r="D1466" s="435">
        <f t="shared" si="59"/>
        <v>306404</v>
      </c>
    </row>
    <row r="1467" spans="1:4" x14ac:dyDescent="0.2">
      <c r="A1467" s="430" t="s">
        <v>855</v>
      </c>
      <c r="B1467" s="432">
        <v>24790</v>
      </c>
      <c r="C1467" s="492"/>
      <c r="D1467" s="492">
        <f t="shared" si="59"/>
        <v>24790</v>
      </c>
    </row>
    <row r="1468" spans="1:4" x14ac:dyDescent="0.2">
      <c r="A1468" s="434" t="s">
        <v>394</v>
      </c>
      <c r="B1468" s="435">
        <v>18500</v>
      </c>
      <c r="C1468" s="492"/>
      <c r="D1468" s="492">
        <f t="shared" si="59"/>
        <v>18500</v>
      </c>
    </row>
    <row r="1469" spans="1:4" x14ac:dyDescent="0.2">
      <c r="A1469" s="433" t="s">
        <v>856</v>
      </c>
      <c r="B1469" s="432">
        <v>35055</v>
      </c>
      <c r="C1469" s="492"/>
      <c r="D1469" s="492">
        <f t="shared" si="59"/>
        <v>35055</v>
      </c>
    </row>
    <row r="1470" spans="1:4" x14ac:dyDescent="0.2">
      <c r="A1470" s="434" t="s">
        <v>394</v>
      </c>
      <c r="B1470" s="435">
        <v>26160</v>
      </c>
      <c r="C1470" s="492"/>
      <c r="D1470" s="492">
        <f t="shared" si="59"/>
        <v>26160</v>
      </c>
    </row>
    <row r="1471" spans="1:4" ht="229.5" x14ac:dyDescent="0.2">
      <c r="A1471" s="436" t="s">
        <v>858</v>
      </c>
      <c r="B1471" s="432">
        <v>313811</v>
      </c>
      <c r="C1471" s="492">
        <f>-5450-39000</f>
        <v>-44450</v>
      </c>
      <c r="D1471" s="492">
        <f t="shared" si="59"/>
        <v>269361</v>
      </c>
    </row>
    <row r="1472" spans="1:4" x14ac:dyDescent="0.2">
      <c r="A1472" s="434" t="s">
        <v>394</v>
      </c>
      <c r="B1472" s="435">
        <v>234187</v>
      </c>
      <c r="C1472" s="475">
        <f>-4067-29104</f>
        <v>-33171</v>
      </c>
      <c r="D1472" s="475">
        <f t="shared" si="59"/>
        <v>201016</v>
      </c>
    </row>
    <row r="1473" spans="1:4" x14ac:dyDescent="0.2">
      <c r="A1473" s="433" t="s">
        <v>887</v>
      </c>
      <c r="B1473" s="432">
        <v>45877</v>
      </c>
      <c r="C1473" s="492"/>
      <c r="D1473" s="492">
        <f t="shared" si="59"/>
        <v>45877</v>
      </c>
    </row>
    <row r="1474" spans="1:4" x14ac:dyDescent="0.2">
      <c r="A1474" s="434" t="s">
        <v>394</v>
      </c>
      <c r="B1474" s="435">
        <v>34237</v>
      </c>
      <c r="C1474" s="492"/>
      <c r="D1474" s="492">
        <f t="shared" si="59"/>
        <v>34237</v>
      </c>
    </row>
    <row r="1475" spans="1:4" ht="76.5" x14ac:dyDescent="0.2">
      <c r="A1475" s="436" t="s">
        <v>1059</v>
      </c>
      <c r="B1475" s="432">
        <v>18220</v>
      </c>
      <c r="C1475" s="492"/>
      <c r="D1475" s="492">
        <f t="shared" si="59"/>
        <v>18220</v>
      </c>
    </row>
    <row r="1476" spans="1:4" x14ac:dyDescent="0.2">
      <c r="A1476" s="434" t="s">
        <v>394</v>
      </c>
      <c r="B1476" s="435">
        <v>13597</v>
      </c>
      <c r="C1476" s="492"/>
      <c r="D1476" s="492">
        <f t="shared" si="59"/>
        <v>13597</v>
      </c>
    </row>
    <row r="1477" spans="1:4" x14ac:dyDescent="0.2">
      <c r="A1477" s="433" t="s">
        <v>871</v>
      </c>
      <c r="B1477" s="432">
        <v>17278</v>
      </c>
      <c r="C1477" s="492"/>
      <c r="D1477" s="492">
        <f t="shared" si="59"/>
        <v>17278</v>
      </c>
    </row>
    <row r="1478" spans="1:4" x14ac:dyDescent="0.2">
      <c r="A1478" s="434" t="s">
        <v>394</v>
      </c>
      <c r="B1478" s="435">
        <v>12894</v>
      </c>
      <c r="C1478" s="492"/>
      <c r="D1478" s="492">
        <f t="shared" si="59"/>
        <v>12894</v>
      </c>
    </row>
    <row r="1479" spans="1:4" x14ac:dyDescent="0.2">
      <c r="A1479" s="433" t="s">
        <v>857</v>
      </c>
      <c r="B1479" s="432">
        <v>609164</v>
      </c>
      <c r="C1479" s="432">
        <v>-609164</v>
      </c>
      <c r="D1479" s="432">
        <f t="shared" si="59"/>
        <v>0</v>
      </c>
    </row>
    <row r="1480" spans="1:4" x14ac:dyDescent="0.2">
      <c r="A1480" s="434" t="s">
        <v>394</v>
      </c>
      <c r="B1480" s="435">
        <f>445264+9336</f>
        <v>454600</v>
      </c>
      <c r="C1480" s="435">
        <v>-454600</v>
      </c>
      <c r="D1480" s="432">
        <f t="shared" si="59"/>
        <v>0</v>
      </c>
    </row>
    <row r="1481" spans="1:4" x14ac:dyDescent="0.2">
      <c r="A1481" s="433" t="s">
        <v>977</v>
      </c>
      <c r="B1481" s="435"/>
      <c r="C1481" s="492"/>
      <c r="D1481" s="492">
        <f t="shared" si="59"/>
        <v>0</v>
      </c>
    </row>
    <row r="1482" spans="1:4" x14ac:dyDescent="0.2">
      <c r="A1482" s="434" t="s">
        <v>394</v>
      </c>
      <c r="B1482" s="435"/>
      <c r="C1482" s="492"/>
      <c r="D1482" s="492">
        <f t="shared" si="59"/>
        <v>0</v>
      </c>
    </row>
    <row r="1483" spans="1:4" x14ac:dyDescent="0.2">
      <c r="A1483" s="434"/>
      <c r="B1483" s="431"/>
      <c r="C1483" s="492"/>
      <c r="D1483" s="431">
        <f t="shared" si="59"/>
        <v>0</v>
      </c>
    </row>
    <row r="1484" spans="1:4" x14ac:dyDescent="0.2">
      <c r="A1484" s="125" t="s">
        <v>816</v>
      </c>
      <c r="B1484" s="431">
        <v>3150000</v>
      </c>
      <c r="C1484" s="492"/>
      <c r="D1484" s="431">
        <f t="shared" si="59"/>
        <v>3150000</v>
      </c>
    </row>
    <row r="1485" spans="1:4" x14ac:dyDescent="0.2">
      <c r="A1485" s="201"/>
      <c r="B1485" s="264"/>
      <c r="C1485" s="492"/>
      <c r="D1485" s="264">
        <f t="shared" si="59"/>
        <v>0</v>
      </c>
    </row>
    <row r="1486" spans="1:4" x14ac:dyDescent="0.2">
      <c r="A1486" s="125" t="s">
        <v>859</v>
      </c>
      <c r="B1486" s="264">
        <f>B1487+B1488</f>
        <v>3451500</v>
      </c>
      <c r="C1486" s="264">
        <f>C1487+C1488</f>
        <v>123786</v>
      </c>
      <c r="D1486" s="264">
        <f t="shared" si="59"/>
        <v>3575286</v>
      </c>
    </row>
    <row r="1487" spans="1:4" x14ac:dyDescent="0.2">
      <c r="A1487" s="201" t="s">
        <v>83</v>
      </c>
      <c r="B1487" s="264">
        <v>1561500</v>
      </c>
      <c r="C1487" s="513">
        <v>300000</v>
      </c>
      <c r="D1487" s="264">
        <f t="shared" si="59"/>
        <v>1861500</v>
      </c>
    </row>
    <row r="1488" spans="1:4" x14ac:dyDescent="0.2">
      <c r="A1488" s="201" t="s">
        <v>158</v>
      </c>
      <c r="B1488" s="264">
        <f>SUM(B1489:B1492)</f>
        <v>1890000</v>
      </c>
      <c r="C1488" s="264">
        <f>SUM(C1489:C1492)</f>
        <v>-176214</v>
      </c>
      <c r="D1488" s="264">
        <f t="shared" si="59"/>
        <v>1713786</v>
      </c>
    </row>
    <row r="1489" spans="1:6" ht="25.5" x14ac:dyDescent="0.2">
      <c r="A1489" s="557" t="s">
        <v>84</v>
      </c>
      <c r="B1489" s="491">
        <v>1200000</v>
      </c>
      <c r="C1489" s="491">
        <f>-72900-10000</f>
        <v>-82900</v>
      </c>
      <c r="D1489" s="491">
        <f t="shared" si="59"/>
        <v>1117100</v>
      </c>
    </row>
    <row r="1490" spans="1:6" x14ac:dyDescent="0.2">
      <c r="A1490" s="558" t="s">
        <v>18</v>
      </c>
      <c r="B1490" s="491">
        <v>300000</v>
      </c>
      <c r="C1490" s="491">
        <f>-60000-29314</f>
        <v>-89314</v>
      </c>
      <c r="D1490" s="491">
        <f t="shared" si="59"/>
        <v>210686</v>
      </c>
    </row>
    <row r="1491" spans="1:6" ht="25.5" x14ac:dyDescent="0.2">
      <c r="A1491" s="557" t="s">
        <v>85</v>
      </c>
      <c r="B1491" s="491">
        <v>100000</v>
      </c>
      <c r="C1491" s="492"/>
      <c r="D1491" s="491">
        <f t="shared" si="59"/>
        <v>100000</v>
      </c>
    </row>
    <row r="1492" spans="1:6" x14ac:dyDescent="0.2">
      <c r="A1492" s="558" t="s">
        <v>86</v>
      </c>
      <c r="B1492" s="491">
        <v>290000</v>
      </c>
      <c r="C1492" s="492">
        <v>-4000</v>
      </c>
      <c r="D1492" s="491">
        <f t="shared" si="59"/>
        <v>286000</v>
      </c>
    </row>
    <row r="1493" spans="1:6" x14ac:dyDescent="0.2">
      <c r="A1493" s="438"/>
      <c r="B1493" s="491"/>
      <c r="C1493" s="492"/>
      <c r="D1493" s="491">
        <f t="shared" si="59"/>
        <v>0</v>
      </c>
    </row>
    <row r="1494" spans="1:6" x14ac:dyDescent="0.2">
      <c r="A1494" s="243" t="s">
        <v>159</v>
      </c>
      <c r="B1494" s="264">
        <f>69000000+500000</f>
        <v>69500000</v>
      </c>
      <c r="C1494" s="264">
        <v>-906591</v>
      </c>
      <c r="D1494" s="264">
        <f t="shared" si="59"/>
        <v>68593409</v>
      </c>
    </row>
    <row r="1495" spans="1:6" x14ac:dyDescent="0.2">
      <c r="A1495" s="243"/>
      <c r="B1495" s="264"/>
      <c r="C1495" s="492"/>
      <c r="D1495" s="264">
        <f t="shared" si="59"/>
        <v>0</v>
      </c>
    </row>
    <row r="1496" spans="1:6" x14ac:dyDescent="0.2">
      <c r="A1496" s="243"/>
      <c r="B1496" s="264"/>
      <c r="C1496" s="492"/>
      <c r="D1496" s="264">
        <f t="shared" si="59"/>
        <v>0</v>
      </c>
    </row>
    <row r="1497" spans="1:6" ht="15.75" x14ac:dyDescent="0.2">
      <c r="A1497" s="263" t="s">
        <v>293</v>
      </c>
      <c r="B1497" s="276">
        <f ca="1">SUMIF($A$4:B$1495,$A$6,B$4:B$1495)+B1463+B1486+B1494+B1484+B1465</f>
        <v>411158963</v>
      </c>
      <c r="C1497" s="276">
        <f ca="1">SUMIF($A$4:C$1495,$A$6,C$4:C$1495)+C1463+C1486+C1494+C1484+C1465</f>
        <v>7846694</v>
      </c>
      <c r="D1497" s="276">
        <f t="shared" ca="1" si="59"/>
        <v>419005657</v>
      </c>
      <c r="F1497" s="29"/>
    </row>
    <row r="1498" spans="1:6" x14ac:dyDescent="0.2">
      <c r="A1498" s="474" t="s">
        <v>394</v>
      </c>
      <c r="B1498" s="515"/>
      <c r="C1498" s="515"/>
      <c r="D1498" s="515">
        <f t="shared" si="59"/>
        <v>0</v>
      </c>
      <c r="F1498" s="29"/>
    </row>
    <row r="1499" spans="1:6" x14ac:dyDescent="0.2">
      <c r="A1499" s="202" t="s">
        <v>422</v>
      </c>
      <c r="B1499" s="277">
        <f ca="1">SUMIF($A$6:B$1495,$A$7,B6:B1495)</f>
        <v>63686567</v>
      </c>
      <c r="C1499" s="277">
        <f ca="1">SUMIF($A$6:C$1495,$A$7,C6:C1495)</f>
        <v>258407</v>
      </c>
      <c r="D1499" s="277">
        <f t="shared" ca="1" si="59"/>
        <v>63944974</v>
      </c>
      <c r="F1499" s="29"/>
    </row>
    <row r="1500" spans="1:6" x14ac:dyDescent="0.2">
      <c r="A1500" s="202"/>
      <c r="B1500" s="277"/>
      <c r="C1500" s="277"/>
      <c r="D1500" s="277"/>
      <c r="F1500" s="29"/>
    </row>
    <row r="1501" spans="1:6" ht="15.75" x14ac:dyDescent="0.25">
      <c r="A1501" s="203" t="s">
        <v>387</v>
      </c>
      <c r="B1501" s="276">
        <f ca="1">SUMIF($A$4:B$1494,$A$8,B4:B1494)+B1463+B1486+B1494+B1465+B1484</f>
        <v>411158963</v>
      </c>
      <c r="C1501" s="276">
        <f ca="1">SUMIF($A$4:C$1494,$A$8,C4:C1494)+C1463+C1486+C1494+C1465+C1484</f>
        <v>7846694</v>
      </c>
      <c r="D1501" s="276">
        <f t="shared" ca="1" si="59"/>
        <v>419005657</v>
      </c>
      <c r="F1501" s="29"/>
    </row>
    <row r="1502" spans="1:6" x14ac:dyDescent="0.2">
      <c r="A1502" s="204" t="s">
        <v>388</v>
      </c>
      <c r="B1502" s="17">
        <f ca="1">SUMIF($A$4:B$1494,$A$1502,B4:B1494)</f>
        <v>52128595</v>
      </c>
      <c r="C1502" s="17">
        <f ca="1">SUMIF($A$4:C$1494,$A$1502,C4:C1494)</f>
        <v>1624296</v>
      </c>
      <c r="D1502" s="17">
        <f t="shared" ca="1" si="59"/>
        <v>53752891</v>
      </c>
      <c r="F1502" s="29"/>
    </row>
    <row r="1503" spans="1:6" x14ac:dyDescent="0.2">
      <c r="A1503" s="205" t="s">
        <v>360</v>
      </c>
      <c r="B1503" s="17">
        <f ca="1">SUMIF($A$4:B$1494,$A$1503,B4:B1494)</f>
        <v>866620</v>
      </c>
      <c r="C1503" s="17">
        <f ca="1">SUMIF($A$4:C$1494,$A$1503,C4:C1494)</f>
        <v>42752</v>
      </c>
      <c r="D1503" s="17">
        <f t="shared" ca="1" si="59"/>
        <v>909372</v>
      </c>
      <c r="F1503" s="29"/>
    </row>
    <row r="1504" spans="1:6" ht="25.5" x14ac:dyDescent="0.2">
      <c r="A1504" s="141" t="s">
        <v>404</v>
      </c>
      <c r="B1504" s="17">
        <f ca="1">SUMIF($A$4:B$1494,$A$1504,B4:B1494)</f>
        <v>7873</v>
      </c>
      <c r="C1504" s="17">
        <f ca="1">SUMIF($A$4:C$1494,$A$1504,C4:C1494)</f>
        <v>1</v>
      </c>
      <c r="D1504" s="17">
        <f t="shared" ca="1" si="59"/>
        <v>7874</v>
      </c>
      <c r="F1504" s="29"/>
    </row>
    <row r="1505" spans="1:6" x14ac:dyDescent="0.2">
      <c r="A1505" s="205" t="s">
        <v>19</v>
      </c>
      <c r="B1505" s="17">
        <f>B1494</f>
        <v>69500000</v>
      </c>
      <c r="C1505" s="17">
        <f t="shared" ref="C1505" si="62">C1494</f>
        <v>-906591</v>
      </c>
      <c r="D1505" s="17">
        <f t="shared" si="59"/>
        <v>68593409</v>
      </c>
      <c r="F1505" s="29"/>
    </row>
    <row r="1506" spans="1:6" x14ac:dyDescent="0.2">
      <c r="A1506" s="205" t="s">
        <v>389</v>
      </c>
      <c r="B1506" s="17">
        <f ca="1">SUMIF($A$4:B$1494,$A$1506,B4:B1494)+SUMIF($A$4:B$1494,$A$1006,B4:B1494)+B1463+B1486+B1484+B1465</f>
        <v>288655875</v>
      </c>
      <c r="C1506" s="17">
        <f ca="1">SUMIF($A$4:C$1494,$A$1506,C4:C1494)+SUMIF($A$4:C$1494,$A$1006,C4:C1494)+C1463+C1486+C1484+C1465</f>
        <v>7086236</v>
      </c>
      <c r="D1506" s="17">
        <f t="shared" ca="1" si="59"/>
        <v>295742111</v>
      </c>
      <c r="F1506" s="29"/>
    </row>
    <row r="1507" spans="1:6" x14ac:dyDescent="0.2">
      <c r="A1507" s="205"/>
      <c r="B1507" s="17"/>
      <c r="C1507" s="17">
        <f ca="1">C1502-'2.2 OMATULUD'!C771</f>
        <v>0</v>
      </c>
      <c r="D1507" s="17">
        <f t="shared" ref="D1507:D1511" ca="1" si="63">B1507+C1507</f>
        <v>0</v>
      </c>
    </row>
    <row r="1508" spans="1:6" x14ac:dyDescent="0.2">
      <c r="A1508" s="205"/>
      <c r="B1508" s="17"/>
      <c r="C1508" s="17"/>
      <c r="D1508" s="17">
        <f t="shared" si="63"/>
        <v>0</v>
      </c>
    </row>
    <row r="1509" spans="1:6" x14ac:dyDescent="0.2">
      <c r="A1509" s="205"/>
      <c r="B1509" s="265"/>
      <c r="C1509" s="265"/>
      <c r="D1509" s="265">
        <f t="shared" si="63"/>
        <v>0</v>
      </c>
    </row>
    <row r="1510" spans="1:6" x14ac:dyDescent="0.2">
      <c r="A1510" s="205"/>
      <c r="B1510" s="17"/>
      <c r="C1510" s="17"/>
      <c r="D1510" s="17">
        <f t="shared" si="63"/>
        <v>0</v>
      </c>
    </row>
    <row r="1511" spans="1:6" x14ac:dyDescent="0.2">
      <c r="A1511" s="205"/>
      <c r="B1511" s="17"/>
      <c r="C1511" s="17"/>
      <c r="D1511" s="17">
        <f t="shared" si="63"/>
        <v>0</v>
      </c>
    </row>
    <row r="1512" spans="1:6" x14ac:dyDescent="0.2">
      <c r="A1512" s="471"/>
    </row>
    <row r="1513" spans="1:6" x14ac:dyDescent="0.2">
      <c r="A1513" s="471"/>
    </row>
    <row r="1514" spans="1:6" x14ac:dyDescent="0.2">
      <c r="A1514" s="471"/>
    </row>
    <row r="1515" spans="1:6" x14ac:dyDescent="0.2">
      <c r="A1515" s="489"/>
    </row>
    <row r="1516" spans="1:6" x14ac:dyDescent="0.2">
      <c r="A1516" s="490"/>
    </row>
    <row r="1517" spans="1:6" x14ac:dyDescent="0.2">
      <c r="A1517" s="489"/>
    </row>
  </sheetData>
  <phoneticPr fontId="21" type="noConversion"/>
  <printOptions gridLines="1"/>
  <pageMargins left="0.78740157480314965" right="0.78740157480314965" top="0.47244094488188981" bottom="0.98425196850393704" header="0.51181102362204722" footer="0.51181102362204722"/>
  <pageSetup paperSize="9" scale="75" fitToHeight="70" orientation="portrait" r:id="rId1"/>
  <headerFooter alignWithMargins="0">
    <oddFooter>&amp;C&amp;P/&amp;N&amp;R&amp;D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I184"/>
  <sheetViews>
    <sheetView showZeros="0" zoomScaleNormal="100" workbookViewId="0">
      <pane ySplit="2" topLeftCell="A3" activePane="bottomLeft" state="frozen"/>
      <selection activeCell="L149" sqref="L149"/>
      <selection pane="bottomLeft"/>
    </sheetView>
  </sheetViews>
  <sheetFormatPr defaultColWidth="9.140625" defaultRowHeight="12.75" x14ac:dyDescent="0.2"/>
  <cols>
    <col min="1" max="1" width="56.5703125" style="447" customWidth="1"/>
    <col min="2" max="2" width="8" style="442" customWidth="1"/>
    <col min="3" max="3" width="12.140625" style="442" customWidth="1"/>
    <col min="4" max="5" width="11.28515625" style="442" customWidth="1"/>
    <col min="6" max="6" width="11.28515625" style="442" hidden="1" customWidth="1"/>
    <col min="7" max="7" width="23.7109375" style="530" hidden="1" customWidth="1"/>
    <col min="8" max="9" width="11.28515625" style="497" customWidth="1"/>
    <col min="10" max="16384" width="9.140625" style="442"/>
  </cols>
  <sheetData>
    <row r="1" spans="1:9" ht="15" x14ac:dyDescent="0.25">
      <c r="A1" s="443" t="s">
        <v>93</v>
      </c>
      <c r="B1" s="497"/>
      <c r="C1" s="444"/>
      <c r="D1" s="497"/>
      <c r="E1" s="444"/>
      <c r="F1" s="444"/>
      <c r="H1" s="444"/>
      <c r="I1" s="444"/>
    </row>
    <row r="2" spans="1:9" x14ac:dyDescent="0.2">
      <c r="A2" s="445"/>
      <c r="B2" s="497"/>
      <c r="C2" s="446"/>
      <c r="D2" s="497"/>
      <c r="E2" s="446"/>
      <c r="F2" s="446"/>
      <c r="H2" s="446"/>
      <c r="I2" s="446"/>
    </row>
    <row r="3" spans="1:9" ht="12.75" customHeight="1" x14ac:dyDescent="0.2">
      <c r="A3" s="576"/>
      <c r="B3" s="577"/>
      <c r="C3" s="578"/>
      <c r="D3" s="497"/>
      <c r="E3" s="486"/>
      <c r="F3" s="482"/>
      <c r="H3" s="528"/>
      <c r="I3" s="540"/>
    </row>
    <row r="4" spans="1:9" x14ac:dyDescent="0.2">
      <c r="A4" s="571"/>
      <c r="B4" s="571"/>
      <c r="C4" s="571"/>
      <c r="D4" s="579" t="s">
        <v>294</v>
      </c>
      <c r="E4" s="486"/>
      <c r="F4" s="482"/>
      <c r="H4" s="528"/>
      <c r="I4" s="540"/>
    </row>
    <row r="5" spans="1:9" ht="51" x14ac:dyDescent="0.2">
      <c r="A5" s="580" t="s">
        <v>545</v>
      </c>
      <c r="B5" s="581" t="s">
        <v>94</v>
      </c>
      <c r="C5" s="581" t="s">
        <v>826</v>
      </c>
      <c r="D5" s="582" t="s">
        <v>1054</v>
      </c>
      <c r="E5" s="486"/>
      <c r="F5" s="482"/>
      <c r="H5" s="528"/>
      <c r="I5" s="540"/>
    </row>
    <row r="6" spans="1:9" x14ac:dyDescent="0.2">
      <c r="A6" s="387"/>
      <c r="B6" s="449"/>
      <c r="C6" s="388"/>
      <c r="D6" s="565"/>
      <c r="E6" s="486"/>
      <c r="F6" s="482"/>
      <c r="H6" s="528"/>
      <c r="I6" s="540"/>
    </row>
    <row r="7" spans="1:9" x14ac:dyDescent="0.2">
      <c r="A7" s="415" t="s">
        <v>546</v>
      </c>
      <c r="B7" s="310" t="s">
        <v>579</v>
      </c>
      <c r="C7" s="311">
        <f>C8+C10+C11+C9</f>
        <v>180676110</v>
      </c>
      <c r="D7" s="311">
        <f>D8+D10+D11+D9</f>
        <v>69521007</v>
      </c>
    </row>
    <row r="8" spans="1:9" x14ac:dyDescent="0.2">
      <c r="A8" s="322" t="s">
        <v>547</v>
      </c>
      <c r="B8" s="313" t="s">
        <v>95</v>
      </c>
      <c r="C8" s="450">
        <f>C15+C67+C156</f>
        <v>93707624</v>
      </c>
      <c r="D8" s="450">
        <f>D15+D67+D156</f>
        <v>49781315</v>
      </c>
    </row>
    <row r="9" spans="1:9" x14ac:dyDescent="0.2">
      <c r="A9" s="322"/>
      <c r="B9" s="313" t="s">
        <v>548</v>
      </c>
      <c r="C9" s="450">
        <f>C16</f>
        <v>2434737</v>
      </c>
      <c r="D9" s="450">
        <f>D16</f>
        <v>319559</v>
      </c>
    </row>
    <row r="10" spans="1:9" x14ac:dyDescent="0.2">
      <c r="A10" s="357"/>
      <c r="B10" s="313" t="s">
        <v>97</v>
      </c>
      <c r="C10" s="314">
        <f>C68</f>
        <v>3929468</v>
      </c>
      <c r="D10" s="314">
        <f>D68</f>
        <v>3929468</v>
      </c>
    </row>
    <row r="11" spans="1:9" x14ac:dyDescent="0.2">
      <c r="A11" s="358"/>
      <c r="B11" s="352" t="s">
        <v>549</v>
      </c>
      <c r="C11" s="314">
        <f>C17</f>
        <v>80604281</v>
      </c>
      <c r="D11" s="314">
        <f>D17</f>
        <v>15490665</v>
      </c>
    </row>
    <row r="12" spans="1:9" x14ac:dyDescent="0.2">
      <c r="A12" s="316"/>
      <c r="B12" s="317"/>
      <c r="C12" s="451"/>
      <c r="D12" s="565"/>
    </row>
    <row r="13" spans="1:9" x14ac:dyDescent="0.2">
      <c r="A13" s="572" t="s">
        <v>550</v>
      </c>
      <c r="B13" s="573"/>
      <c r="C13" s="573"/>
      <c r="D13" s="417"/>
    </row>
    <row r="14" spans="1:9" x14ac:dyDescent="0.2">
      <c r="A14" s="389" t="s">
        <v>551</v>
      </c>
      <c r="B14" s="390" t="s">
        <v>579</v>
      </c>
      <c r="C14" s="391">
        <f>C15+C16+C17</f>
        <v>120089448</v>
      </c>
      <c r="D14" s="391">
        <f>D15+D16+D17</f>
        <v>29643332</v>
      </c>
    </row>
    <row r="15" spans="1:9" x14ac:dyDescent="0.2">
      <c r="A15" s="321" t="s">
        <v>547</v>
      </c>
      <c r="B15" s="313" t="s">
        <v>95</v>
      </c>
      <c r="C15" s="392">
        <f>C19+C25+C31+C37+C46</f>
        <v>37050430</v>
      </c>
      <c r="D15" s="314">
        <f>D19+D25+D31+D37+D46</f>
        <v>13833108</v>
      </c>
    </row>
    <row r="16" spans="1:9" x14ac:dyDescent="0.2">
      <c r="A16" s="322"/>
      <c r="B16" s="313" t="s">
        <v>548</v>
      </c>
      <c r="C16" s="392">
        <f>C47</f>
        <v>2434737</v>
      </c>
      <c r="D16" s="314">
        <f>D47</f>
        <v>319559</v>
      </c>
    </row>
    <row r="17" spans="1:4" x14ac:dyDescent="0.2">
      <c r="A17" s="323"/>
      <c r="B17" s="313" t="s">
        <v>549</v>
      </c>
      <c r="C17" s="392">
        <f>C20+C26+C32+C38+C48</f>
        <v>80604281</v>
      </c>
      <c r="D17" s="314">
        <f>D20+D26+D32+D38+D48</f>
        <v>15490665</v>
      </c>
    </row>
    <row r="18" spans="1:4" x14ac:dyDescent="0.2">
      <c r="A18" s="324" t="s">
        <v>552</v>
      </c>
      <c r="B18" s="325" t="s">
        <v>579</v>
      </c>
      <c r="C18" s="326">
        <f>C19+C20</f>
        <v>3149476</v>
      </c>
      <c r="D18" s="337">
        <f>D19+D20</f>
        <v>2071403</v>
      </c>
    </row>
    <row r="19" spans="1:4" x14ac:dyDescent="0.2">
      <c r="A19" s="321" t="s">
        <v>547</v>
      </c>
      <c r="B19" s="313" t="s">
        <v>95</v>
      </c>
      <c r="C19" s="392">
        <f>C22</f>
        <v>479337</v>
      </c>
      <c r="D19" s="314">
        <f>D22</f>
        <v>427696</v>
      </c>
    </row>
    <row r="20" spans="1:4" x14ac:dyDescent="0.2">
      <c r="A20" s="357"/>
      <c r="B20" s="396" t="s">
        <v>549</v>
      </c>
      <c r="C20" s="452">
        <f>C23</f>
        <v>2670139</v>
      </c>
      <c r="D20" s="334">
        <f>D23</f>
        <v>1643707</v>
      </c>
    </row>
    <row r="21" spans="1:4" x14ac:dyDescent="0.2">
      <c r="A21" s="332" t="s">
        <v>28</v>
      </c>
      <c r="B21" s="313" t="s">
        <v>579</v>
      </c>
      <c r="C21" s="314">
        <f>C22+C23</f>
        <v>3149476</v>
      </c>
      <c r="D21" s="314">
        <f t="shared" ref="D21" si="0">D22+D23</f>
        <v>2071403</v>
      </c>
    </row>
    <row r="22" spans="1:4" x14ac:dyDescent="0.2">
      <c r="A22" s="312" t="s">
        <v>547</v>
      </c>
      <c r="B22" s="313" t="s">
        <v>95</v>
      </c>
      <c r="C22" s="314">
        <v>479337</v>
      </c>
      <c r="D22" s="314">
        <v>427696</v>
      </c>
    </row>
    <row r="23" spans="1:4" x14ac:dyDescent="0.2">
      <c r="A23" s="323"/>
      <c r="B23" s="330" t="s">
        <v>549</v>
      </c>
      <c r="C23" s="331">
        <v>2670139</v>
      </c>
      <c r="D23" s="331">
        <v>1643707</v>
      </c>
    </row>
    <row r="24" spans="1:4" x14ac:dyDescent="0.2">
      <c r="A24" s="324" t="s">
        <v>553</v>
      </c>
      <c r="B24" s="325" t="s">
        <v>579</v>
      </c>
      <c r="C24" s="326">
        <f>C25+C26</f>
        <v>4436980</v>
      </c>
      <c r="D24" s="337">
        <f>D25+D26</f>
        <v>1505875</v>
      </c>
    </row>
    <row r="25" spans="1:4" x14ac:dyDescent="0.2">
      <c r="A25" s="321" t="s">
        <v>547</v>
      </c>
      <c r="B25" s="313" t="s">
        <v>95</v>
      </c>
      <c r="C25" s="392">
        <f t="shared" ref="C25:D26" si="1">C28</f>
        <v>602281</v>
      </c>
      <c r="D25" s="314">
        <f t="shared" si="1"/>
        <v>227642</v>
      </c>
    </row>
    <row r="26" spans="1:4" x14ac:dyDescent="0.2">
      <c r="A26" s="323"/>
      <c r="B26" s="330" t="s">
        <v>549</v>
      </c>
      <c r="C26" s="392">
        <f t="shared" si="1"/>
        <v>3834699</v>
      </c>
      <c r="D26" s="314">
        <f t="shared" si="1"/>
        <v>1278233</v>
      </c>
    </row>
    <row r="27" spans="1:4" x14ac:dyDescent="0.2">
      <c r="A27" s="332" t="s">
        <v>29</v>
      </c>
      <c r="B27" s="313" t="s">
        <v>579</v>
      </c>
      <c r="C27" s="314">
        <f>C28+C29</f>
        <v>4436980</v>
      </c>
      <c r="D27" s="314">
        <f t="shared" ref="D27" si="2">D28+D29</f>
        <v>1505875</v>
      </c>
    </row>
    <row r="28" spans="1:4" x14ac:dyDescent="0.2">
      <c r="A28" s="321" t="s">
        <v>547</v>
      </c>
      <c r="B28" s="313" t="s">
        <v>95</v>
      </c>
      <c r="C28" s="334">
        <v>602281</v>
      </c>
      <c r="D28" s="334">
        <v>227642</v>
      </c>
    </row>
    <row r="29" spans="1:4" x14ac:dyDescent="0.2">
      <c r="A29" s="323"/>
      <c r="B29" s="330" t="s">
        <v>549</v>
      </c>
      <c r="C29" s="314">
        <v>3834699</v>
      </c>
      <c r="D29" s="314">
        <v>1278233</v>
      </c>
    </row>
    <row r="30" spans="1:4" x14ac:dyDescent="0.2">
      <c r="A30" s="335" t="s">
        <v>554</v>
      </c>
      <c r="B30" s="325" t="s">
        <v>579</v>
      </c>
      <c r="C30" s="326">
        <f>C31+C32</f>
        <v>2535026</v>
      </c>
      <c r="D30" s="326">
        <f>D31+D32</f>
        <v>1167582</v>
      </c>
    </row>
    <row r="31" spans="1:4" x14ac:dyDescent="0.2">
      <c r="A31" s="321" t="s">
        <v>547</v>
      </c>
      <c r="B31" s="313" t="s">
        <v>95</v>
      </c>
      <c r="C31" s="392">
        <f t="shared" ref="C31:D32" si="3">C34</f>
        <v>1720152</v>
      </c>
      <c r="D31" s="314">
        <f t="shared" si="3"/>
        <v>352708</v>
      </c>
    </row>
    <row r="32" spans="1:4" x14ac:dyDescent="0.2">
      <c r="A32" s="323"/>
      <c r="B32" s="330" t="s">
        <v>549</v>
      </c>
      <c r="C32" s="392">
        <f t="shared" si="3"/>
        <v>814874</v>
      </c>
      <c r="D32" s="314">
        <f t="shared" si="3"/>
        <v>814874</v>
      </c>
    </row>
    <row r="33" spans="1:4" x14ac:dyDescent="0.2">
      <c r="A33" s="332" t="s">
        <v>555</v>
      </c>
      <c r="B33" s="313" t="s">
        <v>579</v>
      </c>
      <c r="C33" s="314">
        <f>C34+C35</f>
        <v>2535026</v>
      </c>
      <c r="D33" s="314">
        <f>D34+D35</f>
        <v>1167582</v>
      </c>
    </row>
    <row r="34" spans="1:4" x14ac:dyDescent="0.2">
      <c r="A34" s="321" t="s">
        <v>547</v>
      </c>
      <c r="B34" s="313" t="s">
        <v>95</v>
      </c>
      <c r="C34" s="314">
        <v>1720152</v>
      </c>
      <c r="D34" s="314">
        <v>352708</v>
      </c>
    </row>
    <row r="35" spans="1:4" x14ac:dyDescent="0.2">
      <c r="A35" s="323"/>
      <c r="B35" s="330" t="s">
        <v>549</v>
      </c>
      <c r="C35" s="331">
        <v>814874</v>
      </c>
      <c r="D35" s="331">
        <v>814874</v>
      </c>
    </row>
    <row r="36" spans="1:4" x14ac:dyDescent="0.2">
      <c r="A36" s="335" t="s">
        <v>464</v>
      </c>
      <c r="B36" s="325" t="s">
        <v>579</v>
      </c>
      <c r="C36" s="326">
        <f>C37+C38</f>
        <v>6770092</v>
      </c>
      <c r="D36" s="326">
        <f>D37+D38</f>
        <v>732161</v>
      </c>
    </row>
    <row r="37" spans="1:4" x14ac:dyDescent="0.2">
      <c r="A37" s="321" t="s">
        <v>547</v>
      </c>
      <c r="B37" s="313" t="s">
        <v>95</v>
      </c>
      <c r="C37" s="331">
        <f t="shared" ref="C37:D38" si="4">C40+C43</f>
        <v>1956906</v>
      </c>
      <c r="D37" s="331">
        <f t="shared" si="4"/>
        <v>348644</v>
      </c>
    </row>
    <row r="38" spans="1:4" x14ac:dyDescent="0.2">
      <c r="A38" s="323"/>
      <c r="B38" s="330" t="s">
        <v>549</v>
      </c>
      <c r="C38" s="331">
        <f t="shared" si="4"/>
        <v>4813186</v>
      </c>
      <c r="D38" s="331">
        <f t="shared" si="4"/>
        <v>383517</v>
      </c>
    </row>
    <row r="39" spans="1:4" ht="38.25" x14ac:dyDescent="0.2">
      <c r="A39" s="332" t="s">
        <v>1032</v>
      </c>
      <c r="B39" s="313" t="s">
        <v>579</v>
      </c>
      <c r="C39" s="314">
        <f>C40+C41</f>
        <v>3776024</v>
      </c>
      <c r="D39" s="314">
        <f>D40+D41</f>
        <v>300000</v>
      </c>
    </row>
    <row r="40" spans="1:4" x14ac:dyDescent="0.2">
      <c r="A40" s="312" t="s">
        <v>547</v>
      </c>
      <c r="B40" s="313" t="s">
        <v>95</v>
      </c>
      <c r="C40" s="331">
        <v>1380296</v>
      </c>
      <c r="D40" s="331">
        <v>155104</v>
      </c>
    </row>
    <row r="41" spans="1:4" x14ac:dyDescent="0.2">
      <c r="A41" s="394"/>
      <c r="B41" s="330" t="s">
        <v>549</v>
      </c>
      <c r="C41" s="331">
        <v>2395728</v>
      </c>
      <c r="D41" s="331">
        <v>144896</v>
      </c>
    </row>
    <row r="42" spans="1:4" x14ac:dyDescent="0.2">
      <c r="A42" s="332" t="s">
        <v>714</v>
      </c>
      <c r="B42" s="313" t="s">
        <v>579</v>
      </c>
      <c r="C42" s="334">
        <f>C43+C44</f>
        <v>2994068</v>
      </c>
      <c r="D42" s="334">
        <f t="shared" ref="D42" si="5">D43+D44</f>
        <v>432161</v>
      </c>
    </row>
    <row r="43" spans="1:4" x14ac:dyDescent="0.2">
      <c r="A43" s="321" t="s">
        <v>547</v>
      </c>
      <c r="B43" s="313" t="s">
        <v>95</v>
      </c>
      <c r="C43" s="314">
        <v>576610</v>
      </c>
      <c r="D43" s="314">
        <v>193540</v>
      </c>
    </row>
    <row r="44" spans="1:4" x14ac:dyDescent="0.2">
      <c r="A44" s="395"/>
      <c r="B44" s="396" t="s">
        <v>549</v>
      </c>
      <c r="C44" s="331">
        <v>2417458</v>
      </c>
      <c r="D44" s="331">
        <v>238621</v>
      </c>
    </row>
    <row r="45" spans="1:4" x14ac:dyDescent="0.2">
      <c r="A45" s="335" t="s">
        <v>557</v>
      </c>
      <c r="B45" s="336" t="s">
        <v>579</v>
      </c>
      <c r="C45" s="326">
        <f>C46+C47+C48</f>
        <v>103197874</v>
      </c>
      <c r="D45" s="337">
        <f>D46+D47+D48</f>
        <v>24166311</v>
      </c>
    </row>
    <row r="46" spans="1:4" x14ac:dyDescent="0.2">
      <c r="A46" s="312" t="s">
        <v>547</v>
      </c>
      <c r="B46" s="333" t="s">
        <v>95</v>
      </c>
      <c r="C46" s="331">
        <f>C50+C62</f>
        <v>32291754</v>
      </c>
      <c r="D46" s="331">
        <f>D50+D62</f>
        <v>12476418</v>
      </c>
    </row>
    <row r="47" spans="1:4" x14ac:dyDescent="0.2">
      <c r="A47" s="343"/>
      <c r="B47" s="313" t="s">
        <v>548</v>
      </c>
      <c r="C47" s="331">
        <f>C51</f>
        <v>2434737</v>
      </c>
      <c r="D47" s="331">
        <f>D51</f>
        <v>319559</v>
      </c>
    </row>
    <row r="48" spans="1:4" x14ac:dyDescent="0.2">
      <c r="A48" s="315"/>
      <c r="B48" s="313" t="s">
        <v>549</v>
      </c>
      <c r="C48" s="331">
        <f>C52+C63</f>
        <v>68471383</v>
      </c>
      <c r="D48" s="331">
        <f>D52+D63</f>
        <v>11370334</v>
      </c>
    </row>
    <row r="49" spans="1:4" x14ac:dyDescent="0.2">
      <c r="A49" s="397" t="s">
        <v>558</v>
      </c>
      <c r="B49" s="354" t="s">
        <v>579</v>
      </c>
      <c r="C49" s="340">
        <f>C50+C51+C52</f>
        <v>99245492</v>
      </c>
      <c r="D49" s="340">
        <f>D50+D51+D52</f>
        <v>24159951</v>
      </c>
    </row>
    <row r="50" spans="1:4" x14ac:dyDescent="0.2">
      <c r="A50" s="312" t="s">
        <v>547</v>
      </c>
      <c r="B50" s="333" t="s">
        <v>95</v>
      </c>
      <c r="C50" s="398">
        <f t="shared" ref="C50:D52" si="6">C54+C58</f>
        <v>31421422</v>
      </c>
      <c r="D50" s="342">
        <f t="shared" si="6"/>
        <v>12470058</v>
      </c>
    </row>
    <row r="51" spans="1:4" x14ac:dyDescent="0.2">
      <c r="A51" s="343"/>
      <c r="B51" s="313" t="s">
        <v>548</v>
      </c>
      <c r="C51" s="392">
        <f t="shared" si="6"/>
        <v>2434737</v>
      </c>
      <c r="D51" s="314">
        <f t="shared" si="6"/>
        <v>319559</v>
      </c>
    </row>
    <row r="52" spans="1:4" x14ac:dyDescent="0.2">
      <c r="A52" s="315"/>
      <c r="B52" s="313" t="s">
        <v>549</v>
      </c>
      <c r="C52" s="399">
        <f t="shared" si="6"/>
        <v>65389333</v>
      </c>
      <c r="D52" s="331">
        <f t="shared" si="6"/>
        <v>11370334</v>
      </c>
    </row>
    <row r="53" spans="1:4" x14ac:dyDescent="0.2">
      <c r="A53" s="341" t="s">
        <v>66</v>
      </c>
      <c r="B53" s="313" t="s">
        <v>579</v>
      </c>
      <c r="C53" s="314">
        <f>C54+C55+C56</f>
        <v>80745995</v>
      </c>
      <c r="D53" s="314">
        <f>D54+D55+D56</f>
        <v>16918847</v>
      </c>
    </row>
    <row r="54" spans="1:4" x14ac:dyDescent="0.2">
      <c r="A54" s="312" t="s">
        <v>547</v>
      </c>
      <c r="B54" s="333" t="s">
        <v>95</v>
      </c>
      <c r="C54" s="398">
        <v>25643315</v>
      </c>
      <c r="D54" s="342">
        <v>7706104</v>
      </c>
    </row>
    <row r="55" spans="1:4" x14ac:dyDescent="0.2">
      <c r="A55" s="343"/>
      <c r="B55" s="313" t="s">
        <v>548</v>
      </c>
      <c r="C55" s="392">
        <v>505395</v>
      </c>
      <c r="D55" s="314">
        <v>319559</v>
      </c>
    </row>
    <row r="56" spans="1:4" x14ac:dyDescent="0.2">
      <c r="A56" s="315"/>
      <c r="B56" s="313" t="s">
        <v>549</v>
      </c>
      <c r="C56" s="399">
        <v>54597285</v>
      </c>
      <c r="D56" s="331">
        <v>8893184</v>
      </c>
    </row>
    <row r="57" spans="1:4" x14ac:dyDescent="0.2">
      <c r="A57" s="332" t="s">
        <v>868</v>
      </c>
      <c r="B57" s="313" t="s">
        <v>579</v>
      </c>
      <c r="C57" s="314">
        <f>C58+C59+C60</f>
        <v>18499497</v>
      </c>
      <c r="D57" s="314">
        <f>D58+D59+D60</f>
        <v>7241104</v>
      </c>
    </row>
    <row r="58" spans="1:4" x14ac:dyDescent="0.2">
      <c r="A58" s="312" t="s">
        <v>547</v>
      </c>
      <c r="B58" s="333" t="s">
        <v>95</v>
      </c>
      <c r="C58" s="392">
        <v>5778107</v>
      </c>
      <c r="D58" s="314">
        <v>4763954</v>
      </c>
    </row>
    <row r="59" spans="1:4" x14ac:dyDescent="0.2">
      <c r="A59" s="343"/>
      <c r="B59" s="313" t="s">
        <v>548</v>
      </c>
      <c r="C59" s="399">
        <v>1929342</v>
      </c>
      <c r="D59" s="331"/>
    </row>
    <row r="60" spans="1:4" x14ac:dyDescent="0.2">
      <c r="A60" s="315"/>
      <c r="B60" s="313" t="s">
        <v>549</v>
      </c>
      <c r="C60" s="399">
        <v>10792048</v>
      </c>
      <c r="D60" s="331">
        <v>2477150</v>
      </c>
    </row>
    <row r="61" spans="1:4" x14ac:dyDescent="0.2">
      <c r="A61" s="338" t="s">
        <v>715</v>
      </c>
      <c r="B61" s="354" t="s">
        <v>579</v>
      </c>
      <c r="C61" s="340">
        <f>C62+C63</f>
        <v>3952382</v>
      </c>
      <c r="D61" s="340">
        <f t="shared" ref="D61" si="7">D62+D63</f>
        <v>6360</v>
      </c>
    </row>
    <row r="62" spans="1:4" x14ac:dyDescent="0.2">
      <c r="A62" s="312" t="s">
        <v>547</v>
      </c>
      <c r="B62" s="313" t="s">
        <v>95</v>
      </c>
      <c r="C62" s="314">
        <v>870332</v>
      </c>
      <c r="D62" s="314">
        <v>6360</v>
      </c>
    </row>
    <row r="63" spans="1:4" x14ac:dyDescent="0.2">
      <c r="A63" s="323"/>
      <c r="B63" s="330" t="s">
        <v>549</v>
      </c>
      <c r="C63" s="331">
        <v>3082050</v>
      </c>
      <c r="D63" s="331">
        <v>0</v>
      </c>
    </row>
    <row r="64" spans="1:4" x14ac:dyDescent="0.2">
      <c r="A64" s="346"/>
      <c r="B64" s="347"/>
      <c r="C64" s="348"/>
      <c r="D64" s="565"/>
    </row>
    <row r="65" spans="1:4" x14ac:dyDescent="0.2">
      <c r="A65" s="575" t="s">
        <v>559</v>
      </c>
      <c r="B65" s="575"/>
      <c r="C65" s="575"/>
      <c r="D65" s="417"/>
    </row>
    <row r="66" spans="1:4" x14ac:dyDescent="0.2">
      <c r="A66" s="318" t="s">
        <v>560</v>
      </c>
      <c r="B66" s="319" t="s">
        <v>579</v>
      </c>
      <c r="C66" s="320">
        <f>C67+C68</f>
        <v>58540292</v>
      </c>
      <c r="D66" s="328">
        <f>D67+D68</f>
        <v>38031305</v>
      </c>
    </row>
    <row r="67" spans="1:4" x14ac:dyDescent="0.2">
      <c r="A67" s="322" t="s">
        <v>547</v>
      </c>
      <c r="B67" s="401" t="s">
        <v>95</v>
      </c>
      <c r="C67" s="314">
        <f>C70+C96+C111+C124+C130+C150+C121+C119</f>
        <v>54610824</v>
      </c>
      <c r="D67" s="314">
        <f>D70+D96+D111+D124+D130+D150+D121+D119+D152</f>
        <v>34101837</v>
      </c>
    </row>
    <row r="68" spans="1:4" x14ac:dyDescent="0.2">
      <c r="A68" s="323"/>
      <c r="B68" s="401" t="s">
        <v>97</v>
      </c>
      <c r="C68" s="314">
        <f>C97+C131+C71</f>
        <v>3929468</v>
      </c>
      <c r="D68" s="314">
        <f>D97+D131+D71</f>
        <v>3929468</v>
      </c>
    </row>
    <row r="69" spans="1:4" x14ac:dyDescent="0.2">
      <c r="A69" s="566" t="s">
        <v>552</v>
      </c>
      <c r="B69" s="325" t="s">
        <v>579</v>
      </c>
      <c r="C69" s="326">
        <f>C70</f>
        <v>18041327</v>
      </c>
      <c r="D69" s="326">
        <f>D70+D71</f>
        <v>14960879</v>
      </c>
    </row>
    <row r="70" spans="1:4" x14ac:dyDescent="0.2">
      <c r="A70" s="321" t="s">
        <v>547</v>
      </c>
      <c r="B70" s="567" t="s">
        <v>95</v>
      </c>
      <c r="C70" s="453">
        <f>C73+C82+C93</f>
        <v>18041327</v>
      </c>
      <c r="D70" s="484">
        <f>D73+D82+D94+D93</f>
        <v>14054288</v>
      </c>
    </row>
    <row r="71" spans="1:4" x14ac:dyDescent="0.2">
      <c r="A71" s="358"/>
      <c r="B71" s="567" t="s">
        <v>97</v>
      </c>
      <c r="C71" s="453">
        <f>C74</f>
        <v>906591</v>
      </c>
      <c r="D71" s="484">
        <f>D74</f>
        <v>906591</v>
      </c>
    </row>
    <row r="72" spans="1:4" x14ac:dyDescent="0.2">
      <c r="A72" s="350" t="s">
        <v>713</v>
      </c>
      <c r="B72" s="327" t="s">
        <v>579</v>
      </c>
      <c r="C72" s="393">
        <f>C73+C74</f>
        <v>13586591</v>
      </c>
      <c r="D72" s="328">
        <f>D73+D74</f>
        <v>9945000</v>
      </c>
    </row>
    <row r="73" spans="1:4" x14ac:dyDescent="0.2">
      <c r="A73" s="321" t="s">
        <v>547</v>
      </c>
      <c r="B73" s="568" t="s">
        <v>95</v>
      </c>
      <c r="C73" s="453">
        <v>12680000</v>
      </c>
      <c r="D73" s="484">
        <f>9418409-80000-300000</f>
        <v>9038409</v>
      </c>
    </row>
    <row r="74" spans="1:4" x14ac:dyDescent="0.2">
      <c r="A74" s="358"/>
      <c r="B74" s="568" t="s">
        <v>97</v>
      </c>
      <c r="C74" s="453">
        <v>906591</v>
      </c>
      <c r="D74" s="484">
        <v>906591</v>
      </c>
    </row>
    <row r="75" spans="1:4" x14ac:dyDescent="0.2">
      <c r="A75" s="351" t="s">
        <v>875</v>
      </c>
      <c r="B75" s="402"/>
      <c r="C75" s="403"/>
      <c r="D75" s="345"/>
    </row>
    <row r="76" spans="1:4" x14ac:dyDescent="0.2">
      <c r="A76" s="351" t="s">
        <v>716</v>
      </c>
      <c r="B76" s="402"/>
      <c r="C76" s="403"/>
      <c r="D76" s="345"/>
    </row>
    <row r="77" spans="1:4" x14ac:dyDescent="0.2">
      <c r="A77" s="351" t="s">
        <v>827</v>
      </c>
      <c r="B77" s="402"/>
      <c r="C77" s="404"/>
      <c r="D77" s="345"/>
    </row>
    <row r="78" spans="1:4" x14ac:dyDescent="0.2">
      <c r="A78" s="405" t="s">
        <v>717</v>
      </c>
      <c r="B78" s="344"/>
      <c r="C78" s="403"/>
      <c r="D78" s="345"/>
    </row>
    <row r="79" spans="1:4" x14ac:dyDescent="0.2">
      <c r="A79" s="583" t="s">
        <v>883</v>
      </c>
      <c r="B79" s="344"/>
      <c r="C79" s="403"/>
      <c r="D79" s="345"/>
    </row>
    <row r="80" spans="1:4" x14ac:dyDescent="0.2">
      <c r="A80" s="405" t="s">
        <v>895</v>
      </c>
      <c r="B80" s="344"/>
      <c r="C80" s="403"/>
      <c r="D80" s="345"/>
    </row>
    <row r="81" spans="1:4" x14ac:dyDescent="0.2">
      <c r="A81" s="405" t="s">
        <v>1033</v>
      </c>
      <c r="B81" s="344"/>
      <c r="C81" s="403"/>
      <c r="D81" s="345"/>
    </row>
    <row r="82" spans="1:4" ht="25.5" x14ac:dyDescent="0.2">
      <c r="A82" s="329" t="s">
        <v>561</v>
      </c>
      <c r="B82" s="327" t="s">
        <v>95</v>
      </c>
      <c r="C82" s="328">
        <v>5311327</v>
      </c>
      <c r="D82" s="328">
        <f>4696327+250000</f>
        <v>4946327</v>
      </c>
    </row>
    <row r="83" spans="1:4" x14ac:dyDescent="0.2">
      <c r="A83" s="351" t="s">
        <v>718</v>
      </c>
      <c r="B83" s="402"/>
      <c r="C83" s="403"/>
      <c r="D83" s="345"/>
    </row>
    <row r="84" spans="1:4" x14ac:dyDescent="0.2">
      <c r="A84" s="351" t="s">
        <v>719</v>
      </c>
      <c r="B84" s="402"/>
      <c r="C84" s="403"/>
      <c r="D84" s="345"/>
    </row>
    <row r="85" spans="1:4" x14ac:dyDescent="0.2">
      <c r="A85" s="351" t="s">
        <v>720</v>
      </c>
      <c r="B85" s="402"/>
      <c r="C85" s="403"/>
      <c r="D85" s="345"/>
    </row>
    <row r="86" spans="1:4" x14ac:dyDescent="0.2">
      <c r="A86" s="351" t="s">
        <v>721</v>
      </c>
      <c r="B86" s="402"/>
      <c r="C86" s="403"/>
      <c r="D86" s="345"/>
    </row>
    <row r="87" spans="1:4" x14ac:dyDescent="0.2">
      <c r="A87" s="351" t="s">
        <v>722</v>
      </c>
      <c r="B87" s="402"/>
      <c r="C87" s="403"/>
      <c r="D87" s="345"/>
    </row>
    <row r="88" spans="1:4" x14ac:dyDescent="0.2">
      <c r="A88" s="493" t="s">
        <v>1034</v>
      </c>
      <c r="B88" s="402"/>
      <c r="C88" s="403"/>
      <c r="D88" s="345"/>
    </row>
    <row r="89" spans="1:4" x14ac:dyDescent="0.2">
      <c r="A89" s="493" t="s">
        <v>1035</v>
      </c>
      <c r="B89" s="402"/>
      <c r="C89" s="403"/>
      <c r="D89" s="345"/>
    </row>
    <row r="90" spans="1:4" x14ac:dyDescent="0.2">
      <c r="A90" s="493" t="s">
        <v>1036</v>
      </c>
      <c r="B90" s="402"/>
      <c r="C90" s="403"/>
      <c r="D90" s="345"/>
    </row>
    <row r="91" spans="1:4" x14ac:dyDescent="0.2">
      <c r="A91" s="493" t="s">
        <v>1037</v>
      </c>
      <c r="B91" s="402"/>
      <c r="C91" s="403"/>
      <c r="D91" s="345"/>
    </row>
    <row r="92" spans="1:4" x14ac:dyDescent="0.2">
      <c r="A92" s="493" t="s">
        <v>1038</v>
      </c>
      <c r="B92" s="402"/>
      <c r="C92" s="403"/>
      <c r="D92" s="345"/>
    </row>
    <row r="93" spans="1:4" x14ac:dyDescent="0.2">
      <c r="A93" s="329" t="s">
        <v>1049</v>
      </c>
      <c r="B93" s="327" t="s">
        <v>95</v>
      </c>
      <c r="C93" s="328">
        <v>50000</v>
      </c>
      <c r="D93" s="328">
        <v>50000</v>
      </c>
    </row>
    <row r="94" spans="1:4" x14ac:dyDescent="0.2">
      <c r="A94" s="329" t="s">
        <v>894</v>
      </c>
      <c r="B94" s="327" t="s">
        <v>95</v>
      </c>
      <c r="C94" s="328">
        <v>19552</v>
      </c>
      <c r="D94" s="328">
        <v>19552</v>
      </c>
    </row>
    <row r="95" spans="1:4" x14ac:dyDescent="0.2">
      <c r="A95" s="335" t="s">
        <v>553</v>
      </c>
      <c r="B95" s="336" t="s">
        <v>579</v>
      </c>
      <c r="C95" s="337">
        <f>C96+C97</f>
        <v>2653787</v>
      </c>
      <c r="D95" s="337">
        <f>D96+D97</f>
        <v>1312490</v>
      </c>
    </row>
    <row r="96" spans="1:4" x14ac:dyDescent="0.2">
      <c r="A96" s="322" t="s">
        <v>547</v>
      </c>
      <c r="B96" s="401" t="s">
        <v>95</v>
      </c>
      <c r="C96" s="314">
        <f>C99+C101+C103+C105+C102+C107+C108+C109+C110</f>
        <v>2321421</v>
      </c>
      <c r="D96" s="314">
        <f>D99+D101+D103+D105+D102+D107+D108+D109+D110</f>
        <v>980124</v>
      </c>
    </row>
    <row r="97" spans="1:4" x14ac:dyDescent="0.2">
      <c r="A97" s="323"/>
      <c r="B97" s="401" t="s">
        <v>97</v>
      </c>
      <c r="C97" s="331">
        <f>C100+C106</f>
        <v>332366</v>
      </c>
      <c r="D97" s="331">
        <f>D100+D106</f>
        <v>332366</v>
      </c>
    </row>
    <row r="98" spans="1:4" x14ac:dyDescent="0.2">
      <c r="A98" s="323" t="s">
        <v>562</v>
      </c>
      <c r="B98" s="313" t="s">
        <v>579</v>
      </c>
      <c r="C98" s="314">
        <f>C99+C100</f>
        <v>557940</v>
      </c>
      <c r="D98" s="314">
        <f>D99+D100</f>
        <v>557940</v>
      </c>
    </row>
    <row r="99" spans="1:4" x14ac:dyDescent="0.2">
      <c r="A99" s="321" t="s">
        <v>547</v>
      </c>
      <c r="B99" s="313" t="s">
        <v>95</v>
      </c>
      <c r="C99" s="314">
        <v>240000</v>
      </c>
      <c r="D99" s="314">
        <v>240000</v>
      </c>
    </row>
    <row r="100" spans="1:4" x14ac:dyDescent="0.2">
      <c r="A100" s="323"/>
      <c r="B100" s="330" t="s">
        <v>97</v>
      </c>
      <c r="C100" s="331">
        <v>317940</v>
      </c>
      <c r="D100" s="331">
        <v>317940</v>
      </c>
    </row>
    <row r="101" spans="1:4" x14ac:dyDescent="0.2">
      <c r="A101" s="332" t="s">
        <v>723</v>
      </c>
      <c r="B101" s="330" t="s">
        <v>95</v>
      </c>
      <c r="C101" s="331">
        <v>22000</v>
      </c>
      <c r="D101" s="331">
        <v>22000</v>
      </c>
    </row>
    <row r="102" spans="1:4" ht="25.5" x14ac:dyDescent="0.2">
      <c r="A102" s="323" t="s">
        <v>725</v>
      </c>
      <c r="B102" s="313" t="s">
        <v>95</v>
      </c>
      <c r="C102" s="314">
        <v>1641297</v>
      </c>
      <c r="D102" s="314">
        <v>300000</v>
      </c>
    </row>
    <row r="103" spans="1:4" x14ac:dyDescent="0.2">
      <c r="A103" s="323" t="s">
        <v>726</v>
      </c>
      <c r="B103" s="330" t="s">
        <v>95</v>
      </c>
      <c r="C103" s="331">
        <v>250000</v>
      </c>
      <c r="D103" s="331">
        <v>250000</v>
      </c>
    </row>
    <row r="104" spans="1:4" x14ac:dyDescent="0.2">
      <c r="A104" s="332" t="s">
        <v>724</v>
      </c>
      <c r="B104" s="330" t="s">
        <v>579</v>
      </c>
      <c r="C104" s="331">
        <f>C105+C106</f>
        <v>16070</v>
      </c>
      <c r="D104" s="331">
        <v>16070</v>
      </c>
    </row>
    <row r="105" spans="1:4" x14ac:dyDescent="0.2">
      <c r="A105" s="321" t="s">
        <v>547</v>
      </c>
      <c r="B105" s="313" t="s">
        <v>95</v>
      </c>
      <c r="C105" s="314">
        <v>1644</v>
      </c>
      <c r="D105" s="314">
        <v>1644</v>
      </c>
    </row>
    <row r="106" spans="1:4" x14ac:dyDescent="0.2">
      <c r="A106" s="323"/>
      <c r="B106" s="330" t="s">
        <v>97</v>
      </c>
      <c r="C106" s="331">
        <v>14426</v>
      </c>
      <c r="D106" s="331">
        <v>14426</v>
      </c>
    </row>
    <row r="107" spans="1:4" x14ac:dyDescent="0.2">
      <c r="A107" s="315" t="s">
        <v>880</v>
      </c>
      <c r="B107" s="313" t="s">
        <v>95</v>
      </c>
      <c r="C107" s="392">
        <v>18000</v>
      </c>
      <c r="D107" s="314">
        <v>18000</v>
      </c>
    </row>
    <row r="108" spans="1:4" x14ac:dyDescent="0.2">
      <c r="A108" s="315" t="s">
        <v>904</v>
      </c>
      <c r="B108" s="330" t="s">
        <v>95</v>
      </c>
      <c r="C108" s="331">
        <v>29000</v>
      </c>
      <c r="D108" s="331">
        <v>29000</v>
      </c>
    </row>
    <row r="109" spans="1:4" x14ac:dyDescent="0.2">
      <c r="A109" s="315" t="s">
        <v>922</v>
      </c>
      <c r="B109" s="330" t="s">
        <v>95</v>
      </c>
      <c r="C109" s="399">
        <v>110000</v>
      </c>
      <c r="D109" s="331">
        <v>110000</v>
      </c>
    </row>
    <row r="110" spans="1:4" x14ac:dyDescent="0.2">
      <c r="A110" s="315" t="s">
        <v>1050</v>
      </c>
      <c r="B110" s="330" t="s">
        <v>95</v>
      </c>
      <c r="C110" s="399">
        <v>9480</v>
      </c>
      <c r="D110" s="331">
        <v>9480</v>
      </c>
    </row>
    <row r="111" spans="1:4" x14ac:dyDescent="0.2">
      <c r="A111" s="324" t="s">
        <v>554</v>
      </c>
      <c r="B111" s="325" t="s">
        <v>579</v>
      </c>
      <c r="C111" s="326">
        <v>23011130</v>
      </c>
      <c r="D111" s="326">
        <v>12871130</v>
      </c>
    </row>
    <row r="112" spans="1:4" x14ac:dyDescent="0.2">
      <c r="A112" s="351" t="s">
        <v>727</v>
      </c>
      <c r="B112" s="314" t="s">
        <v>95</v>
      </c>
      <c r="C112" s="314"/>
      <c r="D112" s="314"/>
    </row>
    <row r="113" spans="1:4" x14ac:dyDescent="0.2">
      <c r="A113" s="569" t="s">
        <v>1039</v>
      </c>
      <c r="B113" s="345" t="s">
        <v>95</v>
      </c>
      <c r="C113" s="345"/>
      <c r="D113" s="403">
        <v>9000</v>
      </c>
    </row>
    <row r="114" spans="1:4" x14ac:dyDescent="0.2">
      <c r="A114" s="353" t="s">
        <v>728</v>
      </c>
      <c r="B114" s="313" t="s">
        <v>95</v>
      </c>
      <c r="C114" s="314"/>
      <c r="D114" s="450"/>
    </row>
    <row r="115" spans="1:4" x14ac:dyDescent="0.2">
      <c r="A115" s="351" t="s">
        <v>729</v>
      </c>
      <c r="B115" s="313" t="s">
        <v>95</v>
      </c>
      <c r="C115" s="314"/>
      <c r="D115" s="484"/>
    </row>
    <row r="116" spans="1:4" x14ac:dyDescent="0.2">
      <c r="A116" s="351" t="s">
        <v>878</v>
      </c>
      <c r="B116" s="344" t="s">
        <v>95</v>
      </c>
      <c r="C116" s="345"/>
      <c r="D116" s="345"/>
    </row>
    <row r="117" spans="1:4" x14ac:dyDescent="0.2">
      <c r="A117" s="351" t="s">
        <v>897</v>
      </c>
      <c r="B117" s="344" t="s">
        <v>95</v>
      </c>
      <c r="C117" s="345"/>
      <c r="D117" s="345"/>
    </row>
    <row r="118" spans="1:4" x14ac:dyDescent="0.2">
      <c r="A118" s="584" t="s">
        <v>1040</v>
      </c>
      <c r="B118" s="344" t="s">
        <v>95</v>
      </c>
      <c r="C118" s="345"/>
      <c r="D118" s="345"/>
    </row>
    <row r="119" spans="1:4" x14ac:dyDescent="0.2">
      <c r="A119" s="335" t="s">
        <v>464</v>
      </c>
      <c r="B119" s="336" t="s">
        <v>579</v>
      </c>
      <c r="C119" s="337">
        <f>C120</f>
        <v>1283225</v>
      </c>
      <c r="D119" s="337">
        <f>D120</f>
        <v>250000</v>
      </c>
    </row>
    <row r="120" spans="1:4" x14ac:dyDescent="0.2">
      <c r="A120" s="332" t="s">
        <v>884</v>
      </c>
      <c r="B120" s="313" t="s">
        <v>95</v>
      </c>
      <c r="C120" s="314">
        <v>1283225</v>
      </c>
      <c r="D120" s="314">
        <v>250000</v>
      </c>
    </row>
    <row r="121" spans="1:4" x14ac:dyDescent="0.2">
      <c r="A121" s="335" t="s">
        <v>563</v>
      </c>
      <c r="B121" s="336" t="s">
        <v>579</v>
      </c>
      <c r="C121" s="337">
        <f>C122+C123</f>
        <v>2713741</v>
      </c>
      <c r="D121" s="337">
        <f>D122+D123</f>
        <v>930627</v>
      </c>
    </row>
    <row r="122" spans="1:4" x14ac:dyDescent="0.2">
      <c r="A122" s="332" t="s">
        <v>1019</v>
      </c>
      <c r="B122" s="313" t="s">
        <v>95</v>
      </c>
      <c r="C122" s="314">
        <v>2263531</v>
      </c>
      <c r="D122" s="314">
        <v>480417</v>
      </c>
    </row>
    <row r="123" spans="1:4" x14ac:dyDescent="0.2">
      <c r="A123" s="332" t="s">
        <v>730</v>
      </c>
      <c r="B123" s="313" t="s">
        <v>95</v>
      </c>
      <c r="C123" s="314">
        <v>450210</v>
      </c>
      <c r="D123" s="314">
        <v>450210</v>
      </c>
    </row>
    <row r="124" spans="1:4" x14ac:dyDescent="0.2">
      <c r="A124" s="335" t="s">
        <v>564</v>
      </c>
      <c r="B124" s="336" t="s">
        <v>579</v>
      </c>
      <c r="C124" s="337">
        <f>C125+C126+C127+C128</f>
        <v>649109</v>
      </c>
      <c r="D124" s="337">
        <f>D125+D126+D127+D128</f>
        <v>222109</v>
      </c>
    </row>
    <row r="125" spans="1:4" x14ac:dyDescent="0.2">
      <c r="A125" s="315" t="s">
        <v>731</v>
      </c>
      <c r="B125" s="313" t="s">
        <v>95</v>
      </c>
      <c r="C125" s="392">
        <v>527000</v>
      </c>
      <c r="D125" s="314">
        <v>100000</v>
      </c>
    </row>
    <row r="126" spans="1:4" x14ac:dyDescent="0.2">
      <c r="A126" s="315" t="s">
        <v>860</v>
      </c>
      <c r="B126" s="313" t="s">
        <v>95</v>
      </c>
      <c r="C126" s="392">
        <v>6000</v>
      </c>
      <c r="D126" s="314">
        <v>6000</v>
      </c>
    </row>
    <row r="127" spans="1:4" x14ac:dyDescent="0.2">
      <c r="A127" s="315" t="s">
        <v>1016</v>
      </c>
      <c r="B127" s="313" t="s">
        <v>95</v>
      </c>
      <c r="C127" s="392">
        <v>39109</v>
      </c>
      <c r="D127" s="314">
        <v>39109</v>
      </c>
    </row>
    <row r="128" spans="1:4" x14ac:dyDescent="0.2">
      <c r="A128" s="315" t="s">
        <v>1041</v>
      </c>
      <c r="B128" s="313" t="s">
        <v>95</v>
      </c>
      <c r="C128" s="392">
        <v>77000</v>
      </c>
      <c r="D128" s="314">
        <v>77000</v>
      </c>
    </row>
    <row r="129" spans="1:4" x14ac:dyDescent="0.2">
      <c r="A129" s="335" t="s">
        <v>557</v>
      </c>
      <c r="B129" s="336" t="s">
        <v>579</v>
      </c>
      <c r="C129" s="337">
        <f>C130+C131</f>
        <v>9172209</v>
      </c>
      <c r="D129" s="337">
        <f>D130+D131</f>
        <v>7274070</v>
      </c>
    </row>
    <row r="130" spans="1:4" x14ac:dyDescent="0.2">
      <c r="A130" s="322" t="s">
        <v>547</v>
      </c>
      <c r="B130" s="313" t="s">
        <v>95</v>
      </c>
      <c r="C130" s="314">
        <f>C133+C147+C148+C149</f>
        <v>6481698</v>
      </c>
      <c r="D130" s="314">
        <f>D133+D147+D148+D149</f>
        <v>4583559</v>
      </c>
    </row>
    <row r="131" spans="1:4" x14ac:dyDescent="0.2">
      <c r="A131" s="394"/>
      <c r="B131" s="313" t="s">
        <v>97</v>
      </c>
      <c r="C131" s="314">
        <f>C134</f>
        <v>2690511</v>
      </c>
      <c r="D131" s="314">
        <f>D134</f>
        <v>2690511</v>
      </c>
    </row>
    <row r="132" spans="1:4" x14ac:dyDescent="0.2">
      <c r="A132" s="338" t="s">
        <v>565</v>
      </c>
      <c r="B132" s="339" t="s">
        <v>579</v>
      </c>
      <c r="C132" s="340">
        <f>C133+C134</f>
        <v>8915309</v>
      </c>
      <c r="D132" s="340">
        <f>+D133+D134</f>
        <v>7017170</v>
      </c>
    </row>
    <row r="133" spans="1:4" x14ac:dyDescent="0.2">
      <c r="A133" s="322" t="s">
        <v>547</v>
      </c>
      <c r="B133" s="313" t="s">
        <v>95</v>
      </c>
      <c r="C133" s="314">
        <v>6224798</v>
      </c>
      <c r="D133" s="314">
        <v>4326659</v>
      </c>
    </row>
    <row r="134" spans="1:4" x14ac:dyDescent="0.2">
      <c r="A134" s="394"/>
      <c r="B134" s="313" t="s">
        <v>97</v>
      </c>
      <c r="C134" s="314">
        <v>2690511</v>
      </c>
      <c r="D134" s="314">
        <v>2690511</v>
      </c>
    </row>
    <row r="135" spans="1:4" x14ac:dyDescent="0.2">
      <c r="A135" s="351" t="s">
        <v>869</v>
      </c>
      <c r="B135" s="344"/>
      <c r="C135" s="345"/>
      <c r="D135" s="345"/>
    </row>
    <row r="136" spans="1:4" x14ac:dyDescent="0.2">
      <c r="A136" s="479" t="s">
        <v>1042</v>
      </c>
      <c r="B136" s="344"/>
      <c r="C136" s="345"/>
      <c r="D136" s="345"/>
    </row>
    <row r="137" spans="1:4" x14ac:dyDescent="0.2">
      <c r="A137" s="479" t="s">
        <v>732</v>
      </c>
      <c r="B137" s="454"/>
      <c r="C137" s="406"/>
      <c r="D137" s="406"/>
    </row>
    <row r="138" spans="1:4" x14ac:dyDescent="0.2">
      <c r="A138" s="480" t="s">
        <v>733</v>
      </c>
      <c r="B138" s="454"/>
      <c r="C138" s="406"/>
      <c r="D138" s="406"/>
    </row>
    <row r="139" spans="1:4" x14ac:dyDescent="0.2">
      <c r="A139" s="481" t="s">
        <v>734</v>
      </c>
      <c r="B139" s="407"/>
      <c r="C139" s="408"/>
      <c r="D139" s="408"/>
    </row>
    <row r="140" spans="1:4" x14ac:dyDescent="0.2">
      <c r="A140" s="481" t="s">
        <v>828</v>
      </c>
      <c r="B140" s="455"/>
      <c r="C140" s="456"/>
      <c r="D140" s="456"/>
    </row>
    <row r="141" spans="1:4" x14ac:dyDescent="0.2">
      <c r="A141" s="481" t="s">
        <v>829</v>
      </c>
      <c r="B141" s="407"/>
      <c r="C141" s="408"/>
      <c r="D141" s="456"/>
    </row>
    <row r="142" spans="1:4" x14ac:dyDescent="0.2">
      <c r="A142" s="480" t="s">
        <v>1043</v>
      </c>
      <c r="B142" s="344"/>
      <c r="C142" s="345"/>
      <c r="D142" s="408"/>
    </row>
    <row r="143" spans="1:4" x14ac:dyDescent="0.2">
      <c r="A143" s="480" t="s">
        <v>830</v>
      </c>
      <c r="B143" s="344"/>
      <c r="C143" s="345"/>
      <c r="D143" s="406"/>
    </row>
    <row r="144" spans="1:4" x14ac:dyDescent="0.2">
      <c r="A144" s="480" t="s">
        <v>1044</v>
      </c>
      <c r="B144" s="344"/>
      <c r="C144" s="345"/>
      <c r="D144" s="406"/>
    </row>
    <row r="145" spans="1:4" x14ac:dyDescent="0.2">
      <c r="A145" s="480" t="s">
        <v>831</v>
      </c>
      <c r="B145" s="344"/>
      <c r="C145" s="345"/>
      <c r="D145" s="345"/>
    </row>
    <row r="146" spans="1:4" x14ac:dyDescent="0.2">
      <c r="A146" s="480" t="s">
        <v>1045</v>
      </c>
      <c r="B146" s="344"/>
      <c r="C146" s="345"/>
      <c r="D146" s="345"/>
    </row>
    <row r="147" spans="1:4" x14ac:dyDescent="0.2">
      <c r="A147" s="338" t="s">
        <v>870</v>
      </c>
      <c r="B147" s="354" t="s">
        <v>95</v>
      </c>
      <c r="C147" s="340">
        <v>64000</v>
      </c>
      <c r="D147" s="340">
        <v>64000</v>
      </c>
    </row>
    <row r="148" spans="1:4" x14ac:dyDescent="0.2">
      <c r="A148" s="338" t="s">
        <v>735</v>
      </c>
      <c r="B148" s="354" t="s">
        <v>95</v>
      </c>
      <c r="C148" s="340">
        <v>100000</v>
      </c>
      <c r="D148" s="340">
        <v>100000</v>
      </c>
    </row>
    <row r="149" spans="1:4" x14ac:dyDescent="0.2">
      <c r="A149" s="338" t="s">
        <v>736</v>
      </c>
      <c r="B149" s="354" t="s">
        <v>95</v>
      </c>
      <c r="C149" s="340">
        <v>92900</v>
      </c>
      <c r="D149" s="340">
        <v>92900</v>
      </c>
    </row>
    <row r="150" spans="1:4" x14ac:dyDescent="0.2">
      <c r="A150" s="335" t="s">
        <v>161</v>
      </c>
      <c r="B150" s="336" t="s">
        <v>579</v>
      </c>
      <c r="C150" s="337">
        <f>C151</f>
        <v>109173</v>
      </c>
      <c r="D150" s="337">
        <f>D151</f>
        <v>90000</v>
      </c>
    </row>
    <row r="151" spans="1:4" x14ac:dyDescent="0.2">
      <c r="A151" s="332" t="s">
        <v>737</v>
      </c>
      <c r="B151" s="313" t="s">
        <v>95</v>
      </c>
      <c r="C151" s="314">
        <v>109173</v>
      </c>
      <c r="D151" s="314">
        <v>90000</v>
      </c>
    </row>
    <row r="152" spans="1:4" x14ac:dyDescent="0.2">
      <c r="A152" s="335" t="s">
        <v>888</v>
      </c>
      <c r="B152" s="336" t="s">
        <v>579</v>
      </c>
      <c r="C152" s="337">
        <f>C153+C154</f>
        <v>120000</v>
      </c>
      <c r="D152" s="337">
        <f>D153+D154</f>
        <v>120000</v>
      </c>
    </row>
    <row r="153" spans="1:4" x14ac:dyDescent="0.2">
      <c r="A153" s="346" t="s">
        <v>1046</v>
      </c>
      <c r="B153" s="313" t="s">
        <v>95</v>
      </c>
      <c r="C153" s="349">
        <v>100000</v>
      </c>
      <c r="D153" s="314">
        <v>100000</v>
      </c>
    </row>
    <row r="154" spans="1:4" ht="25.5" x14ac:dyDescent="0.2">
      <c r="A154" s="346" t="s">
        <v>1051</v>
      </c>
      <c r="B154" s="313" t="s">
        <v>95</v>
      </c>
      <c r="C154" s="349">
        <v>20000</v>
      </c>
      <c r="D154" s="314">
        <v>20000</v>
      </c>
    </row>
    <row r="155" spans="1:4" x14ac:dyDescent="0.2">
      <c r="A155" s="346"/>
      <c r="B155" s="347"/>
      <c r="C155" s="348"/>
      <c r="D155" s="314"/>
    </row>
    <row r="156" spans="1:4" ht="25.5" x14ac:dyDescent="0.2">
      <c r="A156" s="585" t="s">
        <v>1052</v>
      </c>
      <c r="B156" s="409" t="s">
        <v>579</v>
      </c>
      <c r="C156" s="410">
        <f>C157+C159</f>
        <v>2046370</v>
      </c>
      <c r="D156" s="410">
        <f>D157+D159</f>
        <v>1846370</v>
      </c>
    </row>
    <row r="157" spans="1:4" x14ac:dyDescent="0.2">
      <c r="A157" s="411" t="s">
        <v>563</v>
      </c>
      <c r="B157" s="412" t="s">
        <v>95</v>
      </c>
      <c r="C157" s="413">
        <f t="shared" ref="C157" si="8">C158</f>
        <v>1335370</v>
      </c>
      <c r="D157" s="413">
        <f>D158</f>
        <v>1135370</v>
      </c>
    </row>
    <row r="158" spans="1:4" ht="25.5" x14ac:dyDescent="0.2">
      <c r="A158" s="346" t="s">
        <v>738</v>
      </c>
      <c r="B158" s="313" t="s">
        <v>95</v>
      </c>
      <c r="C158" s="314">
        <v>1335370</v>
      </c>
      <c r="D158" s="314">
        <v>1135370</v>
      </c>
    </row>
    <row r="159" spans="1:4" x14ac:dyDescent="0.2">
      <c r="A159" s="411" t="s">
        <v>557</v>
      </c>
      <c r="B159" s="412" t="s">
        <v>95</v>
      </c>
      <c r="C159" s="413">
        <f>C160</f>
        <v>711000</v>
      </c>
      <c r="D159" s="413">
        <f>D160</f>
        <v>711000</v>
      </c>
    </row>
    <row r="160" spans="1:4" x14ac:dyDescent="0.2">
      <c r="A160" s="346" t="s">
        <v>1047</v>
      </c>
      <c r="B160" s="313" t="s">
        <v>95</v>
      </c>
      <c r="C160" s="314">
        <v>711000</v>
      </c>
      <c r="D160" s="314">
        <v>711000</v>
      </c>
    </row>
    <row r="161" spans="1:4" x14ac:dyDescent="0.2">
      <c r="A161" s="346"/>
      <c r="B161" s="347"/>
      <c r="C161" s="348"/>
      <c r="D161" s="565"/>
    </row>
    <row r="162" spans="1:4" x14ac:dyDescent="0.2">
      <c r="A162" s="572" t="s">
        <v>566</v>
      </c>
      <c r="B162" s="573"/>
      <c r="C162" s="573"/>
      <c r="D162" s="410"/>
    </row>
    <row r="163" spans="1:4" x14ac:dyDescent="0.2">
      <c r="A163" s="457" t="s">
        <v>552</v>
      </c>
      <c r="B163" s="457" t="s">
        <v>579</v>
      </c>
      <c r="C163" s="314"/>
      <c r="D163" s="314">
        <f>D164+D165</f>
        <v>14797534</v>
      </c>
    </row>
    <row r="164" spans="1:4" x14ac:dyDescent="0.2">
      <c r="A164" s="353" t="s">
        <v>567</v>
      </c>
      <c r="B164" s="345" t="s">
        <v>95</v>
      </c>
      <c r="C164" s="345"/>
      <c r="D164" s="345">
        <v>13754602</v>
      </c>
    </row>
    <row r="165" spans="1:4" x14ac:dyDescent="0.2">
      <c r="A165" s="353" t="s">
        <v>568</v>
      </c>
      <c r="B165" s="345" t="s">
        <v>95</v>
      </c>
      <c r="C165" s="345"/>
      <c r="D165" s="345">
        <v>1042932</v>
      </c>
    </row>
    <row r="166" spans="1:4" x14ac:dyDescent="0.2">
      <c r="A166" s="458" t="s">
        <v>556</v>
      </c>
      <c r="B166" s="457" t="s">
        <v>579</v>
      </c>
      <c r="C166" s="314"/>
      <c r="D166" s="314">
        <f>D167+D168</f>
        <v>9762000</v>
      </c>
    </row>
    <row r="167" spans="1:4" x14ac:dyDescent="0.2">
      <c r="A167" s="414" t="s">
        <v>486</v>
      </c>
      <c r="B167" s="345" t="s">
        <v>95</v>
      </c>
      <c r="C167" s="345"/>
      <c r="D167" s="345">
        <v>2400000</v>
      </c>
    </row>
    <row r="168" spans="1:4" x14ac:dyDescent="0.2">
      <c r="A168" s="414" t="s">
        <v>487</v>
      </c>
      <c r="B168" s="345" t="s">
        <v>95</v>
      </c>
      <c r="C168" s="345"/>
      <c r="D168" s="345">
        <f>7462000-100000</f>
        <v>7362000</v>
      </c>
    </row>
    <row r="169" spans="1:4" x14ac:dyDescent="0.2">
      <c r="A169" s="458" t="s">
        <v>840</v>
      </c>
      <c r="B169" s="457" t="s">
        <v>579</v>
      </c>
      <c r="C169" s="314"/>
      <c r="D169" s="314">
        <f>D170</f>
        <v>9219255</v>
      </c>
    </row>
    <row r="170" spans="1:4" x14ac:dyDescent="0.2">
      <c r="A170" s="414" t="s">
        <v>839</v>
      </c>
      <c r="B170" s="345" t="s">
        <v>95</v>
      </c>
      <c r="C170" s="345"/>
      <c r="D170" s="345">
        <v>9219255</v>
      </c>
    </row>
    <row r="171" spans="1:4" x14ac:dyDescent="0.2">
      <c r="A171" s="355" t="s">
        <v>569</v>
      </c>
      <c r="B171" s="327" t="s">
        <v>95</v>
      </c>
      <c r="C171" s="356"/>
      <c r="D171" s="328">
        <f>D163+D166+D169</f>
        <v>33778789</v>
      </c>
    </row>
    <row r="172" spans="1:4" x14ac:dyDescent="0.2">
      <c r="A172" s="346"/>
      <c r="B172" s="347"/>
      <c r="C172" s="348"/>
      <c r="D172" s="314"/>
    </row>
    <row r="173" spans="1:4" x14ac:dyDescent="0.2">
      <c r="A173" s="415" t="s">
        <v>570</v>
      </c>
      <c r="B173" s="416" t="s">
        <v>579</v>
      </c>
      <c r="C173" s="417"/>
      <c r="D173" s="417">
        <f>D174+D175+D176+D177</f>
        <v>103299796</v>
      </c>
    </row>
    <row r="174" spans="1:4" x14ac:dyDescent="0.2">
      <c r="A174" s="322" t="s">
        <v>547</v>
      </c>
      <c r="B174" s="400" t="s">
        <v>95</v>
      </c>
      <c r="C174" s="457"/>
      <c r="D174" s="570">
        <f>D8+D171</f>
        <v>83560104</v>
      </c>
    </row>
    <row r="175" spans="1:4" x14ac:dyDescent="0.2">
      <c r="A175" s="322"/>
      <c r="B175" s="400" t="s">
        <v>548</v>
      </c>
      <c r="C175" s="457"/>
      <c r="D175" s="570">
        <f>D9</f>
        <v>319559</v>
      </c>
    </row>
    <row r="176" spans="1:4" x14ac:dyDescent="0.2">
      <c r="A176" s="322"/>
      <c r="B176" s="401" t="s">
        <v>97</v>
      </c>
      <c r="C176" s="457"/>
      <c r="D176" s="570">
        <f>D10</f>
        <v>3929468</v>
      </c>
    </row>
    <row r="177" spans="1:4" x14ac:dyDescent="0.2">
      <c r="A177" s="323"/>
      <c r="B177" s="401" t="s">
        <v>549</v>
      </c>
      <c r="C177" s="457"/>
      <c r="D177" s="570">
        <f>D11</f>
        <v>15490665</v>
      </c>
    </row>
    <row r="178" spans="1:4" x14ac:dyDescent="0.2">
      <c r="A178" s="571" t="s">
        <v>832</v>
      </c>
      <c r="B178" s="459"/>
      <c r="C178" s="460"/>
      <c r="D178" s="497"/>
    </row>
    <row r="179" spans="1:4" x14ac:dyDescent="0.2">
      <c r="A179" s="459" t="s">
        <v>873</v>
      </c>
      <c r="B179" s="459"/>
      <c r="C179" s="460"/>
      <c r="D179" s="497"/>
    </row>
    <row r="180" spans="1:4" ht="12.75" customHeight="1" x14ac:dyDescent="0.2">
      <c r="A180" s="207" t="s">
        <v>1053</v>
      </c>
      <c r="B180" s="459"/>
      <c r="C180" s="460"/>
      <c r="D180" s="497"/>
    </row>
    <row r="181" spans="1:4" x14ac:dyDescent="0.2">
      <c r="A181" s="571" t="s">
        <v>833</v>
      </c>
      <c r="B181" s="459"/>
      <c r="C181" s="460"/>
      <c r="D181" s="497"/>
    </row>
    <row r="182" spans="1:4" x14ac:dyDescent="0.2">
      <c r="A182" s="571" t="s">
        <v>834</v>
      </c>
      <c r="B182" s="459"/>
      <c r="C182" s="460"/>
      <c r="D182" s="497"/>
    </row>
    <row r="183" spans="1:4" x14ac:dyDescent="0.2">
      <c r="A183" s="571" t="s">
        <v>865</v>
      </c>
      <c r="B183" s="459"/>
      <c r="C183" s="460"/>
      <c r="D183" s="497"/>
    </row>
    <row r="184" spans="1:4" x14ac:dyDescent="0.2">
      <c r="A184" s="574" t="s">
        <v>835</v>
      </c>
      <c r="B184" s="574"/>
      <c r="C184" s="574"/>
      <c r="D184" s="497"/>
    </row>
  </sheetData>
  <mergeCells count="4">
    <mergeCell ref="A184:C184"/>
    <mergeCell ref="A13:C13"/>
    <mergeCell ref="A65:C65"/>
    <mergeCell ref="A162:C162"/>
  </mergeCells>
  <pageMargins left="0.23622047244094491" right="0.15748031496062992" top="0.47244094488188981" bottom="0.35433070866141736" header="0.23622047244094491" footer="0.19685039370078741"/>
  <pageSetup paperSize="9" orientation="landscape" r:id="rId1"/>
  <headerFooter alignWithMargins="0">
    <oddFooter>&amp;C&amp;P /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D35"/>
  <sheetViews>
    <sheetView showZeros="0" zoomScaleNormal="100" workbookViewId="0"/>
  </sheetViews>
  <sheetFormatPr defaultRowHeight="12.75" x14ac:dyDescent="0.2"/>
  <cols>
    <col min="1" max="1" width="45.85546875" customWidth="1"/>
    <col min="2" max="2" width="12.28515625" style="215" customWidth="1"/>
    <col min="3" max="3" width="11.42578125" customWidth="1"/>
    <col min="4" max="4" width="10.140625" bestFit="1" customWidth="1"/>
  </cols>
  <sheetData>
    <row r="1" spans="1:4" ht="15" x14ac:dyDescent="0.25">
      <c r="A1" s="89" t="s">
        <v>130</v>
      </c>
      <c r="D1" s="90"/>
    </row>
    <row r="2" spans="1:4" s="370" customFormat="1" ht="15" x14ac:dyDescent="0.25">
      <c r="A2" s="89"/>
      <c r="B2" s="215"/>
      <c r="D2" s="90" t="s">
        <v>294</v>
      </c>
    </row>
    <row r="3" spans="1:4" ht="27" customHeight="1" x14ac:dyDescent="0.2">
      <c r="B3" s="485" t="s">
        <v>1065</v>
      </c>
      <c r="C3" s="485" t="s">
        <v>1048</v>
      </c>
      <c r="D3" s="485" t="s">
        <v>1064</v>
      </c>
    </row>
    <row r="4" spans="1:4" x14ac:dyDescent="0.2">
      <c r="A4" s="216" t="s">
        <v>131</v>
      </c>
      <c r="B4" s="217">
        <f>B5</f>
        <v>25000000</v>
      </c>
      <c r="D4" s="217">
        <f t="shared" ref="D4:D12" si="0">B4+C4</f>
        <v>25000000</v>
      </c>
    </row>
    <row r="5" spans="1:4" x14ac:dyDescent="0.2">
      <c r="A5" s="218" t="s">
        <v>343</v>
      </c>
      <c r="B5" s="219">
        <v>25000000</v>
      </c>
      <c r="D5" s="219">
        <f t="shared" si="0"/>
        <v>25000000</v>
      </c>
    </row>
    <row r="6" spans="1:4" x14ac:dyDescent="0.2">
      <c r="A6" s="82"/>
      <c r="B6" s="219"/>
      <c r="D6" s="219">
        <f t="shared" si="0"/>
        <v>0</v>
      </c>
    </row>
    <row r="7" spans="1:4" x14ac:dyDescent="0.2">
      <c r="A7" s="216" t="s">
        <v>132</v>
      </c>
      <c r="B7" s="217">
        <f>B8</f>
        <v>14616863</v>
      </c>
      <c r="D7" s="217">
        <f t="shared" si="0"/>
        <v>14616863</v>
      </c>
    </row>
    <row r="8" spans="1:4" x14ac:dyDescent="0.2">
      <c r="A8" s="218" t="s">
        <v>343</v>
      </c>
      <c r="B8" s="219">
        <v>14616863</v>
      </c>
      <c r="D8" s="219">
        <f t="shared" si="0"/>
        <v>14616863</v>
      </c>
    </row>
    <row r="9" spans="1:4" x14ac:dyDescent="0.2">
      <c r="A9" s="218"/>
      <c r="B9" s="219"/>
      <c r="D9" s="219">
        <f t="shared" si="0"/>
        <v>0</v>
      </c>
    </row>
    <row r="10" spans="1:4" x14ac:dyDescent="0.2">
      <c r="A10" s="216" t="s">
        <v>336</v>
      </c>
      <c r="B10" s="217">
        <f>B12</f>
        <v>1041232</v>
      </c>
      <c r="C10" s="217">
        <f t="shared" ref="C10" si="1">C12</f>
        <v>1700</v>
      </c>
      <c r="D10" s="217">
        <f t="shared" si="0"/>
        <v>1042932</v>
      </c>
    </row>
    <row r="11" spans="1:4" x14ac:dyDescent="0.2">
      <c r="A11" s="220"/>
      <c r="B11" s="219"/>
      <c r="D11" s="219">
        <f t="shared" si="0"/>
        <v>0</v>
      </c>
    </row>
    <row r="12" spans="1:4" x14ac:dyDescent="0.2">
      <c r="A12" s="221" t="s">
        <v>403</v>
      </c>
      <c r="B12" s="219">
        <f>B13</f>
        <v>1041232</v>
      </c>
      <c r="C12" s="219">
        <f t="shared" ref="C12" si="2">C13</f>
        <v>1700</v>
      </c>
      <c r="D12" s="219">
        <f t="shared" si="0"/>
        <v>1042932</v>
      </c>
    </row>
    <row r="13" spans="1:4" ht="25.5" x14ac:dyDescent="0.2">
      <c r="A13" s="508" t="s">
        <v>134</v>
      </c>
      <c r="B13" s="219">
        <v>1041232</v>
      </c>
      <c r="C13" s="219">
        <v>1700</v>
      </c>
      <c r="D13" s="219">
        <f>B13+C13</f>
        <v>1042932</v>
      </c>
    </row>
    <row r="14" spans="1:4" x14ac:dyDescent="0.2">
      <c r="A14" s="222"/>
      <c r="B14" s="223"/>
      <c r="D14" s="223"/>
    </row>
    <row r="15" spans="1:4" x14ac:dyDescent="0.2">
      <c r="A15" s="222"/>
      <c r="B15" s="223"/>
    </row>
    <row r="16" spans="1:4" x14ac:dyDescent="0.2">
      <c r="A16" s="222"/>
      <c r="B16" s="54"/>
    </row>
    <row r="17" spans="1:2" x14ac:dyDescent="0.2">
      <c r="A17" s="207"/>
      <c r="B17" s="224"/>
    </row>
    <row r="18" spans="1:2" x14ac:dyDescent="0.2">
      <c r="A18" s="208"/>
      <c r="B18" s="224"/>
    </row>
    <row r="19" spans="1:2" x14ac:dyDescent="0.2">
      <c r="A19" s="208"/>
      <c r="B19" s="224"/>
    </row>
    <row r="20" spans="1:2" x14ac:dyDescent="0.2">
      <c r="A20" s="208"/>
      <c r="B20" s="224"/>
    </row>
    <row r="21" spans="1:2" x14ac:dyDescent="0.2">
      <c r="A21" s="208"/>
      <c r="B21" s="224"/>
    </row>
    <row r="22" spans="1:2" x14ac:dyDescent="0.2">
      <c r="A22" s="208"/>
      <c r="B22" s="224"/>
    </row>
    <row r="23" spans="1:2" x14ac:dyDescent="0.2">
      <c r="A23" s="208"/>
      <c r="B23" s="224"/>
    </row>
    <row r="24" spans="1:2" x14ac:dyDescent="0.2">
      <c r="A24" s="50"/>
    </row>
    <row r="25" spans="1:2" x14ac:dyDescent="0.2">
      <c r="A25" s="50"/>
    </row>
    <row r="35" ht="15" customHeight="1" x14ac:dyDescent="0.2"/>
  </sheetData>
  <phoneticPr fontId="26" type="noConversion"/>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KOONDEELARVE</vt:lpstr>
      <vt:lpstr>2 TULUDE KOOND</vt:lpstr>
      <vt:lpstr>2.1 LK TULUD</vt:lpstr>
      <vt:lpstr>Sheet2</vt:lpstr>
      <vt:lpstr>2.2 OMATULUD</vt:lpstr>
      <vt:lpstr>2.3 TOETUSED</vt:lpstr>
      <vt:lpstr>3 KULUD</vt:lpstr>
      <vt:lpstr>4 INVEST</vt:lpstr>
      <vt:lpstr>5 FIN.TEH</vt:lpstr>
      <vt:lpstr>6 RAHAKÄIVE</vt:lpstr>
      <vt:lpstr>7 LIIGENDUS</vt:lpstr>
      <vt:lpstr>'1 KOONDEELARVE'!Print_Titles</vt:lpstr>
      <vt:lpstr>'2 TULUDE KOOND'!Print_Titles</vt:lpstr>
      <vt:lpstr>'2.2 OMATULUD'!Print_Titles</vt:lpstr>
      <vt:lpstr>'3 KULUD'!Print_Titles</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valler</dc:creator>
  <cp:lastModifiedBy>valler</cp:lastModifiedBy>
  <cp:lastPrinted>2013-04-29T10:43:06Z</cp:lastPrinted>
  <dcterms:created xsi:type="dcterms:W3CDTF">2011-11-17T06:19:29Z</dcterms:created>
  <dcterms:modified xsi:type="dcterms:W3CDTF">2013-05-27T08:07:15Z</dcterms:modified>
</cp:coreProperties>
</file>