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9185" yWindow="45" windowWidth="9630" windowHeight="12795"/>
  </bookViews>
  <sheets>
    <sheet name="1 KOONDEELARVE" sheetId="5" r:id="rId1"/>
    <sheet name="2 TULUDE KOOND" sheetId="6" r:id="rId2"/>
    <sheet name="2.1 LK TULUD" sheetId="7" r:id="rId3"/>
    <sheet name="Sheet2" sheetId="15" state="hidden" r:id="rId4"/>
    <sheet name="2.2 OMATULUD" sheetId="4" r:id="rId5"/>
    <sheet name="2.3 TOETUSED" sheetId="12" r:id="rId6"/>
    <sheet name="3 KULUD" sheetId="8" r:id="rId7"/>
    <sheet name="4 INVEST" sheetId="16" r:id="rId8"/>
    <sheet name="5 RAHAKÄIVE" sheetId="10" r:id="rId9"/>
    <sheet name="6 LIIGENDUS" sheetId="13" r:id="rId10"/>
  </sheets>
  <definedNames>
    <definedName name="_xlnm._FilterDatabase" localSheetId="0" hidden="1">'1 KOONDEELARVE'!$A$13:$A$55</definedName>
    <definedName name="_xlnm._FilterDatabase" localSheetId="4" hidden="1">'2.2 OMATULUD'!$A$4:$B$313</definedName>
    <definedName name="_xlnm._FilterDatabase" localSheetId="5" hidden="1">'2.3 TOETUSED'!$A$4:$B$30</definedName>
    <definedName name="_xlnm._FilterDatabase" localSheetId="6" hidden="1">'3 KULUD'!$A$9:$B$850</definedName>
    <definedName name="OLE_LINK1" localSheetId="6">'3 KULUD'!#REF!</definedName>
    <definedName name="_xlnm.Print_Titles" localSheetId="0">'1 KOONDEELARVE'!$10:$10</definedName>
    <definedName name="_xlnm.Print_Titles" localSheetId="1">'2 TULUDE KOOND'!$10:$10</definedName>
    <definedName name="_xlnm.Print_Titles" localSheetId="7">'4 INVEST'!$8:$8</definedName>
  </definedNames>
  <calcPr calcId="145621"/>
</workbook>
</file>

<file path=xl/calcChain.xml><?xml version="1.0" encoding="utf-8"?>
<calcChain xmlns="http://schemas.openxmlformats.org/spreadsheetml/2006/main">
  <c r="B861" i="8" l="1"/>
  <c r="D44" i="16"/>
  <c r="C44" i="16"/>
  <c r="C55" i="5" l="1"/>
  <c r="B77" i="5"/>
  <c r="B76" i="5"/>
  <c r="B282" i="4" l="1"/>
  <c r="B285" i="4"/>
  <c r="C32" i="16" l="1"/>
  <c r="C64" i="16"/>
  <c r="C63" i="16" l="1"/>
  <c r="C28" i="16"/>
  <c r="C24" i="16" s="1"/>
  <c r="C15" i="16"/>
  <c r="C21" i="16"/>
  <c r="D31" i="16"/>
  <c r="C31" i="16"/>
  <c r="D30" i="16"/>
  <c r="D26" i="16" s="1"/>
  <c r="C30" i="16"/>
  <c r="D29" i="16"/>
  <c r="D25" i="16" s="1"/>
  <c r="D20" i="16" s="1"/>
  <c r="D14" i="16" s="1"/>
  <c r="C29" i="16"/>
  <c r="D28" i="16"/>
  <c r="C26" i="16"/>
  <c r="D21" i="16" l="1"/>
  <c r="D15" i="16" s="1"/>
  <c r="D27" i="16"/>
  <c r="C27" i="16"/>
  <c r="D24" i="16"/>
  <c r="C25" i="16"/>
  <c r="C23" i="16" l="1"/>
  <c r="C20" i="16"/>
  <c r="C14" i="16" s="1"/>
  <c r="D23" i="16"/>
  <c r="C72" i="16"/>
  <c r="D72" i="16"/>
  <c r="D71" i="16" l="1"/>
  <c r="B157" i="8"/>
  <c r="B171" i="8"/>
  <c r="C56" i="5"/>
  <c r="B559" i="8"/>
  <c r="B646" i="8"/>
  <c r="B138" i="8" l="1"/>
  <c r="B860" i="8" l="1"/>
  <c r="B859" i="8" s="1"/>
  <c r="B720" i="8"/>
  <c r="B357" i="8" l="1"/>
  <c r="B552" i="8"/>
  <c r="D52" i="16"/>
  <c r="D31" i="6"/>
  <c r="B35" i="13"/>
  <c r="B28" i="13"/>
  <c r="B15" i="13" l="1"/>
  <c r="B30" i="12"/>
  <c r="D85" i="16"/>
  <c r="D83" i="16"/>
  <c r="D80" i="16"/>
  <c r="D75" i="16"/>
  <c r="C75" i="16"/>
  <c r="C74" i="16"/>
  <c r="C73" i="16"/>
  <c r="C70" i="16" s="1"/>
  <c r="D70" i="16"/>
  <c r="C67" i="16"/>
  <c r="C66" i="16" s="1"/>
  <c r="D66" i="16"/>
  <c r="C62" i="16"/>
  <c r="C61" i="16" s="1"/>
  <c r="D61" i="16"/>
  <c r="C60" i="16"/>
  <c r="C59" i="16"/>
  <c r="D58" i="16"/>
  <c r="D54" i="16"/>
  <c r="C54" i="16"/>
  <c r="C49" i="16"/>
  <c r="C48" i="16"/>
  <c r="D47" i="16"/>
  <c r="D45" i="16"/>
  <c r="C45" i="16"/>
  <c r="C42" i="16" s="1"/>
  <c r="C19" i="16" s="1"/>
  <c r="C13" i="16" s="1"/>
  <c r="B40" i="7"/>
  <c r="B38" i="7"/>
  <c r="B36" i="7" s="1"/>
  <c r="B34" i="7"/>
  <c r="B31" i="6"/>
  <c r="B17" i="7"/>
  <c r="B20" i="6" s="1"/>
  <c r="B14" i="7"/>
  <c r="B11" i="7"/>
  <c r="B18" i="6" s="1"/>
  <c r="D42" i="16" l="1"/>
  <c r="D19" i="16" s="1"/>
  <c r="D13" i="16" s="1"/>
  <c r="C47" i="16"/>
  <c r="D43" i="16"/>
  <c r="C58" i="16"/>
  <c r="C43" i="16"/>
  <c r="C71" i="16"/>
  <c r="D79" i="16"/>
  <c r="B31" i="13" s="1"/>
  <c r="D69" i="16"/>
  <c r="D68" i="16" s="1"/>
  <c r="C69" i="16"/>
  <c r="C68" i="16" s="1"/>
  <c r="B10" i="7"/>
  <c r="C41" i="16" l="1"/>
  <c r="C18" i="16" s="1"/>
  <c r="C17" i="16" s="1"/>
  <c r="D41" i="16"/>
  <c r="D18" i="16" s="1"/>
  <c r="D40" i="16" l="1"/>
  <c r="C40" i="16"/>
  <c r="B29" i="13" l="1"/>
  <c r="C35" i="5"/>
  <c r="C49" i="5"/>
  <c r="D17" i="16"/>
  <c r="D12" i="16"/>
  <c r="D11" i="16" s="1"/>
  <c r="C12" i="16"/>
  <c r="C11" i="16" s="1"/>
  <c r="D21" i="6" l="1"/>
  <c r="D23" i="6"/>
  <c r="D33" i="6"/>
  <c r="D36" i="6"/>
  <c r="B59" i="7"/>
  <c r="B56" i="7" s="1"/>
  <c r="B55" i="7" s="1"/>
  <c r="B51" i="7"/>
  <c r="B50" i="7" s="1"/>
  <c r="B47" i="7"/>
  <c r="B46" i="7" s="1"/>
  <c r="B33" i="7"/>
  <c r="B26" i="7"/>
  <c r="B24" i="7"/>
  <c r="B20" i="7"/>
  <c r="B22" i="6" s="1"/>
  <c r="D22" i="6" s="1"/>
  <c r="C16" i="5" s="1"/>
  <c r="B7" i="7"/>
  <c r="B6" i="7" s="1"/>
  <c r="B369" i="8"/>
  <c r="B27" i="12"/>
  <c r="B24" i="12"/>
  <c r="B20" i="12"/>
  <c r="B17" i="12"/>
  <c r="B13" i="12"/>
  <c r="B7" i="12"/>
  <c r="B6" i="12" s="1"/>
  <c r="B858" i="8"/>
  <c r="B857" i="8" s="1"/>
  <c r="B850" i="8"/>
  <c r="B843" i="8"/>
  <c r="B838" i="8"/>
  <c r="B833" i="8"/>
  <c r="B832" i="8" s="1"/>
  <c r="B827" i="8"/>
  <c r="B826" i="8" s="1"/>
  <c r="B809" i="8"/>
  <c r="B807" i="8" s="1"/>
  <c r="B803" i="8"/>
  <c r="B802" i="8" s="1"/>
  <c r="B798" i="8"/>
  <c r="B797" i="8" s="1"/>
  <c r="B794" i="8"/>
  <c r="B779" i="8"/>
  <c r="B777" i="8" s="1"/>
  <c r="B767" i="8"/>
  <c r="B764" i="8" s="1"/>
  <c r="B761" i="8"/>
  <c r="B749" i="8"/>
  <c r="B744" i="8" s="1"/>
  <c r="B739" i="8" s="1"/>
  <c r="B746" i="8"/>
  <c r="B728" i="8"/>
  <c r="B726" i="8"/>
  <c r="B725" i="8"/>
  <c r="B719" i="8"/>
  <c r="B714" i="8"/>
  <c r="B711" i="8"/>
  <c r="B709" i="8" s="1"/>
  <c r="B702" i="8"/>
  <c r="B701" i="8" s="1"/>
  <c r="B698" i="8"/>
  <c r="B676" i="8"/>
  <c r="B674" i="8" s="1"/>
  <c r="B667" i="8"/>
  <c r="B666" i="8" s="1"/>
  <c r="B661" i="8"/>
  <c r="B660" i="8" s="1"/>
  <c r="B635" i="8"/>
  <c r="B633" i="8" s="1"/>
  <c r="B626" i="8"/>
  <c r="B625" i="8" s="1"/>
  <c r="B620" i="8"/>
  <c r="B619" i="8" s="1"/>
  <c r="B608" i="8"/>
  <c r="B604" i="8"/>
  <c r="B601" i="8"/>
  <c r="B595" i="8"/>
  <c r="B594" i="8" s="1"/>
  <c r="B590" i="8"/>
  <c r="B589" i="8" s="1"/>
  <c r="B586" i="8"/>
  <c r="B576" i="8"/>
  <c r="B575" i="8"/>
  <c r="B570" i="8" s="1"/>
  <c r="B573" i="8" s="1"/>
  <c r="B572" i="8" s="1"/>
  <c r="B554" i="8"/>
  <c r="B553" i="8" s="1"/>
  <c r="B538" i="8"/>
  <c r="B537" i="8"/>
  <c r="B535" i="8" s="1"/>
  <c r="B531" i="8"/>
  <c r="B527" i="8"/>
  <c r="B522" i="8"/>
  <c r="B509" i="8"/>
  <c r="B494" i="8"/>
  <c r="B492" i="8"/>
  <c r="B491" i="8"/>
  <c r="B484" i="8"/>
  <c r="B483" i="8"/>
  <c r="B482" i="8" s="1"/>
  <c r="B468" i="8"/>
  <c r="B467" i="8" s="1"/>
  <c r="B464" i="8"/>
  <c r="B463" i="8"/>
  <c r="B443" i="8"/>
  <c r="B440" i="8"/>
  <c r="B438" i="8"/>
  <c r="B437" i="8"/>
  <c r="B433" i="8"/>
  <c r="B428" i="8" s="1"/>
  <c r="B427" i="8" s="1"/>
  <c r="B424" i="8"/>
  <c r="B405" i="8"/>
  <c r="B400" i="8" s="1"/>
  <c r="B396" i="8"/>
  <c r="B395" i="8" s="1"/>
  <c r="B384" i="8"/>
  <c r="B374" i="8"/>
  <c r="B373" i="8"/>
  <c r="B359" i="8"/>
  <c r="B352" i="8" s="1"/>
  <c r="B347" i="8" s="1"/>
  <c r="B329" i="8"/>
  <c r="B321" i="8"/>
  <c r="B312" i="8"/>
  <c r="B304" i="8"/>
  <c r="B303" i="8"/>
  <c r="B282" i="8"/>
  <c r="B281" i="8"/>
  <c r="B272" i="8"/>
  <c r="B269" i="8" s="1"/>
  <c r="B270" i="8"/>
  <c r="B267" i="8"/>
  <c r="B250" i="8"/>
  <c r="B248" i="8"/>
  <c r="B236" i="8"/>
  <c r="B235" i="8" s="1"/>
  <c r="B231" i="8" s="1"/>
  <c r="B228" i="8"/>
  <c r="B225" i="8"/>
  <c r="B217" i="8"/>
  <c r="B216" i="8"/>
  <c r="B215" i="8" s="1"/>
  <c r="B212" i="8"/>
  <c r="B208" i="8" s="1"/>
  <c r="B203" i="8"/>
  <c r="B200" i="8" s="1"/>
  <c r="B198" i="8"/>
  <c r="B197" i="8"/>
  <c r="B191" i="8"/>
  <c r="B190" i="8"/>
  <c r="B166" i="8"/>
  <c r="B160" i="8"/>
  <c r="B148" i="8"/>
  <c r="B145" i="8"/>
  <c r="B136" i="8"/>
  <c r="B125" i="8"/>
  <c r="B112" i="8" s="1"/>
  <c r="B120" i="8"/>
  <c r="B107" i="8"/>
  <c r="B101" i="8"/>
  <c r="B100" i="8"/>
  <c r="B94" i="8"/>
  <c r="B74" i="8"/>
  <c r="B76" i="8" s="1"/>
  <c r="B75" i="8" s="1"/>
  <c r="B64" i="8"/>
  <c r="B66" i="8" s="1"/>
  <c r="B65" i="8" s="1"/>
  <c r="B47" i="8"/>
  <c r="B28" i="8" s="1"/>
  <c r="B30" i="8" s="1"/>
  <c r="B29" i="8" s="1"/>
  <c r="B16" i="8"/>
  <c r="B12" i="8" s="1"/>
  <c r="B13" i="8" s="1"/>
  <c r="B10" i="15"/>
  <c r="B11" i="15"/>
  <c r="B12" i="15"/>
  <c r="B16" i="15"/>
  <c r="B17" i="15"/>
  <c r="B486" i="4"/>
  <c r="B484" i="4" s="1"/>
  <c r="B483" i="4" s="1"/>
  <c r="B480" i="4"/>
  <c r="B477" i="4"/>
  <c r="B476" i="4" s="1"/>
  <c r="B472" i="4"/>
  <c r="B468" i="4"/>
  <c r="B464" i="4"/>
  <c r="B461" i="4"/>
  <c r="B453" i="4"/>
  <c r="B451" i="4"/>
  <c r="B446" i="4"/>
  <c r="B442" i="4"/>
  <c r="B440" i="4"/>
  <c r="B437" i="4" s="1"/>
  <c r="B438" i="4"/>
  <c r="B431" i="4"/>
  <c r="B428" i="4"/>
  <c r="B424" i="4"/>
  <c r="B423" i="4" s="1"/>
  <c r="B420" i="4"/>
  <c r="B417" i="4" s="1"/>
  <c r="B418" i="4"/>
  <c r="B412" i="4"/>
  <c r="B411" i="4" s="1"/>
  <c r="B408" i="4"/>
  <c r="B406" i="4"/>
  <c r="B405" i="4" s="1"/>
  <c r="B402" i="4" s="1"/>
  <c r="B403" i="4"/>
  <c r="B397" i="4"/>
  <c r="B395" i="4"/>
  <c r="B392" i="4" s="1"/>
  <c r="B390" i="4" s="1"/>
  <c r="B741" i="8" s="1"/>
  <c r="B393" i="4"/>
  <c r="B383" i="4"/>
  <c r="B382" i="4" s="1"/>
  <c r="B378" i="4"/>
  <c r="B375" i="4"/>
  <c r="B374" i="4" s="1"/>
  <c r="B369" i="4"/>
  <c r="B368" i="4"/>
  <c r="B365" i="4"/>
  <c r="B364" i="4" s="1"/>
  <c r="B360" i="4"/>
  <c r="B354" i="4" s="1"/>
  <c r="B355" i="4"/>
  <c r="B350" i="4"/>
  <c r="B348" i="4"/>
  <c r="B344" i="4"/>
  <c r="B341" i="4"/>
  <c r="B337" i="4" s="1"/>
  <c r="B338" i="4"/>
  <c r="B331" i="4"/>
  <c r="B326" i="4" s="1"/>
  <c r="B327" i="4"/>
  <c r="B323" i="4"/>
  <c r="B320" i="4"/>
  <c r="B317" i="4"/>
  <c r="B311" i="4"/>
  <c r="B307" i="4"/>
  <c r="B302" i="4"/>
  <c r="B300" i="4"/>
  <c r="B299" i="4" s="1"/>
  <c r="B295" i="4"/>
  <c r="B294" i="4"/>
  <c r="B291" i="4"/>
  <c r="B290" i="4" s="1"/>
  <c r="B288" i="4"/>
  <c r="B283" i="4"/>
  <c r="B277" i="4"/>
  <c r="B274" i="4"/>
  <c r="B269" i="4"/>
  <c r="B266" i="4"/>
  <c r="B263" i="4"/>
  <c r="B260" i="4"/>
  <c r="B3" i="15" s="1"/>
  <c r="B254" i="4"/>
  <c r="B253" i="4" s="1"/>
  <c r="B250" i="4"/>
  <c r="B247" i="4"/>
  <c r="B246" i="4" s="1"/>
  <c r="B242" i="4"/>
  <c r="B240" i="4"/>
  <c r="B239" i="4" s="1"/>
  <c r="B234" i="4"/>
  <c r="B233" i="4" s="1"/>
  <c r="B231" i="4" s="1"/>
  <c r="B462" i="8" s="1"/>
  <c r="B228" i="4"/>
  <c r="B227" i="4" s="1"/>
  <c r="B423" i="8" s="1"/>
  <c r="B224" i="4"/>
  <c r="B223" i="4" s="1"/>
  <c r="B219" i="4"/>
  <c r="B218" i="4" s="1"/>
  <c r="B213" i="4"/>
  <c r="B212" i="4"/>
  <c r="B349" i="8" s="1"/>
  <c r="B209" i="4"/>
  <c r="B207" i="4"/>
  <c r="B9" i="15" s="1"/>
  <c r="B203" i="4"/>
  <c r="B202" i="4" s="1"/>
  <c r="B199" i="4"/>
  <c r="B198" i="4"/>
  <c r="B195" i="4"/>
  <c r="B6" i="15" s="1"/>
  <c r="B193" i="4"/>
  <c r="B190" i="4"/>
  <c r="B189" i="4"/>
  <c r="B186" i="4"/>
  <c r="B185" i="4" s="1"/>
  <c r="B180" i="4"/>
  <c r="B179" i="4" s="1"/>
  <c r="B176" i="4"/>
  <c r="B172" i="4" s="1"/>
  <c r="B173" i="4"/>
  <c r="B168" i="4"/>
  <c r="B165" i="4"/>
  <c r="B162" i="4"/>
  <c r="B158" i="4"/>
  <c r="B157" i="4" s="1"/>
  <c r="B152" i="4"/>
  <c r="B151" i="4"/>
  <c r="B148" i="4"/>
  <c r="B145" i="4"/>
  <c r="B143" i="4"/>
  <c r="B139" i="4"/>
  <c r="B135" i="4" s="1"/>
  <c r="B136" i="4"/>
  <c r="B132" i="4"/>
  <c r="B129" i="4"/>
  <c r="B122" i="4"/>
  <c r="B121" i="4" s="1"/>
  <c r="B115" i="4"/>
  <c r="B114" i="4" s="1"/>
  <c r="B111" i="4"/>
  <c r="B108" i="4"/>
  <c r="B104" i="4"/>
  <c r="B100" i="4"/>
  <c r="B99" i="4"/>
  <c r="B94" i="4"/>
  <c r="B91" i="4"/>
  <c r="B89" i="4"/>
  <c r="B14" i="15" s="1"/>
  <c r="B85" i="4"/>
  <c r="B84" i="4" s="1"/>
  <c r="B80" i="4"/>
  <c r="B79" i="4"/>
  <c r="B74" i="4"/>
  <c r="B73" i="4" s="1"/>
  <c r="B69" i="4"/>
  <c r="B13" i="15" s="1"/>
  <c r="B63" i="4"/>
  <c r="B60" i="4"/>
  <c r="B55" i="4"/>
  <c r="B50" i="4"/>
  <c r="B8" i="15" s="1"/>
  <c r="B48" i="4"/>
  <c r="B47" i="4" s="1"/>
  <c r="B45" i="4"/>
  <c r="B39" i="4"/>
  <c r="B38" i="4" s="1"/>
  <c r="B34" i="4"/>
  <c r="B33" i="4"/>
  <c r="B31" i="4"/>
  <c r="B30" i="4"/>
  <c r="B22" i="4"/>
  <c r="B20" i="4" s="1"/>
  <c r="B15" i="15" s="1"/>
  <c r="B19" i="4"/>
  <c r="B13" i="4" s="1"/>
  <c r="B12" i="4" s="1"/>
  <c r="B9" i="4"/>
  <c r="B14" i="8" l="1"/>
  <c r="B723" i="8"/>
  <c r="B4" i="15"/>
  <c r="B44" i="4"/>
  <c r="B7" i="15"/>
  <c r="B216" i="4"/>
  <c r="B368" i="8" s="1"/>
  <c r="B259" i="4"/>
  <c r="B8" i="4"/>
  <c r="B6" i="4" s="1"/>
  <c r="B87" i="8" s="1"/>
  <c r="B25" i="4"/>
  <c r="B24" i="4" s="1"/>
  <c r="B68" i="4"/>
  <c r="B66" i="4" s="1"/>
  <c r="B132" i="8" s="1"/>
  <c r="B107" i="4"/>
  <c r="B142" i="4"/>
  <c r="B206" i="4"/>
  <c r="B306" i="4"/>
  <c r="B460" i="4"/>
  <c r="B5" i="15"/>
  <c r="B128" i="4"/>
  <c r="B126" i="4" s="1"/>
  <c r="B179" i="8" s="1"/>
  <c r="B161" i="4"/>
  <c r="B273" i="4"/>
  <c r="B316" i="4"/>
  <c r="B347" i="4"/>
  <c r="B335" i="4" s="1"/>
  <c r="B695" i="8" s="1"/>
  <c r="B445" i="4"/>
  <c r="B841" i="8"/>
  <c r="B821" i="8" s="1"/>
  <c r="B20" i="13"/>
  <c r="B22" i="13"/>
  <c r="B350" i="8"/>
  <c r="B348" i="8" s="1"/>
  <c r="B789" i="8"/>
  <c r="B654" i="8"/>
  <c r="B707" i="8"/>
  <c r="B35" i="6"/>
  <c r="B34" i="6" s="1"/>
  <c r="D34" i="6" s="1"/>
  <c r="C19" i="5" s="1"/>
  <c r="B32" i="6"/>
  <c r="B30" i="6" s="1"/>
  <c r="B41" i="6"/>
  <c r="B23" i="7"/>
  <c r="B27" i="6" s="1"/>
  <c r="B38" i="6"/>
  <c r="B5" i="12"/>
  <c r="C47" i="6"/>
  <c r="D47" i="6" s="1"/>
  <c r="B92" i="8"/>
  <c r="B184" i="8"/>
  <c r="B247" i="8"/>
  <c r="B246" i="8" s="1"/>
  <c r="B310" i="8"/>
  <c r="B435" i="8"/>
  <c r="B421" i="8" s="1"/>
  <c r="B425" i="8" s="1"/>
  <c r="B422" i="8" s="1"/>
  <c r="B135" i="8"/>
  <c r="B613" i="8"/>
  <c r="B91" i="8"/>
  <c r="B84" i="8" s="1"/>
  <c r="B11" i="12"/>
  <c r="B742" i="8"/>
  <c r="B740" i="8" s="1"/>
  <c r="B223" i="8"/>
  <c r="B525" i="8"/>
  <c r="B519" i="8" s="1"/>
  <c r="B692" i="8"/>
  <c r="B155" i="8"/>
  <c r="B183" i="8"/>
  <c r="B182" i="8" s="1"/>
  <c r="B372" i="8"/>
  <c r="B366" i="8" s="1"/>
  <c r="B489" i="8"/>
  <c r="B460" i="8" s="1"/>
  <c r="B465" i="8" s="1"/>
  <c r="B461" i="8" s="1"/>
  <c r="B599" i="8"/>
  <c r="B756" i="8"/>
  <c r="B581" i="8"/>
  <c r="B584" i="8" s="1"/>
  <c r="B582" i="8" s="1"/>
  <c r="B88" i="8"/>
  <c r="B257" i="4"/>
  <c r="B583" i="8" s="1"/>
  <c r="B314" i="4"/>
  <c r="B657" i="8" s="1"/>
  <c r="B183" i="4"/>
  <c r="B243" i="8" s="1"/>
  <c r="B237" i="4"/>
  <c r="B521" i="8" s="1"/>
  <c r="B435" i="4"/>
  <c r="B791" i="8" s="1"/>
  <c r="B400" i="4"/>
  <c r="B758" i="8" s="1"/>
  <c r="B458" i="4"/>
  <c r="B823" i="8" s="1"/>
  <c r="B523" i="8" l="1"/>
  <c r="B520" i="8" s="1"/>
  <c r="B759" i="8"/>
  <c r="B757" i="8" s="1"/>
  <c r="B792" i="8"/>
  <c r="B790" i="8" s="1"/>
  <c r="B696" i="8"/>
  <c r="B694" i="8" s="1"/>
  <c r="B370" i="8"/>
  <c r="B367" i="8" s="1"/>
  <c r="B658" i="8"/>
  <c r="B656" i="8" s="1"/>
  <c r="B280" i="4"/>
  <c r="B616" i="8" s="1"/>
  <c r="B617" i="8" s="1"/>
  <c r="B615" i="8" s="1"/>
  <c r="B824" i="8"/>
  <c r="B822" i="8" s="1"/>
  <c r="B2" i="15"/>
  <c r="B489" i="4"/>
  <c r="B130" i="8"/>
  <c r="B133" i="8" s="1"/>
  <c r="B131" i="8" s="1"/>
  <c r="B176" i="8"/>
  <c r="B180" i="8" s="1"/>
  <c r="B178" i="8" s="1"/>
  <c r="B241" i="8"/>
  <c r="B244" i="8" s="1"/>
  <c r="B242" i="8" s="1"/>
  <c r="D35" i="6"/>
  <c r="B29" i="7"/>
  <c r="B64" i="7" s="1"/>
  <c r="C33" i="5"/>
  <c r="C27" i="5"/>
  <c r="B10" i="12"/>
  <c r="C46" i="6"/>
  <c r="C45" i="6" s="1"/>
  <c r="B89" i="8"/>
  <c r="D64" i="5"/>
  <c r="B86" i="8" l="1"/>
  <c r="B20" i="15" s="1"/>
  <c r="B866" i="8" l="1"/>
  <c r="B870" i="8"/>
  <c r="B864" i="8"/>
  <c r="B869" i="8"/>
  <c r="B868" i="8"/>
  <c r="B871" i="8"/>
  <c r="B872" i="8"/>
  <c r="C34" i="5" l="1"/>
  <c r="C32" i="5"/>
  <c r="C39" i="5"/>
  <c r="B21" i="13"/>
  <c r="C30" i="5" l="1"/>
  <c r="D75" i="5"/>
  <c r="D72" i="5"/>
  <c r="D71" i="5"/>
  <c r="D70" i="5"/>
  <c r="D69" i="5"/>
  <c r="D68" i="5"/>
  <c r="D67" i="5"/>
  <c r="D62" i="5"/>
  <c r="D61" i="5"/>
  <c r="D60" i="5"/>
  <c r="D57" i="5"/>
  <c r="D56" i="5"/>
  <c r="D54" i="5"/>
  <c r="D53" i="5"/>
  <c r="D48" i="5"/>
  <c r="D46" i="5"/>
  <c r="D44" i="5"/>
  <c r="D43" i="5"/>
  <c r="D42" i="5"/>
  <c r="D40" i="5"/>
  <c r="D38" i="5"/>
  <c r="D36" i="5"/>
  <c r="D28" i="5"/>
  <c r="D27" i="5"/>
  <c r="D24" i="5"/>
  <c r="D22" i="5"/>
  <c r="D21" i="5"/>
  <c r="D19" i="5"/>
  <c r="D16" i="5"/>
  <c r="B45" i="13" l="1"/>
  <c r="D58" i="5"/>
  <c r="D49" i="5"/>
  <c r="D35" i="5" l="1"/>
  <c r="D31" i="5"/>
  <c r="B34" i="13" l="1"/>
  <c r="B41" i="13" l="1"/>
  <c r="D55" i="5" l="1"/>
  <c r="D32" i="5"/>
  <c r="D39" i="5"/>
  <c r="B18" i="13"/>
  <c r="B42" i="13"/>
  <c r="B39" i="13" s="1"/>
  <c r="C59" i="5"/>
  <c r="D59" i="5" s="1"/>
  <c r="C66" i="5"/>
  <c r="D66" i="5" s="1"/>
  <c r="D34" i="5" l="1"/>
  <c r="B24" i="6"/>
  <c r="B37" i="6"/>
  <c r="C51" i="5"/>
  <c r="D51" i="5" s="1"/>
  <c r="B15" i="6" l="1"/>
  <c r="B14" i="6" s="1"/>
  <c r="B19" i="6"/>
  <c r="D37" i="6"/>
  <c r="C20" i="5" s="1"/>
  <c r="D41" i="6"/>
  <c r="D38" i="6"/>
  <c r="B17" i="6" l="1"/>
  <c r="B12" i="6" s="1"/>
  <c r="D25" i="5"/>
  <c r="B26" i="13"/>
  <c r="D15" i="6"/>
  <c r="D19" i="6"/>
  <c r="D20" i="5"/>
  <c r="B40" i="6"/>
  <c r="B45" i="6"/>
  <c r="D14" i="6"/>
  <c r="C14" i="5" s="1"/>
  <c r="D17" i="6" l="1"/>
  <c r="C15" i="5" s="1"/>
  <c r="D15" i="5" s="1"/>
  <c r="B43" i="6"/>
  <c r="B49" i="6" s="1"/>
  <c r="D14" i="5"/>
  <c r="D45" i="6"/>
  <c r="D46" i="6"/>
  <c r="D40" i="6"/>
  <c r="D12" i="6"/>
  <c r="B13" i="13" l="1"/>
  <c r="C26" i="5"/>
  <c r="D26" i="5" s="1"/>
  <c r="B51" i="6"/>
  <c r="C23" i="5"/>
  <c r="D23" i="5" s="1"/>
  <c r="C28" i="6"/>
  <c r="D28" i="6" s="1"/>
  <c r="C27" i="6"/>
  <c r="D27" i="6" s="1"/>
  <c r="C26" i="6"/>
  <c r="D26" i="6" s="1"/>
  <c r="C32" i="6"/>
  <c r="B1" i="15"/>
  <c r="C25" i="6" s="1"/>
  <c r="D25" i="6" l="1"/>
  <c r="C24" i="6"/>
  <c r="B18" i="15"/>
  <c r="B19" i="15" s="1"/>
  <c r="C30" i="6"/>
  <c r="D30" i="6" s="1"/>
  <c r="D32" i="6"/>
  <c r="C18" i="5" l="1"/>
  <c r="B16" i="13" s="1"/>
  <c r="C43" i="6"/>
  <c r="D24" i="6"/>
  <c r="D18" i="5" l="1"/>
  <c r="D43" i="6"/>
  <c r="C17" i="5"/>
  <c r="C49" i="6"/>
  <c r="D49" i="6" s="1"/>
  <c r="C50" i="5"/>
  <c r="D50" i="5" l="1"/>
  <c r="B14" i="13"/>
  <c r="D17" i="5"/>
  <c r="C52" i="5"/>
  <c r="C74" i="5" l="1"/>
  <c r="D30" i="5"/>
  <c r="D52" i="5"/>
  <c r="D74" i="5" s="1"/>
  <c r="C29" i="5"/>
  <c r="C77" i="5" l="1"/>
  <c r="D29" i="5"/>
  <c r="D77" i="5" s="1"/>
  <c r="C13" i="5"/>
  <c r="C76" i="5" l="1"/>
  <c r="D13" i="5"/>
  <c r="D76" i="5" s="1"/>
  <c r="C37" i="5"/>
  <c r="D37" i="5" l="1"/>
  <c r="C78" i="5"/>
  <c r="C41" i="5"/>
  <c r="B11" i="13"/>
  <c r="D41" i="5" l="1"/>
  <c r="B24" i="13"/>
  <c r="B37" i="13" l="1"/>
  <c r="B44" i="13" l="1"/>
</calcChain>
</file>

<file path=xl/sharedStrings.xml><?xml version="1.0" encoding="utf-8"?>
<sst xmlns="http://schemas.openxmlformats.org/spreadsheetml/2006/main" count="1386" uniqueCount="632">
  <si>
    <t>muud botaanikaaia tasulised teenused</t>
  </si>
  <si>
    <t>kliendi osalustasu koduteenuste osutamisel</t>
  </si>
  <si>
    <t>linnarajatiste reklaamitulu</t>
  </si>
  <si>
    <t>huviringi osalustasu</t>
  </si>
  <si>
    <t>* Eelarve täitmisel on linnavalitsusel õigus muuta summade jaotust ülelinnaliste kultuuriürituste üldsumma piires.</t>
  </si>
  <si>
    <t>TOETUSED</t>
  </si>
  <si>
    <t>Välisrahastus kokku</t>
  </si>
  <si>
    <t>Kommunaalamet</t>
  </si>
  <si>
    <t>Toetused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</si>
  <si>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</si>
  <si>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Põhitegevuse tulud (+)</t>
  </si>
  <si>
    <t>Maksutulud</t>
  </si>
  <si>
    <t>Tulud kaupade ja teenuste müügist</t>
  </si>
  <si>
    <t>Saadavad toetused tegevuskuludeks</t>
  </si>
  <si>
    <t>Muud tegevustulud</t>
  </si>
  <si>
    <t>Põhitegevuse kulud (-)</t>
  </si>
  <si>
    <t>Antavad toetused tegevuskuludeks</t>
  </si>
  <si>
    <t>Muud tegevuskulud</t>
  </si>
  <si>
    <t>PÕHITEGEVUSE TULEM</t>
  </si>
  <si>
    <t>Investeerimistegevus</t>
  </si>
  <si>
    <t>Põhivara müük (+)</t>
  </si>
  <si>
    <t>Põhivara soetus (-)</t>
  </si>
  <si>
    <t>Saadav sihtfinantseerimine (+)</t>
  </si>
  <si>
    <t>Antav sihtfinantseerimine (-)</t>
  </si>
  <si>
    <t>Finantstulud (+)</t>
  </si>
  <si>
    <t>Finantskulud (-)</t>
  </si>
  <si>
    <t>EELARVE TULEM</t>
  </si>
  <si>
    <t>Finantseerimistegevus</t>
  </si>
  <si>
    <t>Kohustuste võtmine (+)</t>
  </si>
  <si>
    <t>Kohustuste tasumine (-)</t>
  </si>
  <si>
    <t>Likviidsete varade muutus</t>
  </si>
  <si>
    <t>Nõuete ja kohustuste saldode muutus</t>
  </si>
  <si>
    <t>Muud erakorralised tulud</t>
  </si>
  <si>
    <t>Linnaosa valitsuse reservfond</t>
  </si>
  <si>
    <t>Mustamäe Linnaosa Valitsuse haldusala</t>
  </si>
  <si>
    <t>Nõmme Linnaosa Valitsuse haldusala</t>
  </si>
  <si>
    <t>Pirita Linnaosa Valitsuse haldusala</t>
  </si>
  <si>
    <t>Põhja-Tallinna Valitsuse haldusala</t>
  </si>
  <si>
    <t>Linna üldkulud</t>
  </si>
  <si>
    <t>Linna rahahaldusega seotud finantskulud (a)</t>
  </si>
  <si>
    <t>linnavalitsuse reservfond</t>
  </si>
  <si>
    <t>INVESTEERIMISTEGEVUSE EELARVE</t>
  </si>
  <si>
    <t>LE</t>
  </si>
  <si>
    <t>RE</t>
  </si>
  <si>
    <t>RAHAKÄIBE PROGNOOS</t>
  </si>
  <si>
    <t xml:space="preserve">Laekumised haldustegevusest </t>
  </si>
  <si>
    <t xml:space="preserve"> Tulude laekumine</t>
  </si>
  <si>
    <t xml:space="preserve"> Toetused</t>
  </si>
  <si>
    <t>Väljamaksed haldustegevuseks</t>
  </si>
  <si>
    <t xml:space="preserve">Haldustegevus kokku </t>
  </si>
  <si>
    <t xml:space="preserve">Laekumised investeerimistegevusest </t>
  </si>
  <si>
    <t>Väljamaksed investeerimistegevuseks</t>
  </si>
  <si>
    <t xml:space="preserve">Investeerimistegevus kokku </t>
  </si>
  <si>
    <t>Laekumised finantseerimistegevusest</t>
  </si>
  <si>
    <t>Väljamaksed finantseerimistegevuseks</t>
  </si>
  <si>
    <t xml:space="preserve">Finantseerimistegevus kokku </t>
  </si>
  <si>
    <t>Laekumised kokku</t>
  </si>
  <si>
    <t>Väljamaksed kokku</t>
  </si>
  <si>
    <t>Laekumiste ja väljamaksete saldo</t>
  </si>
  <si>
    <t>Linnavolikogu Kantselei</t>
  </si>
  <si>
    <t>Visioonikonverents</t>
  </si>
  <si>
    <t>Ravikindlustusega hõlmamata isikute ravikulud (a)</t>
  </si>
  <si>
    <t>reservid, sh</t>
  </si>
  <si>
    <t>Toetus SA-le Tallinna Vene Muuseum</t>
  </si>
  <si>
    <t>Perekonda toetavad teenused</t>
  </si>
  <si>
    <t>Laste visiiditasust vabastamine</t>
  </si>
  <si>
    <t>LISA 6</t>
  </si>
  <si>
    <t>Keskkonnaprogrammid (ü)</t>
  </si>
  <si>
    <t>hoolekandeasutuse ruumide kasutamine üritusteks</t>
  </si>
  <si>
    <t>KOKKU OMATULUD</t>
  </si>
  <si>
    <t>Tulud majandustegevusest</t>
  </si>
  <si>
    <t>Võlalt arvestatud intressitulu</t>
  </si>
  <si>
    <t>KOKKU</t>
  </si>
  <si>
    <t>€</t>
  </si>
  <si>
    <t>LISA 1</t>
  </si>
  <si>
    <t>KOONDEELARVE</t>
  </si>
  <si>
    <t>TULEMI PROGNOOS</t>
  </si>
  <si>
    <t>TULUD  KOKKU</t>
  </si>
  <si>
    <t>Riiklikud maksud</t>
  </si>
  <si>
    <t>Kohalikud maksud</t>
  </si>
  <si>
    <t>Lõivud</t>
  </si>
  <si>
    <t>Kaupade ja teenuste müük</t>
  </si>
  <si>
    <t>Muud tulud</t>
  </si>
  <si>
    <t>Finantstulu</t>
  </si>
  <si>
    <t>Vara müük</t>
  </si>
  <si>
    <t>Müüdava vara jääkmaksumus</t>
  </si>
  <si>
    <t>Vara müügi kulud</t>
  </si>
  <si>
    <t>Muud tulud varalt</t>
  </si>
  <si>
    <t>Dividendid</t>
  </si>
  <si>
    <t>Toetused riigilt ja muudelt institutsioonidelt</t>
  </si>
  <si>
    <t>Välisrahastus</t>
  </si>
  <si>
    <t>KULUD  KOKKU</t>
  </si>
  <si>
    <t>Põhitegevuse kulud, sh</t>
  </si>
  <si>
    <t>tegevuskulud riigi ja muude institutsioonide toetuste arvelt</t>
  </si>
  <si>
    <t>tegevuskulud välisrahastuse arvelt</t>
  </si>
  <si>
    <t>muud tegevuskulud</t>
  </si>
  <si>
    <t>Investeeringuprojektide kulud</t>
  </si>
  <si>
    <t>EELARVE TEGEVUSTULEM</t>
  </si>
  <si>
    <t>Amortisatsioon</t>
  </si>
  <si>
    <t>EELARVE AASTA TULEM KOKKU</t>
  </si>
  <si>
    <t>MUUTUSED BILANSIS</t>
  </si>
  <si>
    <t>MUUTUS MITTEFINANTSVARADES</t>
  </si>
  <si>
    <t>Põhivara soetus ja renoveerimine</t>
  </si>
  <si>
    <t>Müüdava vara jääkväärtus</t>
  </si>
  <si>
    <t>MUUTUS MITTEFINANTSVARADES KOKKU</t>
  </si>
  <si>
    <t>MUUTUS RAHAS</t>
  </si>
  <si>
    <t>Hoiuste muutus</t>
  </si>
  <si>
    <t>MUUTUS FINANTSVARADES KOKKU</t>
  </si>
  <si>
    <t>MUUTUS LAENUKOHUSTUSTES KOKKU</t>
  </si>
  <si>
    <t>Laenude võtmine</t>
  </si>
  <si>
    <t>Laenude tagasimaksed</t>
  </si>
  <si>
    <t>MUUTUS NETOVARAS</t>
  </si>
  <si>
    <t>SISSETULEKUD</t>
  </si>
  <si>
    <t>VÄLJAMINEKUD</t>
  </si>
  <si>
    <t>Tallinna Linnavolikogu esimees</t>
  </si>
  <si>
    <t>LISA 2</t>
  </si>
  <si>
    <t>TULUDE EELARVE</t>
  </si>
  <si>
    <t>Tululiik</t>
  </si>
  <si>
    <t>Linnakassa</t>
  </si>
  <si>
    <t>Omatulud</t>
  </si>
  <si>
    <t>Eelarve kokku</t>
  </si>
  <si>
    <t>Maksutulud kokku</t>
  </si>
  <si>
    <t>Üksikisiku tulumaks</t>
  </si>
  <si>
    <t>Reklaamimaks</t>
  </si>
  <si>
    <t>Kasum vara müügist</t>
  </si>
  <si>
    <t>Tulud kokku (v.a toetused)</t>
  </si>
  <si>
    <t>Toetused</t>
  </si>
  <si>
    <t>välisrahastus</t>
  </si>
  <si>
    <t>LINNAKASSA TULUD</t>
  </si>
  <si>
    <t>Ettevõtlusamet</t>
  </si>
  <si>
    <t>Transpordiamet</t>
  </si>
  <si>
    <t>Linnaplaneerimise Amet</t>
  </si>
  <si>
    <t>Linnavaraamet</t>
  </si>
  <si>
    <t>Kasutusõiguse tasu</t>
  </si>
  <si>
    <t>Keskkonnaamet</t>
  </si>
  <si>
    <t>Sotsiaal- ja Tervishoiuameti haldusala</t>
  </si>
  <si>
    <t>Tulu vara müügist</t>
  </si>
  <si>
    <t>Võlalt arvestatud tulu</t>
  </si>
  <si>
    <t xml:space="preserve">KULUDE EELARVE </t>
  </si>
  <si>
    <t xml:space="preserve">Linnakantselei </t>
  </si>
  <si>
    <t>Kulud kokku</t>
  </si>
  <si>
    <t xml:space="preserve">Katteallikad </t>
  </si>
  <si>
    <t>sh omatulud</t>
  </si>
  <si>
    <t>linnakassa</t>
  </si>
  <si>
    <t>Muud eelarvepositsioonid</t>
  </si>
  <si>
    <t>sellest töötasu</t>
  </si>
  <si>
    <t>Perekonnaseisuamet</t>
  </si>
  <si>
    <t>Tootegrupp: perekonnaseisuteenused</t>
  </si>
  <si>
    <t>Haridusameti haldusala</t>
  </si>
  <si>
    <t>Tootevaldkond: haridus</t>
  </si>
  <si>
    <t>Toode:</t>
  </si>
  <si>
    <t>Eelarveaasta eesmärk:</t>
  </si>
  <si>
    <t>Eelarveaasta eesmärgid:</t>
  </si>
  <si>
    <t>välisrahastuse arvelt</t>
  </si>
  <si>
    <t>ps amortisatsioon</t>
  </si>
  <si>
    <t>Tootevaldkond: kultuur</t>
  </si>
  <si>
    <t>Spordi- ja Noorsooameti haldusala</t>
  </si>
  <si>
    <t>Tootevaldkond: sport ja vaba aeg</t>
  </si>
  <si>
    <t>Tootegrupp: sportimisvõimaluste tagamine</t>
  </si>
  <si>
    <t>Tootegrupp: sporditegevuse toetamine</t>
  </si>
  <si>
    <t>Tootevaldkond: noorsootöö</t>
  </si>
  <si>
    <t>Tootegrupp: noorsootöö</t>
  </si>
  <si>
    <t>Noorsootööprogrammid ja -projektid</t>
  </si>
  <si>
    <t>Tootevaldkond: sotsiaalhoolekanne</t>
  </si>
  <si>
    <t>Tootegrupp: puuetega isikute hoolekanne</t>
  </si>
  <si>
    <t>Tootegrupp: eakate hoolekanne</t>
  </si>
  <si>
    <t>Tootegrupp: laste hoolekanne</t>
  </si>
  <si>
    <t>Tootegrupp: muude kriisirühmade hoolekanne</t>
  </si>
  <si>
    <t>Sotsiaal- ja Tervishoiuamet</t>
  </si>
  <si>
    <t>Toetused lastele ja peredele (a)</t>
  </si>
  <si>
    <t>Tallinna Kiirabi</t>
  </si>
  <si>
    <t>Tootevaldkond: linnamajandus</t>
  </si>
  <si>
    <t>Tootevaldkond: linnatransport</t>
  </si>
  <si>
    <t>Tootegrupp: ühistransport</t>
  </si>
  <si>
    <t>Reservid</t>
  </si>
  <si>
    <t>Eelarvepositsioon</t>
  </si>
  <si>
    <t>Kommunaalameti haldusala</t>
  </si>
  <si>
    <t>Keskkonnaameti haldusala</t>
  </si>
  <si>
    <t>Tootevaldkond: heakord</t>
  </si>
  <si>
    <t>Tootegrupp: haljastus</t>
  </si>
  <si>
    <t>Haabersti Linnaosa Valitsuse haldusala</t>
  </si>
  <si>
    <t>Tootegrupp: toimetulekuraskustes isikute hoolekanne</t>
  </si>
  <si>
    <t>Linnaosa valitsus</t>
  </si>
  <si>
    <t>Muud heakorrakulud</t>
  </si>
  <si>
    <t>Tallinna Kesklinna Valitsuse haldusala</t>
  </si>
  <si>
    <t>sh</t>
  </si>
  <si>
    <t>Üksikkorterite majandamine</t>
  </si>
  <si>
    <t>Äriruumide majandamine</t>
  </si>
  <si>
    <t>Kristiine Linnaosa Valitsuse haldusala</t>
  </si>
  <si>
    <t>Lasnamäe Linnaosa Valitsuse haldusala</t>
  </si>
  <si>
    <t>OMATULUD</t>
  </si>
  <si>
    <t>Kokku</t>
  </si>
  <si>
    <t>Üür ja rent</t>
  </si>
  <si>
    <t>äriruumide üüritulu</t>
  </si>
  <si>
    <t>kommunaalteenused</t>
  </si>
  <si>
    <t>Muu toodete ja teenuste müük</t>
  </si>
  <si>
    <t>muud eespoolnimetamata tulud majandustegevusest</t>
  </si>
  <si>
    <t>Tulud tugiteenustest</t>
  </si>
  <si>
    <t>teenused</t>
  </si>
  <si>
    <t xml:space="preserve">Tulud haridusalasest tegevusest </t>
  </si>
  <si>
    <t>Tulud kultuuri- ja kunstialasest tegevusest</t>
  </si>
  <si>
    <t>Tulud spordi- ja puhkealasest tegevusest</t>
  </si>
  <si>
    <t>muu vara üür ja rent</t>
  </si>
  <si>
    <t>koolieelse lasteasutuse toitlustustasu</t>
  </si>
  <si>
    <t>koolieelse lasteasutuse kohatasu</t>
  </si>
  <si>
    <t>haridusasutuse ruumide kasutamine üritusteks</t>
  </si>
  <si>
    <t>tehniliste vahendite ja inventari laenutamine</t>
  </si>
  <si>
    <t>muud tasulised teenused</t>
  </si>
  <si>
    <t>noortelaagri teenused</t>
  </si>
  <si>
    <t>piletitulu</t>
  </si>
  <si>
    <t>noortekeskuse ruumide kasutamise teenus</t>
  </si>
  <si>
    <t>õppetasu</t>
  </si>
  <si>
    <t>müügitulu</t>
  </si>
  <si>
    <t>kultuuriasutuse ruumide kasutamine üritusteks</t>
  </si>
  <si>
    <t>Eespool nimetamata muud tulud</t>
  </si>
  <si>
    <t>kultuuriasutuse muu teenus</t>
  </si>
  <si>
    <t>Õiguste müük</t>
  </si>
  <si>
    <t>tulu parkimisest</t>
  </si>
  <si>
    <t>reklaamitulu</t>
  </si>
  <si>
    <t>Elamu- ja kommunaaltegevuse tulud</t>
  </si>
  <si>
    <t>eluruumide üüritulu</t>
  </si>
  <si>
    <t>Tulud muudelt majandusaladelt</t>
  </si>
  <si>
    <t>Tulud sotsiaalabialasest tegevusest</t>
  </si>
  <si>
    <t>hooldustasu</t>
  </si>
  <si>
    <t>Tulud tervishoiualasest tegevusest</t>
  </si>
  <si>
    <t>tulu kaubandustegevusest</t>
  </si>
  <si>
    <t>tulu müügipiletite realiseerimisest</t>
  </si>
  <si>
    <t>Tulud transporditeenustest</t>
  </si>
  <si>
    <t>Tulu keskkonnaalasest tegevusest</t>
  </si>
  <si>
    <t>ametikooli õppetasu</t>
  </si>
  <si>
    <t>Ülelinnalised kultuuriüritused ja -projektid*</t>
  </si>
  <si>
    <t>RE - riigieelarve vahenditest tehtavad kulutused</t>
  </si>
  <si>
    <t>VR - välisrahastuse arvelt tehtavad kulutused</t>
  </si>
  <si>
    <t>Ettevõtlusameti haldusala</t>
  </si>
  <si>
    <t>LE - linnaeelarve vahendite arvelt tehtavad kulutused, sisaldavad ka võetavat laenu</t>
  </si>
  <si>
    <t>huvikooli õppetasu</t>
  </si>
  <si>
    <t>Haldusteenused</t>
  </si>
  <si>
    <r>
      <t xml:space="preserve">Muud sotsiaaltoetused, </t>
    </r>
    <r>
      <rPr>
        <i/>
        <u/>
        <sz val="10"/>
        <rFont val="Arial"/>
        <family val="2"/>
        <charset val="186"/>
      </rPr>
      <t>sh</t>
    </r>
  </si>
  <si>
    <t>Muinsus- ja miljööalade kaitse</t>
  </si>
  <si>
    <t>Finantsjuhtimine (ü)</t>
  </si>
  <si>
    <t>Randade hooldus</t>
  </si>
  <si>
    <t>Saunateenuse korraldamine</t>
  </si>
  <si>
    <t>Rahvarinde muuseum</t>
  </si>
  <si>
    <t>Personalijuhtimine</t>
  </si>
  <si>
    <t>Maksed teenuste kontsessioonilepingu raames</t>
  </si>
  <si>
    <t>Tootegrupp: lastehoid ja alusharidus</t>
  </si>
  <si>
    <t>Tootegrupp: põhi- ja üldkeskharidus</t>
  </si>
  <si>
    <t>Tootegrupp: kutseharidus</t>
  </si>
  <si>
    <t>Tootegrupp: huviharidus</t>
  </si>
  <si>
    <t>Tootegrupp: tänavavalgustus</t>
  </si>
  <si>
    <t>toetused</t>
  </si>
  <si>
    <t>* Eelarve täitmisel on linnavalitsusel õigus muuta linnavalitsuse reservfondi ja reservide jaotust ettenähtud üldsumma piires.</t>
  </si>
  <si>
    <t>Reservfond*, sh</t>
  </si>
  <si>
    <r>
      <t>Tootegrupp: muuseumid</t>
    </r>
    <r>
      <rPr>
        <sz val="8"/>
        <rFont val="Arial"/>
        <family val="2"/>
        <charset val="186"/>
      </rPr>
      <t xml:space="preserve"> (Tallinna Linnamuuseum)</t>
    </r>
  </si>
  <si>
    <r>
      <t>Tootegrupp: loomaaed</t>
    </r>
    <r>
      <rPr>
        <sz val="8"/>
        <rFont val="Arial"/>
        <family val="2"/>
        <charset val="186"/>
      </rPr>
      <t xml:space="preserve"> (Tallinna Loomaaed)</t>
    </r>
  </si>
  <si>
    <r>
      <t>Tootegrupp: teater</t>
    </r>
    <r>
      <rPr>
        <sz val="8"/>
        <rFont val="Arial"/>
        <family val="2"/>
        <charset val="186"/>
      </rPr>
      <t xml:space="preserve"> (Tallinna Linnateater)</t>
    </r>
  </si>
  <si>
    <r>
      <t>Spordihallid ja -väljakud</t>
    </r>
    <r>
      <rPr>
        <sz val="8"/>
        <rFont val="Arial"/>
        <family val="2"/>
        <charset val="186"/>
      </rPr>
      <t xml:space="preserve"> (Tallinna Spordihall)</t>
    </r>
  </si>
  <si>
    <r>
      <t>Teenused psüühiliste erivajadustega inimestele</t>
    </r>
    <r>
      <rPr>
        <sz val="8"/>
        <rFont val="Arial"/>
        <family val="2"/>
        <charset val="186"/>
      </rPr>
      <t xml:space="preserve"> (Tallinna Vaimse Tervise Keskus)</t>
    </r>
  </si>
  <si>
    <r>
      <t>Perekeskuse teenused</t>
    </r>
    <r>
      <rPr>
        <sz val="8"/>
        <rFont val="Arial"/>
        <family val="2"/>
        <charset val="186"/>
      </rPr>
      <t xml:space="preserve"> (Tallinna Perekeskus)</t>
    </r>
  </si>
  <si>
    <r>
      <t>Sotsiaalmajutusüksused</t>
    </r>
    <r>
      <rPr>
        <sz val="8"/>
        <rFont val="Arial"/>
        <family val="2"/>
        <charset val="186"/>
      </rPr>
      <t xml:space="preserve"> (Tallinna Sotsiaaltöö Keskus)</t>
    </r>
  </si>
  <si>
    <r>
      <t>Päevakeskuse teenused</t>
    </r>
    <r>
      <rPr>
        <sz val="8"/>
        <rFont val="Arial"/>
        <family val="2"/>
        <charset val="186"/>
      </rPr>
      <t xml:space="preserve"> (Haabersti Sotsiaalkeskus)</t>
    </r>
  </si>
  <si>
    <r>
      <t>Tootegrupp: kultuuritegevus</t>
    </r>
    <r>
      <rPr>
        <sz val="8"/>
        <rFont val="Arial"/>
        <family val="2"/>
        <charset val="186"/>
      </rPr>
      <t xml:space="preserve"> (Kultuurikeskus Lindakivi)</t>
    </r>
  </si>
  <si>
    <r>
      <t>Noortekeskus</t>
    </r>
    <r>
      <rPr>
        <sz val="8"/>
        <rFont val="Arial"/>
        <family val="2"/>
        <charset val="186"/>
      </rPr>
      <t xml:space="preserve"> (Lasnamäe Noortekeskus)</t>
    </r>
  </si>
  <si>
    <r>
      <t>Päevakeskuse teenused</t>
    </r>
    <r>
      <rPr>
        <sz val="8"/>
        <rFont val="Arial"/>
        <family val="2"/>
        <charset val="186"/>
      </rPr>
      <t xml:space="preserve"> (Lasnamäe Sotsiaalkeskus)</t>
    </r>
  </si>
  <si>
    <r>
      <t>Tootegrupp: kultuuritegevus</t>
    </r>
    <r>
      <rPr>
        <sz val="8"/>
        <rFont val="Arial"/>
        <family val="2"/>
        <charset val="186"/>
      </rPr>
      <t xml:space="preserve"> (Nõmme Kultuurikeskus)</t>
    </r>
  </si>
  <si>
    <r>
      <t>Päevakeskuse teenused</t>
    </r>
    <r>
      <rPr>
        <sz val="8"/>
        <rFont val="Arial"/>
        <family val="2"/>
        <charset val="186"/>
      </rPr>
      <t xml:space="preserve"> (Pirita Vaba Aja Keskus)</t>
    </r>
  </si>
  <si>
    <r>
      <t>Muud hoolekandeteenused</t>
    </r>
    <r>
      <rPr>
        <sz val="8"/>
        <rFont val="Arial"/>
        <family val="2"/>
        <charset val="186"/>
      </rPr>
      <t xml:space="preserve"> (Tallinna Sotsiaaltöö Keskus)</t>
    </r>
  </si>
  <si>
    <r>
      <t>Saunateenuse korraldamine</t>
    </r>
    <r>
      <rPr>
        <sz val="8"/>
        <rFont val="Arial"/>
        <family val="2"/>
        <charset val="186"/>
      </rPr>
      <t xml:space="preserve"> (Raua Saun)</t>
    </r>
  </si>
  <si>
    <t>EELARVE KOHALIKU OMAVALITSUSE ÜKSUSE FINANTSJUHTIMISE SEADUSE JÄRGI</t>
  </si>
  <si>
    <r>
      <rPr>
        <i/>
        <sz val="8"/>
        <rFont val="Arial"/>
        <family val="2"/>
        <charset val="186"/>
      </rPr>
      <t>sh</t>
    </r>
    <r>
      <rPr>
        <sz val="8"/>
        <rFont val="Arial"/>
        <family val="2"/>
        <charset val="186"/>
      </rPr>
      <t xml:space="preserve"> SA Õpilasmalev</t>
    </r>
  </si>
  <si>
    <t>oma- ja kaasfinantseerimise ja välisprojektide ettevalmistamise reserv</t>
  </si>
  <si>
    <t>laste hoiu kohatasu</t>
  </si>
  <si>
    <t>treeningu õppetasu</t>
  </si>
  <si>
    <t>muud tulud</t>
  </si>
  <si>
    <t>Toetus välisprojektide kaasfinantseerimiseks</t>
  </si>
  <si>
    <t>Tootegrupp: spordikoolid</t>
  </si>
  <si>
    <r>
      <t>Spordikoolid (</t>
    </r>
    <r>
      <rPr>
        <sz val="8"/>
        <rFont val="Arial"/>
        <family val="2"/>
        <charset val="186"/>
      </rPr>
      <t>Tallinna Spordikool</t>
    </r>
    <r>
      <rPr>
        <sz val="10"/>
        <rFont val="Arial"/>
        <family val="2"/>
        <charset val="186"/>
      </rPr>
      <t>)</t>
    </r>
  </si>
  <si>
    <t>programmilised tegevused ja üritused</t>
  </si>
  <si>
    <r>
      <t>Noortekeskus</t>
    </r>
    <r>
      <rPr>
        <sz val="8"/>
        <rFont val="Arial"/>
        <family val="2"/>
        <charset val="186"/>
      </rPr>
      <t xml:space="preserve"> (Kesklinna Vaba Aja Keskus)</t>
    </r>
  </si>
  <si>
    <r>
      <t>Noortekeskus</t>
    </r>
    <r>
      <rPr>
        <sz val="8"/>
        <rFont val="Arial"/>
        <family val="2"/>
        <charset val="186"/>
      </rPr>
      <t xml:space="preserve"> (Põhja-Tallinna Noortekeskus)</t>
    </r>
  </si>
  <si>
    <r>
      <t>Spordihooned ja -rajatised</t>
    </r>
    <r>
      <rPr>
        <sz val="8"/>
        <rFont val="Arial"/>
        <family val="2"/>
        <charset val="186"/>
      </rPr>
      <t xml:space="preserve"> (Pirita Spordikeskus, Tondiraba Spordikeskus, Kristiine Sport, Nõmme Spordikeskus)</t>
    </r>
  </si>
  <si>
    <r>
      <t>Koduteenused</t>
    </r>
    <r>
      <rPr>
        <sz val="8"/>
        <rFont val="Arial"/>
        <family val="2"/>
        <charset val="186"/>
      </rPr>
      <t xml:space="preserve"> (Paljassaare Sotsiaalmaja)</t>
    </r>
  </si>
  <si>
    <t>Linnasekretäri büroo ja linna valdkondlike teenistuste isikkoosseis</t>
  </si>
  <si>
    <t>Kasum/kahjum varude müügist</t>
  </si>
  <si>
    <r>
      <t>Päevakeskuse teenused</t>
    </r>
    <r>
      <rPr>
        <sz val="8"/>
        <rFont val="Arial"/>
        <family val="2"/>
        <charset val="186"/>
      </rPr>
      <t xml:space="preserve"> (Nõmme Vaba Aja Keskus)</t>
    </r>
  </si>
  <si>
    <r>
      <t>Koduteenused</t>
    </r>
    <r>
      <rPr>
        <sz val="8"/>
        <rFont val="Arial"/>
        <family val="2"/>
        <charset val="186"/>
      </rPr>
      <t xml:space="preserve"> (Nõmme Sotsiaalmaja)</t>
    </r>
  </si>
  <si>
    <r>
      <t>Toetatud elamine</t>
    </r>
    <r>
      <rPr>
        <sz val="8"/>
        <rFont val="Arial"/>
        <family val="2"/>
        <charset val="186"/>
      </rPr>
      <t xml:space="preserve"> (Nõmme Sotsiaalmaja)</t>
    </r>
  </si>
  <si>
    <t>Sporditegevuse toetamine (a)</t>
  </si>
  <si>
    <t>laste hoiu toitlustustasu</t>
  </si>
  <si>
    <t>spordiasutuse tasulised teenused</t>
  </si>
  <si>
    <t>LISA 4</t>
  </si>
  <si>
    <t>Kalev Kallo</t>
  </si>
  <si>
    <t>toetus korteriühistutele fassaadide korrastamiseks (ü)</t>
  </si>
  <si>
    <t>INVESTEERIMISPROJEKTID JA ANTAV SIHTFINANTSEERIMINE KOKKU</t>
  </si>
  <si>
    <t>Kokku (I+II+III)</t>
  </si>
  <si>
    <t>KULTUUR</t>
  </si>
  <si>
    <t>TEED JA TÄNAVAD</t>
  </si>
  <si>
    <t>II MUUD INVESTEERIMISPROJEKTID</t>
  </si>
  <si>
    <t>Muud investeerimisprojektid kokku</t>
  </si>
  <si>
    <t>Keskraamatukogu teavikute soetamine</t>
  </si>
  <si>
    <t>SPORT JA VABA AEG</t>
  </si>
  <si>
    <t>SOTSIAALHOOLEKANNE</t>
  </si>
  <si>
    <t>HEAKORD</t>
  </si>
  <si>
    <t>Välisrahastuseta teede kapitaalremont ja rekonstrueerimine</t>
  </si>
  <si>
    <t>LINNA TUGITEENUSED</t>
  </si>
  <si>
    <t>TEHNOVÕRGUD</t>
  </si>
  <si>
    <t>Investeerimistoetused kokku</t>
  </si>
  <si>
    <t>Hoiuste vähenemine</t>
  </si>
  <si>
    <t>INVESTEERIMISPROJEKTID KOKKU (I+II)</t>
  </si>
  <si>
    <t>Piirkondlikud sündmused, projektid ja mittetulundustegevuse toetamine</t>
  </si>
  <si>
    <t>Objekti ja projekti nimetus</t>
  </si>
  <si>
    <t>III ANTAV SIHTFINANTSEERIMINE INVESTEERIMISTEGEVUSEKS</t>
  </si>
  <si>
    <t>Katte- allikas*</t>
  </si>
  <si>
    <t>Ühisveevärgi ja kanalisatsiooni ehitus</t>
  </si>
  <si>
    <r>
      <t>Koduteenused</t>
    </r>
    <r>
      <rPr>
        <sz val="8"/>
        <rFont val="Arial"/>
        <family val="2"/>
        <charset val="186"/>
      </rPr>
      <t xml:space="preserve"> (Tallinna Kesklinna Sotsiaalkeskus)</t>
    </r>
  </si>
  <si>
    <t>MUUTUS FINANTSVARADES (V.A RAHAS)</t>
  </si>
  <si>
    <t>lapsehoiuteenuse hüvitis</t>
  </si>
  <si>
    <t>* Katteallikad:</t>
  </si>
  <si>
    <t>SE - sihtotstarbeliste eraldiste arvelt tehtavad kulutused</t>
  </si>
  <si>
    <t xml:space="preserve">määruse nr   </t>
  </si>
  <si>
    <t>Kultuuriameti haldusala</t>
  </si>
  <si>
    <t>Tallinna Kultuuriamet</t>
  </si>
  <si>
    <r>
      <t>Linnavaraamet</t>
    </r>
    <r>
      <rPr>
        <sz val="10"/>
        <rFont val="Arial"/>
        <family val="2"/>
        <charset val="186"/>
      </rPr>
      <t xml:space="preserve"> </t>
    </r>
  </si>
  <si>
    <t xml:space="preserve">Keskkonnaamet </t>
  </si>
  <si>
    <r>
      <t>Linnaplaneerimise Amet</t>
    </r>
    <r>
      <rPr>
        <sz val="10"/>
        <rFont val="Arial"/>
        <family val="2"/>
        <charset val="186"/>
      </rPr>
      <t xml:space="preserve"> </t>
    </r>
  </si>
  <si>
    <t>Vene Kultuurikeskuse tuleohutusnõuete täitmine</t>
  </si>
  <si>
    <t>Viru Keskuse bussiterminali infokioski ja infoekraani soetamine</t>
  </si>
  <si>
    <t>Sissemakse aktsia- ja osakapitali</t>
  </si>
  <si>
    <t>MUUTUS NÕUETES KOKKU</t>
  </si>
  <si>
    <t>MUUTUS MUUDES KOHUSTUSTES KOKKU</t>
  </si>
  <si>
    <t>sh välisrahastus</t>
  </si>
  <si>
    <t>13. Lasnamäe Linnaosa Valitsuse haldusala</t>
  </si>
  <si>
    <t>13.1. Lasnamäe Linnaosa Valitsus</t>
  </si>
  <si>
    <t>14. Mustamäe Linnaosa Valitsuse haldusala</t>
  </si>
  <si>
    <t>14.1. Mustamäe Linnaosa Valitsus</t>
  </si>
  <si>
    <t>15. Nõmme Linnaosa Valitsuse haldusala</t>
  </si>
  <si>
    <t>15.1. Nõmme Linnaosa Valitsus</t>
  </si>
  <si>
    <t>15.2. Nõmme Kultuurikeskus</t>
  </si>
  <si>
    <t>15.3. Nõmme Vaba Aja Keskus</t>
  </si>
  <si>
    <t>16. Pirita Linnaosa Valitsuse haldusala</t>
  </si>
  <si>
    <t>16.1. Pirita Linnaosa Valitsus</t>
  </si>
  <si>
    <t>17. Põhja-Tallinna Valitsuse haldusala</t>
  </si>
  <si>
    <t>17.1. Põhja-Tallinna Valitsus</t>
  </si>
  <si>
    <t>17.3. Põhja-Tallinna Noortekeskus</t>
  </si>
  <si>
    <r>
      <t>Laste päevakeskuse teenused</t>
    </r>
    <r>
      <rPr>
        <sz val="8"/>
        <rFont val="Arial"/>
        <family val="2"/>
        <charset val="186"/>
      </rPr>
      <t xml:space="preserve"> (Lasnamäe Lastekeskus)</t>
    </r>
  </si>
  <si>
    <t>sh linnakassa</t>
  </si>
  <si>
    <t>Sotsiaalhoolekanne</t>
  </si>
  <si>
    <t>Tervishoid</t>
  </si>
  <si>
    <t>Fooriobjektide rajamine ja rekonstrueerimine</t>
  </si>
  <si>
    <t>Sissemakse aktsia- ja osakapitali (-)</t>
  </si>
  <si>
    <t>Lisaeelarve</t>
  </si>
  <si>
    <t>2016. aasta eelarve kokku</t>
  </si>
  <si>
    <t>Teerajatiste korrashoid</t>
  </si>
  <si>
    <t>Tootegrupp: teetööd</t>
  </si>
  <si>
    <t>Vene Kultuurikeskuse I ja II korruse ruumide remont</t>
  </si>
  <si>
    <t>Spordiprojektide toetus</t>
  </si>
  <si>
    <t xml:space="preserve">Kommunaalamet </t>
  </si>
  <si>
    <t>Sunniraha</t>
  </si>
  <si>
    <t>LINNATRANSPORT</t>
  </si>
  <si>
    <t>LISA 3</t>
  </si>
  <si>
    <t>LISA 5</t>
  </si>
  <si>
    <t xml:space="preserve">  Maksud</t>
  </si>
  <si>
    <t xml:space="preserve">   sh tulumaks</t>
  </si>
  <si>
    <t xml:space="preserve">        maamaks</t>
  </si>
  <si>
    <t xml:space="preserve">        kohalikud maksud</t>
  </si>
  <si>
    <t xml:space="preserve"> Tegevustulu</t>
  </si>
  <si>
    <t xml:space="preserve"> Muud tulud</t>
  </si>
  <si>
    <t xml:space="preserve">  sh riigilt</t>
  </si>
  <si>
    <t xml:space="preserve">       välisrahastus</t>
  </si>
  <si>
    <t xml:space="preserve">   sh tegevuskulu</t>
  </si>
  <si>
    <t xml:space="preserve">       finantskulud</t>
  </si>
  <si>
    <t xml:space="preserve">   sh põhivara müük</t>
  </si>
  <si>
    <t xml:space="preserve">       saadud dividendid</t>
  </si>
  <si>
    <t xml:space="preserve">       finantstulu</t>
  </si>
  <si>
    <t xml:space="preserve">   sh põhivara soetamine</t>
  </si>
  <si>
    <t xml:space="preserve">  sh eelarvelaenu võtmine/võlakirjade emiteerimine</t>
  </si>
  <si>
    <t xml:space="preserve">  sh eelarvelaenu tagastamine/võlakirjade tagasiostmine</t>
  </si>
  <si>
    <t xml:space="preserve">      kapitalirendi põhiosa maksed</t>
  </si>
  <si>
    <t>MUUTUSED VARADES</t>
  </si>
  <si>
    <t>MUUTUSED KOHUSTUSTES</t>
  </si>
  <si>
    <t>Kultuuriprojektide ja -organisatsioonide toetamine</t>
  </si>
  <si>
    <t>Munitsipaalpolitsei Amet</t>
  </si>
  <si>
    <t>„Tallinna linna 2016. aasta teine lisaeelarve”</t>
  </si>
  <si>
    <t>Tallinna Linnavolikogu   . septembri 2016</t>
  </si>
  <si>
    <t>1. Haridusameti haldusala</t>
  </si>
  <si>
    <t>1.1. Haridusamet</t>
  </si>
  <si>
    <t>teistelt kohalikelt omavalitsustelt koolide ja koolieelsete lasteasutuste tegevuskulude katteks</t>
  </si>
  <si>
    <t>1.2. Koolieelsed lasteasutused</t>
  </si>
  <si>
    <t>1.3. Põhikoolid ja gümnaasiumid</t>
  </si>
  <si>
    <t>koolitoidutasu</t>
  </si>
  <si>
    <t>1.4. Tallinna Kopli Ametikool</t>
  </si>
  <si>
    <t>1.5. Huvikoolid</t>
  </si>
  <si>
    <t>1.6. Tallinna Õpetajate Maja</t>
  </si>
  <si>
    <t>2. Kultuuriameti haldusala</t>
  </si>
  <si>
    <t>2.1. Kultuuriamet</t>
  </si>
  <si>
    <t>2.2. Tallinna Keskraamatukogu</t>
  </si>
  <si>
    <t>2.3. Tallinna Linnamuuseum</t>
  </si>
  <si>
    <t>2.4. Tallinna Loomaaed</t>
  </si>
  <si>
    <t>muu müügitulu</t>
  </si>
  <si>
    <t>2.5. Tallinna Linnateater</t>
  </si>
  <si>
    <t>2.6. Tallinna Filharmoonia</t>
  </si>
  <si>
    <t>2.7. Tallinna Rahvaülikool</t>
  </si>
  <si>
    <t>2.8. Vene Kultuurikeskus</t>
  </si>
  <si>
    <t>3. Spordi- ja Noorsooameti haldusala</t>
  </si>
  <si>
    <t>3.1. Tallinna Spordi- ja Noorsooamet</t>
  </si>
  <si>
    <t>3.2. Pirita Spordikeskus</t>
  </si>
  <si>
    <t>ruumide kasutamine üritusteks</t>
  </si>
  <si>
    <t>3.3. Tallinna Spordihall</t>
  </si>
  <si>
    <t>muud eespoolnimetamata tulud</t>
  </si>
  <si>
    <t>3.4. Kadrioru Staadion</t>
  </si>
  <si>
    <t>3.5. Kristiine Sport</t>
  </si>
  <si>
    <t>3.6. Nõmme Spordikeskus</t>
  </si>
  <si>
    <t>3.7. Tallinna Spordikool</t>
  </si>
  <si>
    <t>spordilaagri teenused</t>
  </si>
  <si>
    <t xml:space="preserve">äriruumide üüritulu </t>
  </si>
  <si>
    <t>3.8. Tondiraba Spordikeskus</t>
  </si>
  <si>
    <t>4. Sotsiaal- ja Tervishoiuameti haldusala</t>
  </si>
  <si>
    <t>4.1. Tallinna Vaimse Tervise Keskus</t>
  </si>
  <si>
    <t>majutusteenus</t>
  </si>
  <si>
    <t>4.2. Iru Hooldekodu</t>
  </si>
  <si>
    <t>toitlustustasu</t>
  </si>
  <si>
    <t>tööpraktika juhendamine</t>
  </si>
  <si>
    <t>4.3. Tallinna Sotsiaaltöö Keskus</t>
  </si>
  <si>
    <t>4.4. Tallinna Laste Turvakeskus</t>
  </si>
  <si>
    <t>4.5. Tallinna Kiirabi</t>
  </si>
  <si>
    <t>5. Linnavaraamet</t>
  </si>
  <si>
    <t>6. Ettevõtlusameti haldusala</t>
  </si>
  <si>
    <t>6.1. Ettevõtlusamet</t>
  </si>
  <si>
    <t>6.2. Tallinna Turud</t>
  </si>
  <si>
    <t>7. Transpordiamet</t>
  </si>
  <si>
    <t>8. Kommunaalameti haldusala</t>
  </si>
  <si>
    <t>8.1. Kadrioru Park</t>
  </si>
  <si>
    <t>haljastusteenused</t>
  </si>
  <si>
    <t>9. Keskkonnaameti haldusala</t>
  </si>
  <si>
    <t>9.1. Tallinna Kalmistud</t>
  </si>
  <si>
    <t>kalmistuteenused</t>
  </si>
  <si>
    <t>väikeloomade transport</t>
  </si>
  <si>
    <t>9.2. Tallinna Botaanikaaed</t>
  </si>
  <si>
    <t>botaanikaaia piletitulu</t>
  </si>
  <si>
    <t>9.3. Tallinna Jäätmekeskus</t>
  </si>
  <si>
    <t>jäätmeveo teenustasu</t>
  </si>
  <si>
    <t>10. Haabersti Linnaosa Valitsuse haldusala</t>
  </si>
  <si>
    <t>10.1. Haabersti Linnaosa Valitsus</t>
  </si>
  <si>
    <t>10.2. Haabersti Vaba Aja Keskus</t>
  </si>
  <si>
    <t>11. Tallinna Kesklinna Valitsuse haldusala</t>
  </si>
  <si>
    <t>11.1. Tallinna Kesklinna Valitsus</t>
  </si>
  <si>
    <t>11.2. Tallinna Kesklinna Sotsiaalkeskus</t>
  </si>
  <si>
    <t>11.3. Raua Saun</t>
  </si>
  <si>
    <t>11.4. Kesklinna Vaba Aja Keskus</t>
  </si>
  <si>
    <t>12. Kristiine Linnaosa Valitsuse haldusala</t>
  </si>
  <si>
    <t>12.1. Kristiine Linnaosa Valitsus</t>
  </si>
  <si>
    <t>12.2. Kristiine Tegevuskeskus</t>
  </si>
  <si>
    <t>13.2. Lasnamäe Spordikompleks</t>
  </si>
  <si>
    <t>13.3. Kultuurikeskus Lindakivi</t>
  </si>
  <si>
    <t>13.4. Lasnamäe Sotsiaalkeskus</t>
  </si>
  <si>
    <t>13.5. Lasnamäe Noortekeskus</t>
  </si>
  <si>
    <t>13.6. Lasnamäe Saun</t>
  </si>
  <si>
    <t>13.7. Lasnamäe Lastekeskus</t>
  </si>
  <si>
    <t>huviringide osalustasu</t>
  </si>
  <si>
    <t>15.4. Nõmme Sotsiaalmaja</t>
  </si>
  <si>
    <t>koduteenuste tasu</t>
  </si>
  <si>
    <t>16.2. Pirita Vaba Aja Keskus</t>
  </si>
  <si>
    <t>hoolekande muud teenused</t>
  </si>
  <si>
    <t>17.2. Paljassaare Sotsiaalmaja</t>
  </si>
  <si>
    <t>noortekeskuse muud tasulised teenused</t>
  </si>
  <si>
    <t>Kultuurilinnade koostöövõrgustik</t>
  </si>
  <si>
    <t>IT teenused (ü)</t>
  </si>
  <si>
    <t>Arendustegevus</t>
  </si>
  <si>
    <t>Juhtimistugi</t>
  </si>
  <si>
    <t>Juriidilised teenused ja ühekordsed kohtuvaidlused</t>
  </si>
  <si>
    <t>Rahvaküsitlused</t>
  </si>
  <si>
    <t>Kesklinna videovalve</t>
  </si>
  <si>
    <t>Linna asutuste turvalisuse tõstmine</t>
  </si>
  <si>
    <t>Endiste linnapeade toetus (a)</t>
  </si>
  <si>
    <t>Linnaarhiiv</t>
  </si>
  <si>
    <t>Tootegrupp: arhiiviteenused</t>
  </si>
  <si>
    <t>- võimaldada 448 lapsele hoidu ja alushariduse omandamist teiste kohalike omavalitsuste koolieelsetes lasteasutustes</t>
  </si>
  <si>
    <t>- kaasata huvihariduse õppesse vähemalt 10,9% 4-19 aastastest Tallinna lastest ja õpilastest</t>
  </si>
  <si>
    <t xml:space="preserve">Haridusamet </t>
  </si>
  <si>
    <t>Välisrahastusega projekt "Teisel ringil targaks Tallinna Vanalinna Täiskasvanute Gümnaasiumis" (ü)</t>
  </si>
  <si>
    <t>Välisrahastusega projekt "Teisel ringil targaks Tallinna Täiskasvanute Gümnaasiumis" (ü)</t>
  </si>
  <si>
    <t>- tuua lavale 6 uuslavastust;</t>
  </si>
  <si>
    <t>- anda 475 etendust aastas;</t>
  </si>
  <si>
    <t>- tagada teatrikunsti kättesaadavus 73 500 külastajale.</t>
  </si>
  <si>
    <t>Olulisemad üritused:</t>
  </si>
  <si>
    <t>Tallinna Merepäevad</t>
  </si>
  <si>
    <r>
      <t xml:space="preserve">sh </t>
    </r>
    <r>
      <rPr>
        <sz val="8"/>
        <rFont val="Arial"/>
        <family val="2"/>
        <charset val="186"/>
      </rPr>
      <t>ART - Fortius MTÜ (Kuldne Mask Eestis)</t>
    </r>
  </si>
  <si>
    <t>Projekt „Tallinna Raamat”</t>
  </si>
  <si>
    <r>
      <t>Ujulad</t>
    </r>
    <r>
      <rPr>
        <sz val="8"/>
        <rFont val="Arial"/>
        <family val="2"/>
        <charset val="186"/>
      </rPr>
      <t xml:space="preserve"> (Tallinna Spordihall)</t>
    </r>
  </si>
  <si>
    <r>
      <t>Staadionid</t>
    </r>
    <r>
      <rPr>
        <sz val="8"/>
        <rFont val="Arial"/>
        <family val="2"/>
        <charset val="186"/>
      </rPr>
      <t xml:space="preserve"> (Kadrioru Staadion, Spordi- ja Noorsooamet (Snelli Staadion), Nõmme Spordikeskus)</t>
    </r>
  </si>
  <si>
    <t>Noorte info- ja nõustamiskeskus</t>
  </si>
  <si>
    <t>Spordi- ja Noorsooamet</t>
  </si>
  <si>
    <r>
      <t xml:space="preserve">sh </t>
    </r>
    <r>
      <rPr>
        <sz val="8"/>
        <rFont val="Arial"/>
        <family val="2"/>
        <charset val="186"/>
      </rPr>
      <t>Tallinna Maraton</t>
    </r>
  </si>
  <si>
    <t>arendustegevus</t>
  </si>
  <si>
    <t>laagriprojektid</t>
  </si>
  <si>
    <t>Transporditeenused (a)</t>
  </si>
  <si>
    <t>Viipekeeleteenus</t>
  </si>
  <si>
    <t>Isikliku abistaja teenused</t>
  </si>
  <si>
    <r>
      <t xml:space="preserve">Raske ja sügava puudega laste tugiisikuteenus </t>
    </r>
    <r>
      <rPr>
        <sz val="8"/>
        <rFont val="Arial"/>
        <family val="2"/>
        <charset val="186"/>
      </rPr>
      <t>(Tallinna Perekeskus)</t>
    </r>
  </si>
  <si>
    <t>Töö- ja rakenduskeskuse teenused</t>
  </si>
  <si>
    <r>
      <t>Üldhooldekodu teenused</t>
    </r>
    <r>
      <rPr>
        <sz val="8"/>
        <rFont val="Arial"/>
        <family val="2"/>
        <charset val="186"/>
      </rPr>
      <t xml:space="preserve"> (Sotsiaal- ja Tervishoiuamet, Iru Hooldekodu)</t>
    </r>
  </si>
  <si>
    <t>Sotsiaalvalve teenus</t>
  </si>
  <si>
    <t>Omastehooldaja asendusteenus</t>
  </si>
  <si>
    <r>
      <t xml:space="preserve">Laste ja emad lastega turvakoduteenused </t>
    </r>
    <r>
      <rPr>
        <sz val="8"/>
        <rFont val="Arial"/>
        <family val="2"/>
        <charset val="186"/>
      </rPr>
      <t>(Sotsiaal- ja Tervishoiuamet, Tallinna Lastekodu, Tallinna Laste Turvakeskus)</t>
    </r>
  </si>
  <si>
    <t>Hooldamine perekonnas</t>
  </si>
  <si>
    <t xml:space="preserve"> Imiku hoolduspakid (a)</t>
  </si>
  <si>
    <t>esmakordselt kooli mineva lapse toetus</t>
  </si>
  <si>
    <t>sünnitoetus</t>
  </si>
  <si>
    <t>puudega lapse toetus</t>
  </si>
  <si>
    <t>Sotsiaaltöötajate premeerimine</t>
  </si>
  <si>
    <t>Tervishoiutöötajate premeerimine</t>
  </si>
  <si>
    <t>Kainestusmaja haldamine</t>
  </si>
  <si>
    <t>Projekti „Tallinna Haigla” töörühma moodustamine</t>
  </si>
  <si>
    <t>Tallinna kinnisvararegister</t>
  </si>
  <si>
    <t>Elamumajanduse muud kulud</t>
  </si>
  <si>
    <r>
      <t xml:space="preserve">sh </t>
    </r>
    <r>
      <rPr>
        <sz val="8"/>
        <rFont val="Arial"/>
        <family val="2"/>
        <charset val="186"/>
      </rPr>
      <t>korteriühistute toetus (a)</t>
    </r>
  </si>
  <si>
    <t>toetus korteriühistutele energiamärgise taotlemiseks (a)</t>
  </si>
  <si>
    <t>Tootevaldkond: ettevõtluskeskkond</t>
  </si>
  <si>
    <t>Tootegrupp: ettevõtluse arendamine</t>
  </si>
  <si>
    <t>Väikeettevõtlus</t>
  </si>
  <si>
    <t>Tööhõive tagamine</t>
  </si>
  <si>
    <t>Tootegrupp: turismi arendamine</t>
  </si>
  <si>
    <t>Kultuuriturism</t>
  </si>
  <si>
    <t>Turismiinfoteenused</t>
  </si>
  <si>
    <t>Statistika ja uuringud</t>
  </si>
  <si>
    <t>Tootegrupp: kaubandus</t>
  </si>
  <si>
    <t>Tallinna Turud</t>
  </si>
  <si>
    <t>Ettevõtluse haldus</t>
  </si>
  <si>
    <r>
      <t xml:space="preserve">Väikeettevõtluse toetamine, </t>
    </r>
    <r>
      <rPr>
        <i/>
        <u/>
        <sz val="10"/>
        <rFont val="Arial"/>
        <family val="2"/>
        <charset val="186"/>
      </rPr>
      <t>sh</t>
    </r>
  </si>
  <si>
    <t>uute töökohtade loomise toetus</t>
  </si>
  <si>
    <t>praktikajuhendaja toetus</t>
  </si>
  <si>
    <t>Sihtotstarbeline toetus sotsiaalsete töökohtade loomiseks</t>
  </si>
  <si>
    <t>Toetus SA-le Tallinna Ettevõtlusinkubaatorid</t>
  </si>
  <si>
    <t>Välisrahastusega projekt "Haldusvõimekuse tõstmine ettevõtluse innovaatilisemas arenduses"</t>
  </si>
  <si>
    <t>Liiniveo infosüsteemid</t>
  </si>
  <si>
    <r>
      <t>Transpordiamet</t>
    </r>
    <r>
      <rPr>
        <sz val="10"/>
        <rFont val="Arial"/>
        <family val="2"/>
        <charset val="186"/>
      </rPr>
      <t xml:space="preserve"> </t>
    </r>
  </si>
  <si>
    <t>Ühistranspordi infrastruktuuri haldamine</t>
  </si>
  <si>
    <r>
      <t xml:space="preserve">sh </t>
    </r>
    <r>
      <rPr>
        <sz val="8"/>
        <rFont val="Arial"/>
        <family val="2"/>
        <charset val="186"/>
      </rPr>
      <t>Viru autobussiterminal</t>
    </r>
  </si>
  <si>
    <t>Muud linnatranspordi kulud</t>
  </si>
  <si>
    <r>
      <t xml:space="preserve">sh </t>
    </r>
    <r>
      <rPr>
        <sz val="8"/>
        <rFont val="Arial"/>
        <family val="2"/>
        <charset val="186"/>
      </rPr>
      <t>liinivedu laevaga</t>
    </r>
  </si>
  <si>
    <t>sadamate haldus</t>
  </si>
  <si>
    <t>Välisrahastusega projekt "FinEst Link – Soome-Eesti Transpordiühendus" (ü)</t>
  </si>
  <si>
    <t>Välisrahastusega projekt "FinEstSmartMobility – Helsingi Läänesadama - Tallinna Vanasadama vahelise liikuvuse parandamine nutikate lahenduste abil" (ü)</t>
  </si>
  <si>
    <t>toetus välisprojektide kaasfinantseerimiseks</t>
  </si>
  <si>
    <t>Tootevaldkond: teed ja tänavad*</t>
  </si>
  <si>
    <t>Teerajatiste puhastamine</t>
  </si>
  <si>
    <t>Jalakäijate tunnelite hooldus</t>
  </si>
  <si>
    <t>* Eelarve täitmisel on linnavalitsusel õigus muuta summade jaotust tootevaldkonna üldsumma piires.</t>
  </si>
  <si>
    <r>
      <t>Haljastute hooldus</t>
    </r>
    <r>
      <rPr>
        <sz val="8"/>
        <rFont val="Arial"/>
        <family val="2"/>
        <charset val="186"/>
      </rPr>
      <t xml:space="preserve"> (Kadrioru Park)</t>
    </r>
  </si>
  <si>
    <t>Vesi ja kanalisatsioon*</t>
  </si>
  <si>
    <r>
      <t xml:space="preserve">sh </t>
    </r>
    <r>
      <rPr>
        <sz val="8"/>
        <rFont val="Arial"/>
        <family val="2"/>
        <charset val="186"/>
      </rPr>
      <t>toetus Tallinna Vee-ettevõtjate Järelevalve SA-le</t>
    </r>
  </si>
  <si>
    <t>* Eelarve täitmisel on linnavalitsusel õigus muuta summade jaotust eelarvepositsiooni üldsumma piires.</t>
  </si>
  <si>
    <t>Toetused korteriühistutele, sh*</t>
  </si>
  <si>
    <t>toetus korteriühistutele õuealade heakorrastamiseks (ü)</t>
  </si>
  <si>
    <t>supergraafilised seinapildid korterelamutele</t>
  </si>
  <si>
    <t>* Eelarve täitmisel on linnavalitsusel õigus muuta summade jaotust toetuste üldsumma piires.</t>
  </si>
  <si>
    <t>Välisrahastusega projekt "Merirahu kaugkütte võrgupiirkonna soojusmajanduse arengukava koostamine" (ü)</t>
  </si>
  <si>
    <t>välisprojektide kaasfinantseerimise toetuse arvelt</t>
  </si>
  <si>
    <t>Välisrahastusega projektide ettevalmistamise kulud</t>
  </si>
  <si>
    <t>Tootegrupp: kalmistud</t>
  </si>
  <si>
    <r>
      <t>Kalmistuteenused</t>
    </r>
    <r>
      <rPr>
        <sz val="8"/>
        <rFont val="Arial"/>
        <family val="2"/>
        <charset val="186"/>
      </rPr>
      <t xml:space="preserve"> (Tallinna Kalmistud)</t>
    </r>
  </si>
  <si>
    <t>Tootegrupp: jäätmemajandus</t>
  </si>
  <si>
    <r>
      <t>Korraldatud jäätmevedu</t>
    </r>
    <r>
      <rPr>
        <sz val="8"/>
        <rFont val="Arial"/>
        <family val="2"/>
        <charset val="186"/>
      </rPr>
      <t xml:space="preserve"> (Tallinna Jäätmekeskus)</t>
    </r>
  </si>
  <si>
    <t>Aegna saare loodusmaja haldamine</t>
  </si>
  <si>
    <t>Välisrahastusega projekt „GoFEnvEd - Läänemere keskkonnahariduse võrgustik” (ü)</t>
  </si>
  <si>
    <t>Muinsuskaitse</t>
  </si>
  <si>
    <t>Kultuuriväärtuslike objektide täiendav tähistamine ja tutvustavate tekstide lisamine</t>
  </si>
  <si>
    <r>
      <t>Munitsipaalpolitsei Amet</t>
    </r>
    <r>
      <rPr>
        <sz val="10"/>
        <rFont val="Arial"/>
        <family val="2"/>
        <charset val="186"/>
      </rPr>
      <t xml:space="preserve"> </t>
    </r>
  </si>
  <si>
    <r>
      <t>Tootegrupp: kultuuritegevus</t>
    </r>
    <r>
      <rPr>
        <sz val="8"/>
        <rFont val="Arial"/>
        <family val="2"/>
        <charset val="186"/>
      </rPr>
      <t xml:space="preserve"> (Haabersti Vaba Aja Keskus)</t>
    </r>
  </si>
  <si>
    <r>
      <t xml:space="preserve">Noortekeskus </t>
    </r>
    <r>
      <rPr>
        <sz val="8"/>
        <rFont val="Arial"/>
        <family val="2"/>
        <charset val="186"/>
      </rPr>
      <t>(Haabersti Vaba Aja Keskus)</t>
    </r>
  </si>
  <si>
    <r>
      <t>Saunateenuse korraldamine</t>
    </r>
    <r>
      <rPr>
        <sz val="8"/>
        <rFont val="Arial"/>
        <family val="2"/>
        <charset val="186"/>
      </rPr>
      <t xml:space="preserve"> (Lasnamäe Saun)</t>
    </r>
  </si>
  <si>
    <r>
      <t>Tootegrupp: kultuuritegevus</t>
    </r>
    <r>
      <rPr>
        <sz val="8"/>
        <rFont val="Arial"/>
        <family val="2"/>
        <charset val="186"/>
      </rPr>
      <t xml:space="preserve"> (Pirita Vaba Aja Keskus)</t>
    </r>
  </si>
  <si>
    <r>
      <t>Noortekeskus</t>
    </r>
    <r>
      <rPr>
        <sz val="8"/>
        <rFont val="Arial"/>
        <family val="2"/>
        <charset val="186"/>
      </rPr>
      <t xml:space="preserve"> (Pirita Vaba Aja Keskus)</t>
    </r>
  </si>
  <si>
    <r>
      <t>Noortekeskus</t>
    </r>
    <r>
      <rPr>
        <sz val="8"/>
        <rFont val="Arial"/>
        <family val="2"/>
        <charset val="186"/>
      </rPr>
      <t xml:space="preserve"> (Kristiine Tegevuskeskus)</t>
    </r>
  </si>
  <si>
    <r>
      <t>Päevakeskuse teenused</t>
    </r>
    <r>
      <rPr>
        <sz val="8"/>
        <rFont val="Arial"/>
        <family val="2"/>
        <charset val="186"/>
      </rPr>
      <t xml:space="preserve"> (Kristiine Tegevuskeskus)</t>
    </r>
  </si>
  <si>
    <r>
      <t>Koduteenused</t>
    </r>
    <r>
      <rPr>
        <sz val="8"/>
        <rFont val="Arial"/>
        <family val="2"/>
        <charset val="186"/>
      </rPr>
      <t xml:space="preserve"> (Kristiine Tegevuskeskus)</t>
    </r>
  </si>
  <si>
    <t>sh tegevuskuludeks</t>
  </si>
  <si>
    <t>Merirahu kaugkütte võrgupiirkonna soojusmajanduse arengukava koostamine</t>
  </si>
  <si>
    <t>Teisel ringil targaks Tallinna Vanalinna Täiskasvanute Gümnaasiumis</t>
  </si>
  <si>
    <t>Teisel ringil targaks Tallinna Täiskasvanute Gümnaasiumis</t>
  </si>
  <si>
    <t>Haldusvõimekuse tõstmine ettevõtluse innovaatilisemas arenduses</t>
  </si>
  <si>
    <t>FinEst Link – Soome-Eesti Transpordiühendus</t>
  </si>
  <si>
    <t>FinEstSmartMobility – Helsingi Läänesadama - Tallinna Vanasadama vahelise liikuvuse parandamine nutikate lahenduste abil</t>
  </si>
  <si>
    <t>GoFEnvEd - Läänemere keskkonnahariduse võrgustik</t>
  </si>
  <si>
    <t>Teede ja tänavate sulgemise maks</t>
  </si>
  <si>
    <t>Hoonestusõiguse tasu</t>
  </si>
  <si>
    <t>Linnakantselei</t>
  </si>
  <si>
    <t>Tulu finantsvara investeerimisest</t>
  </si>
  <si>
    <t>Kesklinna Valitsuse haldusala</t>
  </si>
  <si>
    <t>välisprojektide kaasfinantseerimine</t>
  </si>
  <si>
    <t>tegevuskulud välisprojektide kaasfinantseerimise arvelt</t>
  </si>
  <si>
    <t>Parkimistasu</t>
  </si>
  <si>
    <t>Saastetasu</t>
  </si>
  <si>
    <t>Kogu-maksumus</t>
  </si>
  <si>
    <t>Tallinna Loomaaia muud remonttööd ja soetused</t>
  </si>
  <si>
    <t>Jalgpallihalli rajamine Vikerlase tn 16a</t>
  </si>
  <si>
    <t>Kalevi Spordihalli rekonstrueerimine ja sisustus</t>
  </si>
  <si>
    <t>Tallinna Vaimse Tervise Keskuse Hooldekodu tee 2 hoone katuse remont</t>
  </si>
  <si>
    <t>Sotsiaalasutuste remonttööd ja soetused</t>
  </si>
  <si>
    <t>Tondiloo pargi arendamine (Linnamäe tee 28a)</t>
  </si>
  <si>
    <t>Nõmmele uisuplatsi rajamine</t>
  </si>
  <si>
    <t>Kaubikbussid linnaasutustele</t>
  </si>
  <si>
    <t>Tallinna Kultuurikatla D-korpuse rekonstrueerimise ettevalmistustööd</t>
  </si>
  <si>
    <t>Mustamäe kiriku rajamine</t>
  </si>
  <si>
    <t>Rail Balticu terminali lennujaamaga ühendamine ning Kopli suunal trammitee rekonstrueerimine</t>
  </si>
  <si>
    <t>- tagada sporditegevuse toetus kokku 22 000 4-19-aastasele ning vanusepiiranguta püsiva (vähemalt 40%-se) töövõimetusega harrastajale.</t>
  </si>
  <si>
    <t>Vene Kultuurikeskuse I ja II korruse ruumide remont ja tuleohutusnõuete täitmine</t>
  </si>
  <si>
    <t>Kultuur**</t>
  </si>
  <si>
    <t>** Lisaeelarvega muudetakse Tallinna Linnavolikogu 17. detsembri 2015 määruse nr 29 lisas 4 kajastatud antava sihtfinantseeringu "Tallinna Lauluväljaku raadiotorni rekonstrueerimine ja trosside vahetamine" nimetust, sõnastades selle järgmiselt: "Tallinna Lauluväljaku rekonstrueerimine".</t>
  </si>
  <si>
    <r>
      <t>Tootegrupp: kultuuritegevus</t>
    </r>
    <r>
      <rPr>
        <sz val="8"/>
        <rFont val="Arial"/>
        <family val="2"/>
        <charset val="186"/>
      </rPr>
      <t xml:space="preserve"> (Vene Kultuurikeskus, Tallinna Pelgulinna Rahvamaja)</t>
    </r>
  </si>
  <si>
    <r>
      <t>Tootegrupp: raamatukogud</t>
    </r>
    <r>
      <rPr>
        <b/>
        <sz val="8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(Tallinna Keskraamatukogu)</t>
    </r>
  </si>
  <si>
    <t>Planeeringud ja arhitektuurikonkursid</t>
  </si>
  <si>
    <t>kohtuvaidluste ja muude õiguslike vaidlustega seotud nõuete reserv</t>
  </si>
  <si>
    <t>sellest Tondiraba haljasala heakorratööd</t>
  </si>
  <si>
    <r>
      <t xml:space="preserve">sh </t>
    </r>
    <r>
      <rPr>
        <sz val="8"/>
        <rFont val="Arial"/>
        <family val="2"/>
        <charset val="186"/>
      </rPr>
      <t>Harju tänava ja Nõmme teisaldatavad jääväljakud</t>
    </r>
  </si>
  <si>
    <t>Haridusasutuste IKT keskkond (ü)</t>
  </si>
  <si>
    <t>ringitasu</t>
  </si>
  <si>
    <t>Koerte jalutus- ja treeningväljakute rajamine ja rekonstrueerimine</t>
  </si>
  <si>
    <t>Tallinna loomade varjupaiga investeeringud</t>
  </si>
  <si>
    <t>I VÄLISRAHASTUSEGA INVESTEERIMISPROJEKTID</t>
  </si>
  <si>
    <t>Välisprojektid kokku</t>
  </si>
  <si>
    <t>SE</t>
  </si>
  <si>
    <t>VR</t>
  </si>
  <si>
    <t>Välisrahastusega teede ja tänavate rekonstrueerimine</t>
  </si>
  <si>
    <t>sh välisrahastusega teede projekteerimine ja maade omandamine</t>
  </si>
  <si>
    <t>Haabersti ristmiku rekonstrueerimine Tallinnas</t>
  </si>
  <si>
    <t>Reidi tee ehitus Tallinnas</t>
  </si>
  <si>
    <t>Gonsiori tänava rekonstrueerimine Tallinnas</t>
  </si>
  <si>
    <t xml:space="preserve">   sh aktsiakapitali suurendamine</t>
  </si>
  <si>
    <t>Liinivedu</t>
  </si>
  <si>
    <t>Mustamäe Kultuurikeskuse Kaja renoveerimine</t>
  </si>
  <si>
    <t>2016 lisaeelarve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</si>
</sst>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"/>
    <numFmt numFmtId="165" formatCode="#,##0.0"/>
    <numFmt numFmtId="166" formatCode="_-* #,##0.00\ _k_r_-;\-* #,##0.00\ _k_r_-;_-* \-??\ _k_r_-;_-@_-"/>
  </numFmts>
  <fonts count="80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i/>
      <u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u/>
      <sz val="10"/>
      <name val="Arial"/>
      <family val="2"/>
      <charset val="186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sz val="9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9"/>
      <name val="Arial"/>
      <family val="2"/>
    </font>
    <font>
      <i/>
      <u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sz val="9"/>
      <name val="Arial"/>
      <family val="2"/>
    </font>
    <font>
      <sz val="8"/>
      <color theme="3"/>
      <name val="Arial"/>
      <family val="2"/>
      <charset val="186"/>
    </font>
    <font>
      <sz val="11"/>
      <color theme="1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  <charset val="186"/>
    </font>
    <font>
      <sz val="9"/>
      <color rgb="FF202020"/>
      <name val="Inherit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5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0" fillId="0" borderId="0"/>
    <xf numFmtId="0" fontId="42" fillId="0" borderId="0"/>
    <xf numFmtId="0" fontId="43" fillId="0" borderId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49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6" fillId="3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68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9" fillId="26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3" fillId="0" borderId="0"/>
    <xf numFmtId="0" fontId="3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54" fillId="23" borderId="7" applyNumberFormat="0" applyFont="0" applyAlignment="0" applyProtection="0"/>
    <xf numFmtId="0" fontId="66" fillId="20" borderId="8" applyNumberFormat="0" applyAlignment="0" applyProtection="0"/>
    <xf numFmtId="9" fontId="3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53" fillId="0" borderId="0"/>
    <xf numFmtId="0" fontId="2" fillId="0" borderId="0"/>
    <xf numFmtId="0" fontId="43" fillId="0" borderId="0"/>
    <xf numFmtId="0" fontId="1" fillId="0" borderId="0"/>
  </cellStyleXfs>
  <cellXfs count="498">
    <xf numFmtId="0" fontId="0" fillId="0" borderId="0" xfId="0"/>
    <xf numFmtId="0" fontId="24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5" fillId="0" borderId="0" xfId="0" applyFont="1" applyFill="1"/>
    <xf numFmtId="0" fontId="3" fillId="0" borderId="0" xfId="0" applyFont="1" applyFill="1" applyBorder="1" applyAlignment="1">
      <alignment horizontal="left" vertical="top"/>
    </xf>
    <xf numFmtId="3" fontId="26" fillId="0" borderId="0" xfId="0" applyNumberFormat="1" applyFont="1" applyFill="1" applyAlignment="1">
      <alignment vertical="top"/>
    </xf>
    <xf numFmtId="0" fontId="3" fillId="0" borderId="0" xfId="0" applyFont="1" applyFill="1"/>
    <xf numFmtId="3" fontId="25" fillId="0" borderId="0" xfId="0" applyNumberFormat="1" applyFont="1" applyFill="1" applyBorder="1"/>
    <xf numFmtId="0" fontId="3" fillId="0" borderId="0" xfId="0" applyFont="1" applyFill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3" fontId="24" fillId="0" borderId="0" xfId="0" applyNumberFormat="1" applyFont="1" applyFill="1" applyBorder="1" applyAlignment="1"/>
    <xf numFmtId="3" fontId="3" fillId="0" borderId="0" xfId="0" applyNumberFormat="1" applyFont="1" applyFill="1" applyAlignment="1"/>
    <xf numFmtId="3" fontId="25" fillId="0" borderId="0" xfId="0" applyNumberFormat="1" applyFont="1" applyFill="1" applyAlignment="1"/>
    <xf numFmtId="0" fontId="0" fillId="0" borderId="0" xfId="0" applyAlignment="1"/>
    <xf numFmtId="164" fontId="18" fillId="0" borderId="0" xfId="0" applyNumberFormat="1" applyFont="1" applyAlignment="1">
      <alignment horizontal="right"/>
    </xf>
    <xf numFmtId="0" fontId="0" fillId="0" borderId="0" xfId="0" applyFill="1"/>
    <xf numFmtId="0" fontId="31" fillId="0" borderId="0" xfId="0" applyFont="1" applyFill="1"/>
    <xf numFmtId="14" fontId="25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right"/>
    </xf>
    <xf numFmtId="0" fontId="18" fillId="0" borderId="0" xfId="0" applyFont="1"/>
    <xf numFmtId="0" fontId="32" fillId="0" borderId="0" xfId="0" applyFont="1" applyFill="1" applyAlignment="1">
      <alignment horizontal="left" indent="2"/>
    </xf>
    <xf numFmtId="3" fontId="32" fillId="0" borderId="0" xfId="0" applyNumberFormat="1" applyFont="1" applyFill="1"/>
    <xf numFmtId="3" fontId="0" fillId="0" borderId="0" xfId="0" applyNumberFormat="1"/>
    <xf numFmtId="0" fontId="26" fillId="0" borderId="0" xfId="0" applyFont="1" applyFill="1" applyAlignment="1">
      <alignment horizontal="left" indent="4"/>
    </xf>
    <xf numFmtId="3" fontId="26" fillId="0" borderId="0" xfId="0" applyNumberFormat="1" applyFont="1" applyFill="1"/>
    <xf numFmtId="0" fontId="26" fillId="0" borderId="0" xfId="0" applyFont="1" applyFill="1" applyAlignment="1">
      <alignment horizontal="left" wrapText="1" indent="4"/>
    </xf>
    <xf numFmtId="0" fontId="26" fillId="0" borderId="0" xfId="39" applyNumberFormat="1" applyFont="1" applyFill="1" applyBorder="1" applyAlignment="1" applyProtection="1">
      <alignment horizontal="left" indent="6"/>
    </xf>
    <xf numFmtId="0" fontId="25" fillId="0" borderId="0" xfId="0" applyFont="1" applyFill="1" applyAlignment="1">
      <alignment horizontal="left" indent="1"/>
    </xf>
    <xf numFmtId="0" fontId="3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indent="4"/>
    </xf>
    <xf numFmtId="0" fontId="34" fillId="0" borderId="1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 horizontal="left" indent="1"/>
    </xf>
    <xf numFmtId="0" fontId="35" fillId="0" borderId="0" xfId="0" applyFont="1" applyFill="1" applyAlignment="1">
      <alignment horizontal="left"/>
    </xf>
    <xf numFmtId="0" fontId="32" fillId="0" borderId="0" xfId="0" applyFont="1" applyFill="1" applyAlignment="1">
      <alignment horizontal="left" indent="1"/>
    </xf>
    <xf numFmtId="3" fontId="36" fillId="0" borderId="0" xfId="0" applyNumberFormat="1" applyFont="1" applyFill="1"/>
    <xf numFmtId="165" fontId="18" fillId="0" borderId="0" xfId="0" applyNumberFormat="1" applyFont="1"/>
    <xf numFmtId="9" fontId="3" fillId="0" borderId="0" xfId="0" applyNumberFormat="1" applyFont="1"/>
    <xf numFmtId="165" fontId="3" fillId="0" borderId="0" xfId="0" applyNumberFormat="1" applyFont="1"/>
    <xf numFmtId="0" fontId="3" fillId="0" borderId="0" xfId="0" applyFont="1"/>
    <xf numFmtId="14" fontId="3" fillId="0" borderId="0" xfId="0" applyNumberFormat="1" applyFont="1"/>
    <xf numFmtId="9" fontId="29" fillId="0" borderId="0" xfId="0" applyNumberFormat="1" applyFont="1"/>
    <xf numFmtId="165" fontId="29" fillId="0" borderId="0" xfId="0" applyNumberFormat="1" applyFont="1"/>
    <xf numFmtId="164" fontId="3" fillId="0" borderId="0" xfId="0" applyNumberFormat="1" applyFont="1"/>
    <xf numFmtId="0" fontId="37" fillId="0" borderId="0" xfId="39" applyFont="1" applyFill="1" applyBorder="1" applyAlignment="1" applyProtection="1">
      <alignment horizontal="left" wrapText="1"/>
    </xf>
    <xf numFmtId="0" fontId="38" fillId="0" borderId="0" xfId="39" applyFont="1" applyFill="1" applyBorder="1" applyAlignment="1" applyProtection="1">
      <alignment horizontal="left" wrapText="1"/>
    </xf>
    <xf numFmtId="0" fontId="31" fillId="0" borderId="0" xfId="0" applyFont="1"/>
    <xf numFmtId="0" fontId="0" fillId="0" borderId="0" xfId="0" applyAlignment="1">
      <alignment horizontal="right"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/>
    <xf numFmtId="3" fontId="18" fillId="0" borderId="0" xfId="0" applyNumberFormat="1" applyFont="1" applyFill="1" applyBorder="1"/>
    <xf numFmtId="3" fontId="25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 indent="1"/>
    </xf>
    <xf numFmtId="3" fontId="18" fillId="0" borderId="0" xfId="0" applyNumberFormat="1" applyFont="1" applyFill="1" applyBorder="1" applyAlignment="1">
      <alignment horizontal="left" indent="1"/>
    </xf>
    <xf numFmtId="3" fontId="18" fillId="0" borderId="0" xfId="0" applyNumberFormat="1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 indent="2"/>
    </xf>
    <xf numFmtId="3" fontId="26" fillId="0" borderId="0" xfId="0" applyNumberFormat="1" applyFont="1" applyFill="1" applyBorder="1" applyAlignment="1">
      <alignment horizontal="left" indent="2"/>
    </xf>
    <xf numFmtId="3" fontId="25" fillId="0" borderId="0" xfId="0" applyNumberFormat="1" applyFont="1" applyFill="1"/>
    <xf numFmtId="0" fontId="25" fillId="0" borderId="0" xfId="0" applyFont="1" applyFill="1" applyBorder="1" applyAlignment="1">
      <alignment wrapText="1"/>
    </xf>
    <xf numFmtId="0" fontId="31" fillId="0" borderId="0" xfId="0" applyFont="1" applyFill="1" applyBorder="1"/>
    <xf numFmtId="0" fontId="3" fillId="0" borderId="0" xfId="0" applyFont="1" applyFill="1" applyBorder="1"/>
    <xf numFmtId="0" fontId="39" fillId="0" borderId="0" xfId="0" applyFont="1" applyFill="1" applyBorder="1"/>
    <xf numFmtId="3" fontId="3" fillId="0" borderId="0" xfId="0" applyNumberFormat="1" applyFont="1" applyFill="1" applyBorder="1"/>
    <xf numFmtId="0" fontId="40" fillId="0" borderId="0" xfId="0" applyFont="1" applyFill="1" applyBorder="1"/>
    <xf numFmtId="0" fontId="41" fillId="0" borderId="0" xfId="0" applyFont="1" applyFill="1" applyBorder="1" applyAlignment="1">
      <alignment horizontal="left" indent="2"/>
    </xf>
    <xf numFmtId="2" fontId="41" fillId="0" borderId="0" xfId="0" applyNumberFormat="1" applyFont="1" applyFill="1" applyBorder="1" applyAlignment="1">
      <alignment horizontal="left" indent="2"/>
    </xf>
    <xf numFmtId="0" fontId="18" fillId="0" borderId="0" xfId="0" applyFont="1" applyFill="1" applyBorder="1" applyAlignment="1">
      <alignment horizontal="left" indent="2"/>
    </xf>
    <xf numFmtId="165" fontId="31" fillId="0" borderId="0" xfId="40" applyNumberFormat="1" applyFont="1" applyFill="1" applyBorder="1" applyAlignment="1">
      <alignment horizontal="left" wrapText="1"/>
    </xf>
    <xf numFmtId="0" fontId="44" fillId="0" borderId="0" xfId="0" applyFont="1" applyFill="1" applyBorder="1"/>
    <xf numFmtId="0" fontId="26" fillId="0" borderId="0" xfId="40" applyNumberFormat="1" applyFont="1" applyFill="1" applyBorder="1" applyAlignment="1" applyProtection="1">
      <alignment horizontal="left" vertical="top" wrapText="1" indent="2"/>
    </xf>
    <xf numFmtId="0" fontId="32" fillId="0" borderId="0" xfId="40" applyFont="1" applyFill="1" applyBorder="1" applyAlignment="1" applyProtection="1">
      <alignment horizontal="left" vertical="top" indent="1"/>
    </xf>
    <xf numFmtId="0" fontId="34" fillId="0" borderId="0" xfId="40" applyNumberFormat="1" applyFont="1" applyFill="1" applyBorder="1" applyAlignment="1">
      <alignment horizontal="left"/>
    </xf>
    <xf numFmtId="0" fontId="26" fillId="0" borderId="0" xfId="40" applyNumberFormat="1" applyFont="1" applyFill="1" applyBorder="1" applyAlignment="1" applyProtection="1">
      <alignment horizontal="left" indent="1"/>
    </xf>
    <xf numFmtId="0" fontId="26" fillId="0" borderId="0" xfId="40" applyNumberFormat="1" applyFont="1" applyFill="1" applyBorder="1" applyAlignment="1" applyProtection="1">
      <alignment horizontal="left" indent="2"/>
    </xf>
    <xf numFmtId="3" fontId="25" fillId="0" borderId="0" xfId="0" applyNumberFormat="1" applyFont="1"/>
    <xf numFmtId="0" fontId="46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left"/>
    </xf>
    <xf numFmtId="0" fontId="39" fillId="0" borderId="0" xfId="0" applyFont="1" applyBorder="1"/>
    <xf numFmtId="0" fontId="25" fillId="0" borderId="0" xfId="0" applyFont="1"/>
    <xf numFmtId="3" fontId="3" fillId="0" borderId="0" xfId="0" applyNumberFormat="1" applyFont="1"/>
    <xf numFmtId="165" fontId="32" fillId="0" borderId="0" xfId="0" applyNumberFormat="1" applyFont="1" applyFill="1" applyAlignment="1">
      <alignment vertical="top"/>
    </xf>
    <xf numFmtId="165" fontId="25" fillId="0" borderId="0" xfId="0" applyNumberFormat="1" applyFont="1" applyFill="1" applyAlignment="1">
      <alignment vertical="top"/>
    </xf>
    <xf numFmtId="0" fontId="47" fillId="0" borderId="0" xfId="0" applyFont="1" applyFill="1" applyBorder="1"/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>
      <alignment horizontal="left" indent="2"/>
    </xf>
    <xf numFmtId="0" fontId="18" fillId="0" borderId="0" xfId="0" applyFont="1" applyFill="1" applyBorder="1" applyAlignment="1">
      <alignment horizontal="left" indent="3"/>
    </xf>
    <xf numFmtId="3" fontId="33" fillId="0" borderId="0" xfId="0" applyNumberFormat="1" applyFont="1" applyFill="1"/>
    <xf numFmtId="3" fontId="34" fillId="0" borderId="10" xfId="0" applyNumberFormat="1" applyFont="1" applyFill="1" applyBorder="1"/>
    <xf numFmtId="3" fontId="34" fillId="0" borderId="0" xfId="0" applyNumberFormat="1" applyFont="1" applyFill="1" applyBorder="1"/>
    <xf numFmtId="0" fontId="24" fillId="0" borderId="0" xfId="0" applyFont="1" applyBorder="1" applyAlignment="1">
      <alignment horizontal="left" wrapText="1"/>
    </xf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24" fillId="0" borderId="0" xfId="0" applyFont="1" applyBorder="1" applyAlignment="1">
      <alignment horizontal="left"/>
    </xf>
    <xf numFmtId="0" fontId="40" fillId="0" borderId="0" xfId="0" applyFont="1"/>
    <xf numFmtId="0" fontId="40" fillId="0" borderId="0" xfId="0" applyFont="1" applyFill="1" applyBorder="1" applyAlignment="1">
      <alignment horizontal="right"/>
    </xf>
    <xf numFmtId="0" fontId="40" fillId="0" borderId="0" xfId="0" applyFont="1" applyFill="1"/>
    <xf numFmtId="3" fontId="3" fillId="0" borderId="0" xfId="0" applyNumberFormat="1" applyFont="1" applyFill="1"/>
    <xf numFmtId="164" fontId="3" fillId="0" borderId="0" xfId="47" applyNumberFormat="1" applyFont="1" applyAlignment="1">
      <alignment horizontal="right"/>
    </xf>
    <xf numFmtId="0" fontId="31" fillId="0" borderId="0" xfId="47" applyFont="1"/>
    <xf numFmtId="0" fontId="25" fillId="0" borderId="0" xfId="47" applyFont="1"/>
    <xf numFmtId="14" fontId="2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3" fontId="3" fillId="0" borderId="15" xfId="0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 wrapText="1" indent="4"/>
      <protection locked="0"/>
    </xf>
    <xf numFmtId="0" fontId="23" fillId="0" borderId="0" xfId="39" applyNumberFormat="1" applyFont="1" applyFill="1" applyBorder="1" applyAlignment="1" applyProtection="1">
      <alignment horizontal="left" vertical="top" wrapText="1" indent="4"/>
    </xf>
    <xf numFmtId="0" fontId="34" fillId="0" borderId="0" xfId="40" applyFont="1" applyFill="1" applyBorder="1" applyAlignment="1" applyProtection="1">
      <alignment horizontal="left" vertical="top"/>
    </xf>
    <xf numFmtId="0" fontId="25" fillId="0" borderId="0" xfId="40" applyFont="1" applyFill="1" applyBorder="1" applyAlignment="1" applyProtection="1">
      <alignment horizontal="left" vertical="top"/>
    </xf>
    <xf numFmtId="0" fontId="26" fillId="0" borderId="0" xfId="40" applyFont="1" applyFill="1" applyBorder="1" applyAlignment="1" applyProtection="1">
      <alignment horizontal="left" vertical="top" indent="1"/>
    </xf>
    <xf numFmtId="3" fontId="26" fillId="0" borderId="0" xfId="0" applyNumberFormat="1" applyFont="1" applyFill="1" applyAlignment="1">
      <alignment horizontal="right" vertical="top"/>
    </xf>
    <xf numFmtId="0" fontId="25" fillId="0" borderId="0" xfId="40" applyFont="1" applyFill="1" applyBorder="1" applyAlignment="1">
      <alignment horizontal="left" vertical="top"/>
    </xf>
    <xf numFmtId="0" fontId="26" fillId="0" borderId="0" xfId="40" applyFont="1" applyFill="1" applyBorder="1" applyAlignment="1" applyProtection="1">
      <alignment horizontal="left" vertical="top" indent="2"/>
    </xf>
    <xf numFmtId="0" fontId="35" fillId="0" borderId="0" xfId="40" applyFont="1" applyFill="1" applyBorder="1" applyAlignment="1" applyProtection="1">
      <alignment horizontal="left" vertical="top"/>
    </xf>
    <xf numFmtId="3" fontId="3" fillId="0" borderId="0" xfId="41" applyNumberFormat="1" applyFont="1" applyFill="1" applyBorder="1" applyAlignment="1">
      <alignment horizontal="right" vertical="top"/>
    </xf>
    <xf numFmtId="0" fontId="44" fillId="0" borderId="0" xfId="40" applyFont="1" applyFill="1" applyBorder="1" applyAlignment="1" applyProtection="1">
      <alignment horizontal="left" vertical="top" indent="1"/>
    </xf>
    <xf numFmtId="0" fontId="35" fillId="0" borderId="0" xfId="41" applyFont="1" applyFill="1" applyBorder="1" applyAlignment="1">
      <alignment horizontal="left" vertical="top"/>
    </xf>
    <xf numFmtId="49" fontId="34" fillId="0" borderId="0" xfId="40" applyNumberFormat="1" applyFont="1" applyFill="1" applyBorder="1" applyAlignment="1">
      <alignment horizontal="left" vertical="top"/>
    </xf>
    <xf numFmtId="0" fontId="25" fillId="0" borderId="0" xfId="41" applyNumberFormat="1" applyFont="1" applyFill="1" applyBorder="1" applyAlignment="1">
      <alignment horizontal="left" vertical="top"/>
    </xf>
    <xf numFmtId="0" fontId="35" fillId="0" borderId="0" xfId="41" applyNumberFormat="1" applyFont="1" applyFill="1" applyBorder="1" applyAlignment="1">
      <alignment horizontal="left" vertical="top"/>
    </xf>
    <xf numFmtId="0" fontId="44" fillId="0" borderId="0" xfId="40" applyNumberFormat="1" applyFont="1" applyFill="1" applyBorder="1" applyAlignment="1" applyProtection="1">
      <alignment horizontal="left" vertical="top" indent="1"/>
    </xf>
    <xf numFmtId="0" fontId="35" fillId="0" borderId="0" xfId="41" applyNumberFormat="1" applyFont="1" applyFill="1" applyBorder="1" applyAlignment="1">
      <alignment horizontal="left" vertical="top" wrapText="1"/>
    </xf>
    <xf numFmtId="0" fontId="44" fillId="0" borderId="0" xfId="40" applyNumberFormat="1" applyFont="1" applyFill="1" applyBorder="1" applyAlignment="1" applyProtection="1">
      <alignment horizontal="left" vertical="top" indent="2"/>
    </xf>
    <xf numFmtId="0" fontId="35" fillId="0" borderId="0" xfId="40" applyNumberFormat="1" applyFont="1" applyFill="1" applyBorder="1" applyAlignment="1" applyProtection="1">
      <alignment horizontal="left" vertical="top"/>
    </xf>
    <xf numFmtId="0" fontId="44" fillId="0" borderId="0" xfId="40" applyNumberFormat="1" applyFont="1" applyFill="1" applyBorder="1" applyAlignment="1" applyProtection="1">
      <alignment horizontal="left" vertical="top" wrapText="1" indent="1"/>
    </xf>
    <xf numFmtId="0" fontId="44" fillId="0" borderId="0" xfId="40" applyNumberFormat="1" applyFont="1" applyFill="1" applyBorder="1" applyAlignment="1" applyProtection="1">
      <alignment horizontal="left" vertical="top" indent="3"/>
    </xf>
    <xf numFmtId="3" fontId="3" fillId="0" borderId="0" xfId="40" applyNumberFormat="1" applyFont="1" applyFill="1" applyBorder="1" applyAlignment="1" applyProtection="1">
      <alignment horizontal="right" vertical="top"/>
    </xf>
    <xf numFmtId="0" fontId="35" fillId="0" borderId="0" xfId="40" applyNumberFormat="1" applyFont="1" applyFill="1" applyBorder="1" applyAlignment="1" applyProtection="1">
      <alignment horizontal="left" vertical="top" wrapText="1"/>
    </xf>
    <xf numFmtId="3" fontId="44" fillId="0" borderId="0" xfId="40" applyNumberFormat="1" applyFont="1" applyFill="1" applyBorder="1" applyAlignment="1" applyProtection="1">
      <alignment horizontal="right" vertical="top"/>
    </xf>
    <xf numFmtId="0" fontId="44" fillId="0" borderId="0" xfId="40" applyNumberFormat="1" applyFont="1" applyFill="1" applyBorder="1" applyAlignment="1" applyProtection="1">
      <alignment horizontal="left" vertical="top" wrapText="1" indent="2"/>
    </xf>
    <xf numFmtId="0" fontId="34" fillId="0" borderId="0" xfId="40" applyNumberFormat="1" applyFont="1" applyFill="1" applyBorder="1" applyAlignment="1">
      <alignment horizontal="left" vertical="top"/>
    </xf>
    <xf numFmtId="0" fontId="25" fillId="0" borderId="0" xfId="40" applyNumberFormat="1" applyFont="1" applyFill="1" applyBorder="1" applyAlignment="1" applyProtection="1">
      <alignment horizontal="left" vertical="top"/>
    </xf>
    <xf numFmtId="0" fontId="25" fillId="0" borderId="0" xfId="40" applyNumberFormat="1" applyFont="1" applyFill="1" applyBorder="1" applyAlignment="1">
      <alignment horizontal="left" vertical="top"/>
    </xf>
    <xf numFmtId="0" fontId="26" fillId="0" borderId="0" xfId="40" applyNumberFormat="1" applyFont="1" applyFill="1" applyBorder="1" applyAlignment="1" applyProtection="1">
      <alignment horizontal="left" vertical="top" indent="1"/>
    </xf>
    <xf numFmtId="0" fontId="26" fillId="0" borderId="0" xfId="40" applyNumberFormat="1" applyFont="1" applyFill="1" applyBorder="1" applyAlignment="1" applyProtection="1">
      <alignment horizontal="left" vertical="top" indent="2"/>
    </xf>
    <xf numFmtId="0" fontId="3" fillId="0" borderId="0" xfId="34" applyNumberFormat="1" applyFont="1" applyFill="1" applyBorder="1" applyAlignment="1" applyProtection="1">
      <alignment horizontal="left" vertical="top" wrapText="1" indent="2"/>
    </xf>
    <xf numFmtId="0" fontId="34" fillId="0" borderId="0" xfId="40" applyNumberFormat="1" applyFont="1" applyFill="1" applyBorder="1" applyAlignment="1" applyProtection="1">
      <alignment horizontal="left" vertical="top"/>
    </xf>
    <xf numFmtId="0" fontId="3" fillId="0" borderId="0" xfId="40" applyNumberFormat="1" applyFont="1" applyFill="1" applyBorder="1" applyAlignment="1">
      <alignment horizontal="left" vertical="top"/>
    </xf>
    <xf numFmtId="3" fontId="25" fillId="0" borderId="0" xfId="40" applyNumberFormat="1" applyFont="1" applyFill="1" applyBorder="1" applyAlignment="1" applyProtection="1">
      <alignment horizontal="right" vertical="top"/>
    </xf>
    <xf numFmtId="3" fontId="26" fillId="0" borderId="0" xfId="40" applyNumberFormat="1" applyFont="1" applyFill="1" applyBorder="1" applyAlignment="1" applyProtection="1">
      <alignment horizontal="right" vertical="top"/>
    </xf>
    <xf numFmtId="0" fontId="36" fillId="0" borderId="0" xfId="34" quotePrefix="1" applyNumberFormat="1" applyFont="1" applyFill="1" applyBorder="1" applyAlignment="1" applyProtection="1">
      <alignment horizontal="left" vertical="top" wrapText="1" indent="1"/>
    </xf>
    <xf numFmtId="0" fontId="3" fillId="0" borderId="0" xfId="34" applyNumberFormat="1" applyFont="1" applyFill="1" applyBorder="1" applyAlignment="1" applyProtection="1">
      <alignment horizontal="left" vertical="top" wrapText="1"/>
    </xf>
    <xf numFmtId="0" fontId="23" fillId="0" borderId="0" xfId="34" applyNumberFormat="1" applyFont="1" applyFill="1" applyBorder="1" applyAlignment="1" applyProtection="1">
      <alignment horizontal="left" vertical="top" wrapText="1" indent="3"/>
    </xf>
    <xf numFmtId="0" fontId="36" fillId="0" borderId="0" xfId="40" quotePrefix="1" applyNumberFormat="1" applyFont="1" applyFill="1" applyBorder="1" applyAlignment="1" applyProtection="1">
      <alignment horizontal="left" indent="1"/>
    </xf>
    <xf numFmtId="3" fontId="25" fillId="0" borderId="0" xfId="41" applyNumberFormat="1" applyFont="1" applyFill="1" applyBorder="1" applyAlignment="1">
      <alignment horizontal="right" vertical="top"/>
    </xf>
    <xf numFmtId="0" fontId="36" fillId="0" borderId="0" xfId="40" applyNumberFormat="1" applyFont="1" applyFill="1" applyBorder="1" applyAlignment="1" applyProtection="1">
      <alignment horizontal="left" vertical="top" indent="1"/>
    </xf>
    <xf numFmtId="0" fontId="3" fillId="0" borderId="0" xfId="40" applyNumberFormat="1" applyFont="1" applyFill="1" applyBorder="1" applyAlignment="1" applyProtection="1">
      <alignment horizontal="left" vertical="top" indent="1"/>
    </xf>
    <xf numFmtId="0" fontId="32" fillId="0" borderId="0" xfId="40" applyNumberFormat="1" applyFont="1" applyFill="1" applyBorder="1" applyAlignment="1" applyProtection="1">
      <alignment horizontal="left" vertical="top"/>
    </xf>
    <xf numFmtId="0" fontId="23" fillId="0" borderId="0" xfId="40" applyNumberFormat="1" applyFont="1" applyFill="1" applyBorder="1" applyAlignment="1" applyProtection="1">
      <alignment horizontal="left" vertical="top" indent="2"/>
    </xf>
    <xf numFmtId="0" fontId="23" fillId="0" borderId="0" xfId="40" applyNumberFormat="1" applyFont="1" applyFill="1" applyBorder="1" applyAlignment="1" applyProtection="1">
      <alignment horizontal="left" vertical="top" indent="1"/>
    </xf>
    <xf numFmtId="0" fontId="31" fillId="0" borderId="0" xfId="40" applyNumberFormat="1" applyFont="1" applyFill="1" applyBorder="1" applyAlignment="1" applyProtection="1">
      <alignment horizontal="left" vertical="top"/>
    </xf>
    <xf numFmtId="0" fontId="33" fillId="0" borderId="0" xfId="40" applyNumberFormat="1" applyFont="1" applyFill="1" applyBorder="1" applyAlignment="1" applyProtection="1">
      <alignment horizontal="left" vertical="top" indent="1"/>
    </xf>
    <xf numFmtId="0" fontId="23" fillId="0" borderId="0" xfId="40" applyNumberFormat="1" applyFont="1" applyFill="1" applyBorder="1" applyAlignment="1" applyProtection="1">
      <alignment horizontal="left" vertical="top" indent="3"/>
    </xf>
    <xf numFmtId="0" fontId="26" fillId="0" borderId="0" xfId="40" applyNumberFormat="1" applyFont="1" applyFill="1" applyBorder="1" applyAlignment="1" applyProtection="1">
      <alignment horizontal="left" vertical="top"/>
    </xf>
    <xf numFmtId="49" fontId="36" fillId="0" borderId="0" xfId="41" applyNumberFormat="1" applyFont="1" applyFill="1" applyBorder="1" applyAlignment="1">
      <alignment horizontal="left" wrapText="1" indent="1"/>
    </xf>
    <xf numFmtId="0" fontId="23" fillId="0" borderId="0" xfId="40" applyNumberFormat="1" applyFont="1" applyFill="1" applyBorder="1" applyAlignment="1" applyProtection="1">
      <alignment horizontal="left" vertical="top" wrapText="1"/>
    </xf>
    <xf numFmtId="0" fontId="36" fillId="0" borderId="0" xfId="40" applyNumberFormat="1" applyFont="1" applyFill="1" applyBorder="1" applyAlignment="1" applyProtection="1">
      <alignment horizontal="left" vertical="top" wrapText="1" indent="2"/>
    </xf>
    <xf numFmtId="0" fontId="26" fillId="0" borderId="0" xfId="40" applyNumberFormat="1" applyFont="1" applyFill="1" applyBorder="1" applyAlignment="1" applyProtection="1">
      <alignment horizontal="left"/>
    </xf>
    <xf numFmtId="0" fontId="36" fillId="0" borderId="0" xfId="40" applyNumberFormat="1" applyFont="1" applyFill="1" applyBorder="1" applyAlignment="1" applyProtection="1">
      <alignment horizontal="left" vertical="top" indent="2"/>
    </xf>
    <xf numFmtId="0" fontId="31" fillId="0" borderId="0" xfId="41" applyNumberFormat="1" applyFont="1" applyFill="1" applyBorder="1" applyAlignment="1">
      <alignment horizontal="left" vertical="top"/>
    </xf>
    <xf numFmtId="0" fontId="44" fillId="0" borderId="0" xfId="40" applyNumberFormat="1" applyFont="1" applyFill="1" applyBorder="1" applyAlignment="1" applyProtection="1">
      <alignment horizontal="left" vertical="top" wrapText="1" indent="3"/>
    </xf>
    <xf numFmtId="0" fontId="33" fillId="0" borderId="0" xfId="40" applyNumberFormat="1" applyFont="1" applyFill="1" applyBorder="1" applyAlignment="1" applyProtection="1">
      <alignment horizontal="left" vertical="top" wrapText="1" indent="1"/>
    </xf>
    <xf numFmtId="0" fontId="25" fillId="0" borderId="0" xfId="40" applyNumberFormat="1" applyFont="1" applyFill="1" applyBorder="1" applyAlignment="1" applyProtection="1">
      <alignment horizontal="left" vertical="top" indent="2"/>
    </xf>
    <xf numFmtId="0" fontId="3" fillId="0" borderId="0" xfId="40" applyNumberFormat="1" applyFont="1" applyFill="1" applyBorder="1" applyAlignment="1" applyProtection="1">
      <alignment horizontal="left" vertical="top" indent="2"/>
    </xf>
    <xf numFmtId="0" fontId="3" fillId="0" borderId="0" xfId="34" applyNumberFormat="1" applyFont="1" applyFill="1" applyBorder="1" applyAlignment="1" applyProtection="1">
      <alignment horizontal="left" vertical="top" wrapText="1" indent="3"/>
    </xf>
    <xf numFmtId="0" fontId="25" fillId="0" borderId="0" xfId="41" applyNumberFormat="1" applyFont="1" applyFill="1" applyBorder="1" applyAlignment="1">
      <alignment horizontal="left" vertical="top" wrapText="1"/>
    </xf>
    <xf numFmtId="0" fontId="35" fillId="0" borderId="0" xfId="40" applyNumberFormat="1" applyFont="1" applyFill="1" applyBorder="1" applyAlignment="1">
      <alignment horizontal="left" vertical="top" wrapText="1"/>
    </xf>
    <xf numFmtId="0" fontId="36" fillId="0" borderId="0" xfId="40" applyFont="1" applyFill="1" applyBorder="1" applyAlignment="1" applyProtection="1">
      <alignment horizontal="left" vertical="top" indent="1"/>
    </xf>
    <xf numFmtId="0" fontId="36" fillId="0" borderId="0" xfId="41" applyNumberFormat="1" applyFont="1" applyFill="1" applyBorder="1" applyAlignment="1">
      <alignment horizontal="left" vertical="top" wrapText="1" indent="1"/>
    </xf>
    <xf numFmtId="0" fontId="36" fillId="0" borderId="0" xfId="41" quotePrefix="1" applyNumberFormat="1" applyFont="1" applyFill="1" applyBorder="1" applyAlignment="1">
      <alignment horizontal="left" wrapText="1" indent="1"/>
    </xf>
    <xf numFmtId="3" fontId="25" fillId="0" borderId="0" xfId="40" applyNumberFormat="1" applyFont="1" applyFill="1" applyBorder="1" applyAlignment="1">
      <alignment horizontal="right" vertical="top"/>
    </xf>
    <xf numFmtId="3" fontId="3" fillId="0" borderId="0" xfId="40" applyNumberFormat="1" applyFont="1" applyFill="1" applyBorder="1" applyAlignment="1">
      <alignment horizontal="right" vertical="top"/>
    </xf>
    <xf numFmtId="3" fontId="31" fillId="0" borderId="0" xfId="40" applyNumberFormat="1" applyFont="1" applyFill="1" applyBorder="1" applyAlignment="1">
      <alignment horizontal="right" vertical="top"/>
    </xf>
    <xf numFmtId="3" fontId="36" fillId="0" borderId="0" xfId="40" applyNumberFormat="1" applyFont="1" applyFill="1" applyBorder="1" applyAlignment="1" applyProtection="1">
      <alignment horizontal="right" vertical="top"/>
    </xf>
    <xf numFmtId="3" fontId="23" fillId="0" borderId="0" xfId="40" applyNumberFormat="1" applyFont="1" applyFill="1" applyAlignment="1">
      <alignment horizontal="right" vertical="top"/>
    </xf>
    <xf numFmtId="0" fontId="34" fillId="0" borderId="0" xfId="40" applyNumberFormat="1" applyFont="1" applyFill="1" applyBorder="1" applyAlignment="1" applyProtection="1">
      <alignment horizontal="left" vertical="top" wrapText="1"/>
    </xf>
    <xf numFmtId="0" fontId="25" fillId="0" borderId="0" xfId="40" applyNumberFormat="1" applyFont="1" applyFill="1" applyBorder="1" applyAlignment="1" applyProtection="1">
      <alignment horizontal="left" vertical="top" wrapText="1"/>
    </xf>
    <xf numFmtId="0" fontId="25" fillId="0" borderId="0" xfId="40" applyNumberFormat="1" applyFont="1" applyFill="1" applyBorder="1" applyAlignment="1">
      <alignment horizontal="left" vertical="top" wrapText="1"/>
    </xf>
    <xf numFmtId="0" fontId="26" fillId="0" borderId="0" xfId="40" applyNumberFormat="1" applyFont="1" applyFill="1" applyBorder="1" applyAlignment="1" applyProtection="1">
      <alignment horizontal="left" vertical="top" wrapText="1" indent="1"/>
    </xf>
    <xf numFmtId="0" fontId="26" fillId="0" borderId="0" xfId="40" applyNumberFormat="1" applyFont="1" applyFill="1" applyBorder="1" applyAlignment="1" applyProtection="1">
      <alignment horizontal="left" vertical="top" indent="3"/>
    </xf>
    <xf numFmtId="0" fontId="23" fillId="0" borderId="0" xfId="40" applyNumberFormat="1" applyFont="1" applyFill="1" applyAlignment="1">
      <alignment horizontal="left" vertical="top" wrapText="1" indent="4"/>
    </xf>
    <xf numFmtId="0" fontId="31" fillId="0" borderId="0" xfId="40" applyNumberFormat="1" applyFont="1" applyFill="1" applyBorder="1" applyAlignment="1">
      <alignment horizontal="left" vertical="top"/>
    </xf>
    <xf numFmtId="0" fontId="25" fillId="0" borderId="0" xfId="41" applyNumberFormat="1" applyFont="1" applyFill="1" applyBorder="1" applyAlignment="1">
      <alignment horizontal="left" vertical="top" indent="2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41" fillId="0" borderId="0" xfId="0" applyFont="1" applyFill="1" applyBorder="1" applyAlignment="1">
      <alignment horizontal="left" vertical="top" indent="3"/>
    </xf>
    <xf numFmtId="0" fontId="41" fillId="0" borderId="0" xfId="0" applyFont="1" applyFill="1" applyBorder="1" applyAlignment="1">
      <alignment horizontal="left" vertical="top" wrapText="1" indent="3"/>
    </xf>
    <xf numFmtId="0" fontId="40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40" fillId="0" borderId="0" xfId="0" applyFont="1" applyFill="1" applyAlignment="1">
      <alignment horizontal="left" vertical="top"/>
    </xf>
    <xf numFmtId="3" fontId="40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 applyAlignment="1">
      <alignment vertical="top"/>
    </xf>
    <xf numFmtId="0" fontId="39" fillId="0" borderId="0" xfId="0" applyFont="1" applyFill="1"/>
    <xf numFmtId="0" fontId="41" fillId="0" borderId="0" xfId="0" applyFont="1" applyFill="1"/>
    <xf numFmtId="0" fontId="52" fillId="0" borderId="0" xfId="0" applyFont="1" applyFill="1" applyBorder="1" applyAlignment="1">
      <alignment horizontal="left" vertical="top"/>
    </xf>
    <xf numFmtId="0" fontId="41" fillId="0" borderId="0" xfId="0" applyFont="1" applyFill="1" applyAlignment="1">
      <alignment horizontal="left" vertical="top" indent="3"/>
    </xf>
    <xf numFmtId="0" fontId="40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indent="3"/>
    </xf>
    <xf numFmtId="0" fontId="52" fillId="0" borderId="0" xfId="0" applyFont="1" applyFill="1" applyBorder="1" applyAlignment="1">
      <alignment horizontal="left" vertical="top" wrapText="1"/>
    </xf>
    <xf numFmtId="2" fontId="41" fillId="0" borderId="0" xfId="0" applyNumberFormat="1" applyFont="1" applyFill="1" applyBorder="1" applyAlignment="1">
      <alignment horizontal="left" vertical="top" wrapText="1" indent="3"/>
    </xf>
    <xf numFmtId="16" fontId="40" fillId="0" borderId="0" xfId="0" applyNumberFormat="1" applyFont="1" applyFill="1" applyBorder="1" applyAlignment="1">
      <alignment horizontal="left" vertical="top"/>
    </xf>
    <xf numFmtId="3" fontId="40" fillId="0" borderId="0" xfId="0" applyNumberFormat="1" applyFont="1" applyFill="1" applyBorder="1" applyAlignment="1"/>
    <xf numFmtId="0" fontId="3" fillId="0" borderId="0" xfId="54" applyFont="1" applyFill="1" applyBorder="1" applyAlignment="1" applyProtection="1">
      <alignment horizontal="left" vertical="top" wrapText="1" indent="4"/>
      <protection locked="0"/>
    </xf>
    <xf numFmtId="0" fontId="23" fillId="0" borderId="0" xfId="39" applyNumberFormat="1" applyFont="1" applyFill="1" applyBorder="1" applyAlignment="1" applyProtection="1">
      <alignment horizontal="left" vertical="top"/>
    </xf>
    <xf numFmtId="0" fontId="3" fillId="0" borderId="0" xfId="34" applyNumberFormat="1" applyFont="1" applyFill="1" applyBorder="1" applyAlignment="1" applyProtection="1">
      <alignment horizontal="left" vertical="top" indent="2"/>
    </xf>
    <xf numFmtId="3" fontId="3" fillId="0" borderId="19" xfId="0" applyNumberFormat="1" applyFont="1" applyFill="1" applyBorder="1" applyAlignment="1" applyProtection="1">
      <alignment vertical="top"/>
      <protection locked="0"/>
    </xf>
    <xf numFmtId="3" fontId="3" fillId="0" borderId="18" xfId="0" applyNumberFormat="1" applyFont="1" applyFill="1" applyBorder="1" applyAlignment="1" applyProtection="1">
      <alignment vertical="top"/>
      <protection locked="0"/>
    </xf>
    <xf numFmtId="0" fontId="3" fillId="0" borderId="0" xfId="40" applyNumberFormat="1" applyFont="1" applyFill="1" applyBorder="1" applyAlignment="1" applyProtection="1">
      <alignment horizontal="left" vertical="top" wrapText="1" indent="2"/>
    </xf>
    <xf numFmtId="0" fontId="26" fillId="0" borderId="0" xfId="41" applyFont="1" applyFill="1" applyBorder="1" applyAlignment="1">
      <alignment horizontal="left" indent="1"/>
    </xf>
    <xf numFmtId="0" fontId="3" fillId="0" borderId="0" xfId="0" applyFont="1" applyFill="1" applyAlignment="1">
      <alignment horizontal="left"/>
    </xf>
    <xf numFmtId="0" fontId="26" fillId="0" borderId="0" xfId="0" applyNumberFormat="1" applyFont="1" applyFill="1" applyAlignment="1">
      <alignment horizontal="left" vertical="top" indent="3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left" wrapText="1"/>
    </xf>
    <xf numFmtId="3" fontId="70" fillId="0" borderId="0" xfId="0" applyNumberFormat="1" applyFont="1"/>
    <xf numFmtId="0" fontId="2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6" fillId="0" borderId="0" xfId="41" applyNumberFormat="1" applyFont="1" applyFill="1" applyBorder="1" applyAlignment="1">
      <alignment horizontal="left" vertical="top" wrapText="1"/>
    </xf>
    <xf numFmtId="0" fontId="23" fillId="0" borderId="0" xfId="40" applyNumberFormat="1" applyFont="1" applyFill="1" applyBorder="1" applyAlignment="1" applyProtection="1">
      <alignment horizontal="left" vertical="top"/>
    </xf>
    <xf numFmtId="0" fontId="3" fillId="0" borderId="0" xfId="47" applyFont="1"/>
    <xf numFmtId="3" fontId="3" fillId="0" borderId="0" xfId="47" applyNumberFormat="1" applyFont="1"/>
    <xf numFmtId="0" fontId="41" fillId="0" borderId="0" xfId="0" applyFont="1" applyFill="1" applyAlignment="1">
      <alignment horizontal="left" vertical="center" indent="3"/>
    </xf>
    <xf numFmtId="0" fontId="41" fillId="0" borderId="0" xfId="0" applyFont="1" applyFill="1" applyAlignment="1">
      <alignment horizontal="left" indent="3"/>
    </xf>
    <xf numFmtId="3" fontId="26" fillId="0" borderId="0" xfId="0" applyNumberFormat="1" applyFont="1" applyFill="1" applyBorder="1" applyAlignment="1">
      <alignment vertical="top"/>
    </xf>
    <xf numFmtId="0" fontId="25" fillId="0" borderId="0" xfId="47" applyFont="1" applyFill="1" applyAlignment="1">
      <alignment wrapText="1"/>
    </xf>
    <xf numFmtId="0" fontId="25" fillId="0" borderId="15" xfId="0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right"/>
    </xf>
    <xf numFmtId="0" fontId="3" fillId="0" borderId="0" xfId="54" applyFont="1" applyBorder="1" applyAlignment="1">
      <alignment wrapText="1"/>
    </xf>
    <xf numFmtId="0" fontId="25" fillId="0" borderId="0" xfId="0" applyFont="1" applyBorder="1"/>
    <xf numFmtId="0" fontId="74" fillId="0" borderId="0" xfId="0" applyFont="1"/>
    <xf numFmtId="0" fontId="26" fillId="0" borderId="0" xfId="0" applyFont="1" applyFill="1" applyAlignment="1">
      <alignment horizontal="left" wrapText="1" indent="6"/>
    </xf>
    <xf numFmtId="3" fontId="26" fillId="0" borderId="0" xfId="0" applyNumberFormat="1" applyFont="1" applyFill="1" applyAlignment="1"/>
    <xf numFmtId="165" fontId="18" fillId="0" borderId="0" xfId="0" applyNumberFormat="1" applyFont="1" applyFill="1"/>
    <xf numFmtId="3" fontId="75" fillId="0" borderId="0" xfId="0" applyNumberFormat="1" applyFont="1"/>
    <xf numFmtId="3" fontId="39" fillId="0" borderId="0" xfId="0" applyNumberFormat="1" applyFont="1" applyFill="1" applyBorder="1" applyAlignment="1">
      <alignment horizontal="right" vertical="top"/>
    </xf>
    <xf numFmtId="3" fontId="40" fillId="0" borderId="0" xfId="0" applyNumberFormat="1" applyFont="1" applyFill="1" applyBorder="1" applyAlignment="1">
      <alignment horizontal="right" vertical="top"/>
    </xf>
    <xf numFmtId="3" fontId="52" fillId="0" borderId="0" xfId="0" applyNumberFormat="1" applyFont="1" applyFill="1" applyBorder="1" applyAlignment="1">
      <alignment horizontal="right" vertical="top"/>
    </xf>
    <xf numFmtId="3" fontId="40" fillId="0" borderId="0" xfId="0" applyNumberFormat="1" applyFont="1" applyFill="1" applyBorder="1" applyAlignment="1">
      <alignment horizontal="right" vertical="top" wrapText="1"/>
    </xf>
    <xf numFmtId="3" fontId="40" fillId="0" borderId="0" xfId="0" applyNumberFormat="1" applyFont="1" applyFill="1" applyAlignment="1">
      <alignment horizontal="right"/>
    </xf>
    <xf numFmtId="3" fontId="40" fillId="0" borderId="0" xfId="0" applyNumberFormat="1" applyFont="1" applyFill="1" applyAlignment="1">
      <alignment horizontal="right" vertical="top"/>
    </xf>
    <xf numFmtId="3" fontId="52" fillId="0" borderId="0" xfId="0" applyNumberFormat="1" applyFont="1" applyFill="1" applyBorder="1" applyAlignment="1">
      <alignment horizontal="right" vertical="top" wrapText="1"/>
    </xf>
    <xf numFmtId="3" fontId="41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>
      <alignment horizontal="right" vertical="top" wrapText="1"/>
    </xf>
    <xf numFmtId="3" fontId="41" fillId="0" borderId="0" xfId="0" applyNumberFormat="1" applyFont="1" applyFill="1" applyAlignment="1">
      <alignment horizontal="right"/>
    </xf>
    <xf numFmtId="3" fontId="41" fillId="0" borderId="0" xfId="0" applyNumberFormat="1" applyFont="1" applyFill="1" applyAlignment="1">
      <alignment horizontal="right" vertical="center"/>
    </xf>
    <xf numFmtId="3" fontId="41" fillId="0" borderId="0" xfId="0" applyNumberFormat="1" applyFont="1" applyFill="1" applyAlignment="1">
      <alignment horizontal="right" vertical="top"/>
    </xf>
    <xf numFmtId="3" fontId="51" fillId="0" borderId="0" xfId="0" applyNumberFormat="1" applyFont="1" applyFill="1" applyBorder="1" applyAlignment="1">
      <alignment horizontal="right" vertical="top"/>
    </xf>
    <xf numFmtId="0" fontId="3" fillId="0" borderId="0" xfId="41" applyNumberFormat="1" applyFont="1" applyFill="1" applyBorder="1" applyAlignment="1">
      <alignment horizontal="left" vertical="top" wrapText="1"/>
    </xf>
    <xf numFmtId="3" fontId="3" fillId="0" borderId="0" xfId="40" applyNumberFormat="1" applyFont="1" applyFill="1" applyBorder="1" applyAlignment="1" applyProtection="1">
      <alignment horizontal="right" vertical="top" wrapText="1"/>
    </xf>
    <xf numFmtId="164" fontId="3" fillId="0" borderId="0" xfId="0" applyNumberFormat="1" applyFont="1" applyAlignment="1">
      <alignment horizontal="right"/>
    </xf>
    <xf numFmtId="0" fontId="26" fillId="0" borderId="0" xfId="0" applyFont="1" applyAlignment="1">
      <alignment vertical="top" wrapText="1"/>
    </xf>
    <xf numFmtId="0" fontId="3" fillId="0" borderId="0" xfId="0" applyFont="1" applyAlignment="1"/>
    <xf numFmtId="164" fontId="3" fillId="0" borderId="0" xfId="0" applyNumberFormat="1" applyFont="1" applyAlignment="1"/>
    <xf numFmtId="0" fontId="46" fillId="0" borderId="0" xfId="0" applyFont="1" applyAlignment="1">
      <alignment horizontal="justify" vertical="center"/>
    </xf>
    <xf numFmtId="0" fontId="23" fillId="0" borderId="0" xfId="0" applyFont="1" applyBorder="1"/>
    <xf numFmtId="0" fontId="3" fillId="0" borderId="0" xfId="0" applyFont="1" applyAlignment="1">
      <alignment horizontal="right"/>
    </xf>
    <xf numFmtId="0" fontId="40" fillId="0" borderId="0" xfId="0" applyFont="1" applyFill="1" applyBorder="1" applyAlignment="1">
      <alignment horizontal="left" indent="1"/>
    </xf>
    <xf numFmtId="0" fontId="35" fillId="0" borderId="0" xfId="47" applyFont="1" applyFill="1" applyAlignment="1">
      <alignment vertical="top" wrapText="1"/>
    </xf>
    <xf numFmtId="3" fontId="18" fillId="0" borderId="0" xfId="0" applyNumberFormat="1" applyFont="1"/>
    <xf numFmtId="0" fontId="40" fillId="0" borderId="0" xfId="0" applyFont="1" applyBorder="1"/>
    <xf numFmtId="0" fontId="26" fillId="0" borderId="0" xfId="0" applyFont="1" applyFill="1" applyAlignment="1">
      <alignment horizontal="left" indent="7"/>
    </xf>
    <xf numFmtId="0" fontId="35" fillId="0" borderId="0" xfId="0" applyFont="1" applyFill="1" applyAlignment="1">
      <alignment horizontal="left" indent="6"/>
    </xf>
    <xf numFmtId="0" fontId="26" fillId="0" borderId="0" xfId="0" applyFont="1" applyAlignment="1">
      <alignment horizontal="left" indent="7"/>
    </xf>
    <xf numFmtId="0" fontId="32" fillId="0" borderId="0" xfId="0" applyFont="1" applyFill="1" applyAlignment="1">
      <alignment horizontal="left" indent="4"/>
    </xf>
    <xf numFmtId="0" fontId="36" fillId="0" borderId="0" xfId="0" applyFont="1" applyFill="1" applyAlignment="1">
      <alignment horizontal="left" indent="13"/>
    </xf>
    <xf numFmtId="0" fontId="76" fillId="0" borderId="0" xfId="0" applyFont="1" applyFill="1"/>
    <xf numFmtId="0" fontId="76" fillId="0" borderId="0" xfId="0" applyFont="1"/>
    <xf numFmtId="3" fontId="77" fillId="0" borderId="0" xfId="0" applyNumberFormat="1" applyFont="1"/>
    <xf numFmtId="3" fontId="76" fillId="0" borderId="0" xfId="0" applyNumberFormat="1" applyFont="1"/>
    <xf numFmtId="0" fontId="40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/>
    </xf>
    <xf numFmtId="164" fontId="3" fillId="0" borderId="0" xfId="47" applyNumberFormat="1" applyFont="1" applyFill="1"/>
    <xf numFmtId="3" fontId="25" fillId="0" borderId="0" xfId="47" applyNumberFormat="1" applyFont="1" applyFill="1" applyAlignment="1">
      <alignment horizontal="right" vertical="top"/>
    </xf>
    <xf numFmtId="3" fontId="26" fillId="0" borderId="0" xfId="47" applyNumberFormat="1" applyFont="1" applyFill="1" applyAlignment="1">
      <alignment horizontal="right" vertical="top"/>
    </xf>
    <xf numFmtId="3" fontId="3" fillId="0" borderId="0" xfId="47" applyNumberFormat="1" applyFont="1" applyFill="1" applyAlignment="1">
      <alignment horizontal="right" vertical="top"/>
    </xf>
    <xf numFmtId="0" fontId="3" fillId="0" borderId="0" xfId="47" applyFont="1" applyFill="1" applyBorder="1" applyAlignment="1">
      <alignment horizontal="left" vertical="top"/>
    </xf>
    <xf numFmtId="3" fontId="3" fillId="0" borderId="0" xfId="47" applyNumberFormat="1" applyFont="1" applyFill="1" applyBorder="1" applyAlignment="1">
      <alignment horizontal="right" vertical="top"/>
    </xf>
    <xf numFmtId="3" fontId="34" fillId="0" borderId="0" xfId="40" applyNumberFormat="1" applyFont="1" applyFill="1" applyBorder="1" applyAlignment="1">
      <alignment horizontal="right" vertical="top"/>
    </xf>
    <xf numFmtId="0" fontId="3" fillId="0" borderId="0" xfId="47" applyFont="1" applyFill="1" applyAlignment="1">
      <alignment horizontal="left" vertical="top"/>
    </xf>
    <xf numFmtId="0" fontId="35" fillId="0" borderId="0" xfId="47" applyNumberFormat="1" applyFont="1" applyFill="1" applyAlignment="1">
      <alignment horizontal="left" vertical="top"/>
    </xf>
    <xf numFmtId="0" fontId="3" fillId="0" borderId="0" xfId="47" applyNumberFormat="1" applyFont="1" applyFill="1" applyBorder="1" applyAlignment="1">
      <alignment horizontal="left" vertical="top" indent="1"/>
    </xf>
    <xf numFmtId="3" fontId="3" fillId="0" borderId="0" xfId="41" applyNumberFormat="1" applyFont="1" applyFill="1" applyBorder="1" applyAlignment="1">
      <alignment horizontal="right" vertical="top" wrapText="1"/>
    </xf>
    <xf numFmtId="0" fontId="3" fillId="0" borderId="0" xfId="47" applyNumberFormat="1" applyFont="1" applyFill="1" applyAlignment="1">
      <alignment horizontal="left" vertical="top"/>
    </xf>
    <xf numFmtId="0" fontId="3" fillId="0" borderId="0" xfId="47" applyNumberFormat="1" applyFont="1" applyFill="1" applyBorder="1" applyAlignment="1">
      <alignment horizontal="left" vertical="top"/>
    </xf>
    <xf numFmtId="0" fontId="3" fillId="0" borderId="0" xfId="41" applyNumberFormat="1" applyFont="1" applyFill="1" applyBorder="1" applyAlignment="1">
      <alignment horizontal="left" vertical="top" wrapText="1" indent="2"/>
    </xf>
    <xf numFmtId="0" fontId="33" fillId="0" borderId="0" xfId="47" applyNumberFormat="1" applyFont="1" applyFill="1" applyAlignment="1">
      <alignment horizontal="left" vertical="top" indent="1"/>
    </xf>
    <xf numFmtId="0" fontId="36" fillId="0" borderId="0" xfId="47" applyFont="1" applyFill="1" applyAlignment="1">
      <alignment horizontal="left" indent="1"/>
    </xf>
    <xf numFmtId="3" fontId="36" fillId="0" borderId="0" xfId="47" applyNumberFormat="1" applyFont="1" applyFill="1" applyAlignment="1">
      <alignment horizontal="right"/>
    </xf>
    <xf numFmtId="3" fontId="34" fillId="0" borderId="0" xfId="40" applyNumberFormat="1" applyFont="1" applyFill="1" applyBorder="1" applyAlignment="1" applyProtection="1">
      <alignment horizontal="right" vertical="top"/>
    </xf>
    <xf numFmtId="0" fontId="31" fillId="0" borderId="0" xfId="47" applyNumberFormat="1" applyFont="1" applyFill="1" applyAlignment="1">
      <alignment horizontal="left" vertical="top"/>
    </xf>
    <xf numFmtId="3" fontId="31" fillId="0" borderId="0" xfId="47" applyNumberFormat="1" applyFont="1" applyFill="1" applyAlignment="1">
      <alignment horizontal="right" vertical="top"/>
    </xf>
    <xf numFmtId="3" fontId="26" fillId="0" borderId="0" xfId="41" applyNumberFormat="1" applyFont="1" applyFill="1" applyBorder="1" applyAlignment="1">
      <alignment horizontal="right"/>
    </xf>
    <xf numFmtId="3" fontId="36" fillId="0" borderId="0" xfId="41" applyNumberFormat="1" applyFont="1" applyFill="1" applyBorder="1" applyAlignment="1">
      <alignment horizontal="right" wrapText="1"/>
    </xf>
    <xf numFmtId="0" fontId="44" fillId="0" borderId="0" xfId="39" applyFont="1" applyFill="1" applyBorder="1" applyAlignment="1" applyProtection="1">
      <alignment horizontal="left" indent="4"/>
    </xf>
    <xf numFmtId="3" fontId="44" fillId="0" borderId="0" xfId="39" applyNumberFormat="1" applyFont="1" applyFill="1" applyBorder="1" applyAlignment="1" applyProtection="1">
      <alignment horizontal="right"/>
    </xf>
    <xf numFmtId="3" fontId="36" fillId="0" borderId="0" xfId="41" applyNumberFormat="1" applyFont="1" applyFill="1" applyBorder="1" applyAlignment="1">
      <alignment horizontal="right" vertical="top" wrapText="1"/>
    </xf>
    <xf numFmtId="3" fontId="44" fillId="0" borderId="0" xfId="40" applyNumberFormat="1" applyFont="1" applyFill="1" applyBorder="1" applyAlignment="1" applyProtection="1">
      <alignment horizontal="right" vertical="top" wrapText="1"/>
    </xf>
    <xf numFmtId="3" fontId="3" fillId="0" borderId="0" xfId="47" applyNumberFormat="1" applyFont="1" applyFill="1" applyAlignment="1">
      <alignment horizontal="right" vertical="top" wrapText="1"/>
    </xf>
    <xf numFmtId="3" fontId="25" fillId="0" borderId="0" xfId="47" applyNumberFormat="1" applyFont="1" applyFill="1" applyAlignment="1">
      <alignment horizontal="right" wrapText="1"/>
    </xf>
    <xf numFmtId="3" fontId="31" fillId="0" borderId="0" xfId="40" applyNumberFormat="1" applyFont="1" applyFill="1" applyBorder="1" applyAlignment="1" applyProtection="1">
      <alignment horizontal="right" vertical="top"/>
    </xf>
    <xf numFmtId="0" fontId="33" fillId="0" borderId="0" xfId="47" applyNumberFormat="1" applyFont="1" applyFill="1" applyAlignment="1">
      <alignment horizontal="left" vertical="top" wrapText="1" indent="1"/>
    </xf>
    <xf numFmtId="3" fontId="25" fillId="0" borderId="0" xfId="47" applyNumberFormat="1" applyFont="1" applyFill="1" applyAlignment="1">
      <alignment horizontal="right" vertical="top" wrapText="1"/>
    </xf>
    <xf numFmtId="0" fontId="3" fillId="0" borderId="0" xfId="47" applyFont="1" applyFill="1"/>
    <xf numFmtId="3" fontId="23" fillId="0" borderId="0" xfId="40" applyNumberFormat="1" applyFont="1" applyFill="1" applyBorder="1" applyAlignment="1" applyProtection="1">
      <alignment horizontal="right" vertical="top"/>
    </xf>
    <xf numFmtId="3" fontId="23" fillId="0" borderId="0" xfId="40" applyNumberFormat="1" applyFont="1" applyFill="1" applyBorder="1" applyAlignment="1" applyProtection="1">
      <alignment horizontal="right" vertical="top" wrapText="1"/>
    </xf>
    <xf numFmtId="3" fontId="26" fillId="0" borderId="0" xfId="40" applyNumberFormat="1" applyFont="1" applyFill="1" applyBorder="1" applyAlignment="1" applyProtection="1">
      <alignment horizontal="right"/>
    </xf>
    <xf numFmtId="0" fontId="35" fillId="0" borderId="0" xfId="152" applyNumberFormat="1" applyFont="1" applyFill="1" applyBorder="1" applyAlignment="1">
      <alignment horizontal="left" vertical="top"/>
    </xf>
    <xf numFmtId="3" fontId="3" fillId="0" borderId="0" xfId="152" applyNumberFormat="1" applyFont="1" applyFill="1" applyBorder="1" applyAlignment="1">
      <alignment horizontal="right" vertical="top"/>
    </xf>
    <xf numFmtId="0" fontId="25" fillId="0" borderId="0" xfId="47" applyNumberFormat="1" applyFont="1" applyFill="1" applyAlignment="1">
      <alignment horizontal="left" vertical="top" indent="2"/>
    </xf>
    <xf numFmtId="3" fontId="3" fillId="0" borderId="0" xfId="34" applyNumberFormat="1" applyFont="1" applyFill="1" applyBorder="1" applyAlignment="1" applyProtection="1">
      <alignment horizontal="right" vertical="top" wrapText="1"/>
    </xf>
    <xf numFmtId="0" fontId="36" fillId="0" borderId="0" xfId="47" quotePrefix="1" applyNumberFormat="1" applyFont="1" applyFill="1" applyAlignment="1">
      <alignment horizontal="left" wrapText="1" indent="1"/>
    </xf>
    <xf numFmtId="3" fontId="36" fillId="0" borderId="0" xfId="47" quotePrefix="1" applyNumberFormat="1" applyFont="1" applyFill="1" applyAlignment="1">
      <alignment horizontal="right" wrapText="1"/>
    </xf>
    <xf numFmtId="0" fontId="3" fillId="0" borderId="0" xfId="47" applyFont="1" applyFill="1" applyAlignment="1"/>
    <xf numFmtId="3" fontId="3" fillId="0" borderId="0" xfId="47" applyNumberFormat="1" applyFont="1" applyFill="1" applyAlignment="1">
      <alignment horizontal="right"/>
    </xf>
    <xf numFmtId="0" fontId="25" fillId="0" borderId="0" xfId="47" applyNumberFormat="1" applyFont="1" applyFill="1" applyAlignment="1">
      <alignment horizontal="left" vertical="top"/>
    </xf>
    <xf numFmtId="0" fontId="36" fillId="0" borderId="0" xfId="47" applyNumberFormat="1" applyFont="1" applyFill="1" applyAlignment="1">
      <alignment horizontal="left" vertical="top" indent="1"/>
    </xf>
    <xf numFmtId="3" fontId="23" fillId="0" borderId="0" xfId="47" applyNumberFormat="1" applyFont="1" applyFill="1" applyAlignment="1">
      <alignment horizontal="right" vertical="top" wrapText="1"/>
    </xf>
    <xf numFmtId="0" fontId="36" fillId="0" borderId="0" xfId="47" applyNumberFormat="1" applyFont="1" applyFill="1" applyAlignment="1">
      <alignment horizontal="left" wrapText="1" indent="3"/>
    </xf>
    <xf numFmtId="3" fontId="36" fillId="0" borderId="0" xfId="47" applyNumberFormat="1" applyFont="1" applyFill="1" applyAlignment="1">
      <alignment horizontal="right" wrapText="1"/>
    </xf>
    <xf numFmtId="3" fontId="36" fillId="0" borderId="0" xfId="34" quotePrefix="1" applyNumberFormat="1" applyFont="1" applyFill="1" applyBorder="1" applyAlignment="1" applyProtection="1">
      <alignment horizontal="right" vertical="top" wrapText="1"/>
    </xf>
    <xf numFmtId="3" fontId="23" fillId="0" borderId="0" xfId="34" applyNumberFormat="1" applyFont="1" applyFill="1" applyBorder="1" applyAlignment="1" applyProtection="1">
      <alignment horizontal="right" vertical="top" wrapText="1"/>
    </xf>
    <xf numFmtId="3" fontId="36" fillId="0" borderId="0" xfId="40" quotePrefix="1" applyNumberFormat="1" applyFont="1" applyFill="1" applyBorder="1" applyAlignment="1" applyProtection="1">
      <alignment horizontal="right"/>
    </xf>
    <xf numFmtId="0" fontId="32" fillId="0" borderId="0" xfId="47" applyNumberFormat="1" applyFont="1" applyFill="1" applyAlignment="1">
      <alignment horizontal="left" vertical="top"/>
    </xf>
    <xf numFmtId="3" fontId="32" fillId="0" borderId="0" xfId="47" applyNumberFormat="1" applyFont="1" applyFill="1" applyAlignment="1">
      <alignment horizontal="right" vertical="top"/>
    </xf>
    <xf numFmtId="0" fontId="23" fillId="0" borderId="0" xfId="47" applyNumberFormat="1" applyFont="1" applyFill="1" applyAlignment="1">
      <alignment horizontal="left" vertical="top" indent="2"/>
    </xf>
    <xf numFmtId="3" fontId="23" fillId="0" borderId="0" xfId="47" applyNumberFormat="1" applyFont="1" applyFill="1" applyAlignment="1">
      <alignment horizontal="right" vertical="top"/>
    </xf>
    <xf numFmtId="0" fontId="35" fillId="0" borderId="0" xfId="40" applyNumberFormat="1" applyFont="1" applyFill="1" applyBorder="1" applyAlignment="1" applyProtection="1">
      <alignment vertical="top" wrapText="1"/>
    </xf>
    <xf numFmtId="3" fontId="32" fillId="0" borderId="0" xfId="40" applyNumberFormat="1" applyFont="1" applyFill="1" applyBorder="1" applyAlignment="1" applyProtection="1">
      <alignment horizontal="right" vertical="top"/>
    </xf>
    <xf numFmtId="0" fontId="35" fillId="0" borderId="0" xfId="40" applyFont="1" applyFill="1" applyBorder="1" applyAlignment="1" applyProtection="1">
      <alignment horizontal="left" vertical="top" wrapText="1"/>
    </xf>
    <xf numFmtId="3" fontId="34" fillId="0" borderId="0" xfId="40" applyNumberFormat="1" applyFont="1" applyFill="1" applyBorder="1" applyAlignment="1" applyProtection="1">
      <alignment horizontal="right" vertical="top" wrapText="1"/>
    </xf>
    <xf numFmtId="3" fontId="25" fillId="0" borderId="0" xfId="40" applyNumberFormat="1" applyFont="1" applyFill="1" applyBorder="1" applyAlignment="1" applyProtection="1">
      <alignment horizontal="right" vertical="top" wrapText="1"/>
    </xf>
    <xf numFmtId="3" fontId="25" fillId="0" borderId="0" xfId="40" applyNumberFormat="1" applyFont="1" applyFill="1" applyBorder="1" applyAlignment="1">
      <alignment horizontal="right" vertical="top" wrapText="1"/>
    </xf>
    <xf numFmtId="3" fontId="26" fillId="0" borderId="0" xfId="40" applyNumberFormat="1" applyFont="1" applyFill="1" applyBorder="1" applyAlignment="1" applyProtection="1">
      <alignment horizontal="right" vertical="top" wrapText="1"/>
    </xf>
    <xf numFmtId="0" fontId="36" fillId="0" borderId="0" xfId="41" applyNumberFormat="1" applyFont="1" applyFill="1" applyBorder="1" applyAlignment="1">
      <alignment horizontal="left" wrapText="1"/>
    </xf>
    <xf numFmtId="0" fontId="36" fillId="0" borderId="0" xfId="40" applyNumberFormat="1" applyFont="1" applyFill="1" applyBorder="1" applyAlignment="1" applyProtection="1">
      <alignment horizontal="left" vertical="top" wrapText="1" indent="1"/>
    </xf>
    <xf numFmtId="0" fontId="23" fillId="0" borderId="0" xfId="40" applyNumberFormat="1" applyFont="1" applyFill="1" applyBorder="1" applyAlignment="1" applyProtection="1">
      <alignment horizontal="left" vertical="top" wrapText="1" indent="2"/>
    </xf>
    <xf numFmtId="49" fontId="36" fillId="0" borderId="0" xfId="47" quotePrefix="1" applyNumberFormat="1" applyFont="1" applyFill="1" applyAlignment="1">
      <alignment horizontal="left" indent="1"/>
    </xf>
    <xf numFmtId="3" fontId="36" fillId="0" borderId="0" xfId="47" quotePrefix="1" applyNumberFormat="1" applyFont="1" applyFill="1" applyAlignment="1">
      <alignment horizontal="right"/>
    </xf>
    <xf numFmtId="0" fontId="23" fillId="0" borderId="0" xfId="41" applyNumberFormat="1" applyFont="1" applyFill="1" applyBorder="1" applyAlignment="1">
      <alignment horizontal="left" vertical="top" indent="1"/>
    </xf>
    <xf numFmtId="3" fontId="23" fillId="0" borderId="0" xfId="41" applyNumberFormat="1" applyFont="1" applyFill="1" applyBorder="1" applyAlignment="1">
      <alignment horizontal="right" vertical="top"/>
    </xf>
    <xf numFmtId="0" fontId="23" fillId="0" borderId="0" xfId="40" applyNumberFormat="1" applyFont="1" applyFill="1" applyAlignment="1">
      <alignment horizontal="left" vertical="top" indent="2"/>
    </xf>
    <xf numFmtId="3" fontId="36" fillId="0" borderId="0" xfId="40" applyNumberFormat="1" applyFont="1" applyFill="1" applyBorder="1" applyAlignment="1" applyProtection="1">
      <alignment horizontal="right" vertical="top" wrapText="1"/>
    </xf>
    <xf numFmtId="3" fontId="23" fillId="0" borderId="0" xfId="40" applyNumberFormat="1" applyFont="1" applyFill="1" applyAlignment="1">
      <alignment horizontal="right" vertical="top" wrapText="1"/>
    </xf>
    <xf numFmtId="3" fontId="36" fillId="0" borderId="0" xfId="41" quotePrefix="1" applyNumberFormat="1" applyFont="1" applyFill="1" applyBorder="1" applyAlignment="1">
      <alignment horizontal="right" wrapText="1"/>
    </xf>
    <xf numFmtId="0" fontId="23" fillId="0" borderId="0" xfId="40" applyNumberFormat="1" applyFont="1" applyFill="1" applyAlignment="1">
      <alignment horizontal="left" vertical="top" wrapText="1" indent="2"/>
    </xf>
    <xf numFmtId="3" fontId="3" fillId="0" borderId="0" xfId="34" applyNumberFormat="1" applyFont="1" applyFill="1" applyBorder="1" applyAlignment="1" applyProtection="1">
      <alignment horizontal="right" vertical="top"/>
    </xf>
    <xf numFmtId="0" fontId="36" fillId="0" borderId="0" xfId="40" applyNumberFormat="1" applyFont="1" applyFill="1" applyBorder="1" applyAlignment="1" applyProtection="1">
      <alignment horizontal="left" vertical="top" indent="5"/>
    </xf>
    <xf numFmtId="0" fontId="36" fillId="0" borderId="0" xfId="41" quotePrefix="1" applyNumberFormat="1" applyFont="1" applyFill="1" applyBorder="1" applyAlignment="1">
      <alignment horizontal="left" vertical="top" wrapText="1" indent="1"/>
    </xf>
    <xf numFmtId="3" fontId="36" fillId="0" borderId="0" xfId="41" quotePrefix="1" applyNumberFormat="1" applyFont="1" applyFill="1" applyBorder="1" applyAlignment="1">
      <alignment horizontal="right" vertical="top" wrapText="1"/>
    </xf>
    <xf numFmtId="3" fontId="31" fillId="0" borderId="0" xfId="41" applyNumberFormat="1" applyFont="1" applyFill="1" applyBorder="1" applyAlignment="1">
      <alignment horizontal="right" vertical="top"/>
    </xf>
    <xf numFmtId="3" fontId="23" fillId="0" borderId="0" xfId="39" applyNumberFormat="1" applyFont="1" applyFill="1" applyBorder="1" applyAlignment="1" applyProtection="1">
      <alignment horizontal="right" vertical="top" wrapText="1"/>
    </xf>
    <xf numFmtId="0" fontId="25" fillId="0" borderId="0" xfId="47" applyNumberFormat="1" applyFont="1" applyFill="1" applyAlignment="1">
      <alignment horizontal="left" vertical="top" wrapText="1" indent="2"/>
    </xf>
    <xf numFmtId="3" fontId="25" fillId="0" borderId="0" xfId="41" applyNumberFormat="1" applyFont="1" applyFill="1" applyBorder="1" applyAlignment="1">
      <alignment horizontal="right" vertical="top" wrapText="1"/>
    </xf>
    <xf numFmtId="3" fontId="3" fillId="0" borderId="0" xfId="40" applyNumberFormat="1" applyFont="1" applyFill="1" applyBorder="1" applyAlignment="1">
      <alignment horizontal="right" vertical="top" wrapText="1"/>
    </xf>
    <xf numFmtId="0" fontId="23" fillId="0" borderId="0" xfId="41" applyFont="1" applyFill="1" applyBorder="1" applyAlignment="1">
      <alignment horizontal="left" vertical="top" wrapText="1" indent="3"/>
    </xf>
    <xf numFmtId="3" fontId="23" fillId="0" borderId="0" xfId="41" applyNumberFormat="1" applyFont="1" applyFill="1" applyBorder="1" applyAlignment="1">
      <alignment horizontal="right" vertical="top" wrapText="1"/>
    </xf>
    <xf numFmtId="0" fontId="31" fillId="0" borderId="0" xfId="47" applyNumberFormat="1" applyFont="1" applyFill="1" applyAlignment="1">
      <alignment horizontal="left" vertical="top" wrapText="1"/>
    </xf>
    <xf numFmtId="3" fontId="31" fillId="0" borderId="0" xfId="47" applyNumberFormat="1" applyFont="1" applyFill="1" applyAlignment="1">
      <alignment horizontal="right" vertical="top" wrapText="1"/>
    </xf>
    <xf numFmtId="3" fontId="23" fillId="0" borderId="0" xfId="39" applyNumberFormat="1" applyFont="1" applyFill="1" applyBorder="1" applyAlignment="1" applyProtection="1">
      <alignment horizontal="right" vertical="top"/>
    </xf>
    <xf numFmtId="0" fontId="3" fillId="0" borderId="0" xfId="47" applyNumberFormat="1" applyFont="1" applyFill="1" applyAlignment="1">
      <alignment horizontal="left" vertical="top" wrapText="1" indent="4"/>
    </xf>
    <xf numFmtId="0" fontId="34" fillId="0" borderId="0" xfId="47" applyNumberFormat="1" applyFont="1" applyFill="1" applyAlignment="1">
      <alignment horizontal="left" vertical="top"/>
    </xf>
    <xf numFmtId="3" fontId="34" fillId="0" borderId="0" xfId="47" applyNumberFormat="1" applyFont="1" applyFill="1" applyAlignment="1">
      <alignment vertical="top"/>
    </xf>
    <xf numFmtId="0" fontId="26" fillId="0" borderId="0" xfId="47" applyNumberFormat="1" applyFont="1" applyFill="1" applyAlignment="1">
      <alignment horizontal="left" vertical="top" indent="3"/>
    </xf>
    <xf numFmtId="3" fontId="26" fillId="0" borderId="0" xfId="47" applyNumberFormat="1" applyFont="1" applyFill="1" applyBorder="1"/>
    <xf numFmtId="3" fontId="32" fillId="0" borderId="0" xfId="47" applyNumberFormat="1" applyFont="1" applyFill="1" applyAlignment="1">
      <alignment vertical="top"/>
    </xf>
    <xf numFmtId="0" fontId="3" fillId="0" borderId="0" xfId="47" applyFont="1" applyFill="1" applyBorder="1"/>
    <xf numFmtId="0" fontId="44" fillId="0" borderId="0" xfId="47" applyFont="1" applyFill="1" applyBorder="1"/>
    <xf numFmtId="3" fontId="26" fillId="0" borderId="0" xfId="47" applyNumberFormat="1" applyFont="1" applyFill="1" applyAlignment="1">
      <alignment vertical="top"/>
    </xf>
    <xf numFmtId="49" fontId="36" fillId="0" borderId="0" xfId="41" applyNumberFormat="1" applyFont="1" applyFill="1" applyBorder="1" applyAlignment="1">
      <alignment horizontal="left" indent="1"/>
    </xf>
    <xf numFmtId="3" fontId="2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left" indent="2"/>
    </xf>
    <xf numFmtId="3" fontId="3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 indent="3"/>
    </xf>
    <xf numFmtId="3" fontId="3" fillId="0" borderId="0" xfId="0" applyNumberFormat="1" applyFont="1" applyFill="1" applyBorder="1" applyAlignment="1">
      <alignment horizontal="right" wrapText="1"/>
    </xf>
    <xf numFmtId="3" fontId="46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54" applyNumberFormat="1" applyFont="1" applyBorder="1" applyAlignment="1">
      <alignment horizontal="right" wrapText="1"/>
    </xf>
    <xf numFmtId="3" fontId="3" fillId="0" borderId="0" xfId="54" applyNumberFormat="1" applyFont="1" applyFill="1" applyBorder="1" applyAlignment="1" applyProtection="1">
      <alignment horizontal="right" vertical="top" wrapText="1"/>
      <protection locked="0"/>
    </xf>
    <xf numFmtId="0" fontId="79" fillId="0" borderId="0" xfId="0" applyFont="1" applyFill="1" applyAlignment="1">
      <alignment wrapText="1"/>
    </xf>
    <xf numFmtId="3" fontId="79" fillId="0" borderId="0" xfId="0" applyNumberFormat="1" applyFont="1" applyFill="1" applyAlignment="1">
      <alignment horizontal="right" wrapText="1"/>
    </xf>
    <xf numFmtId="0" fontId="46" fillId="0" borderId="0" xfId="54" applyFont="1" applyFill="1" applyBorder="1" applyAlignment="1"/>
    <xf numFmtId="3" fontId="46" fillId="0" borderId="0" xfId="54" applyNumberFormat="1" applyFont="1" applyFill="1" applyBorder="1" applyAlignment="1">
      <alignment horizontal="right"/>
    </xf>
    <xf numFmtId="3" fontId="46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23" fillId="0" borderId="0" xfId="0" applyNumberFormat="1" applyFont="1" applyFill="1" applyBorder="1" applyAlignment="1" applyProtection="1">
      <alignment horizontal="right" vertical="top" wrapText="1"/>
      <protection locked="0"/>
    </xf>
    <xf numFmtId="3" fontId="46" fillId="0" borderId="0" xfId="0" applyNumberFormat="1" applyFont="1" applyAlignment="1">
      <alignment horizontal="right" vertical="center"/>
    </xf>
    <xf numFmtId="3" fontId="23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39" fillId="0" borderId="0" xfId="0" applyFont="1" applyFill="1" applyBorder="1" applyAlignment="1">
      <alignment horizontal="left"/>
    </xf>
    <xf numFmtId="0" fontId="3" fillId="0" borderId="0" xfId="47" applyFont="1" applyFill="1" applyBorder="1" applyAlignment="1">
      <alignment horizontal="left" indent="1"/>
    </xf>
    <xf numFmtId="0" fontId="25" fillId="0" borderId="0" xfId="47" applyFont="1" applyFill="1" applyBorder="1"/>
    <xf numFmtId="0" fontId="26" fillId="0" borderId="0" xfId="39" applyNumberFormat="1" applyFont="1" applyFill="1" applyBorder="1" applyAlignment="1" applyProtection="1">
      <alignment horizontal="left" wrapText="1" indent="6"/>
    </xf>
    <xf numFmtId="3" fontId="39" fillId="0" borderId="0" xfId="0" applyNumberFormat="1" applyFont="1" applyFill="1" applyBorder="1" applyAlignment="1"/>
    <xf numFmtId="3" fontId="26" fillId="0" borderId="0" xfId="0" applyNumberFormat="1" applyFont="1" applyFill="1" applyBorder="1" applyAlignment="1"/>
    <xf numFmtId="0" fontId="3" fillId="0" borderId="0" xfId="47" applyFont="1" applyFill="1" applyBorder="1" applyAlignment="1">
      <alignment horizontal="left" indent="3"/>
    </xf>
    <xf numFmtId="3" fontId="41" fillId="0" borderId="0" xfId="0" applyNumberFormat="1" applyFont="1" applyFill="1" applyBorder="1" applyAlignment="1"/>
    <xf numFmtId="0" fontId="3" fillId="0" borderId="0" xfId="47" applyFont="1" applyAlignment="1">
      <alignment horizontal="right"/>
    </xf>
    <xf numFmtId="0" fontId="25" fillId="0" borderId="15" xfId="47" applyFont="1" applyFill="1" applyBorder="1" applyAlignment="1" applyProtection="1">
      <alignment horizontal="left" vertical="top" wrapText="1" indent="1"/>
    </xf>
    <xf numFmtId="0" fontId="25" fillId="0" borderId="15" xfId="47" applyFont="1" applyFill="1" applyBorder="1" applyAlignment="1" applyProtection="1">
      <alignment horizontal="center" vertical="top" wrapText="1"/>
    </xf>
    <xf numFmtId="0" fontId="73" fillId="0" borderId="16" xfId="47" applyFont="1" applyBorder="1"/>
    <xf numFmtId="0" fontId="73" fillId="0" borderId="20" xfId="47" applyFont="1" applyBorder="1"/>
    <xf numFmtId="3" fontId="72" fillId="0" borderId="19" xfId="47" applyNumberFormat="1" applyFont="1" applyBorder="1"/>
    <xf numFmtId="3" fontId="25" fillId="29" borderId="15" xfId="47" applyNumberFormat="1" applyFont="1" applyFill="1" applyBorder="1" applyAlignment="1" applyProtection="1">
      <alignment horizontal="left" vertical="top" wrapText="1"/>
    </xf>
    <xf numFmtId="0" fontId="25" fillId="29" borderId="15" xfId="47" applyFont="1" applyFill="1" applyBorder="1" applyAlignment="1" applyProtection="1">
      <alignment horizontal="left" vertical="top" wrapText="1"/>
      <protection locked="0"/>
    </xf>
    <xf numFmtId="3" fontId="25" fillId="29" borderId="15" xfId="47" applyNumberFormat="1" applyFont="1" applyFill="1" applyBorder="1" applyAlignment="1" applyProtection="1">
      <alignment vertical="top"/>
      <protection locked="0"/>
    </xf>
    <xf numFmtId="0" fontId="3" fillId="0" borderId="18" xfId="47" applyFont="1" applyFill="1" applyBorder="1" applyAlignment="1" applyProtection="1">
      <alignment horizontal="right" vertical="top" wrapText="1"/>
      <protection locked="0"/>
    </xf>
    <xf numFmtId="0" fontId="3" fillId="0" borderId="15" xfId="47" applyFont="1" applyFill="1" applyBorder="1" applyAlignment="1" applyProtection="1">
      <alignment horizontal="left" vertical="top" wrapText="1"/>
    </xf>
    <xf numFmtId="3" fontId="3" fillId="0" borderId="13" xfId="47" applyNumberFormat="1" applyFont="1" applyFill="1" applyBorder="1" applyAlignment="1" applyProtection="1">
      <alignment horizontal="right" vertical="top" wrapText="1"/>
    </xf>
    <xf numFmtId="3" fontId="3" fillId="0" borderId="15" xfId="47" applyNumberFormat="1" applyFont="1" applyFill="1" applyBorder="1" applyAlignment="1" applyProtection="1">
      <alignment horizontal="right" vertical="top" wrapText="1"/>
    </xf>
    <xf numFmtId="0" fontId="3" fillId="0" borderId="19" xfId="47" applyFont="1" applyFill="1" applyBorder="1" applyAlignment="1" applyProtection="1">
      <alignment horizontal="right" vertical="top" wrapText="1"/>
      <protection locked="0"/>
    </xf>
    <xf numFmtId="0" fontId="73" fillId="0" borderId="19" xfId="47" applyFont="1" applyBorder="1"/>
    <xf numFmtId="0" fontId="25" fillId="30" borderId="15" xfId="47" applyFont="1" applyFill="1" applyBorder="1" applyAlignment="1" applyProtection="1">
      <alignment horizontal="left" vertical="top" wrapText="1"/>
      <protection locked="0"/>
    </xf>
    <xf numFmtId="3" fontId="25" fillId="30" borderId="15" xfId="47" applyNumberFormat="1" applyFont="1" applyFill="1" applyBorder="1" applyAlignment="1" applyProtection="1">
      <alignment vertical="top"/>
      <protection locked="0"/>
    </xf>
    <xf numFmtId="0" fontId="25" fillId="24" borderId="15" xfId="47" applyFont="1" applyFill="1" applyBorder="1" applyAlignment="1" applyProtection="1">
      <alignment horizontal="left" vertical="top" wrapText="1"/>
    </xf>
    <xf numFmtId="0" fontId="25" fillId="24" borderId="17" xfId="47" applyFont="1" applyFill="1" applyBorder="1" applyAlignment="1" applyProtection="1">
      <alignment horizontal="left" vertical="top" wrapText="1"/>
      <protection locked="0"/>
    </xf>
    <xf numFmtId="0" fontId="48" fillId="24" borderId="19" xfId="47" applyFont="1" applyFill="1" applyBorder="1" applyAlignment="1" applyProtection="1">
      <alignment horizontal="left" vertical="top"/>
      <protection locked="0"/>
    </xf>
    <xf numFmtId="3" fontId="25" fillId="24" borderId="15" xfId="47" applyNumberFormat="1" applyFont="1" applyFill="1" applyBorder="1" applyAlignment="1" applyProtection="1">
      <alignment vertical="top"/>
      <protection locked="0"/>
    </xf>
    <xf numFmtId="0" fontId="46" fillId="0" borderId="13" xfId="47" applyFont="1" applyFill="1" applyBorder="1" applyAlignment="1" applyProtection="1">
      <alignment horizontal="left" vertical="top"/>
      <protection locked="0"/>
    </xf>
    <xf numFmtId="3" fontId="3" fillId="0" borderId="15" xfId="47" applyNumberFormat="1" applyFont="1" applyFill="1" applyBorder="1" applyAlignment="1" applyProtection="1">
      <alignment vertical="top"/>
      <protection locked="0"/>
    </xf>
    <xf numFmtId="0" fontId="3" fillId="0" borderId="19" xfId="47" applyFont="1" applyFill="1" applyBorder="1" applyAlignment="1" applyProtection="1">
      <alignment horizontal="left" vertical="top" wrapText="1"/>
      <protection locked="0"/>
    </xf>
    <xf numFmtId="0" fontId="25" fillId="25" borderId="15" xfId="47" applyFont="1" applyFill="1" applyBorder="1" applyAlignment="1" applyProtection="1">
      <alignment horizontal="left" vertical="top" wrapText="1"/>
      <protection locked="0"/>
    </xf>
    <xf numFmtId="0" fontId="48" fillId="25" borderId="15" xfId="47" applyFont="1" applyFill="1" applyBorder="1" applyAlignment="1" applyProtection="1">
      <alignment horizontal="left" vertical="top"/>
      <protection locked="0"/>
    </xf>
    <xf numFmtId="3" fontId="25" fillId="25" borderId="15" xfId="47" applyNumberFormat="1" applyFont="1" applyFill="1" applyBorder="1" applyAlignment="1" applyProtection="1">
      <alignment vertical="top"/>
      <protection locked="0"/>
    </xf>
    <xf numFmtId="0" fontId="3" fillId="0" borderId="14" xfId="47" applyFont="1" applyFill="1" applyBorder="1" applyAlignment="1" applyProtection="1">
      <alignment horizontal="right" vertical="top" wrapText="1"/>
      <protection locked="0"/>
    </xf>
    <xf numFmtId="0" fontId="46" fillId="0" borderId="15" xfId="47" applyFont="1" applyFill="1" applyBorder="1" applyAlignment="1" applyProtection="1">
      <alignment horizontal="left" vertical="top"/>
      <protection locked="0"/>
    </xf>
    <xf numFmtId="3" fontId="3" fillId="0" borderId="19" xfId="47" applyNumberFormat="1" applyFont="1" applyFill="1" applyBorder="1" applyAlignment="1" applyProtection="1">
      <alignment vertical="top"/>
      <protection locked="0"/>
    </xf>
    <xf numFmtId="0" fontId="33" fillId="0" borderId="19" xfId="47" applyFont="1" applyFill="1" applyBorder="1" applyAlignment="1" applyProtection="1">
      <alignment horizontal="left" vertical="top" wrapText="1"/>
      <protection locked="0"/>
    </xf>
    <xf numFmtId="0" fontId="46" fillId="0" borderId="19" xfId="47" applyFont="1" applyFill="1" applyBorder="1" applyAlignment="1" applyProtection="1">
      <alignment horizontal="left" vertical="top"/>
      <protection locked="0"/>
    </xf>
    <xf numFmtId="0" fontId="3" fillId="0" borderId="15" xfId="47" applyFont="1" applyFill="1" applyBorder="1" applyAlignment="1" applyProtection="1">
      <alignment horizontal="left" vertical="top" wrapText="1"/>
      <protection locked="0"/>
    </xf>
    <xf numFmtId="0" fontId="46" fillId="0" borderId="18" xfId="47" applyFont="1" applyFill="1" applyBorder="1" applyAlignment="1" applyProtection="1">
      <alignment horizontal="left" vertical="top"/>
      <protection locked="0"/>
    </xf>
    <xf numFmtId="3" fontId="3" fillId="0" borderId="18" xfId="47" applyNumberFormat="1" applyFont="1" applyFill="1" applyBorder="1" applyAlignment="1" applyProtection="1">
      <alignment vertical="top"/>
      <protection locked="0"/>
    </xf>
    <xf numFmtId="0" fontId="23" fillId="0" borderId="16" xfId="47" applyFont="1" applyFill="1" applyBorder="1" applyAlignment="1" applyProtection="1">
      <alignment horizontal="left" vertical="top" wrapText="1" indent="1"/>
      <protection locked="0"/>
    </xf>
    <xf numFmtId="0" fontId="3" fillId="0" borderId="15" xfId="47" applyFont="1" applyFill="1" applyBorder="1" applyAlignment="1" applyProtection="1">
      <alignment vertical="top" wrapText="1"/>
      <protection locked="0"/>
    </xf>
    <xf numFmtId="0" fontId="36" fillId="31" borderId="15" xfId="47" applyFont="1" applyFill="1" applyBorder="1" applyAlignment="1" applyProtection="1">
      <alignment horizontal="left" vertical="top" wrapText="1" indent="1"/>
      <protection locked="0"/>
    </xf>
    <xf numFmtId="0" fontId="23" fillId="0" borderId="15" xfId="47" applyFont="1" applyFill="1" applyBorder="1" applyAlignment="1" applyProtection="1">
      <alignment horizontal="left" vertical="top"/>
      <protection locked="0"/>
    </xf>
    <xf numFmtId="3" fontId="36" fillId="0" borderId="15" xfId="47" applyNumberFormat="1" applyFont="1" applyFill="1" applyBorder="1" applyAlignment="1" applyProtection="1">
      <alignment vertical="top"/>
      <protection locked="0"/>
    </xf>
    <xf numFmtId="0" fontId="35" fillId="0" borderId="19" xfId="47" applyFont="1" applyFill="1" applyBorder="1" applyAlignment="1" applyProtection="1">
      <alignment horizontal="left" vertical="top" wrapText="1"/>
      <protection locked="0"/>
    </xf>
    <xf numFmtId="0" fontId="35" fillId="0" borderId="15" xfId="47" applyFont="1" applyFill="1" applyBorder="1" applyAlignment="1" applyProtection="1">
      <alignment horizontal="left" vertical="top" wrapText="1"/>
      <protection locked="0"/>
    </xf>
    <xf numFmtId="0" fontId="23" fillId="0" borderId="19" xfId="47" applyFont="1" applyFill="1" applyBorder="1" applyAlignment="1" applyProtection="1">
      <alignment horizontal="left" vertical="top" wrapText="1"/>
      <protection locked="0"/>
    </xf>
    <xf numFmtId="0" fontId="25" fillId="24" borderId="19" xfId="47" applyFont="1" applyFill="1" applyBorder="1" applyAlignment="1" applyProtection="1">
      <alignment horizontal="left" vertical="top" wrapText="1" indent="1"/>
      <protection locked="0"/>
    </xf>
    <xf numFmtId="0" fontId="25" fillId="24" borderId="19" xfId="47" applyFont="1" applyFill="1" applyBorder="1" applyAlignment="1" applyProtection="1">
      <alignment horizontal="left" vertical="top"/>
      <protection locked="0"/>
    </xf>
    <xf numFmtId="3" fontId="25" fillId="24" borderId="19" xfId="47" applyNumberFormat="1" applyFont="1" applyFill="1" applyBorder="1" applyAlignment="1" applyProtection="1">
      <alignment vertical="top"/>
      <protection locked="0"/>
    </xf>
    <xf numFmtId="0" fontId="3" fillId="0" borderId="0" xfId="47" applyFont="1" applyFill="1" applyBorder="1" applyAlignment="1" applyProtection="1">
      <alignment horizontal="left" vertical="top" wrapText="1"/>
      <protection locked="0"/>
    </xf>
    <xf numFmtId="0" fontId="46" fillId="0" borderId="0" xfId="47" applyFont="1" applyFill="1" applyBorder="1" applyAlignment="1" applyProtection="1">
      <alignment horizontal="left" vertical="top"/>
      <protection locked="0"/>
    </xf>
    <xf numFmtId="3" fontId="3" fillId="0" borderId="0" xfId="47" applyNumberFormat="1" applyFont="1" applyFill="1" applyBorder="1" applyAlignment="1" applyProtection="1">
      <alignment vertical="top"/>
      <protection locked="0"/>
    </xf>
    <xf numFmtId="0" fontId="46" fillId="0" borderId="0" xfId="47" applyFont="1" applyFill="1" applyBorder="1" applyAlignment="1" applyProtection="1">
      <alignment horizontal="left" vertical="top" wrapText="1"/>
      <protection locked="0"/>
    </xf>
    <xf numFmtId="0" fontId="46" fillId="0" borderId="0" xfId="47" applyFont="1" applyFill="1" applyBorder="1" applyAlignment="1" applyProtection="1">
      <alignment horizontal="left" vertical="top" wrapText="1"/>
    </xf>
    <xf numFmtId="0" fontId="73" fillId="0" borderId="0" xfId="47" applyFont="1"/>
    <xf numFmtId="0" fontId="71" fillId="0" borderId="0" xfId="47" applyFont="1" applyFill="1" applyBorder="1" applyAlignment="1" applyProtection="1">
      <alignment horizontal="left" vertical="top" wrapText="1"/>
      <protection locked="0"/>
    </xf>
    <xf numFmtId="0" fontId="3" fillId="0" borderId="15" xfId="47" applyFont="1" applyFill="1" applyBorder="1" applyAlignment="1" applyProtection="1">
      <alignment horizontal="left" vertical="top"/>
      <protection locked="0"/>
    </xf>
    <xf numFmtId="0" fontId="3" fillId="0" borderId="0" xfId="41" applyNumberFormat="1" applyFont="1" applyFill="1" applyBorder="1" applyAlignment="1">
      <alignment horizontal="left" vertical="top" wrapText="1" indent="4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46" fillId="0" borderId="15" xfId="0" applyFont="1" applyFill="1" applyBorder="1" applyAlignment="1" applyProtection="1">
      <alignment horizontal="left" vertical="top"/>
      <protection locked="0"/>
    </xf>
    <xf numFmtId="0" fontId="25" fillId="24" borderId="17" xfId="0" applyFont="1" applyFill="1" applyBorder="1" applyAlignment="1" applyProtection="1">
      <alignment horizontal="left" vertical="top" wrapText="1"/>
      <protection locked="0"/>
    </xf>
    <xf numFmtId="0" fontId="48" fillId="24" borderId="19" xfId="0" applyFont="1" applyFill="1" applyBorder="1" applyAlignment="1" applyProtection="1">
      <alignment horizontal="left" vertical="top"/>
      <protection locked="0"/>
    </xf>
    <xf numFmtId="3" fontId="25" fillId="24" borderId="19" xfId="0" applyNumberFormat="1" applyFont="1" applyFill="1" applyBorder="1" applyAlignment="1" applyProtection="1">
      <alignment vertical="top"/>
      <protection locked="0"/>
    </xf>
    <xf numFmtId="0" fontId="3" fillId="0" borderId="18" xfId="0" applyFont="1" applyFill="1" applyBorder="1" applyAlignment="1" applyProtection="1">
      <alignment horizontal="right" vertical="top" wrapText="1"/>
      <protection locked="0"/>
    </xf>
    <xf numFmtId="0" fontId="3" fillId="0" borderId="17" xfId="0" applyFont="1" applyFill="1" applyBorder="1" applyAlignment="1" applyProtection="1">
      <alignment horizontal="righ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25" fillId="25" borderId="15" xfId="0" applyFont="1" applyFill="1" applyBorder="1" applyAlignment="1" applyProtection="1">
      <alignment horizontal="left" vertical="top" wrapText="1"/>
      <protection locked="0"/>
    </xf>
    <xf numFmtId="0" fontId="48" fillId="25" borderId="15" xfId="0" applyFont="1" applyFill="1" applyBorder="1" applyAlignment="1" applyProtection="1">
      <alignment horizontal="left" vertical="top"/>
      <protection locked="0"/>
    </xf>
    <xf numFmtId="3" fontId="25" fillId="25" borderId="15" xfId="0" applyNumberFormat="1" applyFont="1" applyFill="1" applyBorder="1" applyAlignment="1" applyProtection="1">
      <alignment vertical="top"/>
      <protection locked="0"/>
    </xf>
    <xf numFmtId="0" fontId="46" fillId="0" borderId="18" xfId="0" applyFont="1" applyFill="1" applyBorder="1" applyAlignment="1" applyProtection="1">
      <alignment horizontal="left" vertical="top"/>
      <protection locked="0"/>
    </xf>
    <xf numFmtId="0" fontId="46" fillId="0" borderId="17" xfId="0" applyFont="1" applyFill="1" applyBorder="1" applyAlignment="1" applyProtection="1">
      <alignment horizontal="left" vertical="top"/>
      <protection locked="0"/>
    </xf>
    <xf numFmtId="3" fontId="3" fillId="0" borderId="17" xfId="0" applyNumberFormat="1" applyFont="1" applyFill="1" applyBorder="1" applyAlignment="1" applyProtection="1">
      <alignment vertical="top"/>
      <protection locked="0"/>
    </xf>
    <xf numFmtId="0" fontId="46" fillId="0" borderId="19" xfId="0" applyFont="1" applyFill="1" applyBorder="1" applyAlignment="1" applyProtection="1">
      <alignment horizontal="left" vertical="top"/>
      <protection locked="0"/>
    </xf>
    <xf numFmtId="0" fontId="23" fillId="0" borderId="19" xfId="0" applyFont="1" applyFill="1" applyBorder="1" applyAlignment="1" applyProtection="1">
      <alignment horizontal="left" vertical="top" wrapText="1" indent="1"/>
      <protection locked="0"/>
    </xf>
    <xf numFmtId="0" fontId="23" fillId="0" borderId="19" xfId="0" applyFont="1" applyFill="1" applyBorder="1" applyAlignment="1" applyProtection="1">
      <alignment horizontal="left" vertical="top"/>
      <protection locked="0"/>
    </xf>
    <xf numFmtId="3" fontId="23" fillId="0" borderId="19" xfId="0" applyNumberFormat="1" applyFont="1" applyFill="1" applyBorder="1" applyAlignment="1" applyProtection="1">
      <alignment vertical="top"/>
      <protection locked="0"/>
    </xf>
    <xf numFmtId="0" fontId="23" fillId="0" borderId="15" xfId="0" applyFont="1" applyFill="1" applyBorder="1" applyAlignment="1" applyProtection="1">
      <alignment horizontal="left" vertical="top"/>
      <protection locked="0"/>
    </xf>
    <xf numFmtId="3" fontId="23" fillId="0" borderId="15" xfId="0" applyNumberFormat="1" applyFont="1" applyFill="1" applyBorder="1" applyAlignment="1" applyProtection="1">
      <alignment vertical="top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23" fillId="0" borderId="18" xfId="0" applyFont="1" applyFill="1" applyBorder="1" applyAlignment="1" applyProtection="1">
      <alignment horizontal="right" vertical="top" wrapText="1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23" fillId="0" borderId="17" xfId="0" applyFont="1" applyFill="1" applyBorder="1" applyAlignment="1" applyProtection="1">
      <alignment horizontal="right" vertical="top" wrapText="1"/>
      <protection locked="0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2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25" fillId="24" borderId="11" xfId="47" applyFont="1" applyFill="1" applyBorder="1" applyAlignment="1" applyProtection="1">
      <alignment horizontal="left" vertical="top" wrapText="1"/>
    </xf>
    <xf numFmtId="0" fontId="25" fillId="24" borderId="12" xfId="47" applyFont="1" applyFill="1" applyBorder="1" applyAlignment="1" applyProtection="1">
      <alignment horizontal="left" vertical="top" wrapText="1"/>
    </xf>
    <xf numFmtId="0" fontId="71" fillId="0" borderId="0" xfId="47" applyFont="1" applyFill="1" applyBorder="1" applyAlignment="1" applyProtection="1">
      <alignment horizontal="left" vertical="top" wrapText="1"/>
      <protection locked="0"/>
    </xf>
    <xf numFmtId="0" fontId="25" fillId="29" borderId="15" xfId="47" applyFont="1" applyFill="1" applyBorder="1" applyAlignment="1" applyProtection="1">
      <alignment horizontal="left" vertical="top" wrapText="1"/>
    </xf>
    <xf numFmtId="0" fontId="25" fillId="24" borderId="16" xfId="0" applyFont="1" applyFill="1" applyBorder="1" applyAlignment="1" applyProtection="1">
      <alignment horizontal="left" vertical="top" wrapText="1"/>
    </xf>
    <xf numFmtId="0" fontId="25" fillId="24" borderId="12" xfId="0" applyFont="1" applyFill="1" applyBorder="1" applyAlignment="1" applyProtection="1">
      <alignment horizontal="left" vertical="top" wrapText="1"/>
    </xf>
    <xf numFmtId="0" fontId="25" fillId="24" borderId="13" xfId="0" applyFont="1" applyFill="1" applyBorder="1" applyAlignment="1" applyProtection="1">
      <alignment horizontal="left" vertical="top" wrapText="1"/>
    </xf>
  </cellXfs>
  <cellStyles count="154">
    <cellStyle name="20% - Accent1" xfId="1" builtinId="30" customBuiltin="1"/>
    <cellStyle name="20% - Accent1 2" xfId="56"/>
    <cellStyle name="20% - Accent2" xfId="2" builtinId="34" customBuiltin="1"/>
    <cellStyle name="20% - Accent2 2" xfId="57"/>
    <cellStyle name="20% - Accent3" xfId="3" builtinId="38" customBuiltin="1"/>
    <cellStyle name="20% - Accent3 2" xfId="58"/>
    <cellStyle name="20% - Accent4" xfId="4" builtinId="42" customBuiltin="1"/>
    <cellStyle name="20% - Accent4 2" xfId="59"/>
    <cellStyle name="20% - Accent5" xfId="5" builtinId="46" customBuiltin="1"/>
    <cellStyle name="20% - Accent5 2" xfId="60"/>
    <cellStyle name="20% - Accent6" xfId="6" builtinId="50" customBuiltin="1"/>
    <cellStyle name="20% - Accent6 2" xfId="61"/>
    <cellStyle name="40% - Accent1" xfId="7" builtinId="31" customBuiltin="1"/>
    <cellStyle name="40% - Accent1 2" xfId="62"/>
    <cellStyle name="40% - Accent2" xfId="8" builtinId="35" customBuiltin="1"/>
    <cellStyle name="40% - Accent2 2" xfId="63"/>
    <cellStyle name="40% - Accent3" xfId="9" builtinId="39" customBuiltin="1"/>
    <cellStyle name="40% - Accent3 2" xfId="64"/>
    <cellStyle name="40% - Accent4" xfId="10" builtinId="43" customBuiltin="1"/>
    <cellStyle name="40% - Accent4 2" xfId="65"/>
    <cellStyle name="40% - Accent5" xfId="11" builtinId="47" customBuiltin="1"/>
    <cellStyle name="40% - Accent5 2" xfId="66"/>
    <cellStyle name="40% - Accent6" xfId="12" builtinId="51" customBuiltin="1"/>
    <cellStyle name="40% - Accent6 2" xfId="67"/>
    <cellStyle name="60% - Accent1" xfId="13" builtinId="32" customBuiltin="1"/>
    <cellStyle name="60% - Accent1 2" xfId="68"/>
    <cellStyle name="60% - Accent2" xfId="14" builtinId="36" customBuiltin="1"/>
    <cellStyle name="60% - Accent2 2" xfId="69"/>
    <cellStyle name="60% - Accent3" xfId="15" builtinId="40" customBuiltin="1"/>
    <cellStyle name="60% - Accent3 2" xfId="70"/>
    <cellStyle name="60% - Accent4" xfId="16" builtinId="44" customBuiltin="1"/>
    <cellStyle name="60% - Accent4 2" xfId="71"/>
    <cellStyle name="60% - Accent5" xfId="17" builtinId="48" customBuiltin="1"/>
    <cellStyle name="60% - Accent5 2" xfId="72"/>
    <cellStyle name="60% - Accent6" xfId="18" builtinId="52" customBuiltin="1"/>
    <cellStyle name="60% - Accent6 2" xfId="73"/>
    <cellStyle name="Accent1" xfId="19" builtinId="29" customBuiltin="1"/>
    <cellStyle name="Accent1 2" xfId="74"/>
    <cellStyle name="Accent2" xfId="20" builtinId="33" customBuiltin="1"/>
    <cellStyle name="Accent2 2" xfId="75"/>
    <cellStyle name="Accent3" xfId="21" builtinId="37" customBuiltin="1"/>
    <cellStyle name="Accent3 2" xfId="76"/>
    <cellStyle name="Accent4" xfId="22" builtinId="41" customBuiltin="1"/>
    <cellStyle name="Accent4 2" xfId="77"/>
    <cellStyle name="Accent5" xfId="23" builtinId="45" customBuiltin="1"/>
    <cellStyle name="Accent5 2" xfId="78"/>
    <cellStyle name="Accent6" xfId="24" builtinId="49" customBuiltin="1"/>
    <cellStyle name="Accent6 2" xfId="79"/>
    <cellStyle name="Bad" xfId="25" builtinId="27" customBuiltin="1"/>
    <cellStyle name="Bad 2" xfId="80"/>
    <cellStyle name="Calculation" xfId="26" builtinId="22" customBuiltin="1"/>
    <cellStyle name="Calculation 2" xfId="81"/>
    <cellStyle name="Check Cell" xfId="27" builtinId="23" customBuiltin="1"/>
    <cellStyle name="Check Cell 2" xfId="82"/>
    <cellStyle name="Comma 2" xfId="83"/>
    <cellStyle name="Comma 2 2" xfId="84"/>
    <cellStyle name="Comma 2 3" xfId="85"/>
    <cellStyle name="Comma 2 4" xfId="86"/>
    <cellStyle name="Comma 2 5" xfId="87"/>
    <cellStyle name="Comma 2 6" xfId="88"/>
    <cellStyle name="Comma 3" xfId="89"/>
    <cellStyle name="Comma 4" xfId="90"/>
    <cellStyle name="Currency 2" xfId="91"/>
    <cellStyle name="Explanatory Text" xfId="28" builtinId="53" customBuiltin="1"/>
    <cellStyle name="Explanatory Text 2" xfId="92"/>
    <cellStyle name="Good" xfId="29" builtinId="26" customBuiltin="1"/>
    <cellStyle name="Good 2" xfId="93"/>
    <cellStyle name="Hea" xfId="48"/>
    <cellStyle name="Hea 2" xfId="94"/>
    <cellStyle name="Heading 1" xfId="30" builtinId="16" customBuiltin="1"/>
    <cellStyle name="Heading 1 2" xfId="95"/>
    <cellStyle name="Heading 2" xfId="31" builtinId="17" customBuiltin="1"/>
    <cellStyle name="Heading 2 2" xfId="96"/>
    <cellStyle name="Heading 3" xfId="32" builtinId="18" customBuiltin="1"/>
    <cellStyle name="Heading 3 2" xfId="97"/>
    <cellStyle name="Heading 4" xfId="33" builtinId="19" customBuiltin="1"/>
    <cellStyle name="Heading 4 2" xfId="98"/>
    <cellStyle name="Hyperlink 2" xfId="49"/>
    <cellStyle name="Hyperlink 2 2" xfId="99"/>
    <cellStyle name="Hyperlink_Lisad 22.02.11 II" xfId="34"/>
    <cellStyle name="Input" xfId="35" builtinId="20" customBuiltin="1"/>
    <cellStyle name="Input 2" xfId="100"/>
    <cellStyle name="Linked Cell" xfId="36" builtinId="24" customBuiltin="1"/>
    <cellStyle name="Linked Cell 2" xfId="101"/>
    <cellStyle name="Neutral" xfId="37" builtinId="28" customBuiltin="1"/>
    <cellStyle name="Neutral 2" xfId="102"/>
    <cellStyle name="Normaallaad_Leht1" xfId="38"/>
    <cellStyle name="Normal" xfId="0" builtinId="0"/>
    <cellStyle name="Normal 10" xfId="150"/>
    <cellStyle name="Normal 11" xfId="151"/>
    <cellStyle name="Normal 12" xfId="153"/>
    <cellStyle name="Normal 2" xfId="47"/>
    <cellStyle name="Normal 2 2" xfId="53"/>
    <cellStyle name="Normal 2 3" xfId="103"/>
    <cellStyle name="Normal 2 3 2" xfId="104"/>
    <cellStyle name="Normal 2 4" xfId="105"/>
    <cellStyle name="Normal 2 4 2" xfId="106"/>
    <cellStyle name="Normal 2 5" xfId="107"/>
    <cellStyle name="Normal 2 6" xfId="108"/>
    <cellStyle name="Normal 3" xfId="54"/>
    <cellStyle name="Normal 3 10" xfId="109"/>
    <cellStyle name="Normal 3 10 2" xfId="110"/>
    <cellStyle name="Normal 3 11" xfId="111"/>
    <cellStyle name="Normal 3 11 2" xfId="112"/>
    <cellStyle name="Normal 3 12" xfId="113"/>
    <cellStyle name="Normal 3 13" xfId="114"/>
    <cellStyle name="Normal 3 2" xfId="115"/>
    <cellStyle name="Normal 3 2 2" xfId="116"/>
    <cellStyle name="Normal 3 2 3" xfId="117"/>
    <cellStyle name="Normal 3 3" xfId="118"/>
    <cellStyle name="Normal 3 3 2" xfId="119"/>
    <cellStyle name="Normal 3 4" xfId="120"/>
    <cellStyle name="Normal 3 4 2" xfId="121"/>
    <cellStyle name="Normal 3 5" xfId="122"/>
    <cellStyle name="Normal 3 5 2" xfId="123"/>
    <cellStyle name="Normal 3 6" xfId="124"/>
    <cellStyle name="Normal 3 7" xfId="125"/>
    <cellStyle name="Normal 3 8" xfId="126"/>
    <cellStyle name="Normal 3 8 2" xfId="127"/>
    <cellStyle name="Normal 3 9" xfId="128"/>
    <cellStyle name="Normal 3 9 2" xfId="129"/>
    <cellStyle name="Normal 4" xfId="130"/>
    <cellStyle name="Normal 4 2" xfId="131"/>
    <cellStyle name="Normal 5" xfId="132"/>
    <cellStyle name="Normal 5 2" xfId="133"/>
    <cellStyle name="Normal 5 2 2" xfId="134"/>
    <cellStyle name="Normal 5 3" xfId="135"/>
    <cellStyle name="Normal 6" xfId="136"/>
    <cellStyle name="Normal 7" xfId="137"/>
    <cellStyle name="Normal 7 2" xfId="138"/>
    <cellStyle name="Normal 8" xfId="139"/>
    <cellStyle name="Normal 9" xfId="140"/>
    <cellStyle name="Normal_2002 määrus lisa 5" xfId="39"/>
    <cellStyle name="Normal_2002 määrus lisa 5_Lisad 22.02.11 II" xfId="40"/>
    <cellStyle name="Normal_vorm 1 koond" xfId="152"/>
    <cellStyle name="Normal_vorm 1 koond_Lisad 22.02.11 II" xfId="41"/>
    <cellStyle name="Note" xfId="42" builtinId="10" customBuiltin="1"/>
    <cellStyle name="Note 2" xfId="141"/>
    <cellStyle name="Note 3" xfId="149"/>
    <cellStyle name="Note 4" xfId="55"/>
    <cellStyle name="Output" xfId="43" builtinId="21" customBuiltin="1"/>
    <cellStyle name="Output 2" xfId="142"/>
    <cellStyle name="Percent 2" xfId="50"/>
    <cellStyle name="Percent 3" xfId="143"/>
    <cellStyle name="Rõhk5" xfId="51"/>
    <cellStyle name="Rõhk5 2" xfId="144"/>
    <cellStyle name="Rõhk6" xfId="52"/>
    <cellStyle name="Rõhk6 2" xfId="145"/>
    <cellStyle name="Title" xfId="44" builtinId="15" customBuiltin="1"/>
    <cellStyle name="Title 2" xfId="146"/>
    <cellStyle name="Total" xfId="45" builtinId="25" customBuiltin="1"/>
    <cellStyle name="Total 2" xfId="147"/>
    <cellStyle name="Warning Text" xfId="46" builtinId="11" customBuiltin="1"/>
    <cellStyle name="Warning Text 2" xfId="14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52"/>
  <sheetViews>
    <sheetView showZeros="0" tabSelected="1" zoomScaleNormal="100" workbookViewId="0">
      <selection sqref="A1:D1"/>
    </sheetView>
  </sheetViews>
  <sheetFormatPr defaultRowHeight="12.75"/>
  <cols>
    <col min="1" max="1" width="61.7109375" style="96" customWidth="1"/>
    <col min="2" max="2" width="11.7109375" style="96" hidden="1" customWidth="1"/>
    <col min="3" max="3" width="12.140625" style="96" customWidth="1"/>
    <col min="4" max="4" width="11.5703125" style="96" customWidth="1"/>
  </cols>
  <sheetData>
    <row r="1" spans="1:6" ht="12.75" customHeight="1">
      <c r="A1" s="487" t="s">
        <v>383</v>
      </c>
      <c r="B1" s="487"/>
      <c r="C1" s="487"/>
      <c r="D1" s="487"/>
      <c r="E1" s="258"/>
      <c r="F1" s="258"/>
    </row>
    <row r="2" spans="1:6" ht="12.75" customHeight="1">
      <c r="D2" s="258" t="s">
        <v>319</v>
      </c>
      <c r="E2" s="258"/>
      <c r="F2" s="258"/>
    </row>
    <row r="3" spans="1:6" ht="12.75" customHeight="1">
      <c r="A3" s="488" t="s">
        <v>382</v>
      </c>
      <c r="B3" s="488"/>
      <c r="C3" s="488"/>
      <c r="D3" s="488"/>
      <c r="E3" s="259"/>
      <c r="F3" s="259"/>
    </row>
    <row r="4" spans="1:6" ht="12.75" customHeight="1">
      <c r="D4" s="15" t="s">
        <v>74</v>
      </c>
      <c r="E4" s="14"/>
    </row>
    <row r="5" spans="1:6">
      <c r="A5" s="16"/>
      <c r="B5" s="16"/>
    </row>
    <row r="6" spans="1:6" ht="12.75" customHeight="1">
      <c r="A6" s="16"/>
      <c r="B6" s="16"/>
    </row>
    <row r="7" spans="1:6" ht="15">
      <c r="A7" s="17" t="s">
        <v>75</v>
      </c>
      <c r="B7" s="17"/>
    </row>
    <row r="8" spans="1:6">
      <c r="A8" s="18"/>
      <c r="B8" s="18"/>
      <c r="C8" s="19"/>
      <c r="D8" s="19"/>
    </row>
    <row r="9" spans="1:6">
      <c r="A9" s="4"/>
      <c r="B9" s="4"/>
      <c r="C9" s="256"/>
      <c r="D9" s="256" t="s">
        <v>73</v>
      </c>
    </row>
    <row r="10" spans="1:6" ht="38.25" customHeight="1">
      <c r="A10" s="4"/>
      <c r="B10" s="4"/>
      <c r="C10" s="257" t="s">
        <v>350</v>
      </c>
      <c r="D10" s="257" t="s">
        <v>351</v>
      </c>
    </row>
    <row r="11" spans="1:6">
      <c r="A11" s="4" t="s">
        <v>76</v>
      </c>
      <c r="B11" s="4"/>
      <c r="C11" s="40"/>
      <c r="D11" s="40"/>
    </row>
    <row r="12" spans="1:6">
      <c r="A12" s="63"/>
      <c r="B12" s="63"/>
      <c r="C12" s="236"/>
      <c r="D12" s="236"/>
    </row>
    <row r="13" spans="1:6">
      <c r="A13" s="21" t="s">
        <v>77</v>
      </c>
      <c r="B13" s="22">
        <v>558039110</v>
      </c>
      <c r="C13" s="22">
        <f ca="1">SUM(C14:C27)</f>
        <v>7935522</v>
      </c>
      <c r="D13" s="22">
        <f ca="1">B13+C13</f>
        <v>565974632</v>
      </c>
      <c r="E13" s="94"/>
      <c r="F13" s="94"/>
    </row>
    <row r="14" spans="1:6">
      <c r="A14" s="24" t="s">
        <v>78</v>
      </c>
      <c r="B14" s="25">
        <v>360100000</v>
      </c>
      <c r="C14" s="25">
        <f>'2 TULUDE KOOND'!D14</f>
        <v>6000000</v>
      </c>
      <c r="D14" s="25">
        <f t="shared" ref="D14:D75" si="0">B14+C14</f>
        <v>366100000</v>
      </c>
      <c r="E14" s="94"/>
      <c r="F14" s="94"/>
    </row>
    <row r="15" spans="1:6">
      <c r="A15" s="24" t="s">
        <v>79</v>
      </c>
      <c r="B15" s="25">
        <v>11215000</v>
      </c>
      <c r="C15" s="25">
        <f>'2 TULUDE KOOND'!D17</f>
        <v>163000</v>
      </c>
      <c r="D15" s="25">
        <f t="shared" si="0"/>
        <v>11378000</v>
      </c>
      <c r="E15" s="94"/>
      <c r="F15" s="94"/>
    </row>
    <row r="16" spans="1:6">
      <c r="A16" s="24" t="s">
        <v>80</v>
      </c>
      <c r="B16" s="25">
        <v>559000</v>
      </c>
      <c r="C16" s="25">
        <f>'2 TULUDE KOOND'!D22</f>
        <v>40790</v>
      </c>
      <c r="D16" s="25">
        <f t="shared" si="0"/>
        <v>599790</v>
      </c>
      <c r="E16" s="94"/>
      <c r="F16" s="94"/>
    </row>
    <row r="17" spans="1:6">
      <c r="A17" s="24" t="s">
        <v>81</v>
      </c>
      <c r="B17" s="25">
        <v>62514583</v>
      </c>
      <c r="C17" s="25">
        <f ca="1">'2 TULUDE KOOND'!D24</f>
        <v>1396854</v>
      </c>
      <c r="D17" s="25">
        <f t="shared" ca="1" si="0"/>
        <v>63911437</v>
      </c>
      <c r="E17" s="94"/>
      <c r="F17" s="94"/>
    </row>
    <row r="18" spans="1:6">
      <c r="A18" s="24" t="s">
        <v>82</v>
      </c>
      <c r="B18" s="25">
        <v>1021193</v>
      </c>
      <c r="C18" s="25">
        <f ca="1">'2 TULUDE KOOND'!D30</f>
        <v>221738</v>
      </c>
      <c r="D18" s="25">
        <f t="shared" ca="1" si="0"/>
        <v>1242931</v>
      </c>
      <c r="E18" s="94"/>
      <c r="F18" s="94"/>
    </row>
    <row r="19" spans="1:6">
      <c r="A19" s="24" t="s">
        <v>83</v>
      </c>
      <c r="B19" s="25">
        <v>50000</v>
      </c>
      <c r="C19" s="25">
        <f>'2 TULUDE KOOND'!D34</f>
        <v>-10000</v>
      </c>
      <c r="D19" s="25">
        <f t="shared" si="0"/>
        <v>40000</v>
      </c>
      <c r="E19" s="94"/>
      <c r="F19" s="94"/>
    </row>
    <row r="20" spans="1:6">
      <c r="A20" s="24" t="s">
        <v>84</v>
      </c>
      <c r="B20" s="25">
        <v>3236484</v>
      </c>
      <c r="C20" s="25">
        <f>'2 TULUDE KOOND'!D37</f>
        <v>14900</v>
      </c>
      <c r="D20" s="25">
        <f t="shared" si="0"/>
        <v>3251384</v>
      </c>
      <c r="E20" s="94"/>
      <c r="F20" s="94"/>
    </row>
    <row r="21" spans="1:6">
      <c r="A21" s="24" t="s">
        <v>85</v>
      </c>
      <c r="B21" s="25">
        <v>-1504932</v>
      </c>
      <c r="C21" s="25"/>
      <c r="D21" s="25">
        <f t="shared" si="0"/>
        <v>-1504932</v>
      </c>
      <c r="E21" s="94"/>
      <c r="F21" s="94"/>
    </row>
    <row r="22" spans="1:6">
      <c r="A22" s="24" t="s">
        <v>86</v>
      </c>
      <c r="B22" s="25">
        <v>-10000</v>
      </c>
      <c r="C22" s="25"/>
      <c r="D22" s="25">
        <f t="shared" si="0"/>
        <v>-10000</v>
      </c>
      <c r="E22" s="94"/>
      <c r="F22" s="94"/>
    </row>
    <row r="23" spans="1:6">
      <c r="A23" s="24" t="s">
        <v>87</v>
      </c>
      <c r="B23" s="25">
        <v>148310</v>
      </c>
      <c r="C23" s="25">
        <f>'2 TULUDE KOOND'!D40</f>
        <v>23566</v>
      </c>
      <c r="D23" s="25">
        <f t="shared" si="0"/>
        <v>171876</v>
      </c>
      <c r="E23" s="94"/>
      <c r="F23" s="94"/>
    </row>
    <row r="24" spans="1:6">
      <c r="A24" s="24" t="s">
        <v>88</v>
      </c>
      <c r="B24" s="25">
        <v>9045817</v>
      </c>
      <c r="C24" s="25"/>
      <c r="D24" s="25">
        <f t="shared" si="0"/>
        <v>9045817</v>
      </c>
      <c r="E24" s="94"/>
      <c r="F24" s="94"/>
    </row>
    <row r="25" spans="1:6">
      <c r="A25" s="26" t="s">
        <v>89</v>
      </c>
      <c r="B25" s="25">
        <v>89892231</v>
      </c>
      <c r="C25" s="25"/>
      <c r="D25" s="25">
        <f t="shared" si="0"/>
        <v>89892231</v>
      </c>
      <c r="E25" s="94"/>
      <c r="F25" s="94"/>
    </row>
    <row r="26" spans="1:6">
      <c r="A26" s="24" t="s">
        <v>90</v>
      </c>
      <c r="B26" s="25">
        <v>21304792</v>
      </c>
      <c r="C26" s="25">
        <f>'2 TULUDE KOOND'!D46</f>
        <v>84256</v>
      </c>
      <c r="D26" s="25">
        <f t="shared" si="0"/>
        <v>21389048</v>
      </c>
      <c r="E26" s="94"/>
      <c r="F26" s="94"/>
    </row>
    <row r="27" spans="1:6" s="96" customFormat="1">
      <c r="A27" s="24" t="s">
        <v>274</v>
      </c>
      <c r="B27" s="25">
        <v>466632</v>
      </c>
      <c r="C27" s="25">
        <f>'2 TULUDE KOOND'!D47</f>
        <v>418</v>
      </c>
      <c r="D27" s="25">
        <f t="shared" si="0"/>
        <v>467050</v>
      </c>
      <c r="E27" s="94"/>
      <c r="F27" s="94"/>
    </row>
    <row r="28" spans="1:6" ht="14.25" customHeight="1">
      <c r="A28" s="7"/>
      <c r="B28" s="101">
        <v>0</v>
      </c>
      <c r="C28" s="101"/>
      <c r="D28" s="101">
        <f t="shared" si="0"/>
        <v>0</v>
      </c>
      <c r="E28" s="94"/>
      <c r="F28" s="94"/>
    </row>
    <row r="29" spans="1:6" ht="12" customHeight="1">
      <c r="A29" s="21" t="s">
        <v>91</v>
      </c>
      <c r="B29" s="22">
        <v>511504106</v>
      </c>
      <c r="C29" s="22">
        <f ca="1">C30+C35</f>
        <v>1280517</v>
      </c>
      <c r="D29" s="22">
        <f t="shared" ca="1" si="0"/>
        <v>512784623</v>
      </c>
      <c r="E29" s="94"/>
      <c r="F29" s="94"/>
    </row>
    <row r="30" spans="1:6">
      <c r="A30" s="24" t="s">
        <v>92</v>
      </c>
      <c r="B30" s="25">
        <v>487365529</v>
      </c>
      <c r="C30" s="25">
        <f ca="1">SUM(C31:C34)</f>
        <v>-3051673</v>
      </c>
      <c r="D30" s="25">
        <f t="shared" ca="1" si="0"/>
        <v>484313856</v>
      </c>
      <c r="E30" s="94"/>
      <c r="F30" s="94"/>
    </row>
    <row r="31" spans="1:6">
      <c r="A31" s="237" t="s">
        <v>93</v>
      </c>
      <c r="B31" s="25">
        <v>86000000</v>
      </c>
      <c r="C31" s="25"/>
      <c r="D31" s="25">
        <f t="shared" si="0"/>
        <v>86000000</v>
      </c>
      <c r="E31" s="94"/>
      <c r="F31" s="94"/>
    </row>
    <row r="32" spans="1:6">
      <c r="A32" s="27" t="s">
        <v>94</v>
      </c>
      <c r="B32" s="25">
        <v>651902</v>
      </c>
      <c r="C32" s="25">
        <f ca="1">'3 KULUD'!B870</f>
        <v>84256</v>
      </c>
      <c r="D32" s="25">
        <f t="shared" ca="1" si="0"/>
        <v>736158</v>
      </c>
      <c r="E32" s="94"/>
      <c r="F32" s="94"/>
    </row>
    <row r="33" spans="1:6" s="96" customFormat="1">
      <c r="A33" s="399" t="s">
        <v>590</v>
      </c>
      <c r="B33" s="25"/>
      <c r="C33" s="25">
        <f>'2 TULUDE KOOND'!D47</f>
        <v>418</v>
      </c>
      <c r="D33" s="25"/>
      <c r="E33" s="94"/>
      <c r="F33" s="94"/>
    </row>
    <row r="34" spans="1:6">
      <c r="A34" s="27" t="s">
        <v>95</v>
      </c>
      <c r="B34" s="25">
        <v>400713627</v>
      </c>
      <c r="C34" s="25">
        <f ca="1">'3 KULUD'!B872+'3 KULUD'!B869</f>
        <v>-3136347</v>
      </c>
      <c r="D34" s="25">
        <f t="shared" ca="1" si="0"/>
        <v>397577280</v>
      </c>
      <c r="E34" s="94"/>
      <c r="F34" s="94"/>
    </row>
    <row r="35" spans="1:6">
      <c r="A35" s="24" t="s">
        <v>96</v>
      </c>
      <c r="B35" s="25">
        <v>24138577</v>
      </c>
      <c r="C35" s="25">
        <f>ROUND(('4 INVEST'!D40+'4 INVEST'!D23)*0.2,0)+'4 INVEST'!D79</f>
        <v>4332190</v>
      </c>
      <c r="D35" s="25">
        <f t="shared" si="0"/>
        <v>28470767</v>
      </c>
      <c r="E35" s="94"/>
      <c r="F35" s="94"/>
    </row>
    <row r="36" spans="1:6">
      <c r="A36" s="24"/>
      <c r="B36" s="101">
        <v>0</v>
      </c>
      <c r="C36" s="101"/>
      <c r="D36" s="101">
        <f t="shared" si="0"/>
        <v>0</v>
      </c>
      <c r="E36" s="94"/>
      <c r="F36" s="94"/>
    </row>
    <row r="37" spans="1:6">
      <c r="A37" s="28" t="s">
        <v>97</v>
      </c>
      <c r="B37" s="89">
        <v>46535004</v>
      </c>
      <c r="C37" s="89">
        <f ca="1">C13-C29</f>
        <v>6655005</v>
      </c>
      <c r="D37" s="89">
        <f t="shared" ca="1" si="0"/>
        <v>53190009</v>
      </c>
      <c r="E37" s="94"/>
      <c r="F37" s="94"/>
    </row>
    <row r="38" spans="1:6">
      <c r="A38" s="29"/>
      <c r="B38" s="8">
        <v>0</v>
      </c>
      <c r="C38" s="8"/>
      <c r="D38" s="8">
        <f t="shared" si="0"/>
        <v>0</v>
      </c>
      <c r="E38" s="94"/>
      <c r="F38" s="94"/>
    </row>
    <row r="39" spans="1:6">
      <c r="A39" s="30" t="s">
        <v>98</v>
      </c>
      <c r="B39" s="25">
        <v>45497077</v>
      </c>
      <c r="C39" s="25">
        <f ca="1">'3 KULUD'!B866</f>
        <v>720911</v>
      </c>
      <c r="D39" s="25">
        <f t="shared" ca="1" si="0"/>
        <v>46217988</v>
      </c>
      <c r="E39" s="94"/>
      <c r="F39" s="94"/>
    </row>
    <row r="40" spans="1:6">
      <c r="A40" s="7"/>
      <c r="B40" s="101">
        <v>0</v>
      </c>
      <c r="C40" s="101"/>
      <c r="D40" s="101">
        <f t="shared" si="0"/>
        <v>0</v>
      </c>
      <c r="E40" s="94"/>
      <c r="F40" s="94"/>
    </row>
    <row r="41" spans="1:6">
      <c r="A41" s="28" t="s">
        <v>99</v>
      </c>
      <c r="B41" s="89">
        <v>1037927</v>
      </c>
      <c r="C41" s="89">
        <f ca="1">+C37-C39</f>
        <v>5934094</v>
      </c>
      <c r="D41" s="89">
        <f t="shared" ca="1" si="0"/>
        <v>6972021</v>
      </c>
      <c r="E41" s="94"/>
      <c r="F41" s="94"/>
    </row>
    <row r="42" spans="1:6" ht="16.5" thickBot="1">
      <c r="A42" s="31"/>
      <c r="B42" s="90">
        <v>0</v>
      </c>
      <c r="C42" s="90"/>
      <c r="D42" s="90">
        <f t="shared" si="0"/>
        <v>0</v>
      </c>
      <c r="E42" s="94"/>
      <c r="F42" s="94"/>
    </row>
    <row r="43" spans="1:6" ht="16.5" thickTop="1">
      <c r="A43" s="32"/>
      <c r="B43" s="91">
        <v>0</v>
      </c>
      <c r="C43" s="91"/>
      <c r="D43" s="91">
        <f t="shared" si="0"/>
        <v>0</v>
      </c>
      <c r="E43" s="94"/>
      <c r="F43" s="94"/>
    </row>
    <row r="44" spans="1:6" ht="15.75">
      <c r="A44" s="33" t="s">
        <v>100</v>
      </c>
      <c r="B44" s="91">
        <v>0</v>
      </c>
      <c r="C44" s="91"/>
      <c r="D44" s="91">
        <f t="shared" si="0"/>
        <v>0</v>
      </c>
      <c r="E44" s="94"/>
      <c r="F44" s="94"/>
    </row>
    <row r="45" spans="1:6" s="96" customFormat="1" ht="15.75">
      <c r="A45" s="33"/>
      <c r="B45" s="91"/>
      <c r="C45" s="91"/>
      <c r="D45" s="91"/>
      <c r="E45" s="94"/>
      <c r="F45" s="94"/>
    </row>
    <row r="46" spans="1:6">
      <c r="A46" s="87" t="s">
        <v>378</v>
      </c>
      <c r="B46" s="25">
        <v>0</v>
      </c>
      <c r="C46" s="25"/>
      <c r="D46" s="25">
        <f t="shared" si="0"/>
        <v>0</v>
      </c>
      <c r="E46" s="94"/>
      <c r="F46" s="94"/>
    </row>
    <row r="47" spans="1:6" s="96" customFormat="1">
      <c r="A47" s="87"/>
      <c r="B47" s="25"/>
      <c r="C47" s="25"/>
      <c r="D47" s="25"/>
      <c r="E47" s="94"/>
      <c r="F47" s="94"/>
    </row>
    <row r="48" spans="1:6">
      <c r="A48" s="268" t="s">
        <v>101</v>
      </c>
      <c r="B48" s="25">
        <v>0</v>
      </c>
      <c r="C48" s="25"/>
      <c r="D48" s="25">
        <f t="shared" si="0"/>
        <v>0</v>
      </c>
      <c r="E48" s="94"/>
      <c r="F48" s="94"/>
    </row>
    <row r="49" spans="1:6">
      <c r="A49" s="269" t="s">
        <v>102</v>
      </c>
      <c r="B49" s="25">
        <v>68378311</v>
      </c>
      <c r="C49" s="25">
        <f>('4 INVEST'!D40+'4 INVEST'!D23)-ROUND(0.2*('4 INVEST'!D40+'4 INVEST'!D23),0)</f>
        <v>-1096920</v>
      </c>
      <c r="D49" s="25">
        <f t="shared" si="0"/>
        <v>67281391</v>
      </c>
      <c r="E49" s="94"/>
      <c r="F49" s="94"/>
    </row>
    <row r="50" spans="1:6">
      <c r="A50" s="269" t="s">
        <v>98</v>
      </c>
      <c r="B50" s="25">
        <v>-45497077</v>
      </c>
      <c r="C50" s="25">
        <f ca="1">-C39</f>
        <v>-720911</v>
      </c>
      <c r="D50" s="25">
        <f t="shared" ca="1" si="0"/>
        <v>-46217988</v>
      </c>
      <c r="E50" s="94"/>
      <c r="F50" s="94"/>
    </row>
    <row r="51" spans="1:6">
      <c r="A51" s="269" t="s">
        <v>103</v>
      </c>
      <c r="B51" s="25">
        <v>-1504932</v>
      </c>
      <c r="C51" s="25">
        <f>C21</f>
        <v>0</v>
      </c>
      <c r="D51" s="25">
        <f t="shared" si="0"/>
        <v>-1504932</v>
      </c>
      <c r="E51" s="94"/>
      <c r="F51" s="94"/>
    </row>
    <row r="52" spans="1:6">
      <c r="A52" s="270" t="s">
        <v>104</v>
      </c>
      <c r="B52" s="22">
        <v>21376302</v>
      </c>
      <c r="C52" s="22">
        <f ca="1">C49+C50+C51</f>
        <v>-1817831</v>
      </c>
      <c r="D52" s="22">
        <f t="shared" ca="1" si="0"/>
        <v>19558471</v>
      </c>
      <c r="E52" s="94"/>
      <c r="F52" s="94"/>
    </row>
    <row r="53" spans="1:6">
      <c r="A53" s="267"/>
      <c r="B53" s="25">
        <v>0</v>
      </c>
      <c r="C53" s="25"/>
      <c r="D53" s="25">
        <f t="shared" si="0"/>
        <v>0</v>
      </c>
      <c r="E53" s="94"/>
      <c r="F53" s="94"/>
    </row>
    <row r="54" spans="1:6">
      <c r="A54" s="268" t="s">
        <v>105</v>
      </c>
      <c r="B54" s="25">
        <v>0</v>
      </c>
      <c r="C54" s="25"/>
      <c r="D54" s="25">
        <f t="shared" si="0"/>
        <v>0</v>
      </c>
      <c r="E54" s="94"/>
      <c r="F54" s="94"/>
    </row>
    <row r="55" spans="1:6">
      <c r="A55" s="269" t="s">
        <v>106</v>
      </c>
      <c r="B55" s="25">
        <v>-11306563</v>
      </c>
      <c r="C55" s="25">
        <f>C56</f>
        <v>7751925</v>
      </c>
      <c r="D55" s="25">
        <f t="shared" si="0"/>
        <v>-3554638</v>
      </c>
      <c r="E55" s="94"/>
      <c r="F55" s="94"/>
    </row>
    <row r="56" spans="1:6" ht="12.75" hidden="1" customHeight="1">
      <c r="A56" s="271" t="s">
        <v>307</v>
      </c>
      <c r="B56" s="36">
        <v>-11306563</v>
      </c>
      <c r="C56" s="36">
        <f>2146767-6000+125000+38500+4501720+1207532-55000-121297-21297-22000-7000-35000</f>
        <v>7751925</v>
      </c>
      <c r="D56" s="36">
        <f t="shared" si="0"/>
        <v>-3554638</v>
      </c>
      <c r="E56" s="94"/>
      <c r="F56" s="94"/>
    </row>
    <row r="57" spans="1:6" s="96" customFormat="1">
      <c r="A57" s="268" t="s">
        <v>315</v>
      </c>
      <c r="B57" s="238">
        <v>0</v>
      </c>
      <c r="C57" s="238"/>
      <c r="D57" s="238">
        <f t="shared" si="0"/>
        <v>0</v>
      </c>
      <c r="E57" s="94"/>
      <c r="F57" s="94"/>
    </row>
    <row r="58" spans="1:6" s="96" customFormat="1">
      <c r="A58" s="269" t="s">
        <v>327</v>
      </c>
      <c r="B58" s="238">
        <v>5259990</v>
      </c>
      <c r="C58" s="238"/>
      <c r="D58" s="238">
        <f t="shared" si="0"/>
        <v>5259990</v>
      </c>
      <c r="E58" s="94"/>
      <c r="F58" s="94"/>
    </row>
    <row r="59" spans="1:6">
      <c r="A59" s="270" t="s">
        <v>107</v>
      </c>
      <c r="B59" s="22">
        <v>-6046573</v>
      </c>
      <c r="C59" s="22">
        <f>+C55+C58</f>
        <v>7751925</v>
      </c>
      <c r="D59" s="22">
        <f t="shared" si="0"/>
        <v>1705352</v>
      </c>
      <c r="E59" s="94"/>
      <c r="F59" s="94"/>
    </row>
    <row r="60" spans="1:6" s="96" customFormat="1">
      <c r="A60" s="270"/>
      <c r="B60" s="22">
        <v>0</v>
      </c>
      <c r="D60" s="96">
        <f t="shared" si="0"/>
        <v>0</v>
      </c>
      <c r="E60" s="94"/>
      <c r="F60" s="94"/>
    </row>
    <row r="61" spans="1:6" s="96" customFormat="1">
      <c r="A61" s="270" t="s">
        <v>328</v>
      </c>
      <c r="B61" s="22">
        <v>-4999990</v>
      </c>
      <c r="C61" s="22"/>
      <c r="D61" s="22">
        <f t="shared" si="0"/>
        <v>-4999990</v>
      </c>
      <c r="E61" s="94"/>
      <c r="F61" s="94"/>
    </row>
    <row r="62" spans="1:6">
      <c r="A62" s="34"/>
      <c r="B62" s="25">
        <v>0</v>
      </c>
      <c r="C62" s="25"/>
      <c r="D62" s="25">
        <f t="shared" si="0"/>
        <v>0</v>
      </c>
      <c r="E62" s="94"/>
      <c r="F62" s="94"/>
    </row>
    <row r="63" spans="1:6" s="96" customFormat="1" ht="15.75">
      <c r="A63" s="33"/>
      <c r="B63" s="91"/>
      <c r="C63" s="91"/>
      <c r="D63" s="91"/>
      <c r="E63" s="94"/>
      <c r="F63" s="94"/>
    </row>
    <row r="64" spans="1:6" s="96" customFormat="1">
      <c r="A64" s="87" t="s">
        <v>379</v>
      </c>
      <c r="B64" s="25">
        <v>0</v>
      </c>
      <c r="C64" s="25"/>
      <c r="D64" s="25">
        <f t="shared" ref="D64" si="1">B64+C64</f>
        <v>0</v>
      </c>
      <c r="E64" s="94"/>
      <c r="F64" s="94"/>
    </row>
    <row r="65" spans="1:6" s="96" customFormat="1">
      <c r="A65" s="87"/>
      <c r="B65" s="25"/>
      <c r="C65" s="25"/>
      <c r="D65" s="25"/>
      <c r="E65" s="94"/>
      <c r="F65" s="94"/>
    </row>
    <row r="66" spans="1:6">
      <c r="A66" s="270" t="s">
        <v>108</v>
      </c>
      <c r="B66" s="22">
        <v>11388375</v>
      </c>
      <c r="C66" s="22">
        <f>C67-C68-C69</f>
        <v>0</v>
      </c>
      <c r="D66" s="22">
        <f t="shared" si="0"/>
        <v>11388375</v>
      </c>
      <c r="E66" s="94"/>
      <c r="F66" s="94"/>
    </row>
    <row r="67" spans="1:6">
      <c r="A67" s="267" t="s">
        <v>109</v>
      </c>
      <c r="B67" s="25">
        <v>20000000</v>
      </c>
      <c r="C67" s="25"/>
      <c r="D67" s="25">
        <f t="shared" si="0"/>
        <v>20000000</v>
      </c>
      <c r="E67" s="94"/>
      <c r="F67" s="94"/>
    </row>
    <row r="68" spans="1:6">
      <c r="A68" s="267" t="s">
        <v>110</v>
      </c>
      <c r="B68" s="25">
        <v>7569265</v>
      </c>
      <c r="C68" s="25"/>
      <c r="D68" s="25">
        <f t="shared" si="0"/>
        <v>7569265</v>
      </c>
      <c r="E68" s="94"/>
      <c r="F68" s="94"/>
    </row>
    <row r="69" spans="1:6">
      <c r="A69" s="269" t="s">
        <v>244</v>
      </c>
      <c r="B69" s="25">
        <v>1042360</v>
      </c>
      <c r="C69" s="25"/>
      <c r="D69" s="25">
        <f t="shared" si="0"/>
        <v>1042360</v>
      </c>
      <c r="E69" s="94"/>
      <c r="F69" s="94"/>
    </row>
    <row r="70" spans="1:6" s="96" customFormat="1">
      <c r="A70" s="270"/>
      <c r="B70" s="22">
        <v>0</v>
      </c>
      <c r="C70" s="22"/>
      <c r="D70" s="22">
        <f t="shared" si="0"/>
        <v>0</v>
      </c>
      <c r="E70" s="94"/>
      <c r="F70" s="94"/>
    </row>
    <row r="71" spans="1:6" s="96" customFormat="1">
      <c r="A71" s="270" t="s">
        <v>329</v>
      </c>
      <c r="B71" s="22">
        <v>-2096563</v>
      </c>
      <c r="C71" s="22"/>
      <c r="D71" s="22">
        <f t="shared" si="0"/>
        <v>-2096563</v>
      </c>
      <c r="E71" s="94"/>
      <c r="F71" s="94"/>
    </row>
    <row r="72" spans="1:6">
      <c r="A72" s="35"/>
      <c r="B72" s="22">
        <v>0</v>
      </c>
      <c r="C72" s="22"/>
      <c r="D72" s="22">
        <f t="shared" si="0"/>
        <v>0</v>
      </c>
      <c r="E72" s="94"/>
      <c r="F72" s="94"/>
    </row>
    <row r="73" spans="1:6" s="96" customFormat="1">
      <c r="A73" s="35"/>
      <c r="B73" s="22"/>
      <c r="C73" s="22"/>
      <c r="D73" s="22"/>
      <c r="E73" s="94"/>
      <c r="F73" s="94"/>
    </row>
    <row r="74" spans="1:6" s="96" customFormat="1">
      <c r="A74" s="87" t="s">
        <v>111</v>
      </c>
      <c r="B74" s="22">
        <v>1037927</v>
      </c>
      <c r="C74" s="60">
        <f ca="1">C52+C59+C61-C71-C66</f>
        <v>5934094</v>
      </c>
      <c r="D74" s="60">
        <f ca="1">D52+D59+D61-D71-D66</f>
        <v>6972021</v>
      </c>
      <c r="E74" s="94"/>
      <c r="F74" s="94"/>
    </row>
    <row r="75" spans="1:6" s="96" customFormat="1">
      <c r="A75" s="35"/>
      <c r="B75" s="22">
        <v>0</v>
      </c>
      <c r="C75" s="22"/>
      <c r="D75" s="22">
        <f t="shared" si="0"/>
        <v>0</v>
      </c>
      <c r="E75" s="94"/>
      <c r="F75" s="94"/>
    </row>
    <row r="76" spans="1:6" s="96" customFormat="1">
      <c r="A76" s="7" t="s">
        <v>112</v>
      </c>
      <c r="B76" s="101">
        <f>B13-B51+B67-B56-B61</f>
        <v>595850595</v>
      </c>
      <c r="C76" s="101">
        <f ca="1">C13-C51+C67-C56-C61</f>
        <v>183597</v>
      </c>
      <c r="D76" s="101">
        <f ca="1">D13-D51+D67-D56-D61</f>
        <v>596034192</v>
      </c>
      <c r="E76" s="94"/>
      <c r="F76" s="94"/>
    </row>
    <row r="77" spans="1:6">
      <c r="A77" s="40" t="s">
        <v>113</v>
      </c>
      <c r="B77" s="101">
        <f>B29+B49+B68+B69+B58-B71</f>
        <v>595850595</v>
      </c>
      <c r="C77" s="101">
        <f ca="1">C29+C49+C68+C69+C58-C71</f>
        <v>183597</v>
      </c>
      <c r="D77" s="101">
        <f ca="1">D29+D49+D68+D69+D58-D71</f>
        <v>596034192</v>
      </c>
      <c r="E77" s="94"/>
      <c r="F77" s="94"/>
    </row>
    <row r="78" spans="1:6">
      <c r="A78" s="52"/>
      <c r="B78" s="52"/>
      <c r="C78" s="101">
        <f ca="1">C76-C77</f>
        <v>0</v>
      </c>
      <c r="D78" s="239"/>
    </row>
    <row r="79" spans="1:6">
      <c r="A79" s="52"/>
      <c r="B79" s="52"/>
      <c r="C79" s="37"/>
      <c r="D79" s="37"/>
    </row>
    <row r="80" spans="1:6">
      <c r="A80" s="52"/>
      <c r="B80" s="52"/>
      <c r="C80" s="265"/>
      <c r="D80" s="37"/>
    </row>
    <row r="81" spans="1:4">
      <c r="A81" s="52"/>
      <c r="B81" s="52"/>
      <c r="C81" s="265"/>
      <c r="D81" s="39"/>
    </row>
    <row r="82" spans="1:4">
      <c r="A82" s="40" t="s">
        <v>291</v>
      </c>
      <c r="B82" s="40"/>
      <c r="C82" s="39"/>
      <c r="D82" s="39"/>
    </row>
    <row r="83" spans="1:4">
      <c r="A83" s="20" t="s">
        <v>114</v>
      </c>
      <c r="B83" s="20"/>
      <c r="C83" s="39"/>
      <c r="D83" s="39"/>
    </row>
    <row r="84" spans="1:4">
      <c r="A84" s="38"/>
      <c r="B84" s="38"/>
      <c r="C84" s="39"/>
      <c r="D84" s="39"/>
    </row>
    <row r="85" spans="1:4">
      <c r="A85" s="38"/>
      <c r="B85" s="38"/>
      <c r="C85" s="39"/>
      <c r="D85" s="39"/>
    </row>
    <row r="86" spans="1:4">
      <c r="A86" s="38"/>
      <c r="B86" s="38"/>
      <c r="C86" s="39"/>
      <c r="D86" s="39"/>
    </row>
    <row r="87" spans="1:4">
      <c r="A87" s="38"/>
      <c r="B87" s="38"/>
      <c r="C87" s="39"/>
      <c r="D87" s="39"/>
    </row>
    <row r="88" spans="1:4">
      <c r="A88" s="38"/>
      <c r="B88" s="38"/>
      <c r="C88" s="39"/>
      <c r="D88" s="39"/>
    </row>
    <row r="89" spans="1:4">
      <c r="A89" s="38"/>
      <c r="B89" s="38"/>
      <c r="C89" s="39"/>
      <c r="D89" s="39"/>
    </row>
    <row r="90" spans="1:4">
      <c r="A90" s="38"/>
      <c r="B90" s="38"/>
      <c r="C90" s="39"/>
      <c r="D90" s="39"/>
    </row>
    <row r="91" spans="1:4">
      <c r="A91" s="38"/>
      <c r="B91" s="38"/>
      <c r="C91" s="39"/>
      <c r="D91" s="39"/>
    </row>
    <row r="92" spans="1:4">
      <c r="A92" s="38"/>
      <c r="B92" s="38"/>
      <c r="C92" s="39"/>
      <c r="D92" s="39"/>
    </row>
    <row r="93" spans="1:4">
      <c r="A93" s="38"/>
      <c r="B93" s="38"/>
      <c r="C93" s="39"/>
      <c r="D93" s="39"/>
    </row>
    <row r="94" spans="1:4">
      <c r="A94" s="38"/>
      <c r="B94" s="38"/>
      <c r="C94" s="39"/>
      <c r="D94" s="39"/>
    </row>
    <row r="95" spans="1:4">
      <c r="A95" s="38"/>
      <c r="B95" s="38"/>
      <c r="C95" s="39"/>
      <c r="D95" s="39"/>
    </row>
    <row r="96" spans="1:4">
      <c r="A96" s="38"/>
      <c r="B96" s="38"/>
      <c r="C96" s="39"/>
      <c r="D96" s="39"/>
    </row>
    <row r="97" spans="1:4">
      <c r="A97" s="38"/>
      <c r="B97" s="38"/>
      <c r="C97" s="39"/>
      <c r="D97" s="39"/>
    </row>
    <row r="98" spans="1:4">
      <c r="A98" s="40"/>
      <c r="B98" s="40"/>
      <c r="C98" s="41"/>
      <c r="D98" s="41"/>
    </row>
    <row r="99" spans="1:4">
      <c r="A99" s="42"/>
      <c r="B99" s="42"/>
      <c r="C99" s="43"/>
      <c r="D99" s="43"/>
    </row>
    <row r="100" spans="1:4">
      <c r="A100" s="38"/>
      <c r="B100" s="38"/>
      <c r="C100" s="44"/>
      <c r="D100" s="44"/>
    </row>
    <row r="101" spans="1:4">
      <c r="A101" s="38"/>
      <c r="B101" s="38"/>
      <c r="C101" s="44"/>
      <c r="D101" s="44"/>
    </row>
    <row r="102" spans="1:4">
      <c r="A102" s="38"/>
      <c r="B102" s="38"/>
      <c r="C102" s="44"/>
      <c r="D102" s="44"/>
    </row>
    <row r="103" spans="1:4">
      <c r="A103" s="38"/>
      <c r="B103" s="38"/>
      <c r="C103" s="44"/>
      <c r="D103" s="44"/>
    </row>
    <row r="104" spans="1:4">
      <c r="A104" s="38"/>
      <c r="B104" s="38"/>
      <c r="C104" s="44"/>
      <c r="D104" s="44"/>
    </row>
    <row r="105" spans="1:4">
      <c r="A105" s="38"/>
      <c r="B105" s="38"/>
      <c r="C105" s="44"/>
      <c r="D105" s="44"/>
    </row>
    <row r="106" spans="1:4">
      <c r="A106" s="38"/>
      <c r="B106" s="38"/>
    </row>
    <row r="107" spans="1:4">
      <c r="A107" s="38"/>
      <c r="B107" s="38"/>
    </row>
    <row r="108" spans="1:4">
      <c r="A108" s="38"/>
      <c r="B108" s="38"/>
    </row>
    <row r="109" spans="1:4">
      <c r="A109" s="40"/>
      <c r="B109" s="40"/>
    </row>
    <row r="110" spans="1:4">
      <c r="A110" s="40"/>
      <c r="B110" s="40"/>
    </row>
    <row r="111" spans="1:4">
      <c r="A111" s="42"/>
      <c r="B111" s="42"/>
    </row>
    <row r="112" spans="1:4">
      <c r="A112" s="38"/>
      <c r="B112" s="38"/>
    </row>
    <row r="113" spans="1:2">
      <c r="A113" s="38"/>
      <c r="B113" s="38"/>
    </row>
    <row r="114" spans="1:2">
      <c r="A114" s="38"/>
      <c r="B114" s="38"/>
    </row>
    <row r="115" spans="1:2">
      <c r="A115" s="38"/>
      <c r="B115" s="38"/>
    </row>
    <row r="116" spans="1:2">
      <c r="A116" s="40"/>
      <c r="B116" s="40"/>
    </row>
    <row r="117" spans="1:2">
      <c r="A117" s="45"/>
      <c r="B117" s="45"/>
    </row>
    <row r="118" spans="1:2">
      <c r="A118" s="38"/>
      <c r="B118" s="38"/>
    </row>
    <row r="119" spans="1:2">
      <c r="A119" s="38"/>
      <c r="B119" s="38"/>
    </row>
    <row r="120" spans="1:2">
      <c r="A120" s="40"/>
      <c r="B120" s="40"/>
    </row>
    <row r="121" spans="1:2">
      <c r="A121" s="42"/>
      <c r="B121" s="42"/>
    </row>
    <row r="122" spans="1:2">
      <c r="A122" s="38"/>
      <c r="B122" s="38"/>
    </row>
    <row r="123" spans="1:2">
      <c r="A123" s="38"/>
      <c r="B123" s="38"/>
    </row>
    <row r="124" spans="1:2">
      <c r="A124" s="38"/>
      <c r="B124" s="38"/>
    </row>
    <row r="125" spans="1:2">
      <c r="A125" s="38"/>
      <c r="B125" s="38"/>
    </row>
    <row r="126" spans="1:2">
      <c r="A126" s="20"/>
      <c r="B126" s="20"/>
    </row>
    <row r="127" spans="1:2">
      <c r="A127" s="46"/>
      <c r="B127" s="46"/>
    </row>
    <row r="128" spans="1:2">
      <c r="A128" s="40"/>
      <c r="B128" s="40"/>
    </row>
    <row r="129" spans="1:2">
      <c r="A129" s="42"/>
      <c r="B129" s="42"/>
    </row>
    <row r="130" spans="1:2">
      <c r="A130" s="38"/>
      <c r="B130" s="38"/>
    </row>
    <row r="131" spans="1:2">
      <c r="A131" s="38"/>
      <c r="B131" s="38"/>
    </row>
    <row r="132" spans="1:2">
      <c r="A132" s="38"/>
      <c r="B132" s="38"/>
    </row>
    <row r="133" spans="1:2">
      <c r="A133" s="38"/>
      <c r="B133" s="38"/>
    </row>
    <row r="134" spans="1:2">
      <c r="A134" s="38"/>
      <c r="B134" s="38"/>
    </row>
    <row r="135" spans="1:2">
      <c r="A135" s="38"/>
      <c r="B135" s="38"/>
    </row>
    <row r="136" spans="1:2">
      <c r="A136" s="38"/>
      <c r="B136" s="38"/>
    </row>
    <row r="137" spans="1:2">
      <c r="A137" s="38"/>
      <c r="B137" s="38"/>
    </row>
    <row r="140" spans="1:2">
      <c r="A140" s="40"/>
      <c r="B140" s="40"/>
    </row>
    <row r="141" spans="1:2">
      <c r="A141" s="42"/>
      <c r="B141" s="42"/>
    </row>
    <row r="142" spans="1:2">
      <c r="A142" s="38"/>
      <c r="B142" s="38"/>
    </row>
    <row r="143" spans="1:2">
      <c r="A143" s="38"/>
      <c r="B143" s="38"/>
    </row>
    <row r="146" spans="1:2">
      <c r="A146" s="42"/>
      <c r="B146" s="42"/>
    </row>
    <row r="152" spans="1:2">
      <c r="A152" s="42"/>
      <c r="B152" s="42"/>
    </row>
  </sheetData>
  <mergeCells count="2">
    <mergeCell ref="A1:D1"/>
    <mergeCell ref="A3:D3"/>
  </mergeCells>
  <phoneticPr fontId="28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51"/>
  <sheetViews>
    <sheetView zoomScaleNormal="100" workbookViewId="0">
      <selection sqref="A1:B1"/>
    </sheetView>
  </sheetViews>
  <sheetFormatPr defaultRowHeight="12.75"/>
  <cols>
    <col min="1" max="1" width="49.7109375" customWidth="1"/>
    <col min="2" max="2" width="18.5703125" style="40" customWidth="1"/>
  </cols>
  <sheetData>
    <row r="1" spans="1:3">
      <c r="A1" s="487" t="s">
        <v>383</v>
      </c>
      <c r="B1" s="487"/>
    </row>
    <row r="2" spans="1:3">
      <c r="A2" s="487" t="s">
        <v>319</v>
      </c>
      <c r="B2" s="487"/>
    </row>
    <row r="3" spans="1:3" ht="12" customHeight="1">
      <c r="A3" s="488" t="s">
        <v>382</v>
      </c>
      <c r="B3" s="488"/>
    </row>
    <row r="4" spans="1:3">
      <c r="A4" s="14"/>
      <c r="B4" s="108" t="s">
        <v>66</v>
      </c>
    </row>
    <row r="7" spans="1:3" ht="45">
      <c r="A7" s="92" t="s">
        <v>268</v>
      </c>
    </row>
    <row r="8" spans="1:3" ht="12.75" customHeight="1">
      <c r="A8" s="79"/>
      <c r="B8" s="222" t="s">
        <v>73</v>
      </c>
    </row>
    <row r="9" spans="1:3" s="96" customFormat="1" ht="12.75" customHeight="1">
      <c r="A9" s="79"/>
      <c r="B9" s="189"/>
    </row>
    <row r="10" spans="1:3" s="96" customFormat="1" ht="15">
      <c r="A10" s="79"/>
      <c r="B10" s="190"/>
    </row>
    <row r="11" spans="1:3">
      <c r="A11" s="81" t="s">
        <v>10</v>
      </c>
      <c r="B11" s="60">
        <f ca="1">SUM(B13:B16)</f>
        <v>7930622</v>
      </c>
      <c r="C11" s="94"/>
    </row>
    <row r="12" spans="1:3">
      <c r="B12" s="7"/>
      <c r="C12" s="94"/>
    </row>
    <row r="13" spans="1:3">
      <c r="A13" t="s">
        <v>11</v>
      </c>
      <c r="B13" s="101">
        <f>'1 KOONDEELARVE'!C14+'1 KOONDEELARVE'!C15</f>
        <v>6163000</v>
      </c>
      <c r="C13" s="94"/>
    </row>
    <row r="14" spans="1:3">
      <c r="A14" t="s">
        <v>12</v>
      </c>
      <c r="B14" s="101">
        <f ca="1">'1 KOONDEELARVE'!C16+'1 KOONDEELARVE'!C17</f>
        <v>1437644</v>
      </c>
      <c r="C14" s="94"/>
    </row>
    <row r="15" spans="1:3">
      <c r="A15" t="s">
        <v>13</v>
      </c>
      <c r="B15" s="101">
        <f>'2.3 TOETUSED'!B6+'2.3 TOETUSED'!B11</f>
        <v>84674</v>
      </c>
      <c r="C15" s="94"/>
    </row>
    <row r="16" spans="1:3">
      <c r="A16" t="s">
        <v>14</v>
      </c>
      <c r="B16" s="101">
        <f ca="1">'1 KOONDEELARVE'!C18+'1 KOONDEELARVE'!C23</f>
        <v>245304</v>
      </c>
      <c r="C16" s="94"/>
    </row>
    <row r="17" spans="1:3">
      <c r="A17" s="16"/>
      <c r="B17" s="7"/>
      <c r="C17" s="94"/>
    </row>
    <row r="18" spans="1:3">
      <c r="A18" s="4" t="s">
        <v>15</v>
      </c>
      <c r="B18" s="60">
        <f ca="1">B20+B21+B22</f>
        <v>-3041673</v>
      </c>
      <c r="C18" s="94"/>
    </row>
    <row r="19" spans="1:3">
      <c r="A19" s="16"/>
      <c r="B19" s="7"/>
      <c r="C19" s="94"/>
    </row>
    <row r="20" spans="1:3">
      <c r="A20" s="16" t="s">
        <v>16</v>
      </c>
      <c r="B20" s="82">
        <f>'3 KULUD'!B166+'3 KULUD'!B169+'3 KULUD'!B200+'3 KULUD'!B228+'3 KULUD'!B235+'3 KULUD'!B320+'3 KULUD'!B359+'3 KULUD'!B405+'3 KULUD'!B409+'3 KULUD'!B412+'3 KULUD'!B495+'3 KULUD'!B502</f>
        <v>152512</v>
      </c>
      <c r="C20" s="94"/>
    </row>
    <row r="21" spans="1:3">
      <c r="A21" s="16" t="s">
        <v>17</v>
      </c>
      <c r="B21" s="101">
        <f ca="1">'3 KULUD'!B864-B20-B22-B35</f>
        <v>2500118</v>
      </c>
      <c r="C21" s="94"/>
    </row>
    <row r="22" spans="1:3">
      <c r="A22" s="16" t="s">
        <v>174</v>
      </c>
      <c r="B22" s="101">
        <f>'3 KULUD'!B857+'3 KULUD'!B850+'3 KULUD'!B816+'3 KULUD'!B734+'3 KULUD'!B687+'3 KULUD'!B649</f>
        <v>-5694303</v>
      </c>
      <c r="C22" s="94"/>
    </row>
    <row r="23" spans="1:3">
      <c r="A23" s="16"/>
      <c r="B23" s="7"/>
      <c r="C23" s="94"/>
    </row>
    <row r="24" spans="1:3">
      <c r="A24" s="16" t="s">
        <v>18</v>
      </c>
      <c r="B24" s="101">
        <f ca="1">B11-B18</f>
        <v>10972295</v>
      </c>
      <c r="C24" s="94"/>
    </row>
    <row r="25" spans="1:3">
      <c r="A25" s="16"/>
      <c r="B25" s="7"/>
      <c r="C25" s="94"/>
    </row>
    <row r="26" spans="1:3">
      <c r="A26" s="81" t="s">
        <v>19</v>
      </c>
      <c r="B26" s="60">
        <f>B28-B29+B30-B31+B34-B35-B33</f>
        <v>-3220370</v>
      </c>
      <c r="C26" s="94"/>
    </row>
    <row r="27" spans="1:3">
      <c r="B27" s="7"/>
      <c r="C27" s="94"/>
    </row>
    <row r="28" spans="1:3">
      <c r="A28" t="s">
        <v>20</v>
      </c>
      <c r="B28" s="101">
        <f>'1 KOONDEELARVE'!C20+'1 KOONDEELARVE'!C22</f>
        <v>14900</v>
      </c>
      <c r="C28" s="94"/>
    </row>
    <row r="29" spans="1:3">
      <c r="A29" s="40" t="s">
        <v>21</v>
      </c>
      <c r="B29" s="101">
        <f>'4 INVEST'!D40+'4 INVEST'!D23</f>
        <v>-1371150</v>
      </c>
      <c r="C29" s="94"/>
    </row>
    <row r="30" spans="1:3">
      <c r="A30" t="s">
        <v>22</v>
      </c>
      <c r="B30" s="101">
        <v>0</v>
      </c>
      <c r="C30" s="94"/>
    </row>
    <row r="31" spans="1:3">
      <c r="A31" s="40" t="s">
        <v>23</v>
      </c>
      <c r="B31" s="101">
        <f>'4 INVEST'!D79</f>
        <v>4606420</v>
      </c>
      <c r="C31" s="94"/>
    </row>
    <row r="32" spans="1:3" s="96" customFormat="1">
      <c r="B32" s="101"/>
      <c r="C32" s="94"/>
    </row>
    <row r="33" spans="1:4" s="40" customFormat="1">
      <c r="A33" s="7" t="s">
        <v>349</v>
      </c>
      <c r="B33" s="101">
        <v>0</v>
      </c>
      <c r="C33" s="94"/>
    </row>
    <row r="34" spans="1:4">
      <c r="A34" t="s">
        <v>24</v>
      </c>
      <c r="B34" s="101">
        <f>'1 KOONDEELARVE'!C24+'1 KOONDEELARVE'!C19</f>
        <v>-10000</v>
      </c>
      <c r="C34" s="94"/>
    </row>
    <row r="35" spans="1:4">
      <c r="A35" t="s">
        <v>25</v>
      </c>
      <c r="B35" s="101">
        <f>'3 KULUD'!B855</f>
        <v>-10000</v>
      </c>
      <c r="C35" s="94"/>
    </row>
    <row r="36" spans="1:4">
      <c r="B36" s="7"/>
      <c r="C36" s="94"/>
    </row>
    <row r="37" spans="1:4">
      <c r="A37" t="s">
        <v>26</v>
      </c>
      <c r="B37" s="101">
        <f ca="1">B24+B26</f>
        <v>7751925</v>
      </c>
      <c r="C37" s="94"/>
    </row>
    <row r="38" spans="1:4">
      <c r="B38" s="7"/>
      <c r="C38" s="94"/>
    </row>
    <row r="39" spans="1:4">
      <c r="A39" s="81" t="s">
        <v>27</v>
      </c>
      <c r="B39" s="60">
        <f>B41-B42</f>
        <v>0</v>
      </c>
      <c r="C39" s="94"/>
    </row>
    <row r="40" spans="1:4">
      <c r="B40" s="7"/>
      <c r="C40" s="94"/>
    </row>
    <row r="41" spans="1:4">
      <c r="A41" t="s">
        <v>28</v>
      </c>
      <c r="B41" s="101">
        <f>'1 KOONDEELARVE'!C67</f>
        <v>0</v>
      </c>
      <c r="C41" s="94"/>
    </row>
    <row r="42" spans="1:4">
      <c r="A42" t="s">
        <v>29</v>
      </c>
      <c r="B42" s="101">
        <f>'1 KOONDEELARVE'!C68+'1 KOONDEELARVE'!C69</f>
        <v>0</v>
      </c>
      <c r="C42" s="94"/>
    </row>
    <row r="43" spans="1:4">
      <c r="B43" s="7"/>
      <c r="C43" s="94"/>
    </row>
    <row r="44" spans="1:4">
      <c r="A44" s="81" t="s">
        <v>30</v>
      </c>
      <c r="B44" s="60">
        <f ca="1">B45+B39+B37</f>
        <v>7751925</v>
      </c>
      <c r="C44" s="94"/>
      <c r="D44" s="94"/>
    </row>
    <row r="45" spans="1:4">
      <c r="A45" s="81" t="s">
        <v>31</v>
      </c>
      <c r="B45" s="60">
        <f>-'1 KOONDEELARVE'!C61+'1 KOONDEELARVE'!C71</f>
        <v>0</v>
      </c>
      <c r="C45" s="94"/>
    </row>
    <row r="46" spans="1:4">
      <c r="A46" s="40"/>
      <c r="B46" s="82"/>
    </row>
    <row r="47" spans="1:4">
      <c r="A47" s="80"/>
      <c r="B47" s="82"/>
    </row>
    <row r="48" spans="1:4">
      <c r="A48" s="80"/>
      <c r="B48" s="82"/>
      <c r="C48" s="94"/>
    </row>
    <row r="49" spans="1:2" s="96" customFormat="1">
      <c r="A49" s="80"/>
      <c r="B49" s="82"/>
    </row>
    <row r="50" spans="1:2">
      <c r="A50" s="40" t="s">
        <v>291</v>
      </c>
    </row>
    <row r="51" spans="1:2">
      <c r="A51" s="20" t="s">
        <v>114</v>
      </c>
    </row>
  </sheetData>
  <mergeCells count="3">
    <mergeCell ref="A2:B2"/>
    <mergeCell ref="A1:B1"/>
    <mergeCell ref="A3:B3"/>
  </mergeCells>
  <phoneticPr fontId="28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51"/>
  <sheetViews>
    <sheetView showZeros="0" zoomScaleNormal="100" workbookViewId="0">
      <selection sqref="A1:D1"/>
    </sheetView>
  </sheetViews>
  <sheetFormatPr defaultRowHeight="12.75"/>
  <cols>
    <col min="1" max="1" width="36" customWidth="1"/>
    <col min="2" max="4" width="11.42578125" customWidth="1"/>
    <col min="5" max="5" width="11.140625" bestFit="1" customWidth="1"/>
  </cols>
  <sheetData>
    <row r="1" spans="1:5" ht="12.75" customHeight="1">
      <c r="A1" s="487" t="s">
        <v>383</v>
      </c>
      <c r="B1" s="487"/>
      <c r="C1" s="487"/>
      <c r="D1" s="487"/>
    </row>
    <row r="2" spans="1:5" ht="12.75" customHeight="1">
      <c r="A2" s="487" t="s">
        <v>319</v>
      </c>
      <c r="B2" s="487"/>
      <c r="C2" s="487"/>
      <c r="D2" s="487"/>
    </row>
    <row r="3" spans="1:5" ht="12.75" customHeight="1">
      <c r="A3" s="488" t="s">
        <v>382</v>
      </c>
      <c r="B3" s="488"/>
      <c r="C3" s="488"/>
      <c r="D3" s="488"/>
    </row>
    <row r="4" spans="1:5" ht="12.75" customHeight="1">
      <c r="A4" s="14"/>
      <c r="B4" s="14"/>
      <c r="C4" s="14"/>
      <c r="D4" s="15" t="s">
        <v>115</v>
      </c>
    </row>
    <row r="6" spans="1:5" ht="12.75" customHeight="1"/>
    <row r="7" spans="1:5" ht="15">
      <c r="A7" s="47" t="s">
        <v>116</v>
      </c>
      <c r="B7" s="47"/>
      <c r="C7" s="47"/>
    </row>
    <row r="8" spans="1:5">
      <c r="A8" s="18"/>
      <c r="B8" s="18"/>
      <c r="C8" s="18"/>
      <c r="D8" s="48" t="s">
        <v>73</v>
      </c>
    </row>
    <row r="10" spans="1:5" ht="25.5">
      <c r="A10" s="49" t="s">
        <v>117</v>
      </c>
      <c r="B10" s="50" t="s">
        <v>118</v>
      </c>
      <c r="C10" s="50" t="s">
        <v>119</v>
      </c>
      <c r="D10" s="51" t="s">
        <v>120</v>
      </c>
    </row>
    <row r="11" spans="1:5" ht="7.5" customHeight="1">
      <c r="A11" s="2"/>
      <c r="B11" s="2"/>
      <c r="C11" s="2"/>
      <c r="D11" s="2"/>
    </row>
    <row r="12" spans="1:5">
      <c r="A12" s="52" t="s">
        <v>121</v>
      </c>
      <c r="B12" s="8">
        <f>B14+B17</f>
        <v>6163000</v>
      </c>
      <c r="C12" s="8"/>
      <c r="D12" s="8">
        <f>B12+C12</f>
        <v>6163000</v>
      </c>
      <c r="E12" s="94"/>
    </row>
    <row r="13" spans="1:5">
      <c r="A13" s="2"/>
      <c r="B13" s="53"/>
      <c r="C13" s="53"/>
      <c r="D13" s="53"/>
      <c r="E13" s="94"/>
    </row>
    <row r="14" spans="1:5">
      <c r="A14" s="87" t="s">
        <v>78</v>
      </c>
      <c r="B14" s="8">
        <f>B15</f>
        <v>6000000</v>
      </c>
      <c r="C14" s="54"/>
      <c r="D14" s="8">
        <f t="shared" ref="D14:D49" si="0">B14+C14</f>
        <v>6000000</v>
      </c>
      <c r="E14" s="94"/>
    </row>
    <row r="15" spans="1:5">
      <c r="A15" s="88" t="s">
        <v>122</v>
      </c>
      <c r="B15" s="23">
        <f>'2.1 LK TULUD'!B7</f>
        <v>6000000</v>
      </c>
      <c r="C15" s="56"/>
      <c r="D15" s="23">
        <f t="shared" si="0"/>
        <v>6000000</v>
      </c>
      <c r="E15" s="94"/>
    </row>
    <row r="16" spans="1:5" ht="7.5" customHeight="1">
      <c r="A16" s="69"/>
      <c r="B16" s="23"/>
      <c r="C16" s="57"/>
      <c r="D16" s="23"/>
      <c r="E16" s="94"/>
    </row>
    <row r="17" spans="1:5">
      <c r="A17" s="87" t="s">
        <v>79</v>
      </c>
      <c r="B17" s="8">
        <f>SUM(B18:B20)</f>
        <v>163000</v>
      </c>
      <c r="C17" s="54"/>
      <c r="D17" s="8">
        <f t="shared" si="0"/>
        <v>163000</v>
      </c>
      <c r="E17" s="94"/>
    </row>
    <row r="18" spans="1:5" s="96" customFormat="1">
      <c r="A18" s="402" t="s">
        <v>123</v>
      </c>
      <c r="B18" s="65">
        <f>'2.1 LK TULUD'!B11</f>
        <v>200000</v>
      </c>
      <c r="C18" s="54"/>
      <c r="D18" s="8"/>
      <c r="E18" s="94"/>
    </row>
    <row r="19" spans="1:5" ht="12.75" customHeight="1">
      <c r="A19" s="402" t="s">
        <v>584</v>
      </c>
      <c r="B19" s="23">
        <f>'2.1 LK TULUD'!B14</f>
        <v>100000</v>
      </c>
      <c r="C19" s="56"/>
      <c r="D19" s="23">
        <f t="shared" si="0"/>
        <v>100000</v>
      </c>
      <c r="E19" s="94"/>
    </row>
    <row r="20" spans="1:5" s="96" customFormat="1" ht="12.75" customHeight="1">
      <c r="A20" s="402" t="s">
        <v>591</v>
      </c>
      <c r="B20" s="94">
        <f>'2.1 LK TULUD'!B17</f>
        <v>-137000</v>
      </c>
      <c r="C20" s="56"/>
      <c r="D20" s="94"/>
      <c r="E20" s="94"/>
    </row>
    <row r="21" spans="1:5" s="96" customFormat="1" ht="12.75" customHeight="1">
      <c r="A21" s="88"/>
      <c r="B21" s="94"/>
      <c r="C21" s="56"/>
      <c r="D21" s="94">
        <f t="shared" si="0"/>
        <v>0</v>
      </c>
      <c r="E21" s="94"/>
    </row>
    <row r="22" spans="1:5" s="96" customFormat="1" ht="12.75" customHeight="1">
      <c r="A22" s="398" t="s">
        <v>80</v>
      </c>
      <c r="B22" s="77">
        <f>'2.1 LK TULUD'!B20</f>
        <v>40790</v>
      </c>
      <c r="C22" s="56"/>
      <c r="D22" s="77">
        <f t="shared" si="0"/>
        <v>40790</v>
      </c>
      <c r="E22" s="94"/>
    </row>
    <row r="23" spans="1:5" ht="6.75" customHeight="1">
      <c r="A23" s="58"/>
      <c r="B23" s="23"/>
      <c r="C23" s="59"/>
      <c r="D23" s="94">
        <f t="shared" si="0"/>
        <v>0</v>
      </c>
      <c r="E23" s="94"/>
    </row>
    <row r="24" spans="1:5">
      <c r="A24" s="52" t="s">
        <v>81</v>
      </c>
      <c r="B24" s="8">
        <f>SUM(B25:B28)</f>
        <v>71437</v>
      </c>
      <c r="C24" s="8">
        <f ca="1">SUM(C25:C28)</f>
        <v>1325417</v>
      </c>
      <c r="D24" s="8">
        <f t="shared" ca="1" si="0"/>
        <v>1396854</v>
      </c>
      <c r="E24" s="94"/>
    </row>
    <row r="25" spans="1:5">
      <c r="A25" s="55" t="s">
        <v>70</v>
      </c>
      <c r="B25" s="23"/>
      <c r="C25" s="23">
        <f ca="1">Sheet2!B1</f>
        <v>969094</v>
      </c>
      <c r="D25" s="23">
        <f t="shared" ca="1" si="0"/>
        <v>969094</v>
      </c>
      <c r="E25" s="94"/>
    </row>
    <row r="26" spans="1:5">
      <c r="A26" s="55" t="s">
        <v>192</v>
      </c>
      <c r="B26" s="23"/>
      <c r="C26" s="23">
        <f ca="1">Sheet2!B15</f>
        <v>-21902</v>
      </c>
      <c r="D26" s="23">
        <f t="shared" ca="1" si="0"/>
        <v>-21902</v>
      </c>
      <c r="E26" s="94"/>
    </row>
    <row r="27" spans="1:5">
      <c r="A27" s="55" t="s">
        <v>216</v>
      </c>
      <c r="B27" s="23">
        <f>'2.1 LK TULUD'!B23</f>
        <v>71437</v>
      </c>
      <c r="C27" s="23">
        <f ca="1">Sheet2!B14</f>
        <v>36390</v>
      </c>
      <c r="D27" s="23">
        <f t="shared" ca="1" si="0"/>
        <v>107827</v>
      </c>
      <c r="E27" s="94"/>
    </row>
    <row r="28" spans="1:5">
      <c r="A28" s="55" t="s">
        <v>195</v>
      </c>
      <c r="B28" s="23"/>
      <c r="C28" s="23">
        <f ca="1">Sheet2!B13</f>
        <v>341835</v>
      </c>
      <c r="D28" s="23">
        <f t="shared" ca="1" si="0"/>
        <v>341835</v>
      </c>
      <c r="E28" s="94"/>
    </row>
    <row r="29" spans="1:5" ht="7.5" customHeight="1">
      <c r="A29" s="2"/>
      <c r="B29" s="23"/>
      <c r="C29" s="53"/>
      <c r="D29" s="23"/>
      <c r="E29" s="94"/>
    </row>
    <row r="30" spans="1:5">
      <c r="A30" s="52" t="s">
        <v>82</v>
      </c>
      <c r="B30" s="60">
        <f>SUM(B31:B32)</f>
        <v>221738</v>
      </c>
      <c r="C30" s="60">
        <f ca="1">SUM(C32:C32)</f>
        <v>0</v>
      </c>
      <c r="D30" s="60">
        <f t="shared" ca="1" si="0"/>
        <v>221738</v>
      </c>
      <c r="E30" s="94"/>
    </row>
    <row r="31" spans="1:5" s="96" customFormat="1">
      <c r="A31" s="106" t="s">
        <v>592</v>
      </c>
      <c r="B31" s="94">
        <f>'2.1 LK TULUD'!B31</f>
        <v>29000</v>
      </c>
      <c r="C31" s="94"/>
      <c r="D31" s="94">
        <f t="shared" si="0"/>
        <v>29000</v>
      </c>
      <c r="E31" s="94"/>
    </row>
    <row r="32" spans="1:5">
      <c r="A32" s="55" t="s">
        <v>214</v>
      </c>
      <c r="B32" s="23">
        <f>'2.1 LK TULUD'!B33</f>
        <v>192738</v>
      </c>
      <c r="C32" s="23">
        <f ca="1">Sheet2!B12</f>
        <v>0</v>
      </c>
      <c r="D32" s="23">
        <f t="shared" ca="1" si="0"/>
        <v>192738</v>
      </c>
      <c r="E32" s="94"/>
    </row>
    <row r="33" spans="1:5" s="96" customFormat="1">
      <c r="A33" s="55"/>
      <c r="B33" s="94"/>
      <c r="C33" s="94"/>
      <c r="D33" s="94">
        <f t="shared" si="0"/>
        <v>0</v>
      </c>
      <c r="E33" s="94"/>
    </row>
    <row r="34" spans="1:5" s="96" customFormat="1">
      <c r="A34" s="398" t="s">
        <v>83</v>
      </c>
      <c r="B34" s="77">
        <f>B35</f>
        <v>-10000</v>
      </c>
      <c r="C34" s="94"/>
      <c r="D34" s="77">
        <f t="shared" si="0"/>
        <v>-10000</v>
      </c>
      <c r="E34" s="94"/>
    </row>
    <row r="35" spans="1:5" s="96" customFormat="1">
      <c r="A35" s="397" t="s">
        <v>587</v>
      </c>
      <c r="B35" s="94">
        <f>'2.1 LK TULUD'!B47</f>
        <v>-10000</v>
      </c>
      <c r="C35" s="94"/>
      <c r="D35" s="94">
        <f t="shared" si="0"/>
        <v>-10000</v>
      </c>
      <c r="E35" s="94"/>
    </row>
    <row r="36" spans="1:5" ht="9" customHeight="1">
      <c r="A36" s="2"/>
      <c r="B36" s="23"/>
      <c r="C36" s="53"/>
      <c r="D36" s="94">
        <f t="shared" si="0"/>
        <v>0</v>
      </c>
      <c r="E36" s="94"/>
    </row>
    <row r="37" spans="1:5">
      <c r="A37" s="52" t="s">
        <v>124</v>
      </c>
      <c r="B37" s="60">
        <f>SUM(B38:B38)</f>
        <v>14900</v>
      </c>
      <c r="C37" s="8"/>
      <c r="D37" s="60">
        <f t="shared" si="0"/>
        <v>14900</v>
      </c>
      <c r="E37" s="94"/>
    </row>
    <row r="38" spans="1:5">
      <c r="A38" s="55" t="s">
        <v>136</v>
      </c>
      <c r="B38" s="23">
        <f>'2.1 LK TULUD'!B51</f>
        <v>14900</v>
      </c>
      <c r="C38" s="53"/>
      <c r="D38" s="23">
        <f t="shared" si="0"/>
        <v>14900</v>
      </c>
      <c r="E38" s="94"/>
    </row>
    <row r="39" spans="1:5" ht="9" customHeight="1">
      <c r="A39" s="2"/>
      <c r="B39" s="23"/>
      <c r="C39" s="53"/>
      <c r="D39" s="23"/>
      <c r="E39" s="94"/>
    </row>
    <row r="40" spans="1:5">
      <c r="A40" s="52" t="s">
        <v>87</v>
      </c>
      <c r="B40" s="60">
        <f>SUM(B41:B41)</f>
        <v>23566</v>
      </c>
      <c r="C40" s="8"/>
      <c r="D40" s="60">
        <f t="shared" si="0"/>
        <v>23566</v>
      </c>
      <c r="E40" s="94"/>
    </row>
    <row r="41" spans="1:5">
      <c r="A41" s="397" t="s">
        <v>71</v>
      </c>
      <c r="B41" s="23">
        <f>'2.1 LK TULUD'!B56</f>
        <v>23566</v>
      </c>
      <c r="C41" s="56"/>
      <c r="D41" s="23">
        <f t="shared" si="0"/>
        <v>23566</v>
      </c>
      <c r="E41" s="94"/>
    </row>
    <row r="42" spans="1:5" ht="8.25" customHeight="1">
      <c r="A42" s="52"/>
      <c r="B42" s="23"/>
      <c r="C42" s="8"/>
      <c r="D42" s="23"/>
      <c r="E42" s="94"/>
    </row>
    <row r="43" spans="1:5">
      <c r="A43" s="61" t="s">
        <v>125</v>
      </c>
      <c r="B43" s="60">
        <f>B12+B24+B30+B37+B40+B34+B22</f>
        <v>6525431</v>
      </c>
      <c r="C43" s="60">
        <f ca="1">C12+C24+C30+C37+C40</f>
        <v>1325417</v>
      </c>
      <c r="D43" s="60">
        <f ca="1">D12+D24+D30+D37+D40+D34</f>
        <v>7810058</v>
      </c>
      <c r="E43" s="94"/>
    </row>
    <row r="44" spans="1:5" ht="7.5" customHeight="1">
      <c r="A44" s="52"/>
      <c r="B44" s="23"/>
      <c r="C44" s="8"/>
      <c r="D44" s="23"/>
      <c r="E44" s="94"/>
    </row>
    <row r="45" spans="1:5">
      <c r="A45" s="52" t="s">
        <v>126</v>
      </c>
      <c r="B45" s="60">
        <f>SUM(B46:B46)</f>
        <v>0</v>
      </c>
      <c r="C45" s="60">
        <f>SUM(C46:C47)</f>
        <v>84674</v>
      </c>
      <c r="D45" s="60">
        <f t="shared" si="0"/>
        <v>84674</v>
      </c>
      <c r="E45" s="94"/>
    </row>
    <row r="46" spans="1:5">
      <c r="A46" s="63" t="s">
        <v>330</v>
      </c>
      <c r="B46" s="23"/>
      <c r="C46" s="23">
        <f>'2.3 TOETUSED'!B11</f>
        <v>84256</v>
      </c>
      <c r="D46" s="23">
        <f t="shared" si="0"/>
        <v>84256</v>
      </c>
      <c r="E46" s="94"/>
    </row>
    <row r="47" spans="1:5" s="96" customFormat="1">
      <c r="A47" s="106" t="s">
        <v>589</v>
      </c>
      <c r="B47" s="94"/>
      <c r="C47" s="94">
        <f>'2.3 TOETUSED'!B6</f>
        <v>418</v>
      </c>
      <c r="D47" s="94">
        <f t="shared" si="0"/>
        <v>418</v>
      </c>
      <c r="E47" s="94"/>
    </row>
    <row r="48" spans="1:5" ht="9.75" customHeight="1">
      <c r="A48" s="2"/>
      <c r="B48" s="23"/>
      <c r="C48" s="53"/>
      <c r="D48" s="23"/>
      <c r="E48" s="94"/>
    </row>
    <row r="49" spans="1:5">
      <c r="A49" s="52" t="s">
        <v>120</v>
      </c>
      <c r="B49" s="60">
        <f>B43+B45</f>
        <v>6525431</v>
      </c>
      <c r="C49" s="60">
        <f ca="1">C43+C45</f>
        <v>1410091</v>
      </c>
      <c r="D49" s="60">
        <f t="shared" ca="1" si="0"/>
        <v>7935522</v>
      </c>
      <c r="E49" s="94"/>
    </row>
    <row r="50" spans="1:5">
      <c r="D50" s="94"/>
    </row>
    <row r="51" spans="1:5">
      <c r="B51" s="94">
        <f>B43-'2.1 LK TULUD'!B64</f>
        <v>0</v>
      </c>
      <c r="D51" s="94"/>
    </row>
  </sheetData>
  <mergeCells count="3">
    <mergeCell ref="A1:D1"/>
    <mergeCell ref="A2:D2"/>
    <mergeCell ref="A3:D3"/>
  </mergeCells>
  <phoneticPr fontId="28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64"/>
  <sheetViews>
    <sheetView showZeros="0" zoomScaleNormal="100" workbookViewId="0"/>
  </sheetViews>
  <sheetFormatPr defaultColWidth="9.140625" defaultRowHeight="12.75"/>
  <cols>
    <col min="1" max="1" width="47.28515625" style="93" customWidth="1"/>
    <col min="2" max="2" width="16.5703125" style="93" customWidth="1"/>
    <col min="3" max="16384" width="9.140625" style="93"/>
  </cols>
  <sheetData>
    <row r="1" spans="1:2" ht="15">
      <c r="A1" s="62" t="s">
        <v>128</v>
      </c>
    </row>
    <row r="2" spans="1:2">
      <c r="A2" s="105"/>
      <c r="B2" s="3" t="s">
        <v>73</v>
      </c>
    </row>
    <row r="3" spans="1:2">
      <c r="A3" s="105"/>
      <c r="B3" s="3"/>
    </row>
    <row r="4" spans="1:2">
      <c r="A4" s="105"/>
      <c r="B4" s="3"/>
    </row>
    <row r="5" spans="1:2">
      <c r="A5" s="105"/>
      <c r="B5" s="3"/>
    </row>
    <row r="6" spans="1:2">
      <c r="A6" s="64" t="s">
        <v>78</v>
      </c>
      <c r="B6" s="400">
        <f>B7</f>
        <v>6000000</v>
      </c>
    </row>
    <row r="7" spans="1:2">
      <c r="A7" s="66" t="s">
        <v>122</v>
      </c>
      <c r="B7" s="207">
        <f>B8</f>
        <v>6000000</v>
      </c>
    </row>
    <row r="8" spans="1:2">
      <c r="A8" s="68" t="s">
        <v>118</v>
      </c>
      <c r="B8" s="403">
        <v>6000000</v>
      </c>
    </row>
    <row r="9" spans="1:2">
      <c r="A9" s="66"/>
      <c r="B9" s="207"/>
    </row>
    <row r="10" spans="1:2">
      <c r="A10" s="64" t="s">
        <v>79</v>
      </c>
      <c r="B10" s="400">
        <f>B14+B11+B17</f>
        <v>163000</v>
      </c>
    </row>
    <row r="11" spans="1:2">
      <c r="A11" s="66" t="s">
        <v>123</v>
      </c>
      <c r="B11" s="207">
        <f>B12</f>
        <v>200000</v>
      </c>
    </row>
    <row r="12" spans="1:2">
      <c r="A12" s="68" t="s">
        <v>129</v>
      </c>
      <c r="B12" s="403">
        <v>200000</v>
      </c>
    </row>
    <row r="13" spans="1:2">
      <c r="A13" s="67"/>
      <c r="B13" s="403"/>
    </row>
    <row r="14" spans="1:2">
      <c r="A14" s="66" t="s">
        <v>584</v>
      </c>
      <c r="B14" s="207">
        <f>B15</f>
        <v>100000</v>
      </c>
    </row>
    <row r="15" spans="1:2">
      <c r="A15" s="68" t="s">
        <v>130</v>
      </c>
      <c r="B15" s="403">
        <v>100000</v>
      </c>
    </row>
    <row r="16" spans="1:2">
      <c r="A16" s="67"/>
      <c r="B16" s="403"/>
    </row>
    <row r="17" spans="1:2">
      <c r="A17" s="66" t="s">
        <v>591</v>
      </c>
      <c r="B17" s="207">
        <f>B18</f>
        <v>-137000</v>
      </c>
    </row>
    <row r="18" spans="1:2">
      <c r="A18" s="68" t="s">
        <v>130</v>
      </c>
      <c r="B18" s="403">
        <v>-137000</v>
      </c>
    </row>
    <row r="19" spans="1:2">
      <c r="A19" s="68"/>
      <c r="B19" s="403"/>
    </row>
    <row r="20" spans="1:2">
      <c r="A20" s="64" t="s">
        <v>80</v>
      </c>
      <c r="B20" s="400">
        <f>SUM(B21:B21)</f>
        <v>40790</v>
      </c>
    </row>
    <row r="21" spans="1:2">
      <c r="A21" s="68" t="s">
        <v>130</v>
      </c>
      <c r="B21" s="403">
        <v>40790</v>
      </c>
    </row>
    <row r="22" spans="1:2">
      <c r="A22" s="68"/>
      <c r="B22" s="403"/>
    </row>
    <row r="23" spans="1:2">
      <c r="A23" s="396" t="s">
        <v>216</v>
      </c>
      <c r="B23" s="400">
        <f>B24+B26</f>
        <v>71437</v>
      </c>
    </row>
    <row r="24" spans="1:2">
      <c r="A24" s="263" t="s">
        <v>585</v>
      </c>
      <c r="B24" s="207">
        <f>B25</f>
        <v>21437</v>
      </c>
    </row>
    <row r="25" spans="1:2">
      <c r="A25" s="68" t="s">
        <v>132</v>
      </c>
      <c r="B25" s="403">
        <v>21437</v>
      </c>
    </row>
    <row r="26" spans="1:2">
      <c r="A26" s="263" t="s">
        <v>133</v>
      </c>
      <c r="B26" s="207">
        <f>B27</f>
        <v>50000</v>
      </c>
    </row>
    <row r="27" spans="1:2">
      <c r="A27" s="68" t="s">
        <v>132</v>
      </c>
      <c r="B27" s="403">
        <v>50000</v>
      </c>
    </row>
    <row r="28" spans="1:2">
      <c r="A28" s="66"/>
      <c r="B28" s="207"/>
    </row>
    <row r="29" spans="1:2">
      <c r="A29" s="64" t="s">
        <v>82</v>
      </c>
      <c r="B29" s="400">
        <f>B33+B31</f>
        <v>221738</v>
      </c>
    </row>
    <row r="30" spans="1:2">
      <c r="A30" s="67"/>
      <c r="B30" s="403"/>
    </row>
    <row r="31" spans="1:2">
      <c r="A31" s="66" t="s">
        <v>592</v>
      </c>
      <c r="B31" s="207">
        <v>29000</v>
      </c>
    </row>
    <row r="32" spans="1:2">
      <c r="A32" s="67"/>
      <c r="B32" s="403"/>
    </row>
    <row r="33" spans="1:2">
      <c r="A33" s="66" t="s">
        <v>214</v>
      </c>
      <c r="B33" s="207">
        <f>+B36+B34</f>
        <v>192738</v>
      </c>
    </row>
    <row r="34" spans="1:2">
      <c r="A34" s="263" t="s">
        <v>357</v>
      </c>
      <c r="B34" s="207">
        <f>B35</f>
        <v>17300</v>
      </c>
    </row>
    <row r="35" spans="1:2">
      <c r="A35" s="58" t="s">
        <v>131</v>
      </c>
      <c r="B35" s="401">
        <v>17300</v>
      </c>
    </row>
    <row r="36" spans="1:2" s="95" customFormat="1">
      <c r="A36" s="263" t="s">
        <v>32</v>
      </c>
      <c r="B36" s="207">
        <f>SUM(B37:B44)</f>
        <v>175438</v>
      </c>
    </row>
    <row r="37" spans="1:2" s="95" customFormat="1">
      <c r="A37" s="68" t="s">
        <v>586</v>
      </c>
      <c r="B37" s="403">
        <v>22775</v>
      </c>
    </row>
    <row r="38" spans="1:2" s="95" customFormat="1">
      <c r="A38" s="68" t="s">
        <v>148</v>
      </c>
      <c r="B38" s="403">
        <f>139+5708</f>
        <v>5847</v>
      </c>
    </row>
    <row r="39" spans="1:2" s="95" customFormat="1">
      <c r="A39" s="68" t="s">
        <v>320</v>
      </c>
      <c r="B39" s="403">
        <v>1200</v>
      </c>
    </row>
    <row r="40" spans="1:2" s="95" customFormat="1">
      <c r="A40" s="68" t="s">
        <v>156</v>
      </c>
      <c r="B40" s="403">
        <f>1061+1026</f>
        <v>2087</v>
      </c>
    </row>
    <row r="41" spans="1:2" s="95" customFormat="1">
      <c r="A41" s="58" t="s">
        <v>177</v>
      </c>
      <c r="B41" s="401">
        <v>108720</v>
      </c>
    </row>
    <row r="42" spans="1:2" s="95" customFormat="1">
      <c r="A42" s="58" t="s">
        <v>176</v>
      </c>
      <c r="B42" s="401">
        <v>10080</v>
      </c>
    </row>
    <row r="43" spans="1:2" s="95" customFormat="1">
      <c r="A43" s="58" t="s">
        <v>132</v>
      </c>
      <c r="B43" s="401">
        <v>24300</v>
      </c>
    </row>
    <row r="44" spans="1:2">
      <c r="A44" s="68" t="s">
        <v>188</v>
      </c>
      <c r="B44" s="403">
        <v>429</v>
      </c>
    </row>
    <row r="45" spans="1:2">
      <c r="A45" s="67"/>
      <c r="B45" s="403"/>
    </row>
    <row r="46" spans="1:2">
      <c r="A46" s="64" t="s">
        <v>83</v>
      </c>
      <c r="B46" s="400">
        <f>B47</f>
        <v>-10000</v>
      </c>
    </row>
    <row r="47" spans="1:2">
      <c r="A47" s="66" t="s">
        <v>587</v>
      </c>
      <c r="B47" s="207">
        <f>B48</f>
        <v>-10000</v>
      </c>
    </row>
    <row r="48" spans="1:2">
      <c r="A48" s="68" t="s">
        <v>118</v>
      </c>
      <c r="B48" s="403">
        <v>-10000</v>
      </c>
    </row>
    <row r="49" spans="1:2">
      <c r="A49" s="66"/>
      <c r="B49" s="207"/>
    </row>
    <row r="50" spans="1:2">
      <c r="A50" s="64" t="s">
        <v>124</v>
      </c>
      <c r="B50" s="400">
        <f>B51</f>
        <v>14900</v>
      </c>
    </row>
    <row r="51" spans="1:2">
      <c r="A51" s="263" t="s">
        <v>136</v>
      </c>
      <c r="B51" s="207">
        <f>B52+B53</f>
        <v>14900</v>
      </c>
    </row>
    <row r="52" spans="1:2">
      <c r="A52" s="68" t="s">
        <v>320</v>
      </c>
      <c r="B52" s="403">
        <v>3000</v>
      </c>
    </row>
    <row r="53" spans="1:2">
      <c r="A53" s="68" t="s">
        <v>135</v>
      </c>
      <c r="B53" s="403">
        <v>11900</v>
      </c>
    </row>
    <row r="54" spans="1:2">
      <c r="A54" s="263"/>
      <c r="B54" s="207"/>
    </row>
    <row r="55" spans="1:2">
      <c r="A55" s="64" t="s">
        <v>87</v>
      </c>
      <c r="B55" s="400">
        <f>B56</f>
        <v>23566</v>
      </c>
    </row>
    <row r="56" spans="1:2">
      <c r="A56" s="66" t="s">
        <v>137</v>
      </c>
      <c r="B56" s="207">
        <f>SUM(B57:B62)</f>
        <v>23566</v>
      </c>
    </row>
    <row r="57" spans="1:2">
      <c r="A57" s="68" t="s">
        <v>148</v>
      </c>
      <c r="B57" s="403">
        <v>177</v>
      </c>
    </row>
    <row r="58" spans="1:2">
      <c r="A58" s="68" t="s">
        <v>180</v>
      </c>
      <c r="B58" s="403">
        <v>1100</v>
      </c>
    </row>
    <row r="59" spans="1:2">
      <c r="A59" s="68" t="s">
        <v>588</v>
      </c>
      <c r="B59" s="403">
        <f>10370+130</f>
        <v>10500</v>
      </c>
    </row>
    <row r="60" spans="1:2">
      <c r="A60" s="68" t="s">
        <v>188</v>
      </c>
      <c r="B60" s="403">
        <v>689</v>
      </c>
    </row>
    <row r="61" spans="1:2">
      <c r="A61" s="68" t="s">
        <v>189</v>
      </c>
      <c r="B61" s="403">
        <v>7500</v>
      </c>
    </row>
    <row r="62" spans="1:2">
      <c r="A62" s="68" t="s">
        <v>34</v>
      </c>
      <c r="B62" s="403">
        <v>3600</v>
      </c>
    </row>
    <row r="63" spans="1:2">
      <c r="A63" s="67"/>
      <c r="B63" s="403"/>
    </row>
    <row r="64" spans="1:2">
      <c r="A64" s="64" t="s">
        <v>72</v>
      </c>
      <c r="B64" s="400">
        <f>B6+B10+B20+B23+B29+B46+B50+B55</f>
        <v>6525431</v>
      </c>
    </row>
  </sheetData>
  <phoneticPr fontId="28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1"/>
  <sheetViews>
    <sheetView workbookViewId="0">
      <selection activeCell="A20" sqref="A20:B20"/>
    </sheetView>
  </sheetViews>
  <sheetFormatPr defaultColWidth="9.140625" defaultRowHeight="12.75"/>
  <cols>
    <col min="1" max="1" width="40" style="40" bestFit="1" customWidth="1"/>
    <col min="2" max="2" width="11.7109375" style="40" bestFit="1" customWidth="1"/>
    <col min="3" max="16384" width="9.140625" style="40"/>
  </cols>
  <sheetData>
    <row r="1" spans="1:4">
      <c r="A1" s="7" t="s">
        <v>70</v>
      </c>
      <c r="B1" s="12">
        <f ca="1">SUM(B2:B11)</f>
        <v>969094</v>
      </c>
      <c r="C1" s="7"/>
      <c r="D1" s="7"/>
    </row>
    <row r="2" spans="1:4">
      <c r="A2" s="9" t="s">
        <v>199</v>
      </c>
      <c r="B2" s="12">
        <f ca="1">SUMIF('2.2 OMATULUD'!$A$5:B$489,$A2,'2.2 OMATULUD'!B$5:B$489)</f>
        <v>659700</v>
      </c>
      <c r="C2" s="7"/>
      <c r="D2" s="7"/>
    </row>
    <row r="3" spans="1:4">
      <c r="A3" s="9" t="s">
        <v>219</v>
      </c>
      <c r="B3" s="12">
        <f ca="1">SUMIF('2.2 OMATULUD'!$A$5:B$489,$A3,'2.2 OMATULUD'!B$5:B$489)</f>
        <v>-32195</v>
      </c>
      <c r="C3" s="7"/>
      <c r="D3" s="7"/>
    </row>
    <row r="4" spans="1:4">
      <c r="A4" s="9" t="s">
        <v>200</v>
      </c>
      <c r="B4" s="12">
        <f ca="1">SUMIF('2.2 OMATULUD'!$A$5:B$489,$A4,'2.2 OMATULUD'!B$5:B$489)</f>
        <v>56635</v>
      </c>
      <c r="C4" s="7"/>
      <c r="D4" s="7"/>
    </row>
    <row r="5" spans="1:4">
      <c r="A5" s="9" t="s">
        <v>228</v>
      </c>
      <c r="B5" s="12">
        <f ca="1">SUMIF('2.2 OMATULUD'!$A$5:B$489,$A5,'2.2 OMATULUD'!B$5:B$489)</f>
        <v>260000</v>
      </c>
      <c r="C5" s="7"/>
      <c r="D5" s="7"/>
    </row>
    <row r="6" spans="1:4">
      <c r="A6" s="9" t="s">
        <v>221</v>
      </c>
      <c r="B6" s="12">
        <f ca="1">SUMIF('2.2 OMATULUD'!$A$5:B$489,$A6,'2.2 OMATULUD'!B$5:B$489)</f>
        <v>25</v>
      </c>
      <c r="C6" s="7"/>
      <c r="D6" s="7"/>
    </row>
    <row r="7" spans="1:4">
      <c r="A7" s="9" t="s">
        <v>222</v>
      </c>
      <c r="B7" s="12">
        <f ca="1">SUMIF('2.2 OMATULUD'!$A$5:B$489,$A7,'2.2 OMATULUD'!B$5:B$489)</f>
        <v>42473</v>
      </c>
      <c r="C7" s="7"/>
      <c r="D7" s="7"/>
    </row>
    <row r="8" spans="1:4">
      <c r="A8" s="9" t="s">
        <v>201</v>
      </c>
      <c r="B8" s="12">
        <f ca="1">SUMIF('2.2 OMATULUD'!$A$5:B$489,$A8,'2.2 OMATULUD'!B$5:B$489)</f>
        <v>-19069</v>
      </c>
      <c r="C8" s="7"/>
      <c r="D8" s="7"/>
    </row>
    <row r="9" spans="1:4">
      <c r="A9" s="9" t="s">
        <v>224</v>
      </c>
      <c r="B9" s="12">
        <f ca="1">SUMIF('2.2 OMATULUD'!$A$5:B$489,$A9,'2.2 OMATULUD'!B$5:B$489)</f>
        <v>1525</v>
      </c>
      <c r="C9" s="7"/>
      <c r="D9" s="7"/>
    </row>
    <row r="10" spans="1:4">
      <c r="A10" s="9" t="s">
        <v>197</v>
      </c>
      <c r="B10" s="12">
        <f ca="1">SUMIF('2.2 OMATULUD'!$A$5:B$489,$A10,'2.2 OMATULUD'!B$5:B$489)</f>
        <v>0</v>
      </c>
      <c r="C10" s="7"/>
      <c r="D10" s="7"/>
    </row>
    <row r="11" spans="1:4">
      <c r="A11" s="10" t="s">
        <v>227</v>
      </c>
      <c r="B11" s="12">
        <f ca="1">SUMIF('2.2 OMATULUD'!$A$5:B$489,$A11,'2.2 OMATULUD'!B$5:B$489)</f>
        <v>0</v>
      </c>
      <c r="C11" s="7"/>
      <c r="D11" s="7"/>
    </row>
    <row r="12" spans="1:4">
      <c r="A12" s="7" t="s">
        <v>214</v>
      </c>
      <c r="B12" s="12">
        <f ca="1">SUMIF('2.2 OMATULUD'!$A$5:B$489,$A12,'2.2 OMATULUD'!B$5:B$489)</f>
        <v>0</v>
      </c>
      <c r="C12" s="7"/>
      <c r="D12" s="7"/>
    </row>
    <row r="13" spans="1:4">
      <c r="A13" s="7" t="s">
        <v>195</v>
      </c>
      <c r="B13" s="12">
        <f ca="1">SUMIF('2.2 OMATULUD'!$A$5:B$489,$A13,'2.2 OMATULUD'!B$5:B$489)</f>
        <v>341835</v>
      </c>
      <c r="C13" s="7"/>
      <c r="D13" s="7"/>
    </row>
    <row r="14" spans="1:4">
      <c r="A14" s="7" t="s">
        <v>216</v>
      </c>
      <c r="B14" s="12">
        <f ca="1">SUMIF('2.2 OMATULUD'!$A$5:B$489,$A14,'2.2 OMATULUD'!B$5:B$489)</f>
        <v>36390</v>
      </c>
      <c r="C14" s="7"/>
      <c r="D14" s="7"/>
    </row>
    <row r="15" spans="1:4">
      <c r="A15" s="7" t="s">
        <v>192</v>
      </c>
      <c r="B15" s="12">
        <f ca="1">SUMIF('2.2 OMATULUD'!$A$5:B$489,$A15,'2.2 OMATULUD'!B$5:B$489)</f>
        <v>-21902</v>
      </c>
      <c r="C15" s="7"/>
      <c r="D15" s="7"/>
    </row>
    <row r="16" spans="1:4">
      <c r="A16" s="215" t="s">
        <v>71</v>
      </c>
      <c r="B16" s="12">
        <f ca="1">SUMIF('2.2 OMATULUD'!$A$5:B$489,$A16,'2.2 OMATULUD'!B$5:B$489)</f>
        <v>0</v>
      </c>
      <c r="C16" s="7"/>
      <c r="D16" s="7"/>
    </row>
    <row r="17" spans="1:4">
      <c r="A17" s="109" t="s">
        <v>283</v>
      </c>
      <c r="B17" s="12">
        <f ca="1">SUMIF('2.2 OMATULUD'!$A$5:B$489,$A17,'2.2 OMATULUD'!B$5:B$489)</f>
        <v>0</v>
      </c>
      <c r="C17" s="7"/>
      <c r="D17" s="7"/>
    </row>
    <row r="18" spans="1:4">
      <c r="A18" s="4" t="s">
        <v>72</v>
      </c>
      <c r="B18" s="13">
        <f ca="1">B12+B13+B14+B15+B1+B17</f>
        <v>1325417</v>
      </c>
      <c r="C18" s="7"/>
      <c r="D18" s="7"/>
    </row>
    <row r="19" spans="1:4">
      <c r="A19" s="7"/>
      <c r="B19" s="101">
        <f ca="1">B18-'2.2 OMATULUD'!B489</f>
        <v>0</v>
      </c>
      <c r="C19" s="7"/>
      <c r="D19" s="7"/>
    </row>
    <row r="20" spans="1:4">
      <c r="A20" s="370" t="s">
        <v>145</v>
      </c>
      <c r="B20" s="371">
        <f ca="1">SUMIF('3 KULUD'!$A13:B863,A20,'3 KULUD'!B13:B863)-'3 KULUD'!B92-'3 KULUD'!B136-'3 KULUD'!B184-'3 KULUD'!B217-'3 KULUD'!B248-'3 KULUD'!B270-'3 KULUD'!B282-'3 KULUD'!B304-'3 KULUD'!B374-'3 KULUD'!B484-'3 KULUD'!B209</f>
        <v>216408</v>
      </c>
      <c r="C20" s="7"/>
      <c r="D20" s="7"/>
    </row>
    <row r="21" spans="1:4">
      <c r="A21" s="216"/>
      <c r="B21" s="230"/>
      <c r="C21" s="7"/>
      <c r="D21" s="7"/>
    </row>
    <row r="23" spans="1:4">
      <c r="A23" s="219"/>
      <c r="B23" s="220"/>
    </row>
    <row r="24" spans="1:4">
      <c r="A24" s="108"/>
      <c r="B24" s="82"/>
    </row>
    <row r="25" spans="1:4">
      <c r="A25" s="108"/>
      <c r="B25" s="82"/>
    </row>
    <row r="29" spans="1:4">
      <c r="A29" s="219"/>
      <c r="B29" s="220"/>
    </row>
    <row r="30" spans="1:4">
      <c r="A30" s="217"/>
      <c r="B30" s="82"/>
    </row>
    <row r="31" spans="1:4">
      <c r="A31" s="218"/>
      <c r="B31" s="82"/>
    </row>
  </sheetData>
  <phoneticPr fontId="2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489"/>
  <sheetViews>
    <sheetView zoomScaleNormal="100" workbookViewId="0"/>
  </sheetViews>
  <sheetFormatPr defaultColWidth="9.140625" defaultRowHeight="12.75"/>
  <cols>
    <col min="1" max="1" width="57.5703125" style="66" customWidth="1"/>
    <col min="2" max="2" width="14.140625" style="207" customWidth="1"/>
    <col min="3" max="16384" width="9.140625" style="100"/>
  </cols>
  <sheetData>
    <row r="1" spans="1:2" ht="15">
      <c r="A1" s="1" t="s">
        <v>190</v>
      </c>
      <c r="B1" s="11"/>
    </row>
    <row r="2" spans="1:2">
      <c r="B2" s="196" t="s">
        <v>73</v>
      </c>
    </row>
    <row r="5" spans="1:2" s="198" customFormat="1">
      <c r="A5" s="194"/>
      <c r="B5" s="197"/>
    </row>
    <row r="6" spans="1:2" s="199" customFormat="1">
      <c r="A6" s="194" t="s">
        <v>384</v>
      </c>
      <c r="B6" s="241">
        <f>B8+B12+B24+B38+B44+B59</f>
        <v>726135</v>
      </c>
    </row>
    <row r="7" spans="1:2" s="198" customFormat="1">
      <c r="A7" s="200"/>
      <c r="B7" s="243"/>
    </row>
    <row r="8" spans="1:2" s="198" customFormat="1">
      <c r="A8" s="193" t="s">
        <v>385</v>
      </c>
      <c r="B8" s="242">
        <f>B9</f>
        <v>360000</v>
      </c>
    </row>
    <row r="9" spans="1:2">
      <c r="A9" s="193" t="s">
        <v>199</v>
      </c>
      <c r="B9" s="242">
        <f>B10</f>
        <v>360000</v>
      </c>
    </row>
    <row r="10" spans="1:2" s="198" customFormat="1" ht="25.5">
      <c r="A10" s="192" t="s">
        <v>386</v>
      </c>
      <c r="B10" s="249">
        <v>360000</v>
      </c>
    </row>
    <row r="11" spans="1:2">
      <c r="A11" s="191"/>
      <c r="B11" s="248"/>
    </row>
    <row r="12" spans="1:2">
      <c r="A12" s="193" t="s">
        <v>387</v>
      </c>
      <c r="B12" s="242">
        <f>B13+B20</f>
        <v>-46829</v>
      </c>
    </row>
    <row r="13" spans="1:2">
      <c r="A13" s="193" t="s">
        <v>199</v>
      </c>
      <c r="B13" s="242">
        <f>SUM(B14:B19)</f>
        <v>-56053</v>
      </c>
    </row>
    <row r="14" spans="1:2">
      <c r="A14" s="192" t="s">
        <v>203</v>
      </c>
      <c r="B14" s="249">
        <v>1280</v>
      </c>
    </row>
    <row r="15" spans="1:2">
      <c r="A15" s="192" t="s">
        <v>204</v>
      </c>
      <c r="B15" s="249">
        <v>-60130</v>
      </c>
    </row>
    <row r="16" spans="1:2">
      <c r="A16" s="229" t="s">
        <v>271</v>
      </c>
      <c r="B16" s="250">
        <v>2200</v>
      </c>
    </row>
    <row r="17" spans="1:2">
      <c r="A17" s="228" t="s">
        <v>288</v>
      </c>
      <c r="B17" s="251">
        <v>-1100</v>
      </c>
    </row>
    <row r="18" spans="1:2">
      <c r="A18" s="191" t="s">
        <v>205</v>
      </c>
      <c r="B18" s="248">
        <v>15980</v>
      </c>
    </row>
    <row r="19" spans="1:2">
      <c r="A19" s="191" t="s">
        <v>198</v>
      </c>
      <c r="B19" s="248">
        <f>-14193-90</f>
        <v>-14283</v>
      </c>
    </row>
    <row r="20" spans="1:2">
      <c r="A20" s="193" t="s">
        <v>192</v>
      </c>
      <c r="B20" s="242">
        <f>B21+B22</f>
        <v>9224</v>
      </c>
    </row>
    <row r="21" spans="1:2">
      <c r="A21" s="191" t="s">
        <v>193</v>
      </c>
      <c r="B21" s="248">
        <v>1480</v>
      </c>
    </row>
    <row r="22" spans="1:2">
      <c r="A22" s="191" t="s">
        <v>194</v>
      </c>
      <c r="B22" s="248">
        <f>5390+704+930+720</f>
        <v>7744</v>
      </c>
    </row>
    <row r="23" spans="1:2">
      <c r="A23" s="191"/>
      <c r="B23" s="248"/>
    </row>
    <row r="24" spans="1:2">
      <c r="A24" s="202" t="s">
        <v>388</v>
      </c>
      <c r="B24" s="244">
        <f>B25+B34</f>
        <v>284488</v>
      </c>
    </row>
    <row r="25" spans="1:2">
      <c r="A25" s="193" t="s">
        <v>199</v>
      </c>
      <c r="B25" s="242">
        <f>B26+B27+B28+B29+B30+B31+B32+B33</f>
        <v>280678</v>
      </c>
    </row>
    <row r="26" spans="1:2">
      <c r="A26" s="192" t="s">
        <v>203</v>
      </c>
      <c r="B26" s="249">
        <v>1540</v>
      </c>
    </row>
    <row r="27" spans="1:2">
      <c r="A27" s="192" t="s">
        <v>204</v>
      </c>
      <c r="B27" s="249">
        <v>-1240</v>
      </c>
    </row>
    <row r="28" spans="1:2">
      <c r="A28" s="192" t="s">
        <v>389</v>
      </c>
      <c r="B28" s="249">
        <v>500</v>
      </c>
    </row>
    <row r="29" spans="1:2">
      <c r="A29" s="191" t="s">
        <v>3</v>
      </c>
      <c r="B29" s="248">
        <v>54537</v>
      </c>
    </row>
    <row r="30" spans="1:2">
      <c r="A30" s="191" t="s">
        <v>211</v>
      </c>
      <c r="B30" s="248">
        <f>34600+2500+980-6000</f>
        <v>32080</v>
      </c>
    </row>
    <row r="31" spans="1:2">
      <c r="A31" s="191" t="s">
        <v>205</v>
      </c>
      <c r="B31" s="248">
        <f>1200+180054</f>
        <v>181254</v>
      </c>
    </row>
    <row r="32" spans="1:2">
      <c r="A32" s="192" t="s">
        <v>206</v>
      </c>
      <c r="B32" s="249">
        <v>3493</v>
      </c>
    </row>
    <row r="33" spans="1:2">
      <c r="A33" s="191" t="s">
        <v>198</v>
      </c>
      <c r="B33" s="248">
        <f>6855+1659</f>
        <v>8514</v>
      </c>
    </row>
    <row r="34" spans="1:2">
      <c r="A34" s="193" t="s">
        <v>192</v>
      </c>
      <c r="B34" s="242">
        <f>B35+B36</f>
        <v>3810</v>
      </c>
    </row>
    <row r="35" spans="1:2">
      <c r="A35" s="191" t="s">
        <v>193</v>
      </c>
      <c r="B35" s="248">
        <v>1370</v>
      </c>
    </row>
    <row r="36" spans="1:2">
      <c r="A36" s="192" t="s">
        <v>202</v>
      </c>
      <c r="B36" s="249">
        <v>2440</v>
      </c>
    </row>
    <row r="37" spans="1:2">
      <c r="A37" s="191"/>
      <c r="B37" s="248"/>
    </row>
    <row r="38" spans="1:2">
      <c r="A38" s="202" t="s">
        <v>390</v>
      </c>
      <c r="B38" s="244">
        <f>B39</f>
        <v>72660</v>
      </c>
    </row>
    <row r="39" spans="1:2">
      <c r="A39" s="193" t="s">
        <v>199</v>
      </c>
      <c r="B39" s="242">
        <f>B41+B40+B42</f>
        <v>72660</v>
      </c>
    </row>
    <row r="40" spans="1:2">
      <c r="A40" s="192" t="s">
        <v>229</v>
      </c>
      <c r="B40" s="249">
        <v>74000</v>
      </c>
    </row>
    <row r="41" spans="1:2">
      <c r="A41" s="192" t="s">
        <v>205</v>
      </c>
      <c r="B41" s="249">
        <v>-6000</v>
      </c>
    </row>
    <row r="42" spans="1:2">
      <c r="A42" s="192" t="s">
        <v>207</v>
      </c>
      <c r="B42" s="249">
        <v>4660</v>
      </c>
    </row>
    <row r="43" spans="1:2">
      <c r="A43" s="191"/>
      <c r="B43" s="248"/>
    </row>
    <row r="44" spans="1:2">
      <c r="A44" s="193" t="s">
        <v>391</v>
      </c>
      <c r="B44" s="242">
        <f>B47+B55+B45+B50</f>
        <v>55816</v>
      </c>
    </row>
    <row r="45" spans="1:2">
      <c r="A45" s="193" t="s">
        <v>199</v>
      </c>
      <c r="B45" s="242">
        <f>+B46</f>
        <v>1800</v>
      </c>
    </row>
    <row r="46" spans="1:2">
      <c r="A46" s="192" t="s">
        <v>207</v>
      </c>
      <c r="B46" s="249">
        <v>1800</v>
      </c>
    </row>
    <row r="47" spans="1:2">
      <c r="A47" s="193" t="s">
        <v>200</v>
      </c>
      <c r="B47" s="242">
        <f>B48+B49</f>
        <v>46145</v>
      </c>
    </row>
    <row r="48" spans="1:2">
      <c r="A48" s="192" t="s">
        <v>235</v>
      </c>
      <c r="B48" s="249">
        <f>33073+12618</f>
        <v>45691</v>
      </c>
    </row>
    <row r="49" spans="1:2">
      <c r="A49" s="191" t="s">
        <v>198</v>
      </c>
      <c r="B49" s="248">
        <v>454</v>
      </c>
    </row>
    <row r="50" spans="1:2">
      <c r="A50" s="193" t="s">
        <v>201</v>
      </c>
      <c r="B50" s="242">
        <f>SUM(B51:B54)</f>
        <v>17628</v>
      </c>
    </row>
    <row r="51" spans="1:2">
      <c r="A51" s="192" t="s">
        <v>3</v>
      </c>
      <c r="B51" s="249">
        <v>14690</v>
      </c>
    </row>
    <row r="52" spans="1:2">
      <c r="A52" s="191" t="s">
        <v>209</v>
      </c>
      <c r="B52" s="248">
        <v>-2394</v>
      </c>
    </row>
    <row r="53" spans="1:2">
      <c r="A53" s="191" t="s">
        <v>210</v>
      </c>
      <c r="B53" s="248">
        <v>1830</v>
      </c>
    </row>
    <row r="54" spans="1:2">
      <c r="A54" s="191" t="s">
        <v>208</v>
      </c>
      <c r="B54" s="248">
        <v>3502</v>
      </c>
    </row>
    <row r="55" spans="1:2">
      <c r="A55" s="100" t="s">
        <v>192</v>
      </c>
      <c r="B55" s="245">
        <f>B56+B57</f>
        <v>-9757</v>
      </c>
    </row>
    <row r="56" spans="1:2">
      <c r="A56" s="191" t="s">
        <v>193</v>
      </c>
      <c r="B56" s="248">
        <v>-9607</v>
      </c>
    </row>
    <row r="57" spans="1:2">
      <c r="A57" s="191" t="s">
        <v>194</v>
      </c>
      <c r="B57" s="248">
        <v>-150</v>
      </c>
    </row>
    <row r="58" spans="1:2">
      <c r="A58" s="192"/>
      <c r="B58" s="249"/>
    </row>
    <row r="59" spans="1:2">
      <c r="A59" s="193" t="s">
        <v>392</v>
      </c>
      <c r="B59" s="242">
        <v>0</v>
      </c>
    </row>
    <row r="60" spans="1:2">
      <c r="A60" s="276" t="s">
        <v>199</v>
      </c>
      <c r="B60" s="245">
        <f>+B61+B62</f>
        <v>615</v>
      </c>
    </row>
    <row r="61" spans="1:2">
      <c r="A61" s="191" t="s">
        <v>206</v>
      </c>
      <c r="B61" s="248">
        <v>-460</v>
      </c>
    </row>
    <row r="62" spans="1:2">
      <c r="A62" s="191" t="s">
        <v>207</v>
      </c>
      <c r="B62" s="248">
        <v>1075</v>
      </c>
    </row>
    <row r="63" spans="1:2">
      <c r="A63" s="193" t="s">
        <v>192</v>
      </c>
      <c r="B63" s="242">
        <f>+B64</f>
        <v>-615</v>
      </c>
    </row>
    <row r="64" spans="1:2">
      <c r="A64" s="191" t="s">
        <v>194</v>
      </c>
      <c r="B64" s="248">
        <v>-615</v>
      </c>
    </row>
    <row r="65" spans="1:2">
      <c r="A65" s="192"/>
      <c r="B65" s="249"/>
    </row>
    <row r="66" spans="1:2">
      <c r="A66" s="194" t="s">
        <v>393</v>
      </c>
      <c r="B66" s="241">
        <f>B68+B73+B79+B84+B99+B107+B114+B122</f>
        <v>112000</v>
      </c>
    </row>
    <row r="67" spans="1:2">
      <c r="A67" s="200"/>
      <c r="B67" s="243"/>
    </row>
    <row r="68" spans="1:2">
      <c r="A68" s="193" t="s">
        <v>394</v>
      </c>
      <c r="B68" s="242">
        <f>+B69</f>
        <v>18000</v>
      </c>
    </row>
    <row r="69" spans="1:2">
      <c r="A69" s="193" t="s">
        <v>195</v>
      </c>
      <c r="B69" s="242">
        <f>B70+B71</f>
        <v>18000</v>
      </c>
    </row>
    <row r="70" spans="1:2">
      <c r="A70" s="201" t="s">
        <v>212</v>
      </c>
      <c r="B70" s="252">
        <v>23000</v>
      </c>
    </row>
    <row r="71" spans="1:2">
      <c r="A71" s="192" t="s">
        <v>218</v>
      </c>
      <c r="B71" s="249">
        <v>-5000</v>
      </c>
    </row>
    <row r="72" spans="1:2">
      <c r="A72" s="191"/>
      <c r="B72" s="248"/>
    </row>
    <row r="73" spans="1:2">
      <c r="A73" s="193" t="s">
        <v>395</v>
      </c>
      <c r="B73" s="242">
        <f>B74</f>
        <v>-4000</v>
      </c>
    </row>
    <row r="74" spans="1:2">
      <c r="A74" s="193" t="s">
        <v>200</v>
      </c>
      <c r="B74" s="242">
        <f>B75+B76+B77</f>
        <v>-4000</v>
      </c>
    </row>
    <row r="75" spans="1:2">
      <c r="A75" s="192" t="s">
        <v>198</v>
      </c>
      <c r="B75" s="249">
        <v>-5000</v>
      </c>
    </row>
    <row r="76" spans="1:2">
      <c r="A76" s="192" t="s">
        <v>213</v>
      </c>
      <c r="B76" s="249">
        <v>700</v>
      </c>
    </row>
    <row r="77" spans="1:2">
      <c r="A77" s="191" t="s">
        <v>215</v>
      </c>
      <c r="B77" s="248">
        <v>300</v>
      </c>
    </row>
    <row r="78" spans="1:2">
      <c r="A78" s="192"/>
      <c r="B78" s="249"/>
    </row>
    <row r="79" spans="1:2">
      <c r="A79" s="193" t="s">
        <v>396</v>
      </c>
      <c r="B79" s="242">
        <f>B80</f>
        <v>0</v>
      </c>
    </row>
    <row r="80" spans="1:2">
      <c r="A80" s="193" t="s">
        <v>200</v>
      </c>
      <c r="B80" s="242">
        <f>B81+B82</f>
        <v>0</v>
      </c>
    </row>
    <row r="81" spans="1:2">
      <c r="A81" s="191" t="s">
        <v>209</v>
      </c>
      <c r="B81" s="248">
        <v>-64000</v>
      </c>
    </row>
    <row r="82" spans="1:2">
      <c r="A82" s="192" t="s">
        <v>198</v>
      </c>
      <c r="B82" s="249">
        <v>64000</v>
      </c>
    </row>
    <row r="83" spans="1:2">
      <c r="A83" s="192"/>
      <c r="B83" s="249"/>
    </row>
    <row r="84" spans="1:2">
      <c r="A84" s="193" t="s">
        <v>397</v>
      </c>
      <c r="B84" s="242">
        <f>B85+B89+B91+B94</f>
        <v>48000</v>
      </c>
    </row>
    <row r="85" spans="1:2">
      <c r="A85" s="193" t="s">
        <v>200</v>
      </c>
      <c r="B85" s="242">
        <f>SUM(B86:B88)</f>
        <v>-7000</v>
      </c>
    </row>
    <row r="86" spans="1:2">
      <c r="A86" s="191" t="s">
        <v>209</v>
      </c>
      <c r="B86" s="248">
        <v>5000</v>
      </c>
    </row>
    <row r="87" spans="1:2">
      <c r="A87" s="192" t="s">
        <v>215</v>
      </c>
      <c r="B87" s="249">
        <v>8000</v>
      </c>
    </row>
    <row r="88" spans="1:2">
      <c r="A88" s="192" t="s">
        <v>213</v>
      </c>
      <c r="B88" s="249">
        <v>-20000</v>
      </c>
    </row>
    <row r="89" spans="1:2">
      <c r="A89" s="202" t="s">
        <v>216</v>
      </c>
      <c r="B89" s="244">
        <f>SUM(B90)</f>
        <v>2000</v>
      </c>
    </row>
    <row r="90" spans="1:2">
      <c r="A90" s="191" t="s">
        <v>217</v>
      </c>
      <c r="B90" s="248">
        <v>2000</v>
      </c>
    </row>
    <row r="91" spans="1:2">
      <c r="A91" s="193" t="s">
        <v>192</v>
      </c>
      <c r="B91" s="242">
        <f>SUM(B92:B93)</f>
        <v>500</v>
      </c>
    </row>
    <row r="92" spans="1:2">
      <c r="A92" s="191" t="s">
        <v>194</v>
      </c>
      <c r="B92" s="248">
        <v>-1000</v>
      </c>
    </row>
    <row r="93" spans="1:2">
      <c r="A93" s="191" t="s">
        <v>202</v>
      </c>
      <c r="B93" s="248">
        <v>1500</v>
      </c>
    </row>
    <row r="94" spans="1:2">
      <c r="A94" s="193" t="s">
        <v>195</v>
      </c>
      <c r="B94" s="242">
        <f>SUM(B95:B97)</f>
        <v>52500</v>
      </c>
    </row>
    <row r="95" spans="1:2">
      <c r="A95" s="192" t="s">
        <v>218</v>
      </c>
      <c r="B95" s="249">
        <v>-1000</v>
      </c>
    </row>
    <row r="96" spans="1:2">
      <c r="A96" s="192" t="s">
        <v>398</v>
      </c>
      <c r="B96" s="249">
        <v>47500</v>
      </c>
    </row>
    <row r="97" spans="1:2">
      <c r="A97" s="192" t="s">
        <v>196</v>
      </c>
      <c r="B97" s="249">
        <v>6000</v>
      </c>
    </row>
    <row r="98" spans="1:2">
      <c r="A98" s="192"/>
      <c r="B98" s="249"/>
    </row>
    <row r="99" spans="1:2">
      <c r="A99" s="193" t="s">
        <v>399</v>
      </c>
      <c r="B99" s="242">
        <f>B100+B104</f>
        <v>50000</v>
      </c>
    </row>
    <row r="100" spans="1:2">
      <c r="A100" s="193" t="s">
        <v>200</v>
      </c>
      <c r="B100" s="242">
        <f>SUM(B101:B103)</f>
        <v>5000</v>
      </c>
    </row>
    <row r="101" spans="1:2">
      <c r="A101" s="192" t="s">
        <v>198</v>
      </c>
      <c r="B101" s="249">
        <v>1000</v>
      </c>
    </row>
    <row r="102" spans="1:2">
      <c r="A102" s="192" t="s">
        <v>213</v>
      </c>
      <c r="B102" s="249">
        <v>1800</v>
      </c>
    </row>
    <row r="103" spans="1:2">
      <c r="A103" s="192" t="s">
        <v>206</v>
      </c>
      <c r="B103" s="249">
        <v>2200</v>
      </c>
    </row>
    <row r="104" spans="1:2">
      <c r="A104" s="193" t="s">
        <v>195</v>
      </c>
      <c r="B104" s="242">
        <f>SUM(B105)</f>
        <v>45000</v>
      </c>
    </row>
    <row r="105" spans="1:2">
      <c r="A105" s="192" t="s">
        <v>218</v>
      </c>
      <c r="B105" s="249">
        <v>45000</v>
      </c>
    </row>
    <row r="106" spans="1:2">
      <c r="A106" s="192"/>
      <c r="B106" s="249"/>
    </row>
    <row r="107" spans="1:2">
      <c r="A107" s="193" t="s">
        <v>400</v>
      </c>
      <c r="B107" s="242">
        <f>B108+B111</f>
        <v>0</v>
      </c>
    </row>
    <row r="108" spans="1:2">
      <c r="A108" s="193" t="s">
        <v>200</v>
      </c>
      <c r="B108" s="242">
        <f>+B109+B110</f>
        <v>-3000</v>
      </c>
    </row>
    <row r="109" spans="1:2">
      <c r="A109" s="192" t="s">
        <v>198</v>
      </c>
      <c r="B109" s="249">
        <v>-8000</v>
      </c>
    </row>
    <row r="110" spans="1:2">
      <c r="A110" s="192" t="s">
        <v>206</v>
      </c>
      <c r="B110" s="249">
        <v>5000</v>
      </c>
    </row>
    <row r="111" spans="1:2">
      <c r="A111" s="202" t="s">
        <v>216</v>
      </c>
      <c r="B111" s="244">
        <f>B112</f>
        <v>3000</v>
      </c>
    </row>
    <row r="112" spans="1:2">
      <c r="A112" s="191" t="s">
        <v>217</v>
      </c>
      <c r="B112" s="248">
        <v>3000</v>
      </c>
    </row>
    <row r="113" spans="1:2">
      <c r="A113" s="192"/>
      <c r="B113" s="249"/>
    </row>
    <row r="114" spans="1:2">
      <c r="A114" s="193" t="s">
        <v>401</v>
      </c>
      <c r="B114" s="242">
        <f>B115</f>
        <v>0</v>
      </c>
    </row>
    <row r="115" spans="1:2">
      <c r="A115" s="193" t="s">
        <v>200</v>
      </c>
      <c r="B115" s="242">
        <f>B116+B117+B118+B119</f>
        <v>0</v>
      </c>
    </row>
    <row r="116" spans="1:2">
      <c r="A116" s="192" t="s">
        <v>211</v>
      </c>
      <c r="B116" s="249">
        <v>-5500</v>
      </c>
    </row>
    <row r="117" spans="1:2">
      <c r="A117" s="192" t="s">
        <v>213</v>
      </c>
      <c r="B117" s="249">
        <v>4000</v>
      </c>
    </row>
    <row r="118" spans="1:2">
      <c r="A118" s="191" t="s">
        <v>209</v>
      </c>
      <c r="B118" s="248">
        <v>1350</v>
      </c>
    </row>
    <row r="119" spans="1:2">
      <c r="A119" s="192" t="s">
        <v>215</v>
      </c>
      <c r="B119" s="249">
        <v>150</v>
      </c>
    </row>
    <row r="120" spans="1:2">
      <c r="A120" s="192"/>
      <c r="B120" s="249"/>
    </row>
    <row r="121" spans="1:2">
      <c r="A121" s="193" t="s">
        <v>402</v>
      </c>
      <c r="B121" s="242">
        <f>B122</f>
        <v>0</v>
      </c>
    </row>
    <row r="122" spans="1:2">
      <c r="A122" s="193" t="s">
        <v>200</v>
      </c>
      <c r="B122" s="242">
        <f>B123+B124</f>
        <v>0</v>
      </c>
    </row>
    <row r="123" spans="1:2">
      <c r="A123" s="201" t="s">
        <v>616</v>
      </c>
      <c r="B123" s="252">
        <v>1000</v>
      </c>
    </row>
    <row r="124" spans="1:2">
      <c r="A124" s="201" t="s">
        <v>209</v>
      </c>
      <c r="B124" s="249">
        <v>-1000</v>
      </c>
    </row>
    <row r="125" spans="1:2">
      <c r="A125" s="191"/>
      <c r="B125" s="248"/>
    </row>
    <row r="126" spans="1:2">
      <c r="A126" s="194" t="s">
        <v>403</v>
      </c>
      <c r="B126" s="241">
        <f>B128+B135+B142+B151+B157+B161+B172+B179</f>
        <v>-44052</v>
      </c>
    </row>
    <row r="127" spans="1:2">
      <c r="A127" s="191"/>
      <c r="B127" s="248"/>
    </row>
    <row r="128" spans="1:2">
      <c r="A128" s="202" t="s">
        <v>404</v>
      </c>
      <c r="B128" s="244">
        <f>SUM(B129+B132)</f>
        <v>-3830</v>
      </c>
    </row>
    <row r="129" spans="1:2">
      <c r="A129" s="193" t="s">
        <v>201</v>
      </c>
      <c r="B129" s="242">
        <f>SUM(B130+B131)</f>
        <v>-3750</v>
      </c>
    </row>
    <row r="130" spans="1:2">
      <c r="A130" s="192" t="s">
        <v>198</v>
      </c>
      <c r="B130" s="249">
        <v>-2500</v>
      </c>
    </row>
    <row r="131" spans="1:2">
      <c r="A131" s="192" t="s">
        <v>207</v>
      </c>
      <c r="B131" s="249">
        <v>-1250</v>
      </c>
    </row>
    <row r="132" spans="1:2">
      <c r="A132" s="193" t="s">
        <v>192</v>
      </c>
      <c r="B132" s="242">
        <f>SUM(B133)</f>
        <v>-80</v>
      </c>
    </row>
    <row r="133" spans="1:2">
      <c r="A133" s="191" t="s">
        <v>193</v>
      </c>
      <c r="B133" s="248">
        <v>-80</v>
      </c>
    </row>
    <row r="134" spans="1:2">
      <c r="A134" s="191"/>
      <c r="B134" s="248"/>
    </row>
    <row r="135" spans="1:2">
      <c r="A135" s="193" t="s">
        <v>405</v>
      </c>
      <c r="B135" s="242">
        <f>B136+B139</f>
        <v>20600</v>
      </c>
    </row>
    <row r="136" spans="1:2">
      <c r="A136" s="193" t="s">
        <v>201</v>
      </c>
      <c r="B136" s="242">
        <f>+B137+B138</f>
        <v>20000</v>
      </c>
    </row>
    <row r="137" spans="1:2">
      <c r="A137" s="191" t="s">
        <v>406</v>
      </c>
      <c r="B137" s="248">
        <v>9000</v>
      </c>
    </row>
    <row r="138" spans="1:2">
      <c r="A138" s="191" t="s">
        <v>207</v>
      </c>
      <c r="B138" s="248">
        <v>11000</v>
      </c>
    </row>
    <row r="139" spans="1:2">
      <c r="A139" s="193" t="s">
        <v>195</v>
      </c>
      <c r="B139" s="242">
        <f>B140</f>
        <v>600</v>
      </c>
    </row>
    <row r="140" spans="1:2">
      <c r="A140" s="192" t="s">
        <v>218</v>
      </c>
      <c r="B140" s="249">
        <v>600</v>
      </c>
    </row>
    <row r="141" spans="1:2">
      <c r="A141" s="193"/>
      <c r="B141" s="242"/>
    </row>
    <row r="142" spans="1:2">
      <c r="A142" s="193" t="s">
        <v>407</v>
      </c>
      <c r="B142" s="242">
        <f>B143+B145+B148</f>
        <v>-21629</v>
      </c>
    </row>
    <row r="143" spans="1:2">
      <c r="A143" s="193" t="s">
        <v>201</v>
      </c>
      <c r="B143" s="242">
        <f>B144</f>
        <v>-25000</v>
      </c>
    </row>
    <row r="144" spans="1:2">
      <c r="A144" s="191" t="s">
        <v>289</v>
      </c>
      <c r="B144" s="248">
        <v>-25000</v>
      </c>
    </row>
    <row r="145" spans="1:2">
      <c r="A145" s="193" t="s">
        <v>192</v>
      </c>
      <c r="B145" s="242">
        <f>B146+B147</f>
        <v>-129</v>
      </c>
    </row>
    <row r="146" spans="1:2">
      <c r="A146" s="191" t="s">
        <v>193</v>
      </c>
      <c r="B146" s="248">
        <v>-29</v>
      </c>
    </row>
    <row r="147" spans="1:2">
      <c r="A147" s="191" t="s">
        <v>202</v>
      </c>
      <c r="B147" s="248">
        <v>-100</v>
      </c>
    </row>
    <row r="148" spans="1:2">
      <c r="A148" s="193" t="s">
        <v>195</v>
      </c>
      <c r="B148" s="242">
        <f>+B149</f>
        <v>3500</v>
      </c>
    </row>
    <row r="149" spans="1:2">
      <c r="A149" s="192" t="s">
        <v>408</v>
      </c>
      <c r="B149" s="249">
        <v>3500</v>
      </c>
    </row>
    <row r="150" spans="1:2">
      <c r="A150" s="193"/>
      <c r="B150" s="242"/>
    </row>
    <row r="151" spans="1:2">
      <c r="A151" s="193" t="s">
        <v>409</v>
      </c>
      <c r="B151" s="242">
        <f>B152</f>
        <v>0</v>
      </c>
    </row>
    <row r="152" spans="1:2">
      <c r="A152" s="193" t="s">
        <v>201</v>
      </c>
      <c r="B152" s="242">
        <f>SUM(B153:B155)</f>
        <v>0</v>
      </c>
    </row>
    <row r="153" spans="1:2">
      <c r="A153" s="191" t="s">
        <v>289</v>
      </c>
      <c r="B153" s="248">
        <v>105</v>
      </c>
    </row>
    <row r="154" spans="1:2">
      <c r="A154" s="191" t="s">
        <v>406</v>
      </c>
      <c r="B154" s="248">
        <v>100</v>
      </c>
    </row>
    <row r="155" spans="1:2">
      <c r="A155" s="191" t="s">
        <v>207</v>
      </c>
      <c r="B155" s="248">
        <v>-205</v>
      </c>
    </row>
    <row r="156" spans="1:2">
      <c r="A156" s="203"/>
      <c r="B156" s="253"/>
    </row>
    <row r="157" spans="1:2">
      <c r="A157" s="202" t="s">
        <v>410</v>
      </c>
      <c r="B157" s="244">
        <f>SUM(+B158)</f>
        <v>1000</v>
      </c>
    </row>
    <row r="158" spans="1:2">
      <c r="A158" s="100" t="s">
        <v>195</v>
      </c>
      <c r="B158" s="245">
        <f>SUM(B159)</f>
        <v>1000</v>
      </c>
    </row>
    <row r="159" spans="1:2">
      <c r="A159" s="192" t="s">
        <v>218</v>
      </c>
      <c r="B159" s="249">
        <v>1000</v>
      </c>
    </row>
    <row r="160" spans="1:2">
      <c r="A160" s="191"/>
      <c r="B160" s="248"/>
    </row>
    <row r="161" spans="1:2">
      <c r="A161" s="193" t="s">
        <v>411</v>
      </c>
      <c r="B161" s="242">
        <f>SUM(B162+B165+B168)</f>
        <v>0</v>
      </c>
    </row>
    <row r="162" spans="1:2">
      <c r="A162" s="193" t="s">
        <v>201</v>
      </c>
      <c r="B162" s="242">
        <f>SUM(B163+B164)</f>
        <v>-8020</v>
      </c>
    </row>
    <row r="163" spans="1:2">
      <c r="A163" s="191" t="s">
        <v>289</v>
      </c>
      <c r="B163" s="248">
        <v>-7870</v>
      </c>
    </row>
    <row r="164" spans="1:2">
      <c r="A164" s="191" t="s">
        <v>207</v>
      </c>
      <c r="B164" s="248">
        <v>-150</v>
      </c>
    </row>
    <row r="165" spans="1:2">
      <c r="A165" s="193" t="s">
        <v>192</v>
      </c>
      <c r="B165" s="242">
        <f>SUM(B166+B167)</f>
        <v>8520</v>
      </c>
    </row>
    <row r="166" spans="1:2">
      <c r="A166" s="191" t="s">
        <v>193</v>
      </c>
      <c r="B166" s="248">
        <v>6636</v>
      </c>
    </row>
    <row r="167" spans="1:2">
      <c r="A167" s="191" t="s">
        <v>194</v>
      </c>
      <c r="B167" s="248">
        <v>1884</v>
      </c>
    </row>
    <row r="168" spans="1:2">
      <c r="A168" s="193" t="s">
        <v>195</v>
      </c>
      <c r="B168" s="242">
        <f>SUM(B169+B170)</f>
        <v>-500</v>
      </c>
    </row>
    <row r="169" spans="1:2">
      <c r="A169" s="192" t="s">
        <v>218</v>
      </c>
      <c r="B169" s="249">
        <v>50</v>
      </c>
    </row>
    <row r="170" spans="1:2">
      <c r="A170" s="191" t="s">
        <v>398</v>
      </c>
      <c r="B170" s="248">
        <v>-550</v>
      </c>
    </row>
    <row r="171" spans="1:2">
      <c r="A171" s="191"/>
      <c r="B171" s="248"/>
    </row>
    <row r="172" spans="1:2">
      <c r="A172" s="100" t="s">
        <v>412</v>
      </c>
      <c r="B172" s="245">
        <f>SUM(B173+B176)</f>
        <v>-40381</v>
      </c>
    </row>
    <row r="173" spans="1:2">
      <c r="A173" s="193" t="s">
        <v>201</v>
      </c>
      <c r="B173" s="242">
        <f>SUM(B174+B175)</f>
        <v>-43990</v>
      </c>
    </row>
    <row r="174" spans="1:2">
      <c r="A174" s="191" t="s">
        <v>272</v>
      </c>
      <c r="B174" s="248">
        <v>-185</v>
      </c>
    </row>
    <row r="175" spans="1:2">
      <c r="A175" s="191" t="s">
        <v>413</v>
      </c>
      <c r="B175" s="248">
        <v>-43805</v>
      </c>
    </row>
    <row r="176" spans="1:2">
      <c r="A176" s="193" t="s">
        <v>192</v>
      </c>
      <c r="B176" s="242">
        <f>SUM(B177)</f>
        <v>3609</v>
      </c>
    </row>
    <row r="177" spans="1:2">
      <c r="A177" s="191" t="s">
        <v>414</v>
      </c>
      <c r="B177" s="248">
        <v>3609</v>
      </c>
    </row>
    <row r="178" spans="1:2">
      <c r="A178" s="191"/>
      <c r="B178" s="248"/>
    </row>
    <row r="179" spans="1:2">
      <c r="A179" s="193" t="s">
        <v>415</v>
      </c>
      <c r="B179" s="242">
        <f>SUM(B180)</f>
        <v>188</v>
      </c>
    </row>
    <row r="180" spans="1:2">
      <c r="A180" s="193" t="s">
        <v>201</v>
      </c>
      <c r="B180" s="242">
        <f>SUM(+B181)</f>
        <v>188</v>
      </c>
    </row>
    <row r="181" spans="1:2">
      <c r="A181" s="191" t="s">
        <v>207</v>
      </c>
      <c r="B181" s="248">
        <v>188</v>
      </c>
    </row>
    <row r="182" spans="1:2">
      <c r="A182" s="192"/>
      <c r="B182" s="249"/>
    </row>
    <row r="183" spans="1:2">
      <c r="A183" s="194" t="s">
        <v>416</v>
      </c>
      <c r="B183" s="241">
        <f>+B185+B189+B198+B206+B202</f>
        <v>33123</v>
      </c>
    </row>
    <row r="184" spans="1:2">
      <c r="A184" s="193"/>
      <c r="B184" s="242"/>
    </row>
    <row r="185" spans="1:2">
      <c r="A185" s="193" t="s">
        <v>417</v>
      </c>
      <c r="B185" s="242">
        <f>B186</f>
        <v>1513</v>
      </c>
    </row>
    <row r="186" spans="1:2">
      <c r="A186" s="193" t="s">
        <v>222</v>
      </c>
      <c r="B186" s="242">
        <f>B187</f>
        <v>1513</v>
      </c>
    </row>
    <row r="187" spans="1:2">
      <c r="A187" s="192" t="s">
        <v>418</v>
      </c>
      <c r="B187" s="249">
        <v>1513</v>
      </c>
    </row>
    <row r="188" spans="1:2">
      <c r="A188" s="193"/>
      <c r="B188" s="242"/>
    </row>
    <row r="189" spans="1:2">
      <c r="A189" s="193" t="s">
        <v>419</v>
      </c>
      <c r="B189" s="242">
        <f>+B190+B193+B195</f>
        <v>18200</v>
      </c>
    </row>
    <row r="190" spans="1:2">
      <c r="A190" s="193" t="s">
        <v>222</v>
      </c>
      <c r="B190" s="242">
        <f>B191+B192</f>
        <v>18000</v>
      </c>
    </row>
    <row r="191" spans="1:2">
      <c r="A191" s="192" t="s">
        <v>223</v>
      </c>
      <c r="B191" s="249">
        <v>13000</v>
      </c>
    </row>
    <row r="192" spans="1:2">
      <c r="A192" s="192" t="s">
        <v>420</v>
      </c>
      <c r="B192" s="249">
        <v>5000</v>
      </c>
    </row>
    <row r="193" spans="1:2">
      <c r="A193" s="195" t="s">
        <v>195</v>
      </c>
      <c r="B193" s="246">
        <f>B194</f>
        <v>175</v>
      </c>
    </row>
    <row r="194" spans="1:2">
      <c r="A194" s="192" t="s">
        <v>196</v>
      </c>
      <c r="B194" s="249">
        <v>175</v>
      </c>
    </row>
    <row r="195" spans="1:2">
      <c r="A195" s="202" t="s">
        <v>221</v>
      </c>
      <c r="B195" s="244">
        <f>B196</f>
        <v>25</v>
      </c>
    </row>
    <row r="196" spans="1:2">
      <c r="A196" s="192" t="s">
        <v>421</v>
      </c>
      <c r="B196" s="249">
        <v>25</v>
      </c>
    </row>
    <row r="197" spans="1:2">
      <c r="A197" s="192"/>
      <c r="B197" s="249"/>
    </row>
    <row r="198" spans="1:2">
      <c r="A198" s="193" t="s">
        <v>422</v>
      </c>
      <c r="B198" s="242">
        <f>B199</f>
        <v>6000</v>
      </c>
    </row>
    <row r="199" spans="1:2">
      <c r="A199" s="193" t="s">
        <v>222</v>
      </c>
      <c r="B199" s="242">
        <f>+B200</f>
        <v>6000</v>
      </c>
    </row>
    <row r="200" spans="1:2">
      <c r="A200" s="192" t="s">
        <v>223</v>
      </c>
      <c r="B200" s="249">
        <v>6000</v>
      </c>
    </row>
    <row r="201" spans="1:2">
      <c r="A201" s="192"/>
      <c r="B201" s="249"/>
    </row>
    <row r="202" spans="1:2">
      <c r="A202" s="202" t="s">
        <v>423</v>
      </c>
      <c r="B202" s="244">
        <f>B203</f>
        <v>7410</v>
      </c>
    </row>
    <row r="203" spans="1:2">
      <c r="A203" s="193" t="s">
        <v>222</v>
      </c>
      <c r="B203" s="242">
        <f>B204</f>
        <v>7410</v>
      </c>
    </row>
    <row r="204" spans="1:2">
      <c r="A204" s="191" t="s">
        <v>223</v>
      </c>
      <c r="B204" s="248">
        <v>7410</v>
      </c>
    </row>
    <row r="205" spans="1:2">
      <c r="A205" s="192"/>
      <c r="B205" s="249"/>
    </row>
    <row r="206" spans="1:2">
      <c r="A206" s="193" t="s">
        <v>424</v>
      </c>
      <c r="B206" s="242">
        <f>B207+B209</f>
        <v>0</v>
      </c>
    </row>
    <row r="207" spans="1:2">
      <c r="A207" s="193" t="s">
        <v>224</v>
      </c>
      <c r="B207" s="242">
        <f>B208</f>
        <v>1525</v>
      </c>
    </row>
    <row r="208" spans="1:2">
      <c r="A208" s="192" t="s">
        <v>198</v>
      </c>
      <c r="B208" s="249">
        <v>1525</v>
      </c>
    </row>
    <row r="209" spans="1:2">
      <c r="A209" s="202" t="s">
        <v>192</v>
      </c>
      <c r="B209" s="244">
        <f>+B210</f>
        <v>-1525</v>
      </c>
    </row>
    <row r="210" spans="1:2">
      <c r="A210" s="191" t="s">
        <v>194</v>
      </c>
      <c r="B210" s="248">
        <v>-1525</v>
      </c>
    </row>
    <row r="211" spans="1:2">
      <c r="A211" s="191"/>
      <c r="B211" s="248"/>
    </row>
    <row r="212" spans="1:2">
      <c r="A212" s="194" t="s">
        <v>425</v>
      </c>
      <c r="B212" s="241">
        <f>+B213</f>
        <v>6234</v>
      </c>
    </row>
    <row r="213" spans="1:2">
      <c r="A213" s="193" t="s">
        <v>192</v>
      </c>
      <c r="B213" s="242">
        <f>B214</f>
        <v>6234</v>
      </c>
    </row>
    <row r="214" spans="1:2">
      <c r="A214" s="191" t="s">
        <v>193</v>
      </c>
      <c r="B214" s="248">
        <v>6234</v>
      </c>
    </row>
    <row r="215" spans="1:2">
      <c r="A215" s="191"/>
      <c r="B215" s="248"/>
    </row>
    <row r="216" spans="1:2">
      <c r="A216" s="194" t="s">
        <v>426</v>
      </c>
      <c r="B216" s="241">
        <f>B218+B223</f>
        <v>136195</v>
      </c>
    </row>
    <row r="217" spans="1:2">
      <c r="A217" s="194"/>
      <c r="B217" s="241"/>
    </row>
    <row r="218" spans="1:2">
      <c r="A218" s="193" t="s">
        <v>427</v>
      </c>
      <c r="B218" s="242">
        <f>B219</f>
        <v>91780</v>
      </c>
    </row>
    <row r="219" spans="1:2">
      <c r="A219" s="193" t="s">
        <v>195</v>
      </c>
      <c r="B219" s="242">
        <f>B220+B221</f>
        <v>91780</v>
      </c>
    </row>
    <row r="220" spans="1:2">
      <c r="A220" s="191" t="s">
        <v>212</v>
      </c>
      <c r="B220" s="248">
        <v>90000</v>
      </c>
    </row>
    <row r="221" spans="1:2">
      <c r="A221" s="191" t="s">
        <v>198</v>
      </c>
      <c r="B221" s="248">
        <v>1780</v>
      </c>
    </row>
    <row r="222" spans="1:2">
      <c r="A222" s="191"/>
      <c r="B222" s="248"/>
    </row>
    <row r="223" spans="1:2">
      <c r="A223" s="202" t="s">
        <v>428</v>
      </c>
      <c r="B223" s="244">
        <f>+B224</f>
        <v>44415</v>
      </c>
    </row>
    <row r="224" spans="1:2">
      <c r="A224" s="202" t="s">
        <v>216</v>
      </c>
      <c r="B224" s="244">
        <f>B225</f>
        <v>44415</v>
      </c>
    </row>
    <row r="225" spans="1:2">
      <c r="A225" s="192" t="s">
        <v>226</v>
      </c>
      <c r="B225" s="249">
        <v>44415</v>
      </c>
    </row>
    <row r="226" spans="1:2">
      <c r="A226" s="191"/>
      <c r="B226" s="248"/>
    </row>
    <row r="227" spans="1:2">
      <c r="A227" s="194" t="s">
        <v>429</v>
      </c>
      <c r="B227" s="241">
        <f>SUM(,B228)</f>
        <v>-5500</v>
      </c>
    </row>
    <row r="228" spans="1:2">
      <c r="A228" s="195" t="s">
        <v>195</v>
      </c>
      <c r="B228" s="246">
        <f>SUM(B229)</f>
        <v>-5500</v>
      </c>
    </row>
    <row r="229" spans="1:2">
      <c r="A229" s="192" t="s">
        <v>196</v>
      </c>
      <c r="B229" s="249">
        <v>-5500</v>
      </c>
    </row>
    <row r="230" spans="1:2">
      <c r="A230" s="193"/>
      <c r="B230" s="242"/>
    </row>
    <row r="231" spans="1:2">
      <c r="A231" s="194" t="s">
        <v>430</v>
      </c>
      <c r="B231" s="241">
        <f>+B233</f>
        <v>40000</v>
      </c>
    </row>
    <row r="232" spans="1:2">
      <c r="A232" s="191"/>
      <c r="B232" s="248"/>
    </row>
    <row r="233" spans="1:2">
      <c r="A233" s="193" t="s">
        <v>431</v>
      </c>
      <c r="B233" s="242">
        <f>B234</f>
        <v>40000</v>
      </c>
    </row>
    <row r="234" spans="1:2">
      <c r="A234" s="195" t="s">
        <v>195</v>
      </c>
      <c r="B234" s="246">
        <f>SUM(B235)</f>
        <v>40000</v>
      </c>
    </row>
    <row r="235" spans="1:2">
      <c r="A235" s="191" t="s">
        <v>432</v>
      </c>
      <c r="B235" s="248">
        <v>40000</v>
      </c>
    </row>
    <row r="236" spans="1:2">
      <c r="A236" s="193"/>
      <c r="B236" s="242"/>
    </row>
    <row r="237" spans="1:2">
      <c r="A237" s="194" t="s">
        <v>433</v>
      </c>
      <c r="B237" s="241">
        <f>SUM(,B239,B246,B253)</f>
        <v>297000</v>
      </c>
    </row>
    <row r="238" spans="1:2">
      <c r="A238" s="202"/>
      <c r="B238" s="244"/>
    </row>
    <row r="239" spans="1:2">
      <c r="A239" s="193" t="s">
        <v>434</v>
      </c>
      <c r="B239" s="242">
        <f>SUM(B240,B242)</f>
        <v>37000</v>
      </c>
    </row>
    <row r="240" spans="1:2">
      <c r="A240" s="193" t="s">
        <v>192</v>
      </c>
      <c r="B240" s="242">
        <f>SUM(B241:B241)</f>
        <v>-150</v>
      </c>
    </row>
    <row r="241" spans="1:2">
      <c r="A241" s="191" t="s">
        <v>194</v>
      </c>
      <c r="B241" s="248">
        <v>-150</v>
      </c>
    </row>
    <row r="242" spans="1:2">
      <c r="A242" s="195" t="s">
        <v>195</v>
      </c>
      <c r="B242" s="246">
        <f>SUM(B243:B244)</f>
        <v>37150</v>
      </c>
    </row>
    <row r="243" spans="1:2">
      <c r="A243" s="191" t="s">
        <v>435</v>
      </c>
      <c r="B243" s="248">
        <v>37000</v>
      </c>
    </row>
    <row r="244" spans="1:2">
      <c r="A244" s="191" t="s">
        <v>436</v>
      </c>
      <c r="B244" s="248">
        <v>150</v>
      </c>
    </row>
    <row r="245" spans="1:2">
      <c r="A245" s="193"/>
      <c r="B245" s="242"/>
    </row>
    <row r="246" spans="1:2">
      <c r="A246" s="193" t="s">
        <v>437</v>
      </c>
      <c r="B246" s="242">
        <f>B247+B250</f>
        <v>0</v>
      </c>
    </row>
    <row r="247" spans="1:2">
      <c r="A247" s="195" t="s">
        <v>200</v>
      </c>
      <c r="B247" s="246">
        <f>B248+B249</f>
        <v>-1100</v>
      </c>
    </row>
    <row r="248" spans="1:2">
      <c r="A248" s="191" t="s">
        <v>438</v>
      </c>
      <c r="B248" s="248">
        <v>-7600</v>
      </c>
    </row>
    <row r="249" spans="1:2">
      <c r="A249" s="191" t="s">
        <v>0</v>
      </c>
      <c r="B249" s="248">
        <v>6500</v>
      </c>
    </row>
    <row r="250" spans="1:2">
      <c r="A250" s="193" t="s">
        <v>192</v>
      </c>
      <c r="B250" s="242">
        <f>B251</f>
        <v>1100</v>
      </c>
    </row>
    <row r="251" spans="1:2">
      <c r="A251" s="191" t="s">
        <v>194</v>
      </c>
      <c r="B251" s="248">
        <v>1100</v>
      </c>
    </row>
    <row r="252" spans="1:2">
      <c r="A252" s="191"/>
      <c r="B252" s="248"/>
    </row>
    <row r="253" spans="1:2">
      <c r="A253" s="193" t="s">
        <v>439</v>
      </c>
      <c r="B253" s="242">
        <f>SUM(B254)</f>
        <v>260000</v>
      </c>
    </row>
    <row r="254" spans="1:2">
      <c r="A254" s="195" t="s">
        <v>228</v>
      </c>
      <c r="B254" s="246">
        <f>SUM(B255:B255)</f>
        <v>260000</v>
      </c>
    </row>
    <row r="255" spans="1:2">
      <c r="A255" s="191" t="s">
        <v>440</v>
      </c>
      <c r="B255" s="248">
        <v>260000</v>
      </c>
    </row>
    <row r="256" spans="1:2">
      <c r="A256" s="193"/>
      <c r="B256" s="242"/>
    </row>
    <row r="257" spans="1:2">
      <c r="A257" s="194" t="s">
        <v>441</v>
      </c>
      <c r="B257" s="241">
        <f>B259+B273</f>
        <v>4410</v>
      </c>
    </row>
    <row r="258" spans="1:2">
      <c r="A258" s="200"/>
      <c r="B258" s="243"/>
    </row>
    <row r="259" spans="1:2">
      <c r="A259" s="193" t="s">
        <v>442</v>
      </c>
      <c r="B259" s="242">
        <f>B260+B263+B266+B269</f>
        <v>-4460</v>
      </c>
    </row>
    <row r="260" spans="1:2">
      <c r="A260" s="193" t="s">
        <v>219</v>
      </c>
      <c r="B260" s="242">
        <f>SUM(B261:B262)</f>
        <v>-8000</v>
      </c>
    </row>
    <row r="261" spans="1:2">
      <c r="A261" s="191" t="s">
        <v>220</v>
      </c>
      <c r="B261" s="248">
        <v>-2000</v>
      </c>
    </row>
    <row r="262" spans="1:2">
      <c r="A262" s="191" t="s">
        <v>194</v>
      </c>
      <c r="B262" s="248">
        <v>-6000</v>
      </c>
    </row>
    <row r="263" spans="1:2">
      <c r="A263" s="193" t="s">
        <v>192</v>
      </c>
      <c r="B263" s="242">
        <f>SUM(B264:B265)</f>
        <v>-3200</v>
      </c>
    </row>
    <row r="264" spans="1:2">
      <c r="A264" s="191" t="s">
        <v>193</v>
      </c>
      <c r="B264" s="248">
        <v>-1700</v>
      </c>
    </row>
    <row r="265" spans="1:2">
      <c r="A265" s="191" t="s">
        <v>194</v>
      </c>
      <c r="B265" s="248">
        <v>-1500</v>
      </c>
    </row>
    <row r="266" spans="1:2">
      <c r="A266" s="193" t="s">
        <v>216</v>
      </c>
      <c r="B266" s="242">
        <f>B267+B268</f>
        <v>3240</v>
      </c>
    </row>
    <row r="267" spans="1:2">
      <c r="A267" s="192" t="s">
        <v>225</v>
      </c>
      <c r="B267" s="249">
        <v>3800</v>
      </c>
    </row>
    <row r="268" spans="1:2">
      <c r="A268" s="192" t="s">
        <v>217</v>
      </c>
      <c r="B268" s="249">
        <v>-560</v>
      </c>
    </row>
    <row r="269" spans="1:2">
      <c r="A269" s="193" t="s">
        <v>195</v>
      </c>
      <c r="B269" s="242">
        <f>SUM(B270:B271)</f>
        <v>3500</v>
      </c>
    </row>
    <row r="270" spans="1:2">
      <c r="A270" s="191" t="s">
        <v>2</v>
      </c>
      <c r="B270" s="248">
        <v>1700</v>
      </c>
    </row>
    <row r="271" spans="1:2">
      <c r="A271" s="192" t="s">
        <v>218</v>
      </c>
      <c r="B271" s="249">
        <v>1800</v>
      </c>
    </row>
    <row r="272" spans="1:2">
      <c r="A272" s="192"/>
      <c r="B272" s="249"/>
    </row>
    <row r="273" spans="1:2">
      <c r="A273" s="202" t="s">
        <v>443</v>
      </c>
      <c r="B273" s="244">
        <f>B274+B277</f>
        <v>8870</v>
      </c>
    </row>
    <row r="274" spans="1:2">
      <c r="A274" s="193" t="s">
        <v>200</v>
      </c>
      <c r="B274" s="242">
        <f>SUM(B275:B276)</f>
        <v>4970</v>
      </c>
    </row>
    <row r="275" spans="1:2">
      <c r="A275" s="192" t="s">
        <v>209</v>
      </c>
      <c r="B275" s="249">
        <v>-630</v>
      </c>
    </row>
    <row r="276" spans="1:2">
      <c r="A276" s="192" t="s">
        <v>213</v>
      </c>
      <c r="B276" s="249">
        <v>5600</v>
      </c>
    </row>
    <row r="277" spans="1:2">
      <c r="A277" s="193" t="s">
        <v>201</v>
      </c>
      <c r="B277" s="242">
        <f>SUM(B278:B278)</f>
        <v>3900</v>
      </c>
    </row>
    <row r="278" spans="1:2">
      <c r="A278" s="191" t="s">
        <v>208</v>
      </c>
      <c r="B278" s="248">
        <v>3900</v>
      </c>
    </row>
    <row r="279" spans="1:2">
      <c r="A279" s="191"/>
      <c r="B279" s="248"/>
    </row>
    <row r="280" spans="1:2">
      <c r="A280" s="194" t="s">
        <v>444</v>
      </c>
      <c r="B280" s="241">
        <f>B282+B294+B299+B306</f>
        <v>-44700</v>
      </c>
    </row>
    <row r="281" spans="1:2">
      <c r="A281" s="200"/>
      <c r="B281" s="243"/>
    </row>
    <row r="282" spans="1:2">
      <c r="A282" s="193" t="s">
        <v>445</v>
      </c>
      <c r="B282" s="242">
        <f>B283+B285+B288+B290</f>
        <v>-41650</v>
      </c>
    </row>
    <row r="283" spans="1:2">
      <c r="A283" s="193" t="s">
        <v>219</v>
      </c>
      <c r="B283" s="242">
        <f>SUM(B284:B284)</f>
        <v>3000</v>
      </c>
    </row>
    <row r="284" spans="1:2">
      <c r="A284" s="191" t="s">
        <v>220</v>
      </c>
      <c r="B284" s="248">
        <v>3000</v>
      </c>
    </row>
    <row r="285" spans="1:2">
      <c r="A285" s="193" t="s">
        <v>192</v>
      </c>
      <c r="B285" s="242">
        <f>SUM(B286:B287)</f>
        <v>-1000</v>
      </c>
    </row>
    <row r="286" spans="1:2">
      <c r="A286" s="191" t="s">
        <v>193</v>
      </c>
      <c r="B286" s="248">
        <v>4000</v>
      </c>
    </row>
    <row r="287" spans="1:2">
      <c r="A287" s="191" t="s">
        <v>194</v>
      </c>
      <c r="B287" s="248">
        <v>-5000</v>
      </c>
    </row>
    <row r="288" spans="1:2">
      <c r="A288" s="202" t="s">
        <v>195</v>
      </c>
      <c r="B288" s="244">
        <f>B289</f>
        <v>12300</v>
      </c>
    </row>
    <row r="289" spans="1:2">
      <c r="A289" s="191" t="s">
        <v>2</v>
      </c>
      <c r="B289" s="248">
        <v>12300</v>
      </c>
    </row>
    <row r="290" spans="1:2">
      <c r="A290" s="193" t="s">
        <v>216</v>
      </c>
      <c r="B290" s="242">
        <f>SUM(B291:B292)</f>
        <v>-55950</v>
      </c>
    </row>
    <row r="291" spans="1:2">
      <c r="A291" s="192" t="s">
        <v>225</v>
      </c>
      <c r="B291" s="249">
        <f>-25000-38000</f>
        <v>-63000</v>
      </c>
    </row>
    <row r="292" spans="1:2">
      <c r="A292" s="205" t="s">
        <v>226</v>
      </c>
      <c r="B292" s="249">
        <v>7050</v>
      </c>
    </row>
    <row r="293" spans="1:2">
      <c r="A293" s="200"/>
      <c r="B293" s="243"/>
    </row>
    <row r="294" spans="1:2">
      <c r="A294" s="202" t="s">
        <v>446</v>
      </c>
      <c r="B294" s="244">
        <f>B295</f>
        <v>500</v>
      </c>
    </row>
    <row r="295" spans="1:2">
      <c r="A295" s="193" t="s">
        <v>222</v>
      </c>
      <c r="B295" s="242">
        <f>SUM(B296:B297)</f>
        <v>500</v>
      </c>
    </row>
    <row r="296" spans="1:2">
      <c r="A296" s="192" t="s">
        <v>420</v>
      </c>
      <c r="B296" s="249">
        <v>3000</v>
      </c>
    </row>
    <row r="297" spans="1:2">
      <c r="A297" s="201" t="s">
        <v>1</v>
      </c>
      <c r="B297" s="252">
        <v>-2500</v>
      </c>
    </row>
    <row r="298" spans="1:2">
      <c r="A298" s="201"/>
      <c r="B298" s="252"/>
    </row>
    <row r="299" spans="1:2">
      <c r="A299" s="193" t="s">
        <v>447</v>
      </c>
      <c r="B299" s="242">
        <f>B300+B302</f>
        <v>-5650</v>
      </c>
    </row>
    <row r="300" spans="1:2">
      <c r="A300" s="202" t="s">
        <v>195</v>
      </c>
      <c r="B300" s="244">
        <f>B301</f>
        <v>-4000</v>
      </c>
    </row>
    <row r="301" spans="1:2">
      <c r="A301" s="191" t="s">
        <v>209</v>
      </c>
      <c r="B301" s="248">
        <v>-4000</v>
      </c>
    </row>
    <row r="302" spans="1:2">
      <c r="A302" s="193" t="s">
        <v>192</v>
      </c>
      <c r="B302" s="242">
        <f>B303+B304</f>
        <v>-1650</v>
      </c>
    </row>
    <row r="303" spans="1:2">
      <c r="A303" s="191" t="s">
        <v>193</v>
      </c>
      <c r="B303" s="248">
        <v>-650</v>
      </c>
    </row>
    <row r="304" spans="1:2">
      <c r="A304" s="191" t="s">
        <v>194</v>
      </c>
      <c r="B304" s="248">
        <v>-1000</v>
      </c>
    </row>
    <row r="305" spans="1:2">
      <c r="A305" s="191"/>
      <c r="B305" s="248"/>
    </row>
    <row r="306" spans="1:2">
      <c r="A306" s="193" t="s">
        <v>448</v>
      </c>
      <c r="B306" s="242">
        <f>B307+B311</f>
        <v>2100</v>
      </c>
    </row>
    <row r="307" spans="1:2">
      <c r="A307" s="193" t="s">
        <v>200</v>
      </c>
      <c r="B307" s="242">
        <f>B308+B309+B310</f>
        <v>2500</v>
      </c>
    </row>
    <row r="308" spans="1:2">
      <c r="A308" s="192" t="s">
        <v>213</v>
      </c>
      <c r="B308" s="249">
        <v>3500</v>
      </c>
    </row>
    <row r="309" spans="1:2">
      <c r="A309" s="191" t="s">
        <v>209</v>
      </c>
      <c r="B309" s="248">
        <v>-4000</v>
      </c>
    </row>
    <row r="310" spans="1:2">
      <c r="A310" s="191" t="s">
        <v>207</v>
      </c>
      <c r="B310" s="248">
        <v>3000</v>
      </c>
    </row>
    <row r="311" spans="1:2">
      <c r="A311" s="193" t="s">
        <v>201</v>
      </c>
      <c r="B311" s="242">
        <f>SUM(B312:B312)</f>
        <v>-400</v>
      </c>
    </row>
    <row r="312" spans="1:2">
      <c r="A312" s="192" t="s">
        <v>208</v>
      </c>
      <c r="B312" s="249">
        <v>-400</v>
      </c>
    </row>
    <row r="313" spans="1:2">
      <c r="A313" s="192"/>
      <c r="B313" s="249"/>
    </row>
    <row r="314" spans="1:2">
      <c r="A314" s="194" t="s">
        <v>449</v>
      </c>
      <c r="B314" s="241">
        <f>B316+B326</f>
        <v>24565</v>
      </c>
    </row>
    <row r="315" spans="1:2">
      <c r="A315" s="200"/>
      <c r="B315" s="243"/>
    </row>
    <row r="316" spans="1:2">
      <c r="A316" s="193" t="s">
        <v>450</v>
      </c>
      <c r="B316" s="242">
        <f>B317+B320+B323</f>
        <v>20075</v>
      </c>
    </row>
    <row r="317" spans="1:2">
      <c r="A317" s="193" t="s">
        <v>219</v>
      </c>
      <c r="B317" s="242">
        <f>SUM(B318:B319)</f>
        <v>-2000</v>
      </c>
    </row>
    <row r="318" spans="1:2">
      <c r="A318" s="191" t="s">
        <v>220</v>
      </c>
      <c r="B318" s="248">
        <v>-200</v>
      </c>
    </row>
    <row r="319" spans="1:2">
      <c r="A319" s="191" t="s">
        <v>194</v>
      </c>
      <c r="B319" s="248">
        <v>-1800</v>
      </c>
    </row>
    <row r="320" spans="1:2">
      <c r="A320" s="193" t="s">
        <v>216</v>
      </c>
      <c r="B320" s="242">
        <f>B321+B322</f>
        <v>12175</v>
      </c>
    </row>
    <row r="321" spans="1:2">
      <c r="A321" s="192" t="s">
        <v>225</v>
      </c>
      <c r="B321" s="249">
        <v>7350</v>
      </c>
    </row>
    <row r="322" spans="1:2">
      <c r="A322" s="205" t="s">
        <v>226</v>
      </c>
      <c r="B322" s="249">
        <v>4825</v>
      </c>
    </row>
    <row r="323" spans="1:2">
      <c r="A323" s="193" t="s">
        <v>195</v>
      </c>
      <c r="B323" s="242">
        <f>SUM(B324:B324)</f>
        <v>9900</v>
      </c>
    </row>
    <row r="324" spans="1:2">
      <c r="A324" s="191" t="s">
        <v>2</v>
      </c>
      <c r="B324" s="248">
        <v>9900</v>
      </c>
    </row>
    <row r="325" spans="1:2">
      <c r="A325" s="193"/>
      <c r="B325" s="242"/>
    </row>
    <row r="326" spans="1:2">
      <c r="A326" s="193" t="s">
        <v>451</v>
      </c>
      <c r="B326" s="242">
        <f>B327+B331</f>
        <v>4490</v>
      </c>
    </row>
    <row r="327" spans="1:2">
      <c r="A327" s="193" t="s">
        <v>222</v>
      </c>
      <c r="B327" s="242">
        <f>SUM(B328:B330)</f>
        <v>1200</v>
      </c>
    </row>
    <row r="328" spans="1:2">
      <c r="A328" s="192" t="s">
        <v>198</v>
      </c>
      <c r="B328" s="249">
        <v>900</v>
      </c>
    </row>
    <row r="329" spans="1:2">
      <c r="A329" s="201" t="s">
        <v>420</v>
      </c>
      <c r="B329" s="252">
        <v>-200</v>
      </c>
    </row>
    <row r="330" spans="1:2">
      <c r="A330" s="191" t="s">
        <v>1</v>
      </c>
      <c r="B330" s="248">
        <v>500</v>
      </c>
    </row>
    <row r="331" spans="1:2">
      <c r="A331" s="193" t="s">
        <v>201</v>
      </c>
      <c r="B331" s="242">
        <f>B332+B333</f>
        <v>3290</v>
      </c>
    </row>
    <row r="332" spans="1:2">
      <c r="A332" s="192" t="s">
        <v>210</v>
      </c>
      <c r="B332" s="249">
        <v>100</v>
      </c>
    </row>
    <row r="333" spans="1:2">
      <c r="A333" s="192" t="s">
        <v>208</v>
      </c>
      <c r="B333" s="249">
        <v>3190</v>
      </c>
    </row>
    <row r="334" spans="1:2">
      <c r="A334" s="192"/>
      <c r="B334" s="249"/>
    </row>
    <row r="335" spans="1:2">
      <c r="A335" s="194" t="s">
        <v>331</v>
      </c>
      <c r="B335" s="241">
        <f>B337+B347+B354+B364+B368+B374+B382</f>
        <v>50160</v>
      </c>
    </row>
    <row r="336" spans="1:2">
      <c r="A336" s="200"/>
      <c r="B336" s="243"/>
    </row>
    <row r="337" spans="1:2">
      <c r="A337" s="193" t="s">
        <v>332</v>
      </c>
      <c r="B337" s="242">
        <f>+B338+B341+B344</f>
        <v>19620</v>
      </c>
    </row>
    <row r="338" spans="1:2">
      <c r="A338" s="193" t="s">
        <v>192</v>
      </c>
      <c r="B338" s="242">
        <f>SUM(B339:B340)</f>
        <v>-4520</v>
      </c>
    </row>
    <row r="339" spans="1:2">
      <c r="A339" s="191" t="s">
        <v>193</v>
      </c>
      <c r="B339" s="248">
        <v>-8020</v>
      </c>
    </row>
    <row r="340" spans="1:2">
      <c r="A340" s="191" t="s">
        <v>194</v>
      </c>
      <c r="B340" s="248">
        <v>3500</v>
      </c>
    </row>
    <row r="341" spans="1:2">
      <c r="A341" s="193" t="s">
        <v>216</v>
      </c>
      <c r="B341" s="242">
        <f>SUM(B342:B343)</f>
        <v>6710</v>
      </c>
    </row>
    <row r="342" spans="1:2">
      <c r="A342" s="192" t="s">
        <v>225</v>
      </c>
      <c r="B342" s="249">
        <v>2170</v>
      </c>
    </row>
    <row r="343" spans="1:2">
      <c r="A343" s="192" t="s">
        <v>217</v>
      </c>
      <c r="B343" s="249">
        <v>4540</v>
      </c>
    </row>
    <row r="344" spans="1:2">
      <c r="A344" s="193" t="s">
        <v>195</v>
      </c>
      <c r="B344" s="242">
        <f>B345</f>
        <v>17430</v>
      </c>
    </row>
    <row r="345" spans="1:2">
      <c r="A345" s="191" t="s">
        <v>2</v>
      </c>
      <c r="B345" s="248">
        <v>17430</v>
      </c>
    </row>
    <row r="346" spans="1:2">
      <c r="A346" s="192"/>
      <c r="B346" s="249"/>
    </row>
    <row r="347" spans="1:2">
      <c r="A347" s="202" t="s">
        <v>452</v>
      </c>
      <c r="B347" s="244">
        <f>B348+B350</f>
        <v>-12235</v>
      </c>
    </row>
    <row r="348" spans="1:2">
      <c r="A348" s="193" t="s">
        <v>201</v>
      </c>
      <c r="B348" s="242">
        <f>B349</f>
        <v>-9700</v>
      </c>
    </row>
    <row r="349" spans="1:2">
      <c r="A349" s="191" t="s">
        <v>289</v>
      </c>
      <c r="B349" s="248">
        <v>-9700</v>
      </c>
    </row>
    <row r="350" spans="1:2">
      <c r="A350" s="193" t="s">
        <v>192</v>
      </c>
      <c r="B350" s="242">
        <f>SUM(B351:B352)</f>
        <v>-2535</v>
      </c>
    </row>
    <row r="351" spans="1:2">
      <c r="A351" s="191" t="s">
        <v>193</v>
      </c>
      <c r="B351" s="248">
        <v>-1855</v>
      </c>
    </row>
    <row r="352" spans="1:2">
      <c r="A352" s="191" t="s">
        <v>194</v>
      </c>
      <c r="B352" s="248">
        <v>-680</v>
      </c>
    </row>
    <row r="353" spans="1:2">
      <c r="A353" s="191"/>
      <c r="B353" s="248"/>
    </row>
    <row r="354" spans="1:2">
      <c r="A354" s="193" t="s">
        <v>453</v>
      </c>
      <c r="B354" s="242">
        <f>B355+B360</f>
        <v>19500</v>
      </c>
    </row>
    <row r="355" spans="1:2">
      <c r="A355" s="193" t="s">
        <v>200</v>
      </c>
      <c r="B355" s="242">
        <f>SUM(B356:B359)</f>
        <v>14700</v>
      </c>
    </row>
    <row r="356" spans="1:2">
      <c r="A356" s="191" t="s">
        <v>209</v>
      </c>
      <c r="B356" s="248">
        <v>7500</v>
      </c>
    </row>
    <row r="357" spans="1:2">
      <c r="A357" s="191" t="s">
        <v>198</v>
      </c>
      <c r="B357" s="248">
        <v>200</v>
      </c>
    </row>
    <row r="358" spans="1:2">
      <c r="A358" s="192" t="s">
        <v>213</v>
      </c>
      <c r="B358" s="249">
        <v>5000</v>
      </c>
    </row>
    <row r="359" spans="1:2">
      <c r="A359" s="192" t="s">
        <v>206</v>
      </c>
      <c r="B359" s="249">
        <v>2000</v>
      </c>
    </row>
    <row r="360" spans="1:2">
      <c r="A360" s="193" t="s">
        <v>192</v>
      </c>
      <c r="B360" s="242">
        <f>SUM(B361:B362)</f>
        <v>4800</v>
      </c>
    </row>
    <row r="361" spans="1:2">
      <c r="A361" s="191" t="s">
        <v>193</v>
      </c>
      <c r="B361" s="248">
        <v>6000</v>
      </c>
    </row>
    <row r="362" spans="1:2">
      <c r="A362" s="191" t="s">
        <v>194</v>
      </c>
      <c r="B362" s="248">
        <v>-1200</v>
      </c>
    </row>
    <row r="363" spans="1:2">
      <c r="A363" s="191"/>
      <c r="B363" s="248"/>
    </row>
    <row r="364" spans="1:2">
      <c r="A364" s="193" t="s">
        <v>454</v>
      </c>
      <c r="B364" s="242">
        <f>B365</f>
        <v>1700</v>
      </c>
    </row>
    <row r="365" spans="1:2">
      <c r="A365" s="193" t="s">
        <v>222</v>
      </c>
      <c r="B365" s="242">
        <f>SUM(B366:B366)</f>
        <v>1700</v>
      </c>
    </row>
    <row r="366" spans="1:2">
      <c r="A366" s="192" t="s">
        <v>3</v>
      </c>
      <c r="B366" s="249">
        <v>1700</v>
      </c>
    </row>
    <row r="367" spans="1:2">
      <c r="A367" s="191"/>
      <c r="B367" s="248"/>
    </row>
    <row r="368" spans="1:2">
      <c r="A368" s="193" t="s">
        <v>455</v>
      </c>
      <c r="B368" s="242">
        <f>B369</f>
        <v>18100</v>
      </c>
    </row>
    <row r="369" spans="1:2">
      <c r="A369" s="193" t="s">
        <v>201</v>
      </c>
      <c r="B369" s="242">
        <f>B370+B371+B372</f>
        <v>18100</v>
      </c>
    </row>
    <row r="370" spans="1:2">
      <c r="A370" s="192" t="s">
        <v>3</v>
      </c>
      <c r="B370" s="249">
        <v>13000</v>
      </c>
    </row>
    <row r="371" spans="1:2">
      <c r="A371" s="192" t="s">
        <v>210</v>
      </c>
      <c r="B371" s="249">
        <v>1000</v>
      </c>
    </row>
    <row r="372" spans="1:2">
      <c r="A372" s="192" t="s">
        <v>208</v>
      </c>
      <c r="B372" s="249">
        <v>4100</v>
      </c>
    </row>
    <row r="373" spans="1:2">
      <c r="A373" s="192"/>
      <c r="B373" s="249"/>
    </row>
    <row r="374" spans="1:2">
      <c r="A374" s="193" t="s">
        <v>456</v>
      </c>
      <c r="B374" s="242">
        <f>B375+B378</f>
        <v>4425</v>
      </c>
    </row>
    <row r="375" spans="1:2">
      <c r="A375" s="202" t="s">
        <v>195</v>
      </c>
      <c r="B375" s="244">
        <f>B376+B377</f>
        <v>6000</v>
      </c>
    </row>
    <row r="376" spans="1:2">
      <c r="A376" s="191" t="s">
        <v>209</v>
      </c>
      <c r="B376" s="248">
        <v>7000</v>
      </c>
    </row>
    <row r="377" spans="1:2">
      <c r="A377" s="192" t="s">
        <v>273</v>
      </c>
      <c r="B377" s="249">
        <v>-1000</v>
      </c>
    </row>
    <row r="378" spans="1:2">
      <c r="A378" s="193" t="s">
        <v>192</v>
      </c>
      <c r="B378" s="242">
        <f>B379+B380</f>
        <v>-1575</v>
      </c>
    </row>
    <row r="379" spans="1:2">
      <c r="A379" s="191" t="s">
        <v>193</v>
      </c>
      <c r="B379" s="248">
        <v>-1438</v>
      </c>
    </row>
    <row r="380" spans="1:2">
      <c r="A380" s="191" t="s">
        <v>194</v>
      </c>
      <c r="B380" s="248">
        <v>-137</v>
      </c>
    </row>
    <row r="381" spans="1:2">
      <c r="A381" s="191"/>
      <c r="B381" s="248"/>
    </row>
    <row r="382" spans="1:2">
      <c r="A382" s="193" t="s">
        <v>457</v>
      </c>
      <c r="B382" s="242">
        <f>B383</f>
        <v>-950</v>
      </c>
    </row>
    <row r="383" spans="1:2">
      <c r="A383" s="193" t="s">
        <v>222</v>
      </c>
      <c r="B383" s="242">
        <f>B384+B385+B386+B387+B388</f>
        <v>-950</v>
      </c>
    </row>
    <row r="384" spans="1:2">
      <c r="A384" s="191" t="s">
        <v>420</v>
      </c>
      <c r="B384" s="248">
        <v>171</v>
      </c>
    </row>
    <row r="385" spans="1:2">
      <c r="A385" s="192" t="s">
        <v>198</v>
      </c>
      <c r="B385" s="249">
        <v>-531</v>
      </c>
    </row>
    <row r="386" spans="1:2">
      <c r="A386" s="191" t="s">
        <v>68</v>
      </c>
      <c r="B386" s="248">
        <v>-1744</v>
      </c>
    </row>
    <row r="387" spans="1:2">
      <c r="A387" s="191" t="s">
        <v>418</v>
      </c>
      <c r="B387" s="248">
        <v>754</v>
      </c>
    </row>
    <row r="388" spans="1:2">
      <c r="A388" s="191" t="s">
        <v>458</v>
      </c>
      <c r="B388" s="248">
        <v>400</v>
      </c>
    </row>
    <row r="389" spans="1:2">
      <c r="A389" s="193"/>
      <c r="B389" s="242"/>
    </row>
    <row r="390" spans="1:2">
      <c r="A390" s="194" t="s">
        <v>333</v>
      </c>
      <c r="B390" s="241">
        <f>B392</f>
        <v>-315</v>
      </c>
    </row>
    <row r="391" spans="1:2">
      <c r="A391" s="200"/>
      <c r="B391" s="243"/>
    </row>
    <row r="392" spans="1:2">
      <c r="A392" s="193" t="s">
        <v>334</v>
      </c>
      <c r="B392" s="242">
        <f>B393+B395+B397</f>
        <v>-315</v>
      </c>
    </row>
    <row r="393" spans="1:2">
      <c r="A393" s="193" t="s">
        <v>219</v>
      </c>
      <c r="B393" s="242">
        <f>SUM(B394:B394)</f>
        <v>-7215</v>
      </c>
    </row>
    <row r="394" spans="1:2">
      <c r="A394" s="191" t="s">
        <v>194</v>
      </c>
      <c r="B394" s="248">
        <v>-7215</v>
      </c>
    </row>
    <row r="395" spans="1:2">
      <c r="A395" s="202" t="s">
        <v>195</v>
      </c>
      <c r="B395" s="244">
        <f>SUM(B396:B396)</f>
        <v>6000</v>
      </c>
    </row>
    <row r="396" spans="1:2">
      <c r="A396" s="192" t="s">
        <v>218</v>
      </c>
      <c r="B396" s="249">
        <v>6000</v>
      </c>
    </row>
    <row r="397" spans="1:2">
      <c r="A397" s="193" t="s">
        <v>216</v>
      </c>
      <c r="B397" s="242">
        <f>SUM(B398:B398)</f>
        <v>900</v>
      </c>
    </row>
    <row r="398" spans="1:2">
      <c r="A398" s="192" t="s">
        <v>217</v>
      </c>
      <c r="B398" s="249">
        <v>900</v>
      </c>
    </row>
    <row r="399" spans="1:2">
      <c r="A399" s="191"/>
      <c r="B399" s="248"/>
    </row>
    <row r="400" spans="1:2">
      <c r="A400" s="194" t="s">
        <v>335</v>
      </c>
      <c r="B400" s="241">
        <f>B402+B411+B417+B423</f>
        <v>11367</v>
      </c>
    </row>
    <row r="401" spans="1:2">
      <c r="A401" s="200"/>
      <c r="B401" s="243"/>
    </row>
    <row r="402" spans="1:2">
      <c r="A402" s="193" t="s">
        <v>336</v>
      </c>
      <c r="B402" s="242">
        <f>+B405+B408+B403</f>
        <v>-233</v>
      </c>
    </row>
    <row r="403" spans="1:2">
      <c r="A403" s="193" t="s">
        <v>201</v>
      </c>
      <c r="B403" s="242">
        <f>B404</f>
        <v>5200</v>
      </c>
    </row>
    <row r="404" spans="1:2">
      <c r="A404" s="192" t="s">
        <v>198</v>
      </c>
      <c r="B404" s="249">
        <v>5200</v>
      </c>
    </row>
    <row r="405" spans="1:2">
      <c r="A405" s="193" t="s">
        <v>192</v>
      </c>
      <c r="B405" s="242">
        <f>SUM(B406:B407)</f>
        <v>-8433</v>
      </c>
    </row>
    <row r="406" spans="1:2">
      <c r="A406" s="191" t="s">
        <v>193</v>
      </c>
      <c r="B406" s="248">
        <f>-3700-6233</f>
        <v>-9933</v>
      </c>
    </row>
    <row r="407" spans="1:2">
      <c r="A407" s="191" t="s">
        <v>202</v>
      </c>
      <c r="B407" s="248">
        <v>1500</v>
      </c>
    </row>
    <row r="408" spans="1:2">
      <c r="A408" s="193" t="s">
        <v>195</v>
      </c>
      <c r="B408" s="242">
        <f>SUM(B409:B409)</f>
        <v>3000</v>
      </c>
    </row>
    <row r="409" spans="1:2">
      <c r="A409" s="191" t="s">
        <v>2</v>
      </c>
      <c r="B409" s="248">
        <v>3000</v>
      </c>
    </row>
    <row r="410" spans="1:2">
      <c r="A410" s="192"/>
      <c r="B410" s="249"/>
    </row>
    <row r="411" spans="1:2">
      <c r="A411" s="206" t="s">
        <v>337</v>
      </c>
      <c r="B411" s="242">
        <f>B412</f>
        <v>1700</v>
      </c>
    </row>
    <row r="412" spans="1:2">
      <c r="A412" s="193" t="s">
        <v>200</v>
      </c>
      <c r="B412" s="242">
        <f>SUM(B413:B415)</f>
        <v>1700</v>
      </c>
    </row>
    <row r="413" spans="1:2">
      <c r="A413" s="192" t="s">
        <v>209</v>
      </c>
      <c r="B413" s="249">
        <v>500</v>
      </c>
    </row>
    <row r="414" spans="1:2">
      <c r="A414" s="192" t="s">
        <v>213</v>
      </c>
      <c r="B414" s="249">
        <v>2000</v>
      </c>
    </row>
    <row r="415" spans="1:2">
      <c r="A415" s="192" t="s">
        <v>206</v>
      </c>
      <c r="B415" s="249">
        <v>-800</v>
      </c>
    </row>
    <row r="416" spans="1:2">
      <c r="A416" s="193"/>
      <c r="B416" s="242"/>
    </row>
    <row r="417" spans="1:2">
      <c r="A417" s="193" t="s">
        <v>338</v>
      </c>
      <c r="B417" s="242">
        <f>B418+B420</f>
        <v>2400</v>
      </c>
    </row>
    <row r="418" spans="1:2">
      <c r="A418" s="193" t="s">
        <v>222</v>
      </c>
      <c r="B418" s="242">
        <f>SUM(B419:B419)</f>
        <v>1100</v>
      </c>
    </row>
    <row r="419" spans="1:2">
      <c r="A419" s="192" t="s">
        <v>198</v>
      </c>
      <c r="B419" s="249">
        <v>1100</v>
      </c>
    </row>
    <row r="420" spans="1:2">
      <c r="A420" s="193" t="s">
        <v>201</v>
      </c>
      <c r="B420" s="242">
        <f>SUM(B421:B421)</f>
        <v>1300</v>
      </c>
    </row>
    <row r="421" spans="1:2">
      <c r="A421" s="192" t="s">
        <v>210</v>
      </c>
      <c r="B421" s="249">
        <v>1300</v>
      </c>
    </row>
    <row r="422" spans="1:2">
      <c r="A422" s="193"/>
      <c r="B422" s="242"/>
    </row>
    <row r="423" spans="1:2">
      <c r="A423" s="193" t="s">
        <v>459</v>
      </c>
      <c r="B423" s="242">
        <f>B424+B428+B431</f>
        <v>7500</v>
      </c>
    </row>
    <row r="424" spans="1:2">
      <c r="A424" s="193" t="s">
        <v>222</v>
      </c>
      <c r="B424" s="242">
        <f>SUM(B425:B427)</f>
        <v>4000</v>
      </c>
    </row>
    <row r="425" spans="1:2">
      <c r="A425" s="192" t="s">
        <v>460</v>
      </c>
      <c r="B425" s="249">
        <v>-400</v>
      </c>
    </row>
    <row r="426" spans="1:2">
      <c r="A426" s="192" t="s">
        <v>223</v>
      </c>
      <c r="B426" s="249">
        <v>7400</v>
      </c>
    </row>
    <row r="427" spans="1:2">
      <c r="A427" s="192" t="s">
        <v>198</v>
      </c>
      <c r="B427" s="249">
        <v>-3000</v>
      </c>
    </row>
    <row r="428" spans="1:2">
      <c r="A428" s="193" t="s">
        <v>219</v>
      </c>
      <c r="B428" s="242">
        <f>SUM(B429:B430)</f>
        <v>4600</v>
      </c>
    </row>
    <row r="429" spans="1:2">
      <c r="A429" s="192" t="s">
        <v>220</v>
      </c>
      <c r="B429" s="249">
        <v>1600</v>
      </c>
    </row>
    <row r="430" spans="1:2">
      <c r="A430" s="191" t="s">
        <v>194</v>
      </c>
      <c r="B430" s="248">
        <v>3000</v>
      </c>
    </row>
    <row r="431" spans="1:2">
      <c r="A431" s="193" t="s">
        <v>192</v>
      </c>
      <c r="B431" s="242">
        <f>SUM(B432:B433)</f>
        <v>-1100</v>
      </c>
    </row>
    <row r="432" spans="1:2">
      <c r="A432" s="191" t="s">
        <v>193</v>
      </c>
      <c r="B432" s="248">
        <v>-600</v>
      </c>
    </row>
    <row r="433" spans="1:2">
      <c r="A433" s="191" t="s">
        <v>194</v>
      </c>
      <c r="B433" s="248">
        <v>-500</v>
      </c>
    </row>
    <row r="434" spans="1:2">
      <c r="A434" s="192"/>
      <c r="B434" s="249"/>
    </row>
    <row r="435" spans="1:2">
      <c r="A435" s="194" t="s">
        <v>339</v>
      </c>
      <c r="B435" s="241">
        <f>B437+B445</f>
        <v>3640</v>
      </c>
    </row>
    <row r="436" spans="1:2">
      <c r="A436" s="200"/>
      <c r="B436" s="243"/>
    </row>
    <row r="437" spans="1:2">
      <c r="A437" s="193" t="s">
        <v>340</v>
      </c>
      <c r="B437" s="242">
        <f>+B438+B440+B442</f>
        <v>3520</v>
      </c>
    </row>
    <row r="438" spans="1:2">
      <c r="A438" s="193" t="s">
        <v>192</v>
      </c>
      <c r="B438" s="242">
        <f>SUM(B439:B439)</f>
        <v>420</v>
      </c>
    </row>
    <row r="439" spans="1:2">
      <c r="A439" s="191" t="s">
        <v>193</v>
      </c>
      <c r="B439" s="248">
        <v>420</v>
      </c>
    </row>
    <row r="440" spans="1:2">
      <c r="A440" s="193" t="s">
        <v>216</v>
      </c>
      <c r="B440" s="242">
        <f>B441</f>
        <v>1600</v>
      </c>
    </row>
    <row r="441" spans="1:2">
      <c r="A441" s="192" t="s">
        <v>225</v>
      </c>
      <c r="B441" s="249">
        <v>1600</v>
      </c>
    </row>
    <row r="442" spans="1:2">
      <c r="A442" s="202" t="s">
        <v>195</v>
      </c>
      <c r="B442" s="244">
        <f>SUM(B443:B443)</f>
        <v>1500</v>
      </c>
    </row>
    <row r="443" spans="1:2">
      <c r="A443" s="191" t="s">
        <v>2</v>
      </c>
      <c r="B443" s="248">
        <v>1500</v>
      </c>
    </row>
    <row r="444" spans="1:2">
      <c r="A444" s="193"/>
      <c r="B444" s="242"/>
    </row>
    <row r="445" spans="1:2">
      <c r="A445" s="202" t="s">
        <v>461</v>
      </c>
      <c r="B445" s="244">
        <f>B446+B451+B453</f>
        <v>120</v>
      </c>
    </row>
    <row r="446" spans="1:2">
      <c r="A446" s="193" t="s">
        <v>200</v>
      </c>
      <c r="B446" s="242">
        <f>SUM(B447:B450)</f>
        <v>-3280</v>
      </c>
    </row>
    <row r="447" spans="1:2">
      <c r="A447" s="192" t="s">
        <v>209</v>
      </c>
      <c r="B447" s="249">
        <v>-300</v>
      </c>
    </row>
    <row r="448" spans="1:2">
      <c r="A448" s="192" t="s">
        <v>198</v>
      </c>
      <c r="B448" s="249">
        <v>120</v>
      </c>
    </row>
    <row r="449" spans="1:2">
      <c r="A449" s="192" t="s">
        <v>213</v>
      </c>
      <c r="B449" s="249">
        <v>-3000</v>
      </c>
    </row>
    <row r="450" spans="1:2">
      <c r="A450" s="192" t="s">
        <v>206</v>
      </c>
      <c r="B450" s="249">
        <v>-100</v>
      </c>
    </row>
    <row r="451" spans="1:2">
      <c r="A451" s="193" t="s">
        <v>201</v>
      </c>
      <c r="B451" s="242">
        <f>SUM(B452:B452)</f>
        <v>100</v>
      </c>
    </row>
    <row r="452" spans="1:2">
      <c r="A452" s="192" t="s">
        <v>210</v>
      </c>
      <c r="B452" s="249">
        <v>100</v>
      </c>
    </row>
    <row r="453" spans="1:2">
      <c r="A453" s="193" t="s">
        <v>222</v>
      </c>
      <c r="B453" s="242">
        <f>SUM(B454:B456)</f>
        <v>3300</v>
      </c>
    </row>
    <row r="454" spans="1:2">
      <c r="A454" s="192" t="s">
        <v>3</v>
      </c>
      <c r="B454" s="249">
        <v>700</v>
      </c>
    </row>
    <row r="455" spans="1:2">
      <c r="A455" s="192" t="s">
        <v>68</v>
      </c>
      <c r="B455" s="249">
        <v>1400</v>
      </c>
    </row>
    <row r="456" spans="1:2">
      <c r="A456" s="192" t="s">
        <v>462</v>
      </c>
      <c r="B456" s="249">
        <v>1200</v>
      </c>
    </row>
    <row r="457" spans="1:2">
      <c r="A457" s="193"/>
      <c r="B457" s="242"/>
    </row>
    <row r="458" spans="1:2">
      <c r="A458" s="194" t="s">
        <v>341</v>
      </c>
      <c r="B458" s="241">
        <f>B460+B476+B483</f>
        <v>-24845</v>
      </c>
    </row>
    <row r="459" spans="1:2">
      <c r="A459" s="204"/>
      <c r="B459" s="247"/>
    </row>
    <row r="460" spans="1:2">
      <c r="A460" s="193" t="s">
        <v>342</v>
      </c>
      <c r="B460" s="242">
        <f>B461+B464+B468+B472</f>
        <v>-29485</v>
      </c>
    </row>
    <row r="461" spans="1:2">
      <c r="A461" s="193" t="s">
        <v>219</v>
      </c>
      <c r="B461" s="242">
        <f>SUM(B462:B463)</f>
        <v>-22580</v>
      </c>
    </row>
    <row r="462" spans="1:2">
      <c r="A462" s="191" t="s">
        <v>220</v>
      </c>
      <c r="B462" s="248">
        <v>-13340</v>
      </c>
    </row>
    <row r="463" spans="1:2">
      <c r="A463" s="191" t="s">
        <v>194</v>
      </c>
      <c r="B463" s="248">
        <v>-9240</v>
      </c>
    </row>
    <row r="464" spans="1:2">
      <c r="A464" s="193" t="s">
        <v>192</v>
      </c>
      <c r="B464" s="242">
        <f>SUM(B465:B467)</f>
        <v>-27705</v>
      </c>
    </row>
    <row r="465" spans="1:2">
      <c r="A465" s="191" t="s">
        <v>193</v>
      </c>
      <c r="B465" s="248">
        <v>-6420</v>
      </c>
    </row>
    <row r="466" spans="1:2">
      <c r="A466" s="191" t="s">
        <v>194</v>
      </c>
      <c r="B466" s="248">
        <v>-19986</v>
      </c>
    </row>
    <row r="467" spans="1:2">
      <c r="A467" s="191" t="s">
        <v>202</v>
      </c>
      <c r="B467" s="248">
        <v>-1299</v>
      </c>
    </row>
    <row r="468" spans="1:2">
      <c r="A468" s="202" t="s">
        <v>216</v>
      </c>
      <c r="B468" s="244">
        <f>SUM(B469:B471)</f>
        <v>18300</v>
      </c>
    </row>
    <row r="469" spans="1:2">
      <c r="A469" s="192" t="s">
        <v>225</v>
      </c>
      <c r="B469" s="249">
        <v>15000</v>
      </c>
    </row>
    <row r="470" spans="1:2">
      <c r="A470" s="192" t="s">
        <v>217</v>
      </c>
      <c r="B470" s="249">
        <v>2400</v>
      </c>
    </row>
    <row r="471" spans="1:2">
      <c r="A471" s="205" t="s">
        <v>226</v>
      </c>
      <c r="B471" s="249">
        <v>900</v>
      </c>
    </row>
    <row r="472" spans="1:2">
      <c r="A472" s="202" t="s">
        <v>195</v>
      </c>
      <c r="B472" s="244">
        <f>SUM(B473:B474)</f>
        <v>2500</v>
      </c>
    </row>
    <row r="473" spans="1:2">
      <c r="A473" s="191" t="s">
        <v>2</v>
      </c>
      <c r="B473" s="248">
        <v>2000</v>
      </c>
    </row>
    <row r="474" spans="1:2">
      <c r="A474" s="192" t="s">
        <v>218</v>
      </c>
      <c r="B474" s="249">
        <v>500</v>
      </c>
    </row>
    <row r="475" spans="1:2">
      <c r="A475" s="277"/>
      <c r="B475" s="278"/>
    </row>
    <row r="476" spans="1:2">
      <c r="A476" s="202" t="s">
        <v>463</v>
      </c>
      <c r="B476" s="244">
        <f>B477+B480</f>
        <v>2555</v>
      </c>
    </row>
    <row r="477" spans="1:2">
      <c r="A477" s="276" t="s">
        <v>222</v>
      </c>
      <c r="B477" s="245">
        <f>B479+B478</f>
        <v>-1300</v>
      </c>
    </row>
    <row r="478" spans="1:2">
      <c r="A478" s="191" t="s">
        <v>1</v>
      </c>
      <c r="B478" s="248">
        <v>-1700</v>
      </c>
    </row>
    <row r="479" spans="1:2">
      <c r="A479" s="192" t="s">
        <v>198</v>
      </c>
      <c r="B479" s="249">
        <v>400</v>
      </c>
    </row>
    <row r="480" spans="1:2">
      <c r="A480" s="193" t="s">
        <v>192</v>
      </c>
      <c r="B480" s="242">
        <f>B481</f>
        <v>3855</v>
      </c>
    </row>
    <row r="481" spans="1:2">
      <c r="A481" s="191" t="s">
        <v>194</v>
      </c>
      <c r="B481" s="248">
        <v>3855</v>
      </c>
    </row>
    <row r="482" spans="1:2">
      <c r="A482" s="192"/>
      <c r="B482" s="249"/>
    </row>
    <row r="483" spans="1:2">
      <c r="A483" s="193" t="s">
        <v>343</v>
      </c>
      <c r="B483" s="242">
        <f>B484</f>
        <v>2085</v>
      </c>
    </row>
    <row r="484" spans="1:2">
      <c r="A484" s="193" t="s">
        <v>201</v>
      </c>
      <c r="B484" s="242">
        <f>B485+B486+B487</f>
        <v>2085</v>
      </c>
    </row>
    <row r="485" spans="1:2">
      <c r="A485" s="191" t="s">
        <v>3</v>
      </c>
      <c r="B485" s="248">
        <v>1260</v>
      </c>
    </row>
    <row r="486" spans="1:2">
      <c r="A486" s="191" t="s">
        <v>210</v>
      </c>
      <c r="B486" s="248">
        <f>650-55</f>
        <v>595</v>
      </c>
    </row>
    <row r="487" spans="1:2">
      <c r="A487" s="191" t="s">
        <v>464</v>
      </c>
      <c r="B487" s="248">
        <v>230</v>
      </c>
    </row>
    <row r="488" spans="1:2">
      <c r="A488" s="191"/>
      <c r="B488" s="248"/>
    </row>
    <row r="489" spans="1:2">
      <c r="A489" s="194" t="s">
        <v>69</v>
      </c>
      <c r="B489" s="241">
        <f>+B6+B66+B126+B183+B216+B231+B227+B237+B257+B280+B314+B335+B390+B400+B435+B458+B212</f>
        <v>1325417</v>
      </c>
    </row>
  </sheetData>
  <phoneticPr fontId="23" type="noConversion"/>
  <pageMargins left="1.1811023622047245" right="0.47244094488188981" top="0.47244094488188981" bottom="0.98425196850393704" header="0.51181102362204722" footer="0.51181102362204722"/>
  <pageSetup paperSize="9" fitToHeight="0" orientation="portrait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7"/>
  <sheetViews>
    <sheetView zoomScaleNormal="100" workbookViewId="0"/>
  </sheetViews>
  <sheetFormatPr defaultRowHeight="12.75"/>
  <cols>
    <col min="1" max="1" width="52.7109375" customWidth="1"/>
    <col min="2" max="2" width="14.5703125" bestFit="1" customWidth="1"/>
  </cols>
  <sheetData>
    <row r="1" spans="1:2" ht="15">
      <c r="A1" s="62" t="s">
        <v>5</v>
      </c>
    </row>
    <row r="2" spans="1:2" ht="14.25">
      <c r="A2" s="85"/>
      <c r="B2" s="48" t="s">
        <v>73</v>
      </c>
    </row>
    <row r="3" spans="1:2" ht="14.25">
      <c r="A3" s="85"/>
      <c r="B3" s="233"/>
    </row>
    <row r="4" spans="1:2" s="96" customFormat="1">
      <c r="A4" s="63"/>
      <c r="B4" s="378"/>
    </row>
    <row r="5" spans="1:2" s="96" customFormat="1">
      <c r="A5" s="52" t="s">
        <v>274</v>
      </c>
      <c r="B5" s="377">
        <f>B6</f>
        <v>418</v>
      </c>
    </row>
    <row r="6" spans="1:2" s="96" customFormat="1">
      <c r="A6" s="379" t="s">
        <v>576</v>
      </c>
      <c r="B6" s="380">
        <f>B7</f>
        <v>418</v>
      </c>
    </row>
    <row r="7" spans="1:2" s="96" customFormat="1">
      <c r="A7" s="381" t="s">
        <v>7</v>
      </c>
      <c r="B7" s="382">
        <f>B8</f>
        <v>418</v>
      </c>
    </row>
    <row r="8" spans="1:2" s="96" customFormat="1" ht="24">
      <c r="A8" s="188" t="s">
        <v>577</v>
      </c>
      <c r="B8" s="383">
        <v>418</v>
      </c>
    </row>
    <row r="9" spans="1:2" s="96" customFormat="1">
      <c r="A9" s="63"/>
      <c r="B9" s="378"/>
    </row>
    <row r="10" spans="1:2" s="96" customFormat="1">
      <c r="A10" s="52" t="s">
        <v>6</v>
      </c>
      <c r="B10" s="377">
        <f>B11</f>
        <v>84256</v>
      </c>
    </row>
    <row r="11" spans="1:2" s="96" customFormat="1">
      <c r="A11" s="63" t="s">
        <v>9</v>
      </c>
      <c r="B11" s="378">
        <f>B13+B17+B20+B27+B24</f>
        <v>84256</v>
      </c>
    </row>
    <row r="12" spans="1:2" s="96" customFormat="1">
      <c r="A12" s="234"/>
      <c r="B12" s="384"/>
    </row>
    <row r="13" spans="1:2" s="96" customFormat="1">
      <c r="A13" s="208" t="s">
        <v>148</v>
      </c>
      <c r="B13" s="385">
        <f>B14+B15</f>
        <v>60836</v>
      </c>
    </row>
    <row r="14" spans="1:2" s="96" customFormat="1" ht="24">
      <c r="A14" s="386" t="s">
        <v>578</v>
      </c>
      <c r="B14" s="387">
        <v>45692</v>
      </c>
    </row>
    <row r="15" spans="1:2" s="96" customFormat="1">
      <c r="A15" s="388" t="s">
        <v>579</v>
      </c>
      <c r="B15" s="389">
        <v>15144</v>
      </c>
    </row>
    <row r="16" spans="1:2" s="96" customFormat="1">
      <c r="A16" s="78"/>
      <c r="B16" s="390"/>
    </row>
    <row r="17" spans="1:2" s="96" customFormat="1">
      <c r="A17" s="110" t="s">
        <v>129</v>
      </c>
      <c r="B17" s="391">
        <f>B18</f>
        <v>6000</v>
      </c>
    </row>
    <row r="18" spans="1:2" s="96" customFormat="1" ht="25.5">
      <c r="A18" s="254" t="s">
        <v>580</v>
      </c>
      <c r="B18" s="289">
        <v>6000</v>
      </c>
    </row>
    <row r="19" spans="1:2" s="96" customFormat="1">
      <c r="A19" s="254"/>
      <c r="B19" s="289"/>
    </row>
    <row r="20" spans="1:2" s="96" customFormat="1">
      <c r="A20" s="110" t="s">
        <v>130</v>
      </c>
      <c r="B20" s="391">
        <f>SUM(B21:B22)</f>
        <v>10200</v>
      </c>
    </row>
    <row r="21" spans="1:2" s="96" customFormat="1">
      <c r="A21" s="78" t="s">
        <v>581</v>
      </c>
      <c r="B21" s="390">
        <v>5100</v>
      </c>
    </row>
    <row r="22" spans="1:2" s="96" customFormat="1" ht="36">
      <c r="A22" s="78" t="s">
        <v>582</v>
      </c>
      <c r="B22" s="390">
        <v>5100</v>
      </c>
    </row>
    <row r="23" spans="1:2" s="96" customFormat="1">
      <c r="A23" s="78"/>
      <c r="B23" s="390"/>
    </row>
    <row r="24" spans="1:2" s="96" customFormat="1">
      <c r="A24" s="110" t="s">
        <v>7</v>
      </c>
      <c r="B24" s="391">
        <f>B25</f>
        <v>3758</v>
      </c>
    </row>
    <row r="25" spans="1:2" s="96" customFormat="1" ht="24">
      <c r="A25" s="188" t="s">
        <v>577</v>
      </c>
      <c r="B25" s="383">
        <v>3758</v>
      </c>
    </row>
    <row r="26" spans="1:2" s="96" customFormat="1">
      <c r="A26" s="86"/>
      <c r="B26" s="392"/>
    </row>
    <row r="27" spans="1:2" s="96" customFormat="1">
      <c r="A27" s="110" t="s">
        <v>134</v>
      </c>
      <c r="B27" s="391">
        <f>SUM(B28:B28)</f>
        <v>3462</v>
      </c>
    </row>
    <row r="28" spans="1:2" s="96" customFormat="1">
      <c r="A28" s="260" t="s">
        <v>583</v>
      </c>
      <c r="B28" s="393">
        <v>3462</v>
      </c>
    </row>
    <row r="29" spans="1:2" s="96" customFormat="1">
      <c r="A29" s="261"/>
      <c r="B29" s="394"/>
    </row>
    <row r="30" spans="1:2" s="96" customFormat="1">
      <c r="A30" s="235" t="s">
        <v>8</v>
      </c>
      <c r="B30" s="395">
        <f>B10+B5</f>
        <v>84674</v>
      </c>
    </row>
    <row r="31" spans="1:2" s="96" customFormat="1">
      <c r="A31" s="52"/>
      <c r="B31" s="8"/>
    </row>
    <row r="32" spans="1:2" s="96" customFormat="1">
      <c r="A32" s="52"/>
      <c r="B32" s="8"/>
    </row>
    <row r="33" spans="1:2" s="96" customFormat="1">
      <c r="A33" s="52"/>
      <c r="B33" s="8"/>
    </row>
    <row r="34" spans="1:2" s="96" customFormat="1">
      <c r="A34" s="52"/>
      <c r="B34" s="8"/>
    </row>
    <row r="35" spans="1:2" s="96" customFormat="1">
      <c r="A35" s="40" t="s">
        <v>291</v>
      </c>
      <c r="B35"/>
    </row>
    <row r="36" spans="1:2">
      <c r="A36" s="20" t="s">
        <v>114</v>
      </c>
    </row>
    <row r="37" spans="1:2">
      <c r="A37" s="20"/>
    </row>
  </sheetData>
  <phoneticPr fontId="28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878"/>
  <sheetViews>
    <sheetView zoomScaleNormal="100" zoomScaleSheetLayoutView="85" workbookViewId="0">
      <selection sqref="A1:B1"/>
    </sheetView>
  </sheetViews>
  <sheetFormatPr defaultColWidth="9.140625" defaultRowHeight="12.75"/>
  <cols>
    <col min="1" max="1" width="61.7109375" style="63" customWidth="1"/>
    <col min="2" max="2" width="19.7109375" style="71" customWidth="1"/>
    <col min="3" max="16384" width="9.140625" style="7"/>
  </cols>
  <sheetData>
    <row r="1" spans="1:2">
      <c r="A1" s="489" t="s">
        <v>383</v>
      </c>
      <c r="B1" s="489"/>
    </row>
    <row r="2" spans="1:2">
      <c r="A2" s="489" t="s">
        <v>319</v>
      </c>
      <c r="B2" s="489"/>
    </row>
    <row r="3" spans="1:2">
      <c r="A3" s="490" t="s">
        <v>382</v>
      </c>
      <c r="B3" s="490"/>
    </row>
    <row r="4" spans="1:2">
      <c r="A4" s="222"/>
      <c r="B4" s="486" t="s">
        <v>359</v>
      </c>
    </row>
    <row r="5" spans="1:2">
      <c r="A5" s="222"/>
      <c r="B5" s="223"/>
    </row>
    <row r="7" spans="1:2" ht="15">
      <c r="A7" s="70" t="s">
        <v>138</v>
      </c>
    </row>
    <row r="8" spans="1:2">
      <c r="B8" s="221"/>
    </row>
    <row r="9" spans="1:2">
      <c r="A9" s="5"/>
      <c r="B9" s="485" t="s">
        <v>73</v>
      </c>
    </row>
    <row r="10" spans="1:2" ht="15.75">
      <c r="A10" s="112" t="s">
        <v>59</v>
      </c>
      <c r="B10" s="279"/>
    </row>
    <row r="11" spans="1:2">
      <c r="A11" s="113"/>
      <c r="B11" s="279"/>
    </row>
    <row r="12" spans="1:2">
      <c r="A12" s="113" t="s">
        <v>140</v>
      </c>
      <c r="B12" s="280">
        <f>B16+B19+B22</f>
        <v>-3487</v>
      </c>
    </row>
    <row r="13" spans="1:2">
      <c r="A13" s="116" t="s">
        <v>141</v>
      </c>
      <c r="B13" s="280">
        <f>B12</f>
        <v>-3487</v>
      </c>
    </row>
    <row r="14" spans="1:2">
      <c r="A14" s="138" t="s">
        <v>345</v>
      </c>
      <c r="B14" s="281">
        <f>B13</f>
        <v>-3487</v>
      </c>
    </row>
    <row r="15" spans="1:2">
      <c r="A15" s="117"/>
      <c r="B15" s="282"/>
    </row>
    <row r="16" spans="1:2">
      <c r="A16" s="118" t="s">
        <v>59</v>
      </c>
      <c r="B16" s="131">
        <f>8970-3487</f>
        <v>5483</v>
      </c>
    </row>
    <row r="17" spans="1:2">
      <c r="A17" s="120" t="s">
        <v>145</v>
      </c>
      <c r="B17" s="133">
        <v>-2607</v>
      </c>
    </row>
    <row r="18" spans="1:2">
      <c r="A18" s="120"/>
      <c r="B18" s="133"/>
    </row>
    <row r="19" spans="1:2">
      <c r="A19" s="121" t="s">
        <v>60</v>
      </c>
      <c r="B19" s="119">
        <v>0</v>
      </c>
    </row>
    <row r="20" spans="1:2">
      <c r="A20" s="120" t="s">
        <v>145</v>
      </c>
      <c r="B20" s="133">
        <v>-8500</v>
      </c>
    </row>
    <row r="21" spans="1:2">
      <c r="A21" s="120"/>
      <c r="B21" s="133"/>
    </row>
    <row r="22" spans="1:2">
      <c r="A22" s="121" t="s">
        <v>465</v>
      </c>
      <c r="B22" s="119">
        <v>-8970</v>
      </c>
    </row>
    <row r="23" spans="1:2">
      <c r="A23" s="120" t="s">
        <v>145</v>
      </c>
      <c r="B23" s="133">
        <v>-8200</v>
      </c>
    </row>
    <row r="24" spans="1:2">
      <c r="A24" s="120"/>
      <c r="B24" s="133"/>
    </row>
    <row r="25" spans="1:2">
      <c r="A25" s="283"/>
      <c r="B25" s="284"/>
    </row>
    <row r="26" spans="1:2" ht="15.75">
      <c r="A26" s="122" t="s">
        <v>139</v>
      </c>
      <c r="B26" s="285"/>
    </row>
    <row r="27" spans="1:2">
      <c r="A27" s="286"/>
      <c r="B27" s="282"/>
    </row>
    <row r="28" spans="1:2">
      <c r="A28" s="113" t="s">
        <v>140</v>
      </c>
      <c r="B28" s="143">
        <f>B32+B34+B36+B38+B40+B47+B49+B51+B54+B56+B58+B42+B44</f>
        <v>13493</v>
      </c>
    </row>
    <row r="29" spans="1:2">
      <c r="A29" s="116" t="s">
        <v>141</v>
      </c>
      <c r="B29" s="175">
        <f>B30</f>
        <v>13493</v>
      </c>
    </row>
    <row r="30" spans="1:2">
      <c r="A30" s="138" t="s">
        <v>345</v>
      </c>
      <c r="B30" s="144">
        <f>B28</f>
        <v>13493</v>
      </c>
    </row>
    <row r="31" spans="1:2">
      <c r="A31" s="286"/>
      <c r="B31" s="282"/>
    </row>
    <row r="32" spans="1:2">
      <c r="A32" s="287" t="s">
        <v>466</v>
      </c>
      <c r="B32" s="282">
        <v>-355926</v>
      </c>
    </row>
    <row r="33" spans="1:2">
      <c r="A33" s="287"/>
      <c r="B33" s="282"/>
    </row>
    <row r="34" spans="1:2">
      <c r="A34" s="124" t="s">
        <v>615</v>
      </c>
      <c r="B34" s="119">
        <v>355926</v>
      </c>
    </row>
    <row r="35" spans="1:2">
      <c r="A35" s="125"/>
      <c r="B35" s="133"/>
    </row>
    <row r="36" spans="1:2">
      <c r="A36" s="287" t="s">
        <v>467</v>
      </c>
      <c r="B36" s="282">
        <v>45000</v>
      </c>
    </row>
    <row r="37" spans="1:2">
      <c r="A37" s="287"/>
      <c r="B37" s="282"/>
    </row>
    <row r="38" spans="1:2">
      <c r="A38" s="287" t="s">
        <v>243</v>
      </c>
      <c r="B38" s="282">
        <v>10000</v>
      </c>
    </row>
    <row r="39" spans="1:2">
      <c r="A39" s="287"/>
      <c r="B39" s="282"/>
    </row>
    <row r="40" spans="1:2">
      <c r="A40" s="287" t="s">
        <v>236</v>
      </c>
      <c r="B40" s="282">
        <v>22775</v>
      </c>
    </row>
    <row r="41" spans="1:2">
      <c r="A41" s="287"/>
      <c r="B41" s="282"/>
    </row>
    <row r="42" spans="1:2">
      <c r="A42" s="287" t="s">
        <v>239</v>
      </c>
      <c r="B42" s="282">
        <v>25000</v>
      </c>
    </row>
    <row r="43" spans="1:2">
      <c r="A43" s="288"/>
      <c r="B43" s="284"/>
    </row>
    <row r="44" spans="1:2">
      <c r="A44" s="126" t="s">
        <v>282</v>
      </c>
      <c r="B44" s="289">
        <v>-34282</v>
      </c>
    </row>
    <row r="45" spans="1:2">
      <c r="A45" s="125" t="s">
        <v>145</v>
      </c>
      <c r="B45" s="133">
        <v>-25622</v>
      </c>
    </row>
    <row r="46" spans="1:2">
      <c r="A46" s="290"/>
      <c r="B46" s="282"/>
    </row>
    <row r="47" spans="1:2">
      <c r="A47" s="287" t="s">
        <v>468</v>
      </c>
      <c r="B47" s="282">
        <f>(-14000)+(-5121)</f>
        <v>-19121</v>
      </c>
    </row>
    <row r="48" spans="1:2">
      <c r="A48" s="291"/>
      <c r="B48" s="284"/>
    </row>
    <row r="49" spans="1:2">
      <c r="A49" s="287" t="s">
        <v>469</v>
      </c>
      <c r="B49" s="282">
        <v>-10000</v>
      </c>
    </row>
    <row r="50" spans="1:2">
      <c r="A50" s="292"/>
      <c r="B50" s="289"/>
    </row>
    <row r="51" spans="1:2">
      <c r="A51" s="124" t="s">
        <v>470</v>
      </c>
      <c r="B51" s="119">
        <v>-31000</v>
      </c>
    </row>
    <row r="52" spans="1:2">
      <c r="A52" s="125" t="s">
        <v>145</v>
      </c>
      <c r="B52" s="133">
        <v>-10226</v>
      </c>
    </row>
    <row r="53" spans="1:2">
      <c r="A53" s="125"/>
      <c r="B53" s="133"/>
    </row>
    <row r="54" spans="1:2">
      <c r="A54" s="128" t="s">
        <v>471</v>
      </c>
      <c r="B54" s="131">
        <v>1440</v>
      </c>
    </row>
    <row r="55" spans="1:2">
      <c r="A55" s="128"/>
      <c r="B55" s="131"/>
    </row>
    <row r="56" spans="1:2">
      <c r="A56" s="287" t="s">
        <v>472</v>
      </c>
      <c r="B56" s="282">
        <v>-1440</v>
      </c>
    </row>
    <row r="57" spans="1:2">
      <c r="A57" s="125"/>
      <c r="B57" s="133"/>
    </row>
    <row r="58" spans="1:2">
      <c r="A58" s="287" t="s">
        <v>473</v>
      </c>
      <c r="B58" s="282">
        <v>5121</v>
      </c>
    </row>
    <row r="59" spans="1:2">
      <c r="A59" s="125" t="s">
        <v>145</v>
      </c>
      <c r="B59" s="133">
        <v>3850</v>
      </c>
    </row>
    <row r="60" spans="1:2">
      <c r="A60" s="125"/>
      <c r="B60" s="133"/>
    </row>
    <row r="61" spans="1:2">
      <c r="A61" s="125"/>
      <c r="B61" s="133"/>
    </row>
    <row r="62" spans="1:2" ht="15.75">
      <c r="A62" s="135" t="s">
        <v>474</v>
      </c>
      <c r="B62" s="285"/>
    </row>
    <row r="63" spans="1:2">
      <c r="A63" s="290"/>
      <c r="B63" s="282"/>
    </row>
    <row r="64" spans="1:2">
      <c r="A64" s="136" t="s">
        <v>140</v>
      </c>
      <c r="B64" s="143">
        <f>B68</f>
        <v>153</v>
      </c>
    </row>
    <row r="65" spans="1:2">
      <c r="A65" s="137" t="s">
        <v>141</v>
      </c>
      <c r="B65" s="175">
        <f>B66</f>
        <v>153</v>
      </c>
    </row>
    <row r="66" spans="1:2">
      <c r="A66" s="138" t="s">
        <v>345</v>
      </c>
      <c r="B66" s="144">
        <f>B64</f>
        <v>153</v>
      </c>
    </row>
    <row r="67" spans="1:2">
      <c r="A67" s="290"/>
      <c r="B67" s="282"/>
    </row>
    <row r="68" spans="1:2">
      <c r="A68" s="293" t="s">
        <v>475</v>
      </c>
      <c r="B68" s="280">
        <v>153</v>
      </c>
    </row>
    <row r="69" spans="1:2">
      <c r="A69" s="127" t="s">
        <v>145</v>
      </c>
      <c r="B69" s="133">
        <v>115</v>
      </c>
    </row>
    <row r="70" spans="1:2">
      <c r="A70" s="290"/>
      <c r="B70" s="282"/>
    </row>
    <row r="71" spans="1:2">
      <c r="A71" s="290"/>
      <c r="B71" s="282"/>
    </row>
    <row r="72" spans="1:2" ht="15.75">
      <c r="A72" s="135" t="s">
        <v>146</v>
      </c>
      <c r="B72" s="285"/>
    </row>
    <row r="73" spans="1:2">
      <c r="A73" s="290"/>
      <c r="B73" s="282"/>
    </row>
    <row r="74" spans="1:2">
      <c r="A74" s="136" t="s">
        <v>140</v>
      </c>
      <c r="B74" s="143">
        <f>B78</f>
        <v>-1201</v>
      </c>
    </row>
    <row r="75" spans="1:2">
      <c r="A75" s="137" t="s">
        <v>141</v>
      </c>
      <c r="B75" s="175">
        <f>B76</f>
        <v>-1201</v>
      </c>
    </row>
    <row r="76" spans="1:2">
      <c r="A76" s="138" t="s">
        <v>345</v>
      </c>
      <c r="B76" s="144">
        <f>B74</f>
        <v>-1201</v>
      </c>
    </row>
    <row r="77" spans="1:2">
      <c r="A77" s="290"/>
      <c r="B77" s="282"/>
    </row>
    <row r="78" spans="1:2">
      <c r="A78" s="293" t="s">
        <v>147</v>
      </c>
      <c r="B78" s="280">
        <v>-1201</v>
      </c>
    </row>
    <row r="79" spans="1:2">
      <c r="A79" s="127" t="s">
        <v>145</v>
      </c>
      <c r="B79" s="133">
        <v>-898</v>
      </c>
    </row>
    <row r="80" spans="1:2">
      <c r="A80" s="294"/>
      <c r="B80" s="295"/>
    </row>
    <row r="81" spans="1:2">
      <c r="A81" s="294"/>
      <c r="B81" s="295"/>
    </row>
    <row r="82" spans="1:2" ht="15.75">
      <c r="A82" s="141" t="s">
        <v>148</v>
      </c>
      <c r="B82" s="296"/>
    </row>
    <row r="83" spans="1:2">
      <c r="A83" s="136"/>
      <c r="B83" s="143"/>
    </row>
    <row r="84" spans="1:2">
      <c r="A84" s="136" t="s">
        <v>140</v>
      </c>
      <c r="B84" s="143">
        <f>B91+B112</f>
        <v>790069</v>
      </c>
    </row>
    <row r="85" spans="1:2">
      <c r="A85" s="114" t="s">
        <v>154</v>
      </c>
      <c r="B85" s="144">
        <v>265750</v>
      </c>
    </row>
    <row r="86" spans="1:2">
      <c r="A86" s="116" t="s">
        <v>141</v>
      </c>
      <c r="B86" s="175">
        <f>SUM(B87:B89)</f>
        <v>790069</v>
      </c>
    </row>
    <row r="87" spans="1:2">
      <c r="A87" s="138" t="s">
        <v>142</v>
      </c>
      <c r="B87" s="144">
        <f>'2.2 OMATULUD'!B6</f>
        <v>726135</v>
      </c>
    </row>
    <row r="88" spans="1:2">
      <c r="A88" s="139" t="s">
        <v>127</v>
      </c>
      <c r="B88" s="144">
        <f>B120+B125</f>
        <v>60836</v>
      </c>
    </row>
    <row r="89" spans="1:2">
      <c r="A89" s="139" t="s">
        <v>143</v>
      </c>
      <c r="B89" s="144">
        <f>B84-B87-B88</f>
        <v>3098</v>
      </c>
    </row>
    <row r="90" spans="1:2">
      <c r="A90" s="184"/>
      <c r="B90" s="144"/>
    </row>
    <row r="91" spans="1:2" ht="15">
      <c r="A91" s="297" t="s">
        <v>149</v>
      </c>
      <c r="B91" s="298">
        <f>B94+B100+B103+B106</f>
        <v>732159</v>
      </c>
    </row>
    <row r="92" spans="1:2">
      <c r="A92" s="127" t="s">
        <v>145</v>
      </c>
      <c r="B92" s="133">
        <f>B95+B101+B104+B107</f>
        <v>178947</v>
      </c>
    </row>
    <row r="93" spans="1:2" ht="15">
      <c r="A93" s="297"/>
      <c r="B93" s="298"/>
    </row>
    <row r="94" spans="1:2">
      <c r="A94" s="293" t="s">
        <v>245</v>
      </c>
      <c r="B94" s="280">
        <f>163000-47929+1200+300+1100+90+67000+100000</f>
        <v>284761</v>
      </c>
    </row>
    <row r="95" spans="1:2">
      <c r="A95" s="127" t="s">
        <v>145</v>
      </c>
      <c r="B95" s="133">
        <v>4736</v>
      </c>
    </row>
    <row r="96" spans="1:2">
      <c r="A96" s="127"/>
      <c r="B96" s="133"/>
    </row>
    <row r="97" spans="1:2">
      <c r="A97" s="214" t="s">
        <v>152</v>
      </c>
      <c r="B97" s="299"/>
    </row>
    <row r="98" spans="1:2" ht="22.5">
      <c r="A98" s="159" t="s">
        <v>476</v>
      </c>
      <c r="B98" s="300"/>
    </row>
    <row r="99" spans="1:2">
      <c r="A99" s="301"/>
      <c r="B99" s="302"/>
    </row>
    <row r="100" spans="1:2">
      <c r="A100" s="293" t="s">
        <v>246</v>
      </c>
      <c r="B100" s="280">
        <f>197000+281329+5934+1659-67000-100000</f>
        <v>318922</v>
      </c>
    </row>
    <row r="101" spans="1:2">
      <c r="A101" s="127" t="s">
        <v>145</v>
      </c>
      <c r="B101" s="133">
        <f>179436+6098</f>
        <v>185534</v>
      </c>
    </row>
    <row r="102" spans="1:2">
      <c r="A102" s="301"/>
      <c r="B102" s="302"/>
    </row>
    <row r="103" spans="1:2">
      <c r="A103" s="293" t="s">
        <v>247</v>
      </c>
      <c r="B103" s="280">
        <v>72660</v>
      </c>
    </row>
    <row r="104" spans="1:2">
      <c r="A104" s="127" t="s">
        <v>145</v>
      </c>
      <c r="B104" s="133">
        <v>-7000</v>
      </c>
    </row>
    <row r="105" spans="1:2">
      <c r="A105" s="301"/>
      <c r="B105" s="302"/>
    </row>
    <row r="106" spans="1:2">
      <c r="A106" s="293" t="s">
        <v>248</v>
      </c>
      <c r="B106" s="280">
        <v>55816</v>
      </c>
    </row>
    <row r="107" spans="1:2">
      <c r="A107" s="127" t="s">
        <v>145</v>
      </c>
      <c r="B107" s="133">
        <f>23152-27475</f>
        <v>-4323</v>
      </c>
    </row>
    <row r="108" spans="1:2">
      <c r="A108" s="127"/>
      <c r="B108" s="133"/>
    </row>
    <row r="109" spans="1:2">
      <c r="A109" s="214" t="s">
        <v>152</v>
      </c>
      <c r="B109" s="299"/>
    </row>
    <row r="110" spans="1:2">
      <c r="A110" s="376" t="s">
        <v>477</v>
      </c>
      <c r="B110" s="300"/>
    </row>
    <row r="111" spans="1:2">
      <c r="A111" s="224"/>
      <c r="B111" s="303"/>
    </row>
    <row r="112" spans="1:2">
      <c r="A112" s="136" t="s">
        <v>144</v>
      </c>
      <c r="B112" s="143">
        <f>B114+B117+B125</f>
        <v>57910</v>
      </c>
    </row>
    <row r="113" spans="1:2">
      <c r="A113" s="136"/>
      <c r="B113" s="143"/>
    </row>
    <row r="114" spans="1:2">
      <c r="A114" s="124" t="s">
        <v>478</v>
      </c>
      <c r="B114" s="119">
        <v>-2926</v>
      </c>
    </row>
    <row r="115" spans="1:2">
      <c r="A115" s="125" t="s">
        <v>145</v>
      </c>
      <c r="B115" s="133">
        <v>-2187</v>
      </c>
    </row>
    <row r="116" spans="1:2">
      <c r="A116" s="134"/>
      <c r="B116" s="304"/>
    </row>
    <row r="117" spans="1:2" ht="25.5">
      <c r="A117" s="264" t="s">
        <v>479</v>
      </c>
      <c r="B117" s="305">
        <v>45692</v>
      </c>
    </row>
    <row r="118" spans="1:2">
      <c r="A118" s="125" t="s">
        <v>145</v>
      </c>
      <c r="B118" s="133">
        <v>29825</v>
      </c>
    </row>
    <row r="119" spans="1:2">
      <c r="A119" s="231"/>
      <c r="B119" s="306"/>
    </row>
    <row r="120" spans="1:2">
      <c r="A120" s="134" t="s">
        <v>153</v>
      </c>
      <c r="B120" s="304">
        <f>B117</f>
        <v>45692</v>
      </c>
    </row>
    <row r="121" spans="1:2">
      <c r="A121" s="134"/>
      <c r="B121" s="304"/>
    </row>
    <row r="122" spans="1:2" ht="25.5">
      <c r="A122" s="264" t="s">
        <v>480</v>
      </c>
      <c r="B122" s="305">
        <v>15144</v>
      </c>
    </row>
    <row r="123" spans="1:2">
      <c r="A123" s="125" t="s">
        <v>145</v>
      </c>
      <c r="B123" s="133">
        <v>11318</v>
      </c>
    </row>
    <row r="124" spans="1:2">
      <c r="A124" s="231"/>
      <c r="B124" s="306"/>
    </row>
    <row r="125" spans="1:2">
      <c r="A125" s="134" t="s">
        <v>153</v>
      </c>
      <c r="B125" s="304">
        <f>B122</f>
        <v>15144</v>
      </c>
    </row>
    <row r="126" spans="1:2">
      <c r="A126" s="134"/>
      <c r="B126" s="304"/>
    </row>
    <row r="127" spans="1:2">
      <c r="A127" s="134"/>
      <c r="B127" s="304"/>
    </row>
    <row r="128" spans="1:2" ht="15.75">
      <c r="A128" s="141" t="s">
        <v>320</v>
      </c>
      <c r="B128" s="296"/>
    </row>
    <row r="129" spans="1:2" ht="15">
      <c r="A129" s="155"/>
      <c r="B129" s="307"/>
    </row>
    <row r="130" spans="1:2">
      <c r="A130" s="136" t="s">
        <v>140</v>
      </c>
      <c r="B130" s="143">
        <f>B135+B155</f>
        <v>118268</v>
      </c>
    </row>
    <row r="131" spans="1:2">
      <c r="A131" s="116" t="s">
        <v>141</v>
      </c>
      <c r="B131" s="175">
        <f>SUM(B132:B133)</f>
        <v>118268</v>
      </c>
    </row>
    <row r="132" spans="1:2">
      <c r="A132" s="138" t="s">
        <v>142</v>
      </c>
      <c r="B132" s="144">
        <f>'2.2 OMATULUD'!B66</f>
        <v>112000</v>
      </c>
    </row>
    <row r="133" spans="1:2">
      <c r="A133" s="139" t="s">
        <v>143</v>
      </c>
      <c r="B133" s="144">
        <f>B130-B132</f>
        <v>6268</v>
      </c>
    </row>
    <row r="134" spans="1:2">
      <c r="A134" s="139"/>
      <c r="B134" s="144"/>
    </row>
    <row r="135" spans="1:2" ht="15">
      <c r="A135" s="297" t="s">
        <v>155</v>
      </c>
      <c r="B135" s="298">
        <f>B138+B140+B143+B145+B148</f>
        <v>86938</v>
      </c>
    </row>
    <row r="136" spans="1:2">
      <c r="A136" s="127" t="s">
        <v>145</v>
      </c>
      <c r="B136" s="133">
        <f>B141+B146</f>
        <v>28300</v>
      </c>
    </row>
    <row r="137" spans="1:2" ht="15">
      <c r="A137" s="297"/>
      <c r="B137" s="298"/>
    </row>
    <row r="138" spans="1:2">
      <c r="A138" s="293" t="s">
        <v>610</v>
      </c>
      <c r="B138" s="280">
        <f>2476-4000+4274+2000</f>
        <v>4750</v>
      </c>
    </row>
    <row r="139" spans="1:2">
      <c r="A139" s="301"/>
      <c r="B139" s="302"/>
    </row>
    <row r="140" spans="1:2" ht="24">
      <c r="A140" s="308" t="s">
        <v>609</v>
      </c>
      <c r="B140" s="309">
        <v>-6000</v>
      </c>
    </row>
    <row r="141" spans="1:2">
      <c r="A141" s="127" t="s">
        <v>145</v>
      </c>
      <c r="B141" s="133">
        <v>2000</v>
      </c>
    </row>
    <row r="142" spans="1:2">
      <c r="A142" s="301"/>
      <c r="B142" s="302"/>
    </row>
    <row r="143" spans="1:2">
      <c r="A143" s="293" t="s">
        <v>253</v>
      </c>
      <c r="B143" s="280">
        <v>-2362</v>
      </c>
    </row>
    <row r="144" spans="1:2">
      <c r="A144" s="301"/>
      <c r="B144" s="302"/>
    </row>
    <row r="145" spans="1:2">
      <c r="A145" s="293" t="s">
        <v>254</v>
      </c>
      <c r="B145" s="280">
        <f>48000-72450</f>
        <v>-24450</v>
      </c>
    </row>
    <row r="146" spans="1:2">
      <c r="A146" s="127" t="s">
        <v>145</v>
      </c>
      <c r="B146" s="133">
        <v>26300</v>
      </c>
    </row>
    <row r="147" spans="1:2">
      <c r="A147" s="301"/>
      <c r="B147" s="302"/>
    </row>
    <row r="148" spans="1:2">
      <c r="A148" s="293" t="s">
        <v>255</v>
      </c>
      <c r="B148" s="280">
        <f>50000+65000</f>
        <v>115000</v>
      </c>
    </row>
    <row r="149" spans="1:2">
      <c r="A149" s="301"/>
      <c r="B149" s="302"/>
    </row>
    <row r="150" spans="1:2">
      <c r="A150" s="214" t="s">
        <v>152</v>
      </c>
      <c r="B150" s="299"/>
    </row>
    <row r="151" spans="1:2">
      <c r="A151" s="159" t="s">
        <v>481</v>
      </c>
      <c r="B151" s="300"/>
    </row>
    <row r="152" spans="1:2">
      <c r="A152" s="159" t="s">
        <v>482</v>
      </c>
      <c r="B152" s="300"/>
    </row>
    <row r="153" spans="1:2">
      <c r="A153" s="159" t="s">
        <v>483</v>
      </c>
      <c r="B153" s="300"/>
    </row>
    <row r="154" spans="1:2">
      <c r="A154" s="301"/>
      <c r="B154" s="302"/>
    </row>
    <row r="155" spans="1:2">
      <c r="A155" s="136" t="s">
        <v>144</v>
      </c>
      <c r="B155" s="143">
        <f>B157+B160+B166+B169+B171</f>
        <v>31330</v>
      </c>
    </row>
    <row r="156" spans="1:2">
      <c r="A156" s="136"/>
      <c r="B156" s="143"/>
    </row>
    <row r="157" spans="1:2">
      <c r="A157" s="124" t="s">
        <v>321</v>
      </c>
      <c r="B157" s="119">
        <f>12000-2232-2000+7000</f>
        <v>14768</v>
      </c>
    </row>
    <row r="158" spans="1:2">
      <c r="A158" s="125" t="s">
        <v>145</v>
      </c>
      <c r="B158" s="133">
        <v>-1668</v>
      </c>
    </row>
    <row r="159" spans="1:2">
      <c r="A159" s="136"/>
      <c r="B159" s="143"/>
    </row>
    <row r="160" spans="1:2">
      <c r="A160" s="124" t="s">
        <v>230</v>
      </c>
      <c r="B160" s="119">
        <f>B162+1200</f>
        <v>19200</v>
      </c>
    </row>
    <row r="161" spans="1:2">
      <c r="A161" s="125" t="s">
        <v>484</v>
      </c>
      <c r="B161" s="310"/>
    </row>
    <row r="162" spans="1:2">
      <c r="A162" s="153" t="s">
        <v>485</v>
      </c>
      <c r="B162" s="311">
        <v>18000</v>
      </c>
    </row>
    <row r="163" spans="1:2">
      <c r="A163" s="153"/>
      <c r="B163" s="311"/>
    </row>
    <row r="164" spans="1:2" ht="22.5">
      <c r="A164" s="160" t="s">
        <v>4</v>
      </c>
      <c r="B164" s="312"/>
    </row>
    <row r="165" spans="1:2">
      <c r="A165" s="162"/>
      <c r="B165" s="313"/>
    </row>
    <row r="166" spans="1:2">
      <c r="A166" s="124" t="s">
        <v>380</v>
      </c>
      <c r="B166" s="119">
        <f>B167</f>
        <v>7000</v>
      </c>
    </row>
    <row r="167" spans="1:2">
      <c r="A167" s="163" t="s">
        <v>486</v>
      </c>
      <c r="B167" s="311">
        <v>7000</v>
      </c>
    </row>
    <row r="168" spans="1:2">
      <c r="A168" s="157"/>
      <c r="B168" s="311"/>
    </row>
    <row r="169" spans="1:2">
      <c r="A169" s="124" t="s">
        <v>63</v>
      </c>
      <c r="B169" s="119">
        <v>2362</v>
      </c>
    </row>
    <row r="170" spans="1:2">
      <c r="A170" s="124"/>
      <c r="B170" s="119"/>
    </row>
    <row r="171" spans="1:2">
      <c r="A171" s="314" t="s">
        <v>487</v>
      </c>
      <c r="B171" s="315">
        <f>-12000</f>
        <v>-12000</v>
      </c>
    </row>
    <row r="172" spans="1:2">
      <c r="A172" s="134"/>
      <c r="B172" s="304"/>
    </row>
    <row r="173" spans="1:2">
      <c r="A173" s="125"/>
      <c r="B173" s="133"/>
    </row>
    <row r="174" spans="1:2" ht="15.75">
      <c r="A174" s="141" t="s">
        <v>156</v>
      </c>
      <c r="B174" s="296"/>
    </row>
    <row r="175" spans="1:2">
      <c r="A175" s="136"/>
      <c r="B175" s="143"/>
    </row>
    <row r="176" spans="1:2">
      <c r="A176" s="136" t="s">
        <v>140</v>
      </c>
      <c r="B176" s="143">
        <f>B182+B215+B223</f>
        <v>-127782</v>
      </c>
    </row>
    <row r="177" spans="1:2">
      <c r="A177" s="114" t="s">
        <v>154</v>
      </c>
      <c r="B177" s="144">
        <v>71592</v>
      </c>
    </row>
    <row r="178" spans="1:2">
      <c r="A178" s="137" t="s">
        <v>141</v>
      </c>
      <c r="B178" s="175">
        <f>SUM(B179:B180)</f>
        <v>-127782</v>
      </c>
    </row>
    <row r="179" spans="1:2">
      <c r="A179" s="138" t="s">
        <v>142</v>
      </c>
      <c r="B179" s="144">
        <f>'2.2 OMATULUD'!B126</f>
        <v>-44052</v>
      </c>
    </row>
    <row r="180" spans="1:2">
      <c r="A180" s="139" t="s">
        <v>143</v>
      </c>
      <c r="B180" s="144">
        <f>B176-B179</f>
        <v>-83730</v>
      </c>
    </row>
    <row r="181" spans="1:2">
      <c r="A181" s="290"/>
      <c r="B181" s="282"/>
    </row>
    <row r="182" spans="1:2" ht="15">
      <c r="A182" s="297" t="s">
        <v>157</v>
      </c>
      <c r="B182" s="298">
        <f>B183+B200+B208</f>
        <v>-126691</v>
      </c>
    </row>
    <row r="183" spans="1:2">
      <c r="A183" s="293" t="s">
        <v>158</v>
      </c>
      <c r="B183" s="280">
        <f>B187+B190+B194+B197</f>
        <v>8635</v>
      </c>
    </row>
    <row r="184" spans="1:2">
      <c r="A184" s="127" t="s">
        <v>145</v>
      </c>
      <c r="B184" s="133">
        <f>B191+B198</f>
        <v>-2687</v>
      </c>
    </row>
    <row r="185" spans="1:2">
      <c r="A185" s="127"/>
      <c r="B185" s="133"/>
    </row>
    <row r="186" spans="1:2">
      <c r="A186" s="316" t="s">
        <v>150</v>
      </c>
      <c r="B186" s="280"/>
    </row>
    <row r="187" spans="1:2">
      <c r="A187" s="140" t="s">
        <v>256</v>
      </c>
      <c r="B187" s="317">
        <v>-20429</v>
      </c>
    </row>
    <row r="188" spans="1:2">
      <c r="A188" s="127"/>
      <c r="B188" s="133"/>
    </row>
    <row r="189" spans="1:2">
      <c r="A189" s="316" t="s">
        <v>150</v>
      </c>
      <c r="B189" s="280"/>
    </row>
    <row r="190" spans="1:2" ht="24">
      <c r="A190" s="140" t="s">
        <v>280</v>
      </c>
      <c r="B190" s="317">
        <f>20600+1214+1000+43266</f>
        <v>66080</v>
      </c>
    </row>
    <row r="191" spans="1:2">
      <c r="A191" s="130" t="s">
        <v>145</v>
      </c>
      <c r="B191" s="133">
        <f>12948+1350</f>
        <v>14298</v>
      </c>
    </row>
    <row r="192" spans="1:2">
      <c r="A192" s="130"/>
      <c r="B192" s="133"/>
    </row>
    <row r="193" spans="1:2">
      <c r="A193" s="316" t="s">
        <v>150</v>
      </c>
      <c r="B193" s="280"/>
    </row>
    <row r="194" spans="1:2">
      <c r="A194" s="140" t="s">
        <v>488</v>
      </c>
      <c r="B194" s="317">
        <v>-1200</v>
      </c>
    </row>
    <row r="195" spans="1:2">
      <c r="A195" s="130"/>
      <c r="B195" s="133"/>
    </row>
    <row r="196" spans="1:2">
      <c r="A196" s="316" t="s">
        <v>150</v>
      </c>
      <c r="B196" s="280"/>
    </row>
    <row r="197" spans="1:2" ht="24">
      <c r="A197" s="140" t="s">
        <v>489</v>
      </c>
      <c r="B197" s="317">
        <f>680-43266+6770</f>
        <v>-35816</v>
      </c>
    </row>
    <row r="198" spans="1:2">
      <c r="A198" s="130" t="s">
        <v>145</v>
      </c>
      <c r="B198" s="133">
        <f>5800-22785</f>
        <v>-16985</v>
      </c>
    </row>
    <row r="199" spans="1:2">
      <c r="A199" s="130"/>
      <c r="B199" s="133"/>
    </row>
    <row r="200" spans="1:2">
      <c r="A200" s="293" t="s">
        <v>159</v>
      </c>
      <c r="B200" s="280">
        <f>SUM(B203)</f>
        <v>68475</v>
      </c>
    </row>
    <row r="201" spans="1:2">
      <c r="A201" s="293"/>
      <c r="B201" s="280"/>
    </row>
    <row r="202" spans="1:2">
      <c r="A202" s="316" t="s">
        <v>150</v>
      </c>
      <c r="B202" s="280"/>
    </row>
    <row r="203" spans="1:2">
      <c r="A203" s="140" t="s">
        <v>287</v>
      </c>
      <c r="B203" s="317">
        <f>163420-23000+13055-120000+35000</f>
        <v>68475</v>
      </c>
    </row>
    <row r="204" spans="1:2">
      <c r="A204" s="140"/>
      <c r="B204" s="317"/>
    </row>
    <row r="205" spans="1:2">
      <c r="A205" s="214" t="s">
        <v>151</v>
      </c>
      <c r="B205" s="299"/>
    </row>
    <row r="206" spans="1:2" ht="22.5">
      <c r="A206" s="318" t="s">
        <v>605</v>
      </c>
      <c r="B206" s="319"/>
    </row>
    <row r="207" spans="1:2">
      <c r="A207" s="318"/>
      <c r="B207" s="319"/>
    </row>
    <row r="208" spans="1:2">
      <c r="A208" s="293" t="s">
        <v>275</v>
      </c>
      <c r="B208" s="280">
        <f>SUM(B212)</f>
        <v>-203801</v>
      </c>
    </row>
    <row r="209" spans="1:2">
      <c r="A209" s="127" t="s">
        <v>145</v>
      </c>
      <c r="B209" s="133">
        <v>-62722</v>
      </c>
    </row>
    <row r="210" spans="1:2">
      <c r="A210" s="320"/>
      <c r="B210" s="321"/>
    </row>
    <row r="211" spans="1:2">
      <c r="A211" s="316" t="s">
        <v>150</v>
      </c>
      <c r="B211" s="280"/>
    </row>
    <row r="212" spans="1:2">
      <c r="A212" s="140" t="s">
        <v>276</v>
      </c>
      <c r="B212" s="317">
        <f>-203801</f>
        <v>-203801</v>
      </c>
    </row>
    <row r="213" spans="1:2">
      <c r="A213" s="130" t="s">
        <v>145</v>
      </c>
      <c r="B213" s="133">
        <v>-62722</v>
      </c>
    </row>
    <row r="214" spans="1:2">
      <c r="A214" s="140"/>
      <c r="B214" s="317"/>
    </row>
    <row r="215" spans="1:2" ht="15">
      <c r="A215" s="297" t="s">
        <v>160</v>
      </c>
      <c r="B215" s="298">
        <f>B216</f>
        <v>-790</v>
      </c>
    </row>
    <row r="216" spans="1:2">
      <c r="A216" s="293" t="s">
        <v>161</v>
      </c>
      <c r="B216" s="280">
        <f>B220</f>
        <v>-790</v>
      </c>
    </row>
    <row r="217" spans="1:2">
      <c r="A217" s="127" t="s">
        <v>145</v>
      </c>
      <c r="B217" s="133">
        <f>B221</f>
        <v>-591</v>
      </c>
    </row>
    <row r="218" spans="1:2">
      <c r="A218" s="318"/>
      <c r="B218" s="319"/>
    </row>
    <row r="219" spans="1:2">
      <c r="A219" s="316" t="s">
        <v>150</v>
      </c>
      <c r="B219" s="280"/>
    </row>
    <row r="220" spans="1:2">
      <c r="A220" s="140" t="s">
        <v>490</v>
      </c>
      <c r="B220" s="317">
        <v>-790</v>
      </c>
    </row>
    <row r="221" spans="1:2">
      <c r="A221" s="130" t="s">
        <v>145</v>
      </c>
      <c r="B221" s="133">
        <v>-591</v>
      </c>
    </row>
    <row r="222" spans="1:2">
      <c r="A222" s="140"/>
      <c r="B222" s="317"/>
    </row>
    <row r="223" spans="1:2">
      <c r="A223" s="322" t="s">
        <v>144</v>
      </c>
      <c r="B223" s="280">
        <f>SUM(B225+B228+B231)</f>
        <v>-301</v>
      </c>
    </row>
    <row r="224" spans="1:2">
      <c r="A224" s="290"/>
      <c r="B224" s="282"/>
    </row>
    <row r="225" spans="1:2">
      <c r="A225" s="287" t="s">
        <v>491</v>
      </c>
      <c r="B225" s="282">
        <f>-2580+381-27</f>
        <v>-2226</v>
      </c>
    </row>
    <row r="226" spans="1:2">
      <c r="A226" s="125" t="s">
        <v>145</v>
      </c>
      <c r="B226" s="133">
        <v>-20</v>
      </c>
    </row>
    <row r="227" spans="1:2">
      <c r="A227" s="290"/>
      <c r="B227" s="282"/>
    </row>
    <row r="228" spans="1:2">
      <c r="A228" s="287" t="s">
        <v>355</v>
      </c>
      <c r="B228" s="282">
        <f>SUM(B229:B229)</f>
        <v>23000</v>
      </c>
    </row>
    <row r="229" spans="1:2">
      <c r="A229" s="323" t="s">
        <v>492</v>
      </c>
      <c r="B229" s="324">
        <v>23000</v>
      </c>
    </row>
    <row r="230" spans="1:2">
      <c r="A230" s="290"/>
      <c r="B230" s="282"/>
    </row>
    <row r="231" spans="1:2">
      <c r="A231" s="287" t="s">
        <v>162</v>
      </c>
      <c r="B231" s="282">
        <f>SUM(B232+B233+B234+B235)</f>
        <v>-21075</v>
      </c>
    </row>
    <row r="232" spans="1:2">
      <c r="A232" s="134" t="s">
        <v>493</v>
      </c>
      <c r="B232" s="304">
        <v>-1485</v>
      </c>
    </row>
    <row r="233" spans="1:2">
      <c r="A233" s="134" t="s">
        <v>494</v>
      </c>
      <c r="B233" s="304">
        <v>1485</v>
      </c>
    </row>
    <row r="234" spans="1:2">
      <c r="A234" s="134" t="s">
        <v>277</v>
      </c>
      <c r="B234" s="304">
        <v>-1250</v>
      </c>
    </row>
    <row r="235" spans="1:2">
      <c r="A235" s="127" t="s">
        <v>250</v>
      </c>
      <c r="B235" s="133">
        <f>SUM(B236)</f>
        <v>-19825</v>
      </c>
    </row>
    <row r="236" spans="1:2">
      <c r="A236" s="157" t="s">
        <v>269</v>
      </c>
      <c r="B236" s="311">
        <f>-6770-13055</f>
        <v>-19825</v>
      </c>
    </row>
    <row r="237" spans="1:2">
      <c r="A237" s="287"/>
      <c r="B237" s="282"/>
    </row>
    <row r="238" spans="1:2">
      <c r="A238" s="287"/>
      <c r="B238" s="282"/>
    </row>
    <row r="239" spans="1:2" ht="15.75">
      <c r="A239" s="141" t="s">
        <v>135</v>
      </c>
      <c r="B239" s="296"/>
    </row>
    <row r="240" spans="1:2">
      <c r="A240" s="142"/>
      <c r="B240" s="176"/>
    </row>
    <row r="241" spans="1:2">
      <c r="A241" s="136" t="s">
        <v>140</v>
      </c>
      <c r="B241" s="143">
        <f>B246+B310</f>
        <v>153102</v>
      </c>
    </row>
    <row r="242" spans="1:2">
      <c r="A242" s="137" t="s">
        <v>141</v>
      </c>
      <c r="B242" s="175">
        <f>B243+B244</f>
        <v>153102</v>
      </c>
    </row>
    <row r="243" spans="1:2">
      <c r="A243" s="138" t="s">
        <v>142</v>
      </c>
      <c r="B243" s="144">
        <f>'2.2 OMATULUD'!B183</f>
        <v>33123</v>
      </c>
    </row>
    <row r="244" spans="1:2">
      <c r="A244" s="139" t="s">
        <v>143</v>
      </c>
      <c r="B244" s="144">
        <f>B241-B243</f>
        <v>119979</v>
      </c>
    </row>
    <row r="245" spans="1:2">
      <c r="A245" s="290"/>
      <c r="B245" s="282"/>
    </row>
    <row r="246" spans="1:2" ht="15">
      <c r="A246" s="297" t="s">
        <v>163</v>
      </c>
      <c r="B246" s="298">
        <f>B247+B269+B281+B303</f>
        <v>187623</v>
      </c>
    </row>
    <row r="247" spans="1:2">
      <c r="A247" s="293" t="s">
        <v>164</v>
      </c>
      <c r="B247" s="280">
        <f>B250+B253+B256+B260+B264+B267</f>
        <v>128213</v>
      </c>
    </row>
    <row r="248" spans="1:2">
      <c r="A248" s="127" t="s">
        <v>145</v>
      </c>
      <c r="B248" s="133">
        <f>B257+B261</f>
        <v>19719</v>
      </c>
    </row>
    <row r="249" spans="1:2">
      <c r="A249" s="316" t="s">
        <v>150</v>
      </c>
      <c r="B249" s="280"/>
    </row>
    <row r="250" spans="1:2">
      <c r="A250" s="140" t="s">
        <v>495</v>
      </c>
      <c r="B250" s="317">
        <f>51000+44000</f>
        <v>95000</v>
      </c>
    </row>
    <row r="251" spans="1:2">
      <c r="A251" s="146"/>
      <c r="B251" s="317"/>
    </row>
    <row r="252" spans="1:2">
      <c r="A252" s="316" t="s">
        <v>150</v>
      </c>
      <c r="B252" s="280"/>
    </row>
    <row r="253" spans="1:2">
      <c r="A253" s="140" t="s">
        <v>496</v>
      </c>
      <c r="B253" s="317">
        <v>3000</v>
      </c>
    </row>
    <row r="254" spans="1:2">
      <c r="A254" s="146"/>
      <c r="B254" s="317"/>
    </row>
    <row r="255" spans="1:2">
      <c r="A255" s="316" t="s">
        <v>150</v>
      </c>
      <c r="B255" s="280"/>
    </row>
    <row r="256" spans="1:2">
      <c r="A256" s="140" t="s">
        <v>497</v>
      </c>
      <c r="B256" s="317">
        <v>18000</v>
      </c>
    </row>
    <row r="257" spans="1:2">
      <c r="A257" s="130" t="s">
        <v>145</v>
      </c>
      <c r="B257" s="133">
        <v>-5318</v>
      </c>
    </row>
    <row r="258" spans="1:2">
      <c r="A258" s="145"/>
      <c r="B258" s="327"/>
    </row>
    <row r="259" spans="1:2">
      <c r="A259" s="316" t="s">
        <v>150</v>
      </c>
      <c r="B259" s="280"/>
    </row>
    <row r="260" spans="1:2">
      <c r="A260" s="140" t="s">
        <v>498</v>
      </c>
      <c r="B260" s="317">
        <v>0</v>
      </c>
    </row>
    <row r="261" spans="1:2">
      <c r="A261" s="130" t="s">
        <v>145</v>
      </c>
      <c r="B261" s="133">
        <v>25037</v>
      </c>
    </row>
    <row r="262" spans="1:2">
      <c r="A262" s="146"/>
      <c r="B262" s="317"/>
    </row>
    <row r="263" spans="1:2">
      <c r="A263" s="316" t="s">
        <v>150</v>
      </c>
      <c r="B263" s="280"/>
    </row>
    <row r="264" spans="1:2">
      <c r="A264" s="140" t="s">
        <v>499</v>
      </c>
      <c r="B264" s="317">
        <v>8000</v>
      </c>
    </row>
    <row r="265" spans="1:2">
      <c r="A265" s="146"/>
      <c r="B265" s="317"/>
    </row>
    <row r="266" spans="1:2">
      <c r="A266" s="316" t="s">
        <v>150</v>
      </c>
      <c r="B266" s="280"/>
    </row>
    <row r="267" spans="1:2" ht="24">
      <c r="A267" s="140" t="s">
        <v>257</v>
      </c>
      <c r="B267" s="317">
        <f>1513+2700</f>
        <v>4213</v>
      </c>
    </row>
    <row r="268" spans="1:2">
      <c r="A268" s="325"/>
      <c r="B268" s="326"/>
    </row>
    <row r="269" spans="1:2">
      <c r="A269" s="293" t="s">
        <v>165</v>
      </c>
      <c r="B269" s="280">
        <f>B272+B276+B279</f>
        <v>47100</v>
      </c>
    </row>
    <row r="270" spans="1:2">
      <c r="A270" s="127" t="s">
        <v>145</v>
      </c>
      <c r="B270" s="133">
        <f>B273</f>
        <v>13600</v>
      </c>
    </row>
    <row r="271" spans="1:2">
      <c r="A271" s="316" t="s">
        <v>150</v>
      </c>
      <c r="B271" s="280"/>
    </row>
    <row r="272" spans="1:2">
      <c r="A272" s="140" t="s">
        <v>500</v>
      </c>
      <c r="B272" s="317">
        <f>18200+30000</f>
        <v>48200</v>
      </c>
    </row>
    <row r="273" spans="1:2">
      <c r="A273" s="130" t="s">
        <v>145</v>
      </c>
      <c r="B273" s="133">
        <v>13600</v>
      </c>
    </row>
    <row r="274" spans="1:2">
      <c r="A274" s="145"/>
      <c r="B274" s="327"/>
    </row>
    <row r="275" spans="1:2">
      <c r="A275" s="316" t="s">
        <v>150</v>
      </c>
      <c r="B275" s="280"/>
    </row>
    <row r="276" spans="1:2">
      <c r="A276" s="140" t="s">
        <v>501</v>
      </c>
      <c r="B276" s="317">
        <v>-6100</v>
      </c>
    </row>
    <row r="277" spans="1:2">
      <c r="A277" s="145"/>
      <c r="B277" s="327"/>
    </row>
    <row r="278" spans="1:2">
      <c r="A278" s="316" t="s">
        <v>150</v>
      </c>
      <c r="B278" s="280"/>
    </row>
    <row r="279" spans="1:2">
      <c r="A279" s="140" t="s">
        <v>502</v>
      </c>
      <c r="B279" s="317">
        <v>5000</v>
      </c>
    </row>
    <row r="280" spans="1:2">
      <c r="A280" s="145"/>
      <c r="B280" s="327"/>
    </row>
    <row r="281" spans="1:2">
      <c r="A281" s="293" t="s">
        <v>166</v>
      </c>
      <c r="B281" s="280">
        <f>B285+B289+B293+B297+B301</f>
        <v>25710</v>
      </c>
    </row>
    <row r="282" spans="1:2">
      <c r="A282" s="127" t="s">
        <v>145</v>
      </c>
      <c r="B282" s="133">
        <f>B286+B290+B294+B298</f>
        <v>4993</v>
      </c>
    </row>
    <row r="283" spans="1:2">
      <c r="A283" s="146"/>
      <c r="B283" s="317"/>
    </row>
    <row r="284" spans="1:2">
      <c r="A284" s="316" t="s">
        <v>150</v>
      </c>
      <c r="B284" s="280"/>
    </row>
    <row r="285" spans="1:2">
      <c r="A285" s="140" t="s">
        <v>258</v>
      </c>
      <c r="B285" s="317">
        <v>0</v>
      </c>
    </row>
    <row r="286" spans="1:2">
      <c r="A286" s="130" t="s">
        <v>145</v>
      </c>
      <c r="B286" s="133">
        <v>1602</v>
      </c>
    </row>
    <row r="287" spans="1:2">
      <c r="A287" s="322"/>
      <c r="B287" s="280"/>
    </row>
    <row r="288" spans="1:2">
      <c r="A288" s="316" t="s">
        <v>150</v>
      </c>
      <c r="B288" s="280"/>
    </row>
    <row r="289" spans="1:2">
      <c r="A289" s="140" t="s">
        <v>64</v>
      </c>
      <c r="B289" s="317">
        <v>0</v>
      </c>
    </row>
    <row r="290" spans="1:2">
      <c r="A290" s="130" t="s">
        <v>145</v>
      </c>
      <c r="B290" s="133">
        <v>-680</v>
      </c>
    </row>
    <row r="291" spans="1:2">
      <c r="A291" s="146"/>
      <c r="B291" s="317"/>
    </row>
    <row r="292" spans="1:2">
      <c r="A292" s="316" t="s">
        <v>150</v>
      </c>
      <c r="B292" s="280"/>
    </row>
    <row r="293" spans="1:2" ht="24">
      <c r="A293" s="140" t="s">
        <v>503</v>
      </c>
      <c r="B293" s="317">
        <v>7410</v>
      </c>
    </row>
    <row r="294" spans="1:2">
      <c r="A294" s="130" t="s">
        <v>145</v>
      </c>
      <c r="B294" s="133">
        <v>4930</v>
      </c>
    </row>
    <row r="295" spans="1:2">
      <c r="A295" s="147"/>
      <c r="B295" s="328"/>
    </row>
    <row r="296" spans="1:2">
      <c r="A296" s="316" t="s">
        <v>150</v>
      </c>
      <c r="B296" s="280"/>
    </row>
    <row r="297" spans="1:2">
      <c r="A297" s="140" t="s">
        <v>504</v>
      </c>
      <c r="B297" s="317">
        <v>1300</v>
      </c>
    </row>
    <row r="298" spans="1:2">
      <c r="A298" s="130" t="s">
        <v>145</v>
      </c>
      <c r="B298" s="133">
        <v>-859</v>
      </c>
    </row>
    <row r="299" spans="1:2">
      <c r="A299" s="147"/>
      <c r="B299" s="328"/>
    </row>
    <row r="300" spans="1:2">
      <c r="A300" s="316" t="s">
        <v>150</v>
      </c>
      <c r="B300" s="280"/>
    </row>
    <row r="301" spans="1:2">
      <c r="A301" s="140" t="s">
        <v>505</v>
      </c>
      <c r="B301" s="317">
        <v>17000</v>
      </c>
    </row>
    <row r="302" spans="1:2">
      <c r="A302" s="146"/>
      <c r="B302" s="317"/>
    </row>
    <row r="303" spans="1:2">
      <c r="A303" s="308" t="s">
        <v>167</v>
      </c>
      <c r="B303" s="309">
        <f>+B307</f>
        <v>-13400</v>
      </c>
    </row>
    <row r="304" spans="1:2">
      <c r="A304" s="127" t="s">
        <v>145</v>
      </c>
      <c r="B304" s="133">
        <f>B308</f>
        <v>-10000</v>
      </c>
    </row>
    <row r="305" spans="1:2">
      <c r="A305" s="148"/>
      <c r="B305" s="329"/>
    </row>
    <row r="306" spans="1:2">
      <c r="A306" s="316" t="s">
        <v>150</v>
      </c>
      <c r="B306" s="280"/>
    </row>
    <row r="307" spans="1:2">
      <c r="A307" s="140" t="s">
        <v>259</v>
      </c>
      <c r="B307" s="317">
        <v>-13400</v>
      </c>
    </row>
    <row r="308" spans="1:2">
      <c r="A308" s="130" t="s">
        <v>145</v>
      </c>
      <c r="B308" s="133">
        <v>-10000</v>
      </c>
    </row>
    <row r="309" spans="1:2">
      <c r="A309" s="148"/>
      <c r="B309" s="329"/>
    </row>
    <row r="310" spans="1:2">
      <c r="A310" s="322" t="s">
        <v>144</v>
      </c>
      <c r="B310" s="280">
        <f>B312+B329</f>
        <v>-34521</v>
      </c>
    </row>
    <row r="311" spans="1:2">
      <c r="A311" s="150"/>
      <c r="B311" s="178"/>
    </row>
    <row r="312" spans="1:2">
      <c r="A312" s="330" t="s">
        <v>346</v>
      </c>
      <c r="B312" s="331">
        <f>B314+B317+B327</f>
        <v>26579</v>
      </c>
    </row>
    <row r="313" spans="1:2">
      <c r="A313" s="150"/>
      <c r="B313" s="178"/>
    </row>
    <row r="314" spans="1:2">
      <c r="A314" s="128" t="s">
        <v>168</v>
      </c>
      <c r="B314" s="131">
        <v>1079</v>
      </c>
    </row>
    <row r="315" spans="1:2">
      <c r="A315" s="125" t="s">
        <v>145</v>
      </c>
      <c r="B315" s="133">
        <v>807</v>
      </c>
    </row>
    <row r="316" spans="1:2">
      <c r="A316" s="290"/>
      <c r="B316" s="282"/>
    </row>
    <row r="317" spans="1:2">
      <c r="A317" s="128" t="s">
        <v>266</v>
      </c>
      <c r="B317" s="131">
        <v>19400</v>
      </c>
    </row>
    <row r="318" spans="1:2">
      <c r="A318" s="125" t="s">
        <v>145</v>
      </c>
      <c r="B318" s="133">
        <v>10000</v>
      </c>
    </row>
    <row r="319" spans="1:2">
      <c r="A319" s="125"/>
      <c r="B319" s="133"/>
    </row>
    <row r="320" spans="1:2">
      <c r="A320" s="128" t="s">
        <v>237</v>
      </c>
      <c r="B320" s="131">
        <v>0</v>
      </c>
    </row>
    <row r="321" spans="1:2">
      <c r="A321" s="151" t="s">
        <v>169</v>
      </c>
      <c r="B321" s="131">
        <f>B322+B323+B324+B325</f>
        <v>0</v>
      </c>
    </row>
    <row r="322" spans="1:2">
      <c r="A322" s="153" t="s">
        <v>506</v>
      </c>
      <c r="B322" s="311">
        <v>-47200</v>
      </c>
    </row>
    <row r="323" spans="1:2">
      <c r="A323" s="332" t="s">
        <v>507</v>
      </c>
      <c r="B323" s="333">
        <v>40000</v>
      </c>
    </row>
    <row r="324" spans="1:2">
      <c r="A324" s="332" t="s">
        <v>316</v>
      </c>
      <c r="B324" s="333">
        <v>12200</v>
      </c>
    </row>
    <row r="325" spans="1:2">
      <c r="A325" s="153" t="s">
        <v>508</v>
      </c>
      <c r="B325" s="311">
        <v>-5000</v>
      </c>
    </row>
    <row r="326" spans="1:2">
      <c r="A326" s="334"/>
      <c r="B326" s="255"/>
    </row>
    <row r="327" spans="1:2">
      <c r="A327" s="334" t="s">
        <v>509</v>
      </c>
      <c r="B327" s="255">
        <v>6100</v>
      </c>
    </row>
    <row r="328" spans="1:2">
      <c r="A328" s="134"/>
      <c r="B328" s="304"/>
    </row>
    <row r="329" spans="1:2">
      <c r="A329" s="152" t="s">
        <v>347</v>
      </c>
      <c r="B329" s="335">
        <f>B331+B333+B335+B339+B341+B337</f>
        <v>-61100</v>
      </c>
    </row>
    <row r="330" spans="1:2">
      <c r="A330" s="152"/>
      <c r="B330" s="335"/>
    </row>
    <row r="331" spans="1:2">
      <c r="A331" s="128" t="s">
        <v>170</v>
      </c>
      <c r="B331" s="131">
        <v>11900</v>
      </c>
    </row>
    <row r="332" spans="1:2">
      <c r="A332" s="154"/>
      <c r="B332" s="311"/>
    </row>
    <row r="333" spans="1:2">
      <c r="A333" s="128" t="s">
        <v>61</v>
      </c>
      <c r="B333" s="131">
        <v>-100000</v>
      </c>
    </row>
    <row r="334" spans="1:2">
      <c r="A334" s="154"/>
      <c r="B334" s="311"/>
    </row>
    <row r="335" spans="1:2">
      <c r="A335" s="128" t="s">
        <v>65</v>
      </c>
      <c r="B335" s="131">
        <v>-8800</v>
      </c>
    </row>
    <row r="336" spans="1:2">
      <c r="A336" s="132"/>
      <c r="B336" s="255"/>
    </row>
    <row r="337" spans="1:2">
      <c r="A337" s="132" t="s">
        <v>510</v>
      </c>
      <c r="B337" s="255">
        <v>8800</v>
      </c>
    </row>
    <row r="338" spans="1:2">
      <c r="A338" s="132"/>
      <c r="B338" s="255"/>
    </row>
    <row r="339" spans="1:2">
      <c r="A339" s="336" t="s">
        <v>511</v>
      </c>
      <c r="B339" s="255">
        <v>27000</v>
      </c>
    </row>
    <row r="340" spans="1:2">
      <c r="A340" s="128"/>
      <c r="B340" s="131"/>
    </row>
    <row r="341" spans="1:2">
      <c r="A341" s="128" t="s">
        <v>512</v>
      </c>
      <c r="B341" s="131">
        <v>0</v>
      </c>
    </row>
    <row r="342" spans="1:2">
      <c r="A342" s="125" t="s">
        <v>145</v>
      </c>
      <c r="B342" s="133">
        <v>10000</v>
      </c>
    </row>
    <row r="343" spans="1:2">
      <c r="A343" s="125"/>
      <c r="B343" s="133"/>
    </row>
    <row r="344" spans="1:2">
      <c r="A344" s="128"/>
      <c r="B344" s="131"/>
    </row>
    <row r="345" spans="1:2" ht="15.75">
      <c r="A345" s="180" t="s">
        <v>132</v>
      </c>
      <c r="B345" s="337"/>
    </row>
    <row r="346" spans="1:2">
      <c r="A346" s="181"/>
      <c r="B346" s="338"/>
    </row>
    <row r="347" spans="1:2">
      <c r="A347" s="181" t="s">
        <v>140</v>
      </c>
      <c r="B347" s="338">
        <f>B352</f>
        <v>-41329</v>
      </c>
    </row>
    <row r="348" spans="1:2">
      <c r="A348" s="182" t="s">
        <v>141</v>
      </c>
      <c r="B348" s="339">
        <f>SUM(B349:B350)</f>
        <v>-41329</v>
      </c>
    </row>
    <row r="349" spans="1:2">
      <c r="A349" s="183" t="s">
        <v>142</v>
      </c>
      <c r="B349" s="340">
        <f>'2.2 OMATULUD'!B212</f>
        <v>6234</v>
      </c>
    </row>
    <row r="350" spans="1:2">
      <c r="A350" s="72" t="s">
        <v>143</v>
      </c>
      <c r="B350" s="340">
        <f>B347-B349</f>
        <v>-47563</v>
      </c>
    </row>
    <row r="351" spans="1:2">
      <c r="A351" s="341"/>
      <c r="B351" s="300"/>
    </row>
    <row r="352" spans="1:2">
      <c r="A352" s="181" t="s">
        <v>144</v>
      </c>
      <c r="B352" s="338">
        <f>SUM(B354,B359,B357)</f>
        <v>-41329</v>
      </c>
    </row>
    <row r="353" spans="1:2">
      <c r="A353" s="181"/>
      <c r="B353" s="338"/>
    </row>
    <row r="354" spans="1:2">
      <c r="A354" s="126" t="s">
        <v>322</v>
      </c>
      <c r="B354" s="289">
        <v>-2829</v>
      </c>
    </row>
    <row r="355" spans="1:2">
      <c r="A355" s="129" t="s">
        <v>145</v>
      </c>
      <c r="B355" s="304">
        <v>-2115</v>
      </c>
    </row>
    <row r="356" spans="1:2">
      <c r="A356" s="129"/>
      <c r="B356" s="304"/>
    </row>
    <row r="357" spans="1:2">
      <c r="A357" s="126" t="s">
        <v>513</v>
      </c>
      <c r="B357" s="289">
        <f>-1500-38500</f>
        <v>-40000</v>
      </c>
    </row>
    <row r="358" spans="1:2">
      <c r="A358" s="181"/>
      <c r="B358" s="338"/>
    </row>
    <row r="359" spans="1:2">
      <c r="A359" s="132" t="s">
        <v>514</v>
      </c>
      <c r="B359" s="255">
        <f>SUM(B360:B361)</f>
        <v>1500</v>
      </c>
    </row>
    <row r="360" spans="1:2">
      <c r="A360" s="342" t="s">
        <v>515</v>
      </c>
      <c r="B360" s="312">
        <v>5000</v>
      </c>
    </row>
    <row r="361" spans="1:2">
      <c r="A361" s="343" t="s">
        <v>516</v>
      </c>
      <c r="B361" s="312">
        <v>-3500</v>
      </c>
    </row>
    <row r="362" spans="1:2">
      <c r="A362" s="124"/>
      <c r="B362" s="119"/>
    </row>
    <row r="363" spans="1:2">
      <c r="A363" s="124"/>
      <c r="B363" s="119"/>
    </row>
    <row r="364" spans="1:2" ht="15.75">
      <c r="A364" s="135" t="s">
        <v>233</v>
      </c>
      <c r="B364" s="285"/>
    </row>
    <row r="365" spans="1:2">
      <c r="A365" s="290"/>
      <c r="B365" s="282"/>
    </row>
    <row r="366" spans="1:2">
      <c r="A366" s="136" t="s">
        <v>140</v>
      </c>
      <c r="B366" s="143">
        <f>B372+B400+B395</f>
        <v>142183</v>
      </c>
    </row>
    <row r="367" spans="1:2">
      <c r="A367" s="137" t="s">
        <v>141</v>
      </c>
      <c r="B367" s="175">
        <f>B368+B369+B370</f>
        <v>142183</v>
      </c>
    </row>
    <row r="368" spans="1:2">
      <c r="A368" s="138" t="s">
        <v>142</v>
      </c>
      <c r="B368" s="144">
        <f>'2.2 OMATULUD'!B216</f>
        <v>136195</v>
      </c>
    </row>
    <row r="369" spans="1:2">
      <c r="A369" s="139" t="s">
        <v>127</v>
      </c>
      <c r="B369" s="144">
        <f>B416</f>
        <v>6000</v>
      </c>
    </row>
    <row r="370" spans="1:2">
      <c r="A370" s="139" t="s">
        <v>143</v>
      </c>
      <c r="B370" s="144">
        <f>B366-B368-B369</f>
        <v>-12</v>
      </c>
    </row>
    <row r="371" spans="1:2">
      <c r="A371" s="290"/>
      <c r="B371" s="282"/>
    </row>
    <row r="372" spans="1:2" ht="15">
      <c r="A372" s="155" t="s">
        <v>517</v>
      </c>
      <c r="B372" s="307">
        <f>B373+B384</f>
        <v>24970</v>
      </c>
    </row>
    <row r="373" spans="1:2">
      <c r="A373" s="156" t="s">
        <v>518</v>
      </c>
      <c r="B373" s="143">
        <f>B376+B381</f>
        <v>-37000</v>
      </c>
    </row>
    <row r="374" spans="1:2">
      <c r="A374" s="127" t="s">
        <v>145</v>
      </c>
      <c r="B374" s="133">
        <f>B382+B377</f>
        <v>-7000</v>
      </c>
    </row>
    <row r="375" spans="1:2">
      <c r="A375" s="316" t="s">
        <v>150</v>
      </c>
      <c r="B375" s="280"/>
    </row>
    <row r="376" spans="1:2">
      <c r="A376" s="140" t="s">
        <v>519</v>
      </c>
      <c r="B376" s="317">
        <v>-25000</v>
      </c>
    </row>
    <row r="377" spans="1:2">
      <c r="A377" s="130" t="s">
        <v>145</v>
      </c>
      <c r="B377" s="133">
        <v>2000</v>
      </c>
    </row>
    <row r="378" spans="1:2">
      <c r="A378" s="127"/>
      <c r="B378" s="133"/>
    </row>
    <row r="379" spans="1:2">
      <c r="A379" s="316" t="s">
        <v>150</v>
      </c>
      <c r="B379" s="280"/>
    </row>
    <row r="380" spans="1:2">
      <c r="A380" s="316" t="s">
        <v>150</v>
      </c>
      <c r="B380" s="280"/>
    </row>
    <row r="381" spans="1:2">
      <c r="A381" s="140" t="s">
        <v>520</v>
      </c>
      <c r="B381" s="317">
        <v>-12000</v>
      </c>
    </row>
    <row r="382" spans="1:2">
      <c r="A382" s="130" t="s">
        <v>145</v>
      </c>
      <c r="B382" s="133">
        <v>-9000</v>
      </c>
    </row>
    <row r="383" spans="1:2">
      <c r="A383" s="127"/>
      <c r="B383" s="133"/>
    </row>
    <row r="384" spans="1:2">
      <c r="A384" s="156" t="s">
        <v>521</v>
      </c>
      <c r="B384" s="143">
        <f>B387+B390+B393</f>
        <v>61970</v>
      </c>
    </row>
    <row r="385" spans="1:2">
      <c r="A385" s="127"/>
      <c r="B385" s="133"/>
    </row>
    <row r="386" spans="1:2">
      <c r="A386" s="316" t="s">
        <v>150</v>
      </c>
      <c r="B386" s="280"/>
    </row>
    <row r="387" spans="1:2">
      <c r="A387" s="140" t="s">
        <v>522</v>
      </c>
      <c r="B387" s="317">
        <v>40000</v>
      </c>
    </row>
    <row r="388" spans="1:2">
      <c r="A388" s="127"/>
      <c r="B388" s="133"/>
    </row>
    <row r="389" spans="1:2">
      <c r="A389" s="316" t="s">
        <v>150</v>
      </c>
      <c r="B389" s="280"/>
    </row>
    <row r="390" spans="1:2">
      <c r="A390" s="140" t="s">
        <v>523</v>
      </c>
      <c r="B390" s="317">
        <v>19970</v>
      </c>
    </row>
    <row r="391" spans="1:2">
      <c r="A391" s="127"/>
      <c r="B391" s="133"/>
    </row>
    <row r="392" spans="1:2">
      <c r="A392" s="316" t="s">
        <v>150</v>
      </c>
      <c r="B392" s="280"/>
    </row>
    <row r="393" spans="1:2">
      <c r="A393" s="140" t="s">
        <v>524</v>
      </c>
      <c r="B393" s="317">
        <v>2000</v>
      </c>
    </row>
    <row r="394" spans="1:2">
      <c r="A394" s="318"/>
      <c r="B394" s="319"/>
    </row>
    <row r="395" spans="1:2" ht="15">
      <c r="A395" s="155" t="s">
        <v>171</v>
      </c>
      <c r="B395" s="307">
        <f>B396</f>
        <v>44415</v>
      </c>
    </row>
    <row r="396" spans="1:2">
      <c r="A396" s="156" t="s">
        <v>525</v>
      </c>
      <c r="B396" s="143">
        <f>B398</f>
        <v>44415</v>
      </c>
    </row>
    <row r="397" spans="1:2">
      <c r="A397" s="316" t="s">
        <v>150</v>
      </c>
      <c r="B397" s="280"/>
    </row>
    <row r="398" spans="1:2">
      <c r="A398" s="140" t="s">
        <v>526</v>
      </c>
      <c r="B398" s="317">
        <v>44415</v>
      </c>
    </row>
    <row r="399" spans="1:2">
      <c r="A399" s="318"/>
      <c r="B399" s="319"/>
    </row>
    <row r="400" spans="1:2">
      <c r="A400" s="136" t="s">
        <v>144</v>
      </c>
      <c r="B400" s="143">
        <f>B402+B405+B409+B412+B414</f>
        <v>72798</v>
      </c>
    </row>
    <row r="401" spans="1:2">
      <c r="A401" s="344"/>
      <c r="B401" s="345"/>
    </row>
    <row r="402" spans="1:2">
      <c r="A402" s="128" t="s">
        <v>527</v>
      </c>
      <c r="B402" s="131">
        <v>-12</v>
      </c>
    </row>
    <row r="403" spans="1:2">
      <c r="A403" s="125" t="s">
        <v>145</v>
      </c>
      <c r="B403" s="133">
        <v>-9</v>
      </c>
    </row>
    <row r="404" spans="1:2">
      <c r="A404" s="125"/>
      <c r="B404" s="133"/>
    </row>
    <row r="405" spans="1:2">
      <c r="A405" s="124" t="s">
        <v>528</v>
      </c>
      <c r="B405" s="119">
        <f>B406+B407</f>
        <v>25000</v>
      </c>
    </row>
    <row r="406" spans="1:2">
      <c r="A406" s="346" t="s">
        <v>529</v>
      </c>
      <c r="B406" s="347">
        <v>50000</v>
      </c>
    </row>
    <row r="407" spans="1:2">
      <c r="A407" s="346" t="s">
        <v>530</v>
      </c>
      <c r="B407" s="347">
        <v>-25000</v>
      </c>
    </row>
    <row r="408" spans="1:2">
      <c r="A408" s="346"/>
      <c r="B408" s="347"/>
    </row>
    <row r="409" spans="1:2">
      <c r="A409" s="128" t="s">
        <v>531</v>
      </c>
      <c r="B409" s="131">
        <v>12000</v>
      </c>
    </row>
    <row r="410" spans="1:2">
      <c r="A410" s="125" t="s">
        <v>145</v>
      </c>
      <c r="B410" s="133">
        <v>9000</v>
      </c>
    </row>
    <row r="411" spans="1:2">
      <c r="A411" s="125"/>
      <c r="B411" s="133"/>
    </row>
    <row r="412" spans="1:2">
      <c r="A412" s="124" t="s">
        <v>532</v>
      </c>
      <c r="B412" s="119">
        <v>25000</v>
      </c>
    </row>
    <row r="413" spans="1:2">
      <c r="A413" s="134"/>
      <c r="B413" s="304"/>
    </row>
    <row r="414" spans="1:2" ht="25.5">
      <c r="A414" s="126" t="s">
        <v>533</v>
      </c>
      <c r="B414" s="289">
        <v>10810</v>
      </c>
    </row>
    <row r="415" spans="1:2">
      <c r="A415" s="310"/>
      <c r="B415" s="321"/>
    </row>
    <row r="416" spans="1:2">
      <c r="A416" s="134" t="s">
        <v>153</v>
      </c>
      <c r="B416" s="304">
        <v>6000</v>
      </c>
    </row>
    <row r="417" spans="1:2">
      <c r="A417" s="124"/>
      <c r="B417" s="119"/>
    </row>
    <row r="418" spans="1:2">
      <c r="A418" s="124"/>
      <c r="B418" s="119"/>
    </row>
    <row r="419" spans="1:2" ht="15.75">
      <c r="A419" s="141" t="s">
        <v>130</v>
      </c>
      <c r="B419" s="296"/>
    </row>
    <row r="420" spans="1:2">
      <c r="A420" s="136"/>
      <c r="B420" s="143"/>
    </row>
    <row r="421" spans="1:2">
      <c r="A421" s="136" t="s">
        <v>140</v>
      </c>
      <c r="B421" s="143">
        <f>SUM(B427,B435)</f>
        <v>172720</v>
      </c>
    </row>
    <row r="422" spans="1:2">
      <c r="A422" s="137" t="s">
        <v>141</v>
      </c>
      <c r="B422" s="175">
        <f>SUM(B423:B425)</f>
        <v>172720</v>
      </c>
    </row>
    <row r="423" spans="1:2">
      <c r="A423" s="138" t="s">
        <v>142</v>
      </c>
      <c r="B423" s="144">
        <f>'2.2 OMATULUD'!B227</f>
        <v>-5500</v>
      </c>
    </row>
    <row r="424" spans="1:2">
      <c r="A424" s="139" t="s">
        <v>127</v>
      </c>
      <c r="B424" s="144">
        <f>SUM(B450,B455)</f>
        <v>10200</v>
      </c>
    </row>
    <row r="425" spans="1:2">
      <c r="A425" s="139" t="s">
        <v>143</v>
      </c>
      <c r="B425" s="144">
        <f>B421-B423-B424</f>
        <v>168020</v>
      </c>
    </row>
    <row r="426" spans="1:2">
      <c r="A426" s="184"/>
      <c r="B426" s="144"/>
    </row>
    <row r="427" spans="1:2" ht="15">
      <c r="A427" s="155" t="s">
        <v>172</v>
      </c>
      <c r="B427" s="307">
        <f>SUM(B428)</f>
        <v>135800</v>
      </c>
    </row>
    <row r="428" spans="1:2">
      <c r="A428" s="293" t="s">
        <v>173</v>
      </c>
      <c r="B428" s="280">
        <f>SUM(B430,B433)</f>
        <v>135800</v>
      </c>
    </row>
    <row r="429" spans="1:2">
      <c r="A429" s="316" t="s">
        <v>150</v>
      </c>
      <c r="B429" s="280"/>
    </row>
    <row r="430" spans="1:2">
      <c r="A430" s="140" t="s">
        <v>629</v>
      </c>
      <c r="B430" s="317">
        <v>163000</v>
      </c>
    </row>
    <row r="431" spans="1:2">
      <c r="A431" s="140"/>
      <c r="B431" s="317"/>
    </row>
    <row r="432" spans="1:2">
      <c r="A432" s="167" t="s">
        <v>175</v>
      </c>
      <c r="B432" s="143"/>
    </row>
    <row r="433" spans="1:2">
      <c r="A433" s="140" t="s">
        <v>534</v>
      </c>
      <c r="B433" s="317">
        <f>-17000-4700-5500</f>
        <v>-27200</v>
      </c>
    </row>
    <row r="434" spans="1:2">
      <c r="A434" s="169"/>
      <c r="B434" s="317"/>
    </row>
    <row r="435" spans="1:2">
      <c r="A435" s="136" t="s">
        <v>144</v>
      </c>
      <c r="B435" s="143">
        <f>SUM(B437,B440,B443,B447,B452)</f>
        <v>36920</v>
      </c>
    </row>
    <row r="436" spans="1:2">
      <c r="A436" s="136"/>
      <c r="B436" s="143"/>
    </row>
    <row r="437" spans="1:2">
      <c r="A437" s="124" t="s">
        <v>535</v>
      </c>
      <c r="B437" s="119">
        <f>-121-4100+10648-2728</f>
        <v>3699</v>
      </c>
    </row>
    <row r="438" spans="1:2">
      <c r="A438" s="125" t="s">
        <v>145</v>
      </c>
      <c r="B438" s="133">
        <f>7959-2039</f>
        <v>5920</v>
      </c>
    </row>
    <row r="439" spans="1:2">
      <c r="A439" s="158"/>
      <c r="B439" s="144"/>
    </row>
    <row r="440" spans="1:2">
      <c r="A440" s="287" t="s">
        <v>536</v>
      </c>
      <c r="B440" s="282">
        <f>SUM(B441:B441)</f>
        <v>17000</v>
      </c>
    </row>
    <row r="441" spans="1:2">
      <c r="A441" s="150" t="s">
        <v>537</v>
      </c>
      <c r="B441" s="178">
        <v>17000</v>
      </c>
    </row>
    <row r="442" spans="1:2">
      <c r="A442" s="290"/>
      <c r="B442" s="282"/>
    </row>
    <row r="443" spans="1:2">
      <c r="A443" s="128" t="s">
        <v>538</v>
      </c>
      <c r="B443" s="131">
        <f>SUM(B444:B445)</f>
        <v>4221</v>
      </c>
    </row>
    <row r="444" spans="1:2">
      <c r="A444" s="150" t="s">
        <v>539</v>
      </c>
      <c r="B444" s="178">
        <v>4100</v>
      </c>
    </row>
    <row r="445" spans="1:2">
      <c r="A445" s="348" t="s">
        <v>540</v>
      </c>
      <c r="B445" s="179">
        <v>121</v>
      </c>
    </row>
    <row r="446" spans="1:2">
      <c r="A446" s="136"/>
      <c r="B446" s="143"/>
    </row>
    <row r="447" spans="1:2" ht="25.5">
      <c r="A447" s="132" t="s">
        <v>541</v>
      </c>
      <c r="B447" s="255">
        <v>6000</v>
      </c>
    </row>
    <row r="448" spans="1:2">
      <c r="A448" s="125" t="s">
        <v>145</v>
      </c>
      <c r="B448" s="133">
        <v>747</v>
      </c>
    </row>
    <row r="449" spans="1:2">
      <c r="A449" s="161"/>
      <c r="B449" s="349"/>
    </row>
    <row r="450" spans="1:2">
      <c r="A450" s="134" t="s">
        <v>153</v>
      </c>
      <c r="B450" s="304">
        <v>5100</v>
      </c>
    </row>
    <row r="451" spans="1:2">
      <c r="A451" s="185"/>
      <c r="B451" s="350"/>
    </row>
    <row r="452" spans="1:2" ht="38.25">
      <c r="A452" s="132" t="s">
        <v>542</v>
      </c>
      <c r="B452" s="255">
        <v>6000</v>
      </c>
    </row>
    <row r="453" spans="1:2">
      <c r="A453" s="125" t="s">
        <v>145</v>
      </c>
      <c r="B453" s="133">
        <v>4484</v>
      </c>
    </row>
    <row r="454" spans="1:2">
      <c r="A454" s="161"/>
      <c r="B454" s="349"/>
    </row>
    <row r="455" spans="1:2">
      <c r="A455" s="134" t="s">
        <v>153</v>
      </c>
      <c r="B455" s="304">
        <v>5100</v>
      </c>
    </row>
    <row r="456" spans="1:2">
      <c r="A456" s="124"/>
      <c r="B456" s="119"/>
    </row>
    <row r="457" spans="1:2">
      <c r="A457" s="124"/>
      <c r="B457" s="119"/>
    </row>
    <row r="458" spans="1:2" ht="15.75">
      <c r="A458" s="141" t="s">
        <v>176</v>
      </c>
      <c r="B458" s="296"/>
    </row>
    <row r="459" spans="1:2">
      <c r="A459" s="136"/>
      <c r="B459" s="143"/>
    </row>
    <row r="460" spans="1:2">
      <c r="A460" s="136" t="s">
        <v>140</v>
      </c>
      <c r="B460" s="143">
        <f>SUM(B467,B482,B489)</f>
        <v>1222225</v>
      </c>
    </row>
    <row r="461" spans="1:2">
      <c r="A461" s="137" t="s">
        <v>141</v>
      </c>
      <c r="B461" s="175">
        <f>SUM(B462:B465)</f>
        <v>1222225</v>
      </c>
    </row>
    <row r="462" spans="1:2">
      <c r="A462" s="138" t="s">
        <v>142</v>
      </c>
      <c r="B462" s="144">
        <f>'2.2 OMATULUD'!B231</f>
        <v>40000</v>
      </c>
    </row>
    <row r="463" spans="1:2">
      <c r="A463" s="72" t="s">
        <v>543</v>
      </c>
      <c r="B463" s="340">
        <f>SUM(B511)</f>
        <v>418</v>
      </c>
    </row>
    <row r="464" spans="1:2">
      <c r="A464" s="139" t="s">
        <v>127</v>
      </c>
      <c r="B464" s="144">
        <f>SUM(B512)</f>
        <v>3758</v>
      </c>
    </row>
    <row r="465" spans="1:2">
      <c r="A465" s="139" t="s">
        <v>143</v>
      </c>
      <c r="B465" s="144">
        <f>B460-B462-B463-B464</f>
        <v>1178049</v>
      </c>
    </row>
    <row r="466" spans="1:2">
      <c r="A466" s="184"/>
      <c r="B466" s="144"/>
    </row>
    <row r="467" spans="1:2" ht="15">
      <c r="A467" s="155" t="s">
        <v>544</v>
      </c>
      <c r="B467" s="307">
        <f>SUM(B468,B478)</f>
        <v>1135000</v>
      </c>
    </row>
    <row r="468" spans="1:2">
      <c r="A468" s="293" t="s">
        <v>353</v>
      </c>
      <c r="B468" s="280">
        <f>SUM(B470,B473,B476)</f>
        <v>1051000</v>
      </c>
    </row>
    <row r="469" spans="1:2">
      <c r="A469" s="316" t="s">
        <v>150</v>
      </c>
      <c r="B469" s="280"/>
    </row>
    <row r="470" spans="1:2">
      <c r="A470" s="140" t="s">
        <v>352</v>
      </c>
      <c r="B470" s="317">
        <v>1000000</v>
      </c>
    </row>
    <row r="471" spans="1:2">
      <c r="A471" s="146"/>
      <c r="B471" s="317"/>
    </row>
    <row r="472" spans="1:2">
      <c r="A472" s="316" t="s">
        <v>150</v>
      </c>
      <c r="B472" s="280"/>
    </row>
    <row r="473" spans="1:2">
      <c r="A473" s="140" t="s">
        <v>545</v>
      </c>
      <c r="B473" s="317">
        <v>25000</v>
      </c>
    </row>
    <row r="474" spans="1:2">
      <c r="A474" s="160"/>
      <c r="B474" s="312"/>
    </row>
    <row r="475" spans="1:2">
      <c r="A475" s="316" t="s">
        <v>175</v>
      </c>
      <c r="B475" s="280"/>
    </row>
    <row r="476" spans="1:2">
      <c r="A476" s="140" t="s">
        <v>546</v>
      </c>
      <c r="B476" s="317">
        <v>26000</v>
      </c>
    </row>
    <row r="477" spans="1:2">
      <c r="A477" s="132"/>
      <c r="B477" s="255"/>
    </row>
    <row r="478" spans="1:2">
      <c r="A478" s="293" t="s">
        <v>249</v>
      </c>
      <c r="B478" s="280">
        <v>84000</v>
      </c>
    </row>
    <row r="479" spans="1:2">
      <c r="A479" s="174"/>
      <c r="B479" s="351"/>
    </row>
    <row r="480" spans="1:2">
      <c r="A480" s="225" t="s">
        <v>547</v>
      </c>
      <c r="B480" s="312"/>
    </row>
    <row r="481" spans="1:2">
      <c r="A481" s="160"/>
      <c r="B481" s="312"/>
    </row>
    <row r="482" spans="1:2" ht="15">
      <c r="A482" s="155" t="s">
        <v>178</v>
      </c>
      <c r="B482" s="307">
        <f>SUM(B483)</f>
        <v>40000</v>
      </c>
    </row>
    <row r="483" spans="1:2">
      <c r="A483" s="293" t="s">
        <v>179</v>
      </c>
      <c r="B483" s="280">
        <f>B486</f>
        <v>40000</v>
      </c>
    </row>
    <row r="484" spans="1:2">
      <c r="A484" s="127" t="s">
        <v>145</v>
      </c>
      <c r="B484" s="133">
        <f>B487</f>
        <v>15000</v>
      </c>
    </row>
    <row r="485" spans="1:2">
      <c r="A485" s="316" t="s">
        <v>150</v>
      </c>
      <c r="B485" s="280"/>
    </row>
    <row r="486" spans="1:2">
      <c r="A486" s="140" t="s">
        <v>548</v>
      </c>
      <c r="B486" s="317">
        <v>40000</v>
      </c>
    </row>
    <row r="487" spans="1:2">
      <c r="A487" s="130" t="s">
        <v>145</v>
      </c>
      <c r="B487" s="133">
        <v>15000</v>
      </c>
    </row>
    <row r="488" spans="1:2">
      <c r="A488" s="169"/>
      <c r="B488" s="317"/>
    </row>
    <row r="489" spans="1:2">
      <c r="A489" s="136" t="s">
        <v>144</v>
      </c>
      <c r="B489" s="143">
        <f>SUM(B491,B494,B499,B502,B514,B509)</f>
        <v>47225</v>
      </c>
    </row>
    <row r="490" spans="1:2">
      <c r="A490" s="136"/>
      <c r="B490" s="143"/>
    </row>
    <row r="491" spans="1:2">
      <c r="A491" s="124" t="s">
        <v>356</v>
      </c>
      <c r="B491" s="119">
        <f>15682-3233</f>
        <v>12449</v>
      </c>
    </row>
    <row r="492" spans="1:2">
      <c r="A492" s="125" t="s">
        <v>145</v>
      </c>
      <c r="B492" s="133">
        <f>11211+11720-2417</f>
        <v>20514</v>
      </c>
    </row>
    <row r="493" spans="1:2">
      <c r="A493" s="136"/>
      <c r="B493" s="143"/>
    </row>
    <row r="494" spans="1:2">
      <c r="A494" s="132" t="s">
        <v>549</v>
      </c>
      <c r="B494" s="255">
        <f>B495</f>
        <v>8000</v>
      </c>
    </row>
    <row r="495" spans="1:2">
      <c r="A495" s="150" t="s">
        <v>550</v>
      </c>
      <c r="B495" s="350">
        <v>8000</v>
      </c>
    </row>
    <row r="496" spans="1:2">
      <c r="A496" s="352"/>
      <c r="B496" s="350"/>
    </row>
    <row r="497" spans="1:2">
      <c r="A497" s="225" t="s">
        <v>551</v>
      </c>
      <c r="B497" s="312"/>
    </row>
    <row r="498" spans="1:2">
      <c r="A498" s="128"/>
      <c r="B498" s="131"/>
    </row>
    <row r="499" spans="1:2">
      <c r="A499" s="132" t="s">
        <v>183</v>
      </c>
      <c r="B499" s="255">
        <v>29600</v>
      </c>
    </row>
    <row r="500" spans="1:2">
      <c r="A500" s="150" t="s">
        <v>614</v>
      </c>
      <c r="B500" s="179"/>
    </row>
    <row r="501" spans="1:2">
      <c r="A501" s="163"/>
      <c r="B501" s="178"/>
    </row>
    <row r="502" spans="1:2">
      <c r="A502" s="132" t="s">
        <v>552</v>
      </c>
      <c r="B502" s="255">
        <v>0</v>
      </c>
    </row>
    <row r="503" spans="1:2">
      <c r="A503" s="153" t="s">
        <v>553</v>
      </c>
      <c r="B503" s="311">
        <v>150000</v>
      </c>
    </row>
    <row r="504" spans="1:2">
      <c r="A504" s="153" t="s">
        <v>292</v>
      </c>
      <c r="B504" s="311">
        <v>-190000</v>
      </c>
    </row>
    <row r="505" spans="1:2">
      <c r="A505" s="153" t="s">
        <v>554</v>
      </c>
      <c r="B505" s="311">
        <v>40000</v>
      </c>
    </row>
    <row r="506" spans="1:2">
      <c r="A506" s="153"/>
      <c r="B506" s="311"/>
    </row>
    <row r="507" spans="1:2" ht="22.5">
      <c r="A507" s="160" t="s">
        <v>555</v>
      </c>
      <c r="B507" s="312"/>
    </row>
    <row r="508" spans="1:2">
      <c r="A508" s="128"/>
      <c r="B508" s="131"/>
    </row>
    <row r="509" spans="1:2" ht="25.5">
      <c r="A509" s="132" t="s">
        <v>556</v>
      </c>
      <c r="B509" s="255">
        <f>SUM(B511:B512)</f>
        <v>4176</v>
      </c>
    </row>
    <row r="510" spans="1:2">
      <c r="A510" s="132"/>
      <c r="B510" s="255"/>
    </row>
    <row r="511" spans="1:2">
      <c r="A511" s="134" t="s">
        <v>557</v>
      </c>
      <c r="B511" s="304">
        <v>418</v>
      </c>
    </row>
    <row r="512" spans="1:2">
      <c r="A512" s="134" t="s">
        <v>153</v>
      </c>
      <c r="B512" s="304">
        <v>3758</v>
      </c>
    </row>
    <row r="513" spans="1:2">
      <c r="A513" s="128"/>
      <c r="B513" s="131"/>
    </row>
    <row r="514" spans="1:2">
      <c r="A514" s="128" t="s">
        <v>558</v>
      </c>
      <c r="B514" s="131">
        <v>-7000</v>
      </c>
    </row>
    <row r="515" spans="1:2">
      <c r="A515" s="128"/>
      <c r="B515" s="131"/>
    </row>
    <row r="516" spans="1:2">
      <c r="A516" s="185"/>
      <c r="B516" s="350"/>
    </row>
    <row r="517" spans="1:2" ht="15.75">
      <c r="A517" s="141" t="s">
        <v>177</v>
      </c>
      <c r="B517" s="296"/>
    </row>
    <row r="518" spans="1:2">
      <c r="A518" s="136"/>
      <c r="B518" s="143"/>
    </row>
    <row r="519" spans="1:2">
      <c r="A519" s="136" t="s">
        <v>140</v>
      </c>
      <c r="B519" s="143">
        <f>SUM(B525,B535)</f>
        <v>75915</v>
      </c>
    </row>
    <row r="520" spans="1:2">
      <c r="A520" s="137" t="s">
        <v>141</v>
      </c>
      <c r="B520" s="175">
        <f>SUM(B521:B523)</f>
        <v>75915</v>
      </c>
    </row>
    <row r="521" spans="1:2">
      <c r="A521" s="138" t="s">
        <v>142</v>
      </c>
      <c r="B521" s="144">
        <f>'2.2 OMATULUD'!B237</f>
        <v>297000</v>
      </c>
    </row>
    <row r="522" spans="1:2">
      <c r="A522" s="139" t="s">
        <v>127</v>
      </c>
      <c r="B522" s="144">
        <f>SUM(B547)</f>
        <v>3462</v>
      </c>
    </row>
    <row r="523" spans="1:2">
      <c r="A523" s="139" t="s">
        <v>143</v>
      </c>
      <c r="B523" s="144">
        <f>B519-B521-B522</f>
        <v>-224547</v>
      </c>
    </row>
    <row r="524" spans="1:2">
      <c r="A524" s="184"/>
      <c r="B524" s="144"/>
    </row>
    <row r="525" spans="1:2" ht="15">
      <c r="A525" s="186" t="s">
        <v>178</v>
      </c>
      <c r="B525" s="177">
        <f>SUM(B527,B531)</f>
        <v>67000</v>
      </c>
    </row>
    <row r="526" spans="1:2">
      <c r="A526" s="210"/>
      <c r="B526" s="353"/>
    </row>
    <row r="527" spans="1:2">
      <c r="A527" s="293" t="s">
        <v>559</v>
      </c>
      <c r="B527" s="280">
        <f>B529</f>
        <v>37000</v>
      </c>
    </row>
    <row r="528" spans="1:2">
      <c r="A528" s="316" t="s">
        <v>150</v>
      </c>
      <c r="B528" s="280"/>
    </row>
    <row r="529" spans="1:2">
      <c r="A529" s="140" t="s">
        <v>560</v>
      </c>
      <c r="B529" s="317">
        <v>37000</v>
      </c>
    </row>
    <row r="530" spans="1:2">
      <c r="A530" s="169"/>
      <c r="B530" s="317"/>
    </row>
    <row r="531" spans="1:2">
      <c r="A531" s="293" t="s">
        <v>561</v>
      </c>
      <c r="B531" s="280">
        <f>B533</f>
        <v>30000</v>
      </c>
    </row>
    <row r="532" spans="1:2">
      <c r="A532" s="316" t="s">
        <v>150</v>
      </c>
      <c r="B532" s="280"/>
    </row>
    <row r="533" spans="1:2">
      <c r="A533" s="140" t="s">
        <v>562</v>
      </c>
      <c r="B533" s="317">
        <v>30000</v>
      </c>
    </row>
    <row r="534" spans="1:2">
      <c r="A534" s="130"/>
      <c r="B534" s="133"/>
    </row>
    <row r="535" spans="1:2">
      <c r="A535" s="136" t="s">
        <v>144</v>
      </c>
      <c r="B535" s="143">
        <f>SUM(B537,B540,B542,B544)</f>
        <v>8915</v>
      </c>
    </row>
    <row r="536" spans="1:2">
      <c r="A536" s="136"/>
      <c r="B536" s="143"/>
    </row>
    <row r="537" spans="1:2">
      <c r="A537" s="124" t="s">
        <v>323</v>
      </c>
      <c r="B537" s="119">
        <f>-3000+9099-3646</f>
        <v>2453</v>
      </c>
    </row>
    <row r="538" spans="1:2">
      <c r="A538" s="125" t="s">
        <v>145</v>
      </c>
      <c r="B538" s="133">
        <f>6800-2725</f>
        <v>4075</v>
      </c>
    </row>
    <row r="539" spans="1:2">
      <c r="A539" s="354"/>
      <c r="B539" s="178"/>
    </row>
    <row r="540" spans="1:2">
      <c r="A540" s="128" t="s">
        <v>67</v>
      </c>
      <c r="B540" s="131">
        <v>-611</v>
      </c>
    </row>
    <row r="541" spans="1:2">
      <c r="A541" s="125"/>
      <c r="B541" s="133"/>
    </row>
    <row r="542" spans="1:2">
      <c r="A542" s="124" t="s">
        <v>563</v>
      </c>
      <c r="B542" s="119">
        <v>3000</v>
      </c>
    </row>
    <row r="543" spans="1:2">
      <c r="A543" s="124"/>
      <c r="B543" s="119"/>
    </row>
    <row r="544" spans="1:2" ht="25.5">
      <c r="A544" s="132" t="s">
        <v>564</v>
      </c>
      <c r="B544" s="255">
        <v>4073</v>
      </c>
    </row>
    <row r="545" spans="1:2">
      <c r="A545" s="125" t="s">
        <v>145</v>
      </c>
      <c r="B545" s="133">
        <v>1291</v>
      </c>
    </row>
    <row r="546" spans="1:2">
      <c r="A546" s="161"/>
      <c r="B546" s="349"/>
    </row>
    <row r="547" spans="1:2">
      <c r="A547" s="134" t="s">
        <v>153</v>
      </c>
      <c r="B547" s="304">
        <v>3462</v>
      </c>
    </row>
    <row r="548" spans="1:2">
      <c r="A548" s="124"/>
      <c r="B548" s="119"/>
    </row>
    <row r="549" spans="1:2">
      <c r="A549" s="124"/>
      <c r="B549" s="119"/>
    </row>
    <row r="550" spans="1:2" ht="15.75">
      <c r="A550" s="135" t="s">
        <v>131</v>
      </c>
      <c r="B550" s="285"/>
    </row>
    <row r="551" spans="1:2">
      <c r="A551" s="290"/>
      <c r="B551" s="282"/>
    </row>
    <row r="552" spans="1:2">
      <c r="A552" s="136" t="s">
        <v>140</v>
      </c>
      <c r="B552" s="143">
        <f>B556+B559+B561+B563+B565</f>
        <v>-84751</v>
      </c>
    </row>
    <row r="553" spans="1:2">
      <c r="A553" s="137" t="s">
        <v>141</v>
      </c>
      <c r="B553" s="175">
        <f>SUM(B554:B554)</f>
        <v>-84751</v>
      </c>
    </row>
    <row r="554" spans="1:2">
      <c r="A554" s="138" t="s">
        <v>345</v>
      </c>
      <c r="B554" s="144">
        <f>B552</f>
        <v>-84751</v>
      </c>
    </row>
    <row r="555" spans="1:2">
      <c r="A555" s="290"/>
      <c r="B555" s="282"/>
    </row>
    <row r="556" spans="1:2">
      <c r="A556" s="128" t="s">
        <v>324</v>
      </c>
      <c r="B556" s="131">
        <v>-4751</v>
      </c>
    </row>
    <row r="557" spans="1:2">
      <c r="A557" s="125" t="s">
        <v>145</v>
      </c>
      <c r="B557" s="133">
        <v>-3551</v>
      </c>
    </row>
    <row r="558" spans="1:2">
      <c r="A558" s="125"/>
      <c r="B558" s="133"/>
    </row>
    <row r="559" spans="1:2">
      <c r="A559" s="128" t="s">
        <v>611</v>
      </c>
      <c r="B559" s="131">
        <f>-125000+45000</f>
        <v>-80000</v>
      </c>
    </row>
    <row r="560" spans="1:2">
      <c r="A560" s="156"/>
      <c r="B560" s="143"/>
    </row>
    <row r="561" spans="1:2">
      <c r="A561" s="124" t="s">
        <v>565</v>
      </c>
      <c r="B561" s="119">
        <v>182984</v>
      </c>
    </row>
    <row r="562" spans="1:2">
      <c r="A562" s="156"/>
      <c r="B562" s="143"/>
    </row>
    <row r="563" spans="1:2">
      <c r="A563" s="124" t="s">
        <v>238</v>
      </c>
      <c r="B563" s="119">
        <v>-170284</v>
      </c>
    </row>
    <row r="564" spans="1:2">
      <c r="A564" s="124"/>
      <c r="B564" s="119"/>
    </row>
    <row r="565" spans="1:2">
      <c r="A565" s="124" t="s">
        <v>566</v>
      </c>
      <c r="B565" s="119">
        <v>-12700</v>
      </c>
    </row>
    <row r="566" spans="1:2">
      <c r="A566" s="124"/>
      <c r="B566" s="119"/>
    </row>
    <row r="567" spans="1:2">
      <c r="A567" s="124"/>
      <c r="B567" s="119"/>
    </row>
    <row r="568" spans="1:2" ht="15.75">
      <c r="A568" s="141" t="s">
        <v>381</v>
      </c>
      <c r="B568" s="296"/>
    </row>
    <row r="569" spans="1:2">
      <c r="A569" s="136"/>
      <c r="B569" s="143"/>
    </row>
    <row r="570" spans="1:2">
      <c r="A570" s="136" t="s">
        <v>140</v>
      </c>
      <c r="B570" s="143">
        <f>SUM(B575)</f>
        <v>-3795</v>
      </c>
    </row>
    <row r="571" spans="1:2">
      <c r="A571" s="138" t="s">
        <v>154</v>
      </c>
      <c r="B571" s="144">
        <v>-1440</v>
      </c>
    </row>
    <row r="572" spans="1:2">
      <c r="A572" s="137" t="s">
        <v>141</v>
      </c>
      <c r="B572" s="175">
        <f>SUM(B573)</f>
        <v>-3795</v>
      </c>
    </row>
    <row r="573" spans="1:2">
      <c r="A573" s="138" t="s">
        <v>345</v>
      </c>
      <c r="B573" s="144">
        <f>B570</f>
        <v>-3795</v>
      </c>
    </row>
    <row r="574" spans="1:2">
      <c r="A574" s="290"/>
      <c r="B574" s="282"/>
    </row>
    <row r="575" spans="1:2">
      <c r="A575" s="132" t="s">
        <v>567</v>
      </c>
      <c r="B575" s="255">
        <f>2127+6516-12438</f>
        <v>-3795</v>
      </c>
    </row>
    <row r="576" spans="1:2">
      <c r="A576" s="125" t="s">
        <v>145</v>
      </c>
      <c r="B576" s="133">
        <f>4870-9296</f>
        <v>-4426</v>
      </c>
    </row>
    <row r="577" spans="1:2">
      <c r="A577" s="355"/>
      <c r="B577" s="356"/>
    </row>
    <row r="578" spans="1:2">
      <c r="A578" s="124"/>
      <c r="B578" s="119"/>
    </row>
    <row r="579" spans="1:2" ht="15.75">
      <c r="A579" s="141" t="s">
        <v>180</v>
      </c>
      <c r="B579" s="296"/>
    </row>
    <row r="580" spans="1:2">
      <c r="A580" s="290"/>
      <c r="B580" s="282"/>
    </row>
    <row r="581" spans="1:2">
      <c r="A581" s="136" t="s">
        <v>140</v>
      </c>
      <c r="B581" s="143">
        <f>B586+B594+B599+B589</f>
        <v>8281</v>
      </c>
    </row>
    <row r="582" spans="1:2">
      <c r="A582" s="137" t="s">
        <v>141</v>
      </c>
      <c r="B582" s="175">
        <f t="shared" ref="B582" si="0">B583+B584</f>
        <v>8281</v>
      </c>
    </row>
    <row r="583" spans="1:2">
      <c r="A583" s="138" t="s">
        <v>142</v>
      </c>
      <c r="B583" s="144">
        <f>'2.2 OMATULUD'!B257</f>
        <v>4410</v>
      </c>
    </row>
    <row r="584" spans="1:2">
      <c r="A584" s="139" t="s">
        <v>143</v>
      </c>
      <c r="B584" s="144">
        <f>B581-B583</f>
        <v>3871</v>
      </c>
    </row>
    <row r="585" spans="1:2">
      <c r="A585" s="139"/>
      <c r="B585" s="144"/>
    </row>
    <row r="586" spans="1:2" ht="15">
      <c r="A586" s="164" t="s">
        <v>155</v>
      </c>
      <c r="B586" s="357">
        <f t="shared" ref="B586" si="1">B587</f>
        <v>4970</v>
      </c>
    </row>
    <row r="587" spans="1:2">
      <c r="A587" s="293" t="s">
        <v>568</v>
      </c>
      <c r="B587" s="280">
        <v>4970</v>
      </c>
    </row>
    <row r="588" spans="1:2">
      <c r="A588" s="111"/>
      <c r="B588" s="358"/>
    </row>
    <row r="589" spans="1:2" ht="15">
      <c r="A589" s="164" t="s">
        <v>160</v>
      </c>
      <c r="B589" s="357">
        <f t="shared" ref="B589" si="2">B590</f>
        <v>3900</v>
      </c>
    </row>
    <row r="590" spans="1:2">
      <c r="A590" s="293" t="s">
        <v>161</v>
      </c>
      <c r="B590" s="280">
        <f t="shared" ref="B590" si="3">B592</f>
        <v>3900</v>
      </c>
    </row>
    <row r="591" spans="1:2">
      <c r="A591" s="359" t="s">
        <v>150</v>
      </c>
      <c r="B591" s="309"/>
    </row>
    <row r="592" spans="1:2">
      <c r="A592" s="140" t="s">
        <v>569</v>
      </c>
      <c r="B592" s="317">
        <v>3900</v>
      </c>
    </row>
    <row r="593" spans="1:2">
      <c r="A593" s="159"/>
      <c r="B593" s="300"/>
    </row>
    <row r="594" spans="1:2" ht="15">
      <c r="A594" s="164" t="s">
        <v>163</v>
      </c>
      <c r="B594" s="357">
        <f t="shared" ref="B594" si="4">B595</f>
        <v>-1000</v>
      </c>
    </row>
    <row r="595" spans="1:2">
      <c r="A595" s="166" t="s">
        <v>181</v>
      </c>
      <c r="B595" s="338">
        <f>B597</f>
        <v>-1000</v>
      </c>
    </row>
    <row r="596" spans="1:2">
      <c r="A596" s="167" t="s">
        <v>150</v>
      </c>
      <c r="B596" s="143"/>
    </row>
    <row r="597" spans="1:2">
      <c r="A597" s="168" t="s">
        <v>260</v>
      </c>
      <c r="B597" s="131">
        <v>-1000</v>
      </c>
    </row>
    <row r="598" spans="1:2">
      <c r="A598" s="291"/>
      <c r="B598" s="284"/>
    </row>
    <row r="599" spans="1:2">
      <c r="A599" s="170" t="s">
        <v>144</v>
      </c>
      <c r="B599" s="360">
        <f>B601+B604+B606+B608</f>
        <v>411</v>
      </c>
    </row>
    <row r="600" spans="1:2">
      <c r="A600" s="170"/>
      <c r="B600" s="360"/>
    </row>
    <row r="601" spans="1:2">
      <c r="A601" s="128" t="s">
        <v>182</v>
      </c>
      <c r="B601" s="131">
        <f>2890+2037-1766</f>
        <v>3161</v>
      </c>
    </row>
    <row r="602" spans="1:2">
      <c r="A602" s="125" t="s">
        <v>145</v>
      </c>
      <c r="B602" s="133">
        <v>-1321</v>
      </c>
    </row>
    <row r="603" spans="1:2">
      <c r="A603" s="128"/>
      <c r="B603" s="131"/>
    </row>
    <row r="604" spans="1:2">
      <c r="A604" s="171" t="s">
        <v>309</v>
      </c>
      <c r="B604" s="361">
        <f>1000+2500</f>
        <v>3500</v>
      </c>
    </row>
    <row r="605" spans="1:2">
      <c r="A605" s="132"/>
      <c r="B605" s="255"/>
    </row>
    <row r="606" spans="1:2">
      <c r="A606" s="124" t="s">
        <v>186</v>
      </c>
      <c r="B606" s="119">
        <v>-8000</v>
      </c>
    </row>
    <row r="607" spans="1:2">
      <c r="A607" s="291"/>
      <c r="B607" s="284"/>
    </row>
    <row r="608" spans="1:2">
      <c r="A608" s="124" t="s">
        <v>187</v>
      </c>
      <c r="B608" s="119">
        <f>650+1100</f>
        <v>1750</v>
      </c>
    </row>
    <row r="609" spans="1:2">
      <c r="A609" s="124"/>
      <c r="B609" s="119"/>
    </row>
    <row r="610" spans="1:2">
      <c r="A610" s="290"/>
      <c r="B610" s="282"/>
    </row>
    <row r="611" spans="1:2" ht="15.75">
      <c r="A611" s="141" t="s">
        <v>184</v>
      </c>
      <c r="B611" s="296"/>
    </row>
    <row r="612" spans="1:2">
      <c r="A612" s="290"/>
      <c r="B612" s="282"/>
    </row>
    <row r="613" spans="1:2">
      <c r="A613" s="136" t="s">
        <v>140</v>
      </c>
      <c r="B613" s="143">
        <f>B625+B633+B619</f>
        <v>-30208</v>
      </c>
    </row>
    <row r="614" spans="1:2">
      <c r="A614" s="114" t="s">
        <v>154</v>
      </c>
      <c r="B614" s="144">
        <v>366709</v>
      </c>
    </row>
    <row r="615" spans="1:2">
      <c r="A615" s="137" t="s">
        <v>141</v>
      </c>
      <c r="B615" s="175">
        <f>B616+B617</f>
        <v>-30208</v>
      </c>
    </row>
    <row r="616" spans="1:2">
      <c r="A616" s="138" t="s">
        <v>142</v>
      </c>
      <c r="B616" s="144">
        <f>'2.2 OMATULUD'!B280</f>
        <v>-44700</v>
      </c>
    </row>
    <row r="617" spans="1:2">
      <c r="A617" s="139" t="s">
        <v>143</v>
      </c>
      <c r="B617" s="144">
        <f>B613-B616</f>
        <v>14492</v>
      </c>
    </row>
    <row r="618" spans="1:2">
      <c r="A618" s="111"/>
      <c r="B618" s="358"/>
    </row>
    <row r="619" spans="1:2" ht="15">
      <c r="A619" s="164" t="s">
        <v>160</v>
      </c>
      <c r="B619" s="357">
        <f t="shared" ref="B619" si="5">B620</f>
        <v>-54600</v>
      </c>
    </row>
    <row r="620" spans="1:2">
      <c r="A620" s="166" t="s">
        <v>161</v>
      </c>
      <c r="B620" s="338">
        <f t="shared" ref="B620" si="6">B622</f>
        <v>-54600</v>
      </c>
    </row>
    <row r="621" spans="1:2">
      <c r="A621" s="167" t="s">
        <v>150</v>
      </c>
      <c r="B621" s="143"/>
    </row>
    <row r="622" spans="1:2">
      <c r="A622" s="168" t="s">
        <v>278</v>
      </c>
      <c r="B622" s="131">
        <v>-54600</v>
      </c>
    </row>
    <row r="623" spans="1:2">
      <c r="A623" s="130" t="s">
        <v>145</v>
      </c>
      <c r="B623" s="133">
        <v>-30965</v>
      </c>
    </row>
    <row r="624" spans="1:2">
      <c r="A624" s="362"/>
      <c r="B624" s="363"/>
    </row>
    <row r="625" spans="1:2" ht="15">
      <c r="A625" s="164" t="s">
        <v>163</v>
      </c>
      <c r="B625" s="357">
        <f t="shared" ref="B625" si="7">B626</f>
        <v>-11000</v>
      </c>
    </row>
    <row r="626" spans="1:2">
      <c r="A626" s="166" t="s">
        <v>181</v>
      </c>
      <c r="B626" s="338">
        <f>B630</f>
        <v>-11000</v>
      </c>
    </row>
    <row r="627" spans="1:2">
      <c r="A627" s="167" t="s">
        <v>150</v>
      </c>
      <c r="B627" s="143"/>
    </row>
    <row r="628" spans="1:2">
      <c r="A628" s="130"/>
      <c r="B628" s="133"/>
    </row>
    <row r="629" spans="1:2">
      <c r="A629" s="167" t="s">
        <v>150</v>
      </c>
      <c r="B629" s="143"/>
    </row>
    <row r="630" spans="1:2">
      <c r="A630" s="168" t="s">
        <v>314</v>
      </c>
      <c r="B630" s="131">
        <v>-11000</v>
      </c>
    </row>
    <row r="631" spans="1:2">
      <c r="A631" s="130" t="s">
        <v>145</v>
      </c>
      <c r="B631" s="133">
        <v>-8200</v>
      </c>
    </row>
    <row r="632" spans="1:2">
      <c r="A632" s="169"/>
      <c r="B632" s="317"/>
    </row>
    <row r="633" spans="1:2">
      <c r="A633" s="170" t="s">
        <v>144</v>
      </c>
      <c r="B633" s="360">
        <f>B635+B638+B642+B649+B640+B644+B646</f>
        <v>35392</v>
      </c>
    </row>
    <row r="634" spans="1:2">
      <c r="A634" s="170"/>
      <c r="B634" s="360"/>
    </row>
    <row r="635" spans="1:2">
      <c r="A635" s="128" t="s">
        <v>182</v>
      </c>
      <c r="B635" s="131">
        <f>-1492-4416</f>
        <v>-5908</v>
      </c>
    </row>
    <row r="636" spans="1:2">
      <c r="A636" s="125" t="s">
        <v>145</v>
      </c>
      <c r="B636" s="133">
        <v>-4416</v>
      </c>
    </row>
    <row r="637" spans="1:2">
      <c r="A637" s="158"/>
      <c r="B637" s="144"/>
    </row>
    <row r="638" spans="1:2">
      <c r="A638" s="171" t="s">
        <v>309</v>
      </c>
      <c r="B638" s="255">
        <v>15000</v>
      </c>
    </row>
    <row r="639" spans="1:2">
      <c r="A639" s="132"/>
      <c r="B639" s="255"/>
    </row>
    <row r="640" spans="1:2">
      <c r="A640" s="171" t="s">
        <v>240</v>
      </c>
      <c r="B640" s="361">
        <v>1000</v>
      </c>
    </row>
    <row r="641" spans="1:2">
      <c r="A641" s="132"/>
      <c r="B641" s="255"/>
    </row>
    <row r="642" spans="1:2">
      <c r="A642" s="124" t="s">
        <v>186</v>
      </c>
      <c r="B642" s="119">
        <v>-2700</v>
      </c>
    </row>
    <row r="643" spans="1:2">
      <c r="A643" s="132"/>
      <c r="B643" s="255"/>
    </row>
    <row r="644" spans="1:2">
      <c r="A644" s="132" t="s">
        <v>267</v>
      </c>
      <c r="B644" s="255">
        <v>8000</v>
      </c>
    </row>
    <row r="645" spans="1:2">
      <c r="A645" s="147"/>
      <c r="B645" s="328"/>
    </row>
    <row r="646" spans="1:2">
      <c r="A646" s="132" t="s">
        <v>242</v>
      </c>
      <c r="B646" s="255">
        <f>3000+22000</f>
        <v>25000</v>
      </c>
    </row>
    <row r="647" spans="1:2">
      <c r="A647" s="125" t="s">
        <v>145</v>
      </c>
      <c r="B647" s="133">
        <v>6900</v>
      </c>
    </row>
    <row r="648" spans="1:2">
      <c r="A648" s="158"/>
      <c r="B648" s="144"/>
    </row>
    <row r="649" spans="1:2">
      <c r="A649" s="124" t="s">
        <v>33</v>
      </c>
      <c r="B649" s="119">
        <v>-5000</v>
      </c>
    </row>
    <row r="650" spans="1:2">
      <c r="A650" s="290"/>
      <c r="B650" s="282"/>
    </row>
    <row r="651" spans="1:2">
      <c r="A651" s="290"/>
      <c r="B651" s="282"/>
    </row>
    <row r="652" spans="1:2" ht="15.75">
      <c r="A652" s="141" t="s">
        <v>188</v>
      </c>
      <c r="B652" s="296"/>
    </row>
    <row r="653" spans="1:2">
      <c r="A653" s="290"/>
      <c r="B653" s="282"/>
    </row>
    <row r="654" spans="1:2">
      <c r="A654" s="136" t="s">
        <v>140</v>
      </c>
      <c r="B654" s="143">
        <f>B666+B674+B660</f>
        <v>78470</v>
      </c>
    </row>
    <row r="655" spans="1:2">
      <c r="A655" s="114" t="s">
        <v>154</v>
      </c>
      <c r="B655" s="144">
        <v>5300</v>
      </c>
    </row>
    <row r="656" spans="1:2">
      <c r="A656" s="137" t="s">
        <v>141</v>
      </c>
      <c r="B656" s="175">
        <f t="shared" ref="B656" si="8">B657+B658</f>
        <v>78470</v>
      </c>
    </row>
    <row r="657" spans="1:2">
      <c r="A657" s="138" t="s">
        <v>142</v>
      </c>
      <c r="B657" s="144">
        <f>'2.2 OMATULUD'!B314</f>
        <v>24565</v>
      </c>
    </row>
    <row r="658" spans="1:2">
      <c r="A658" s="139" t="s">
        <v>143</v>
      </c>
      <c r="B658" s="144">
        <f t="shared" ref="B658" si="9">B654-B657</f>
        <v>53905</v>
      </c>
    </row>
    <row r="659" spans="1:2">
      <c r="A659" s="139"/>
      <c r="B659" s="144"/>
    </row>
    <row r="660" spans="1:2" ht="15">
      <c r="A660" s="364" t="s">
        <v>160</v>
      </c>
      <c r="B660" s="365">
        <f>B661</f>
        <v>57890</v>
      </c>
    </row>
    <row r="661" spans="1:2">
      <c r="A661" s="308" t="s">
        <v>161</v>
      </c>
      <c r="B661" s="309">
        <f>B663</f>
        <v>57890</v>
      </c>
    </row>
    <row r="662" spans="1:2">
      <c r="A662" s="359" t="s">
        <v>150</v>
      </c>
      <c r="B662" s="309"/>
    </row>
    <row r="663" spans="1:2">
      <c r="A663" s="140" t="s">
        <v>573</v>
      </c>
      <c r="B663" s="317">
        <v>57890</v>
      </c>
    </row>
    <row r="664" spans="1:2">
      <c r="A664" s="165" t="s">
        <v>145</v>
      </c>
      <c r="B664" s="304">
        <v>28510</v>
      </c>
    </row>
    <row r="665" spans="1:2">
      <c r="A665" s="139"/>
      <c r="B665" s="144"/>
    </row>
    <row r="666" spans="1:2" ht="15">
      <c r="A666" s="164" t="s">
        <v>163</v>
      </c>
      <c r="B666" s="357">
        <f t="shared" ref="B666" si="10">B667</f>
        <v>4400</v>
      </c>
    </row>
    <row r="667" spans="1:2">
      <c r="A667" s="166" t="s">
        <v>181</v>
      </c>
      <c r="B667" s="338">
        <f>B669+B672</f>
        <v>4400</v>
      </c>
    </row>
    <row r="668" spans="1:2">
      <c r="A668" s="167" t="s">
        <v>150</v>
      </c>
      <c r="B668" s="143"/>
    </row>
    <row r="669" spans="1:2">
      <c r="A669" s="168" t="s">
        <v>574</v>
      </c>
      <c r="B669" s="131">
        <v>3900</v>
      </c>
    </row>
    <row r="670" spans="1:2">
      <c r="A670" s="147"/>
      <c r="B670" s="328"/>
    </row>
    <row r="671" spans="1:2">
      <c r="A671" s="167" t="s">
        <v>150</v>
      </c>
      <c r="B671" s="143"/>
    </row>
    <row r="672" spans="1:2">
      <c r="A672" s="168" t="s">
        <v>575</v>
      </c>
      <c r="B672" s="131">
        <v>500</v>
      </c>
    </row>
    <row r="673" spans="1:2">
      <c r="A673" s="139"/>
      <c r="B673" s="144"/>
    </row>
    <row r="674" spans="1:2">
      <c r="A674" s="170" t="s">
        <v>144</v>
      </c>
      <c r="B674" s="360">
        <f>B676+B679+B681+B683+B687+B685</f>
        <v>16180</v>
      </c>
    </row>
    <row r="675" spans="1:2">
      <c r="A675" s="170"/>
      <c r="B675" s="360"/>
    </row>
    <row r="676" spans="1:2">
      <c r="A676" s="128" t="s">
        <v>182</v>
      </c>
      <c r="B676" s="131">
        <f>8500-695</f>
        <v>7805</v>
      </c>
    </row>
    <row r="677" spans="1:2">
      <c r="A677" s="125" t="s">
        <v>145</v>
      </c>
      <c r="B677" s="133">
        <v>-520</v>
      </c>
    </row>
    <row r="678" spans="1:2">
      <c r="A678" s="158"/>
      <c r="B678" s="144"/>
    </row>
    <row r="679" spans="1:2">
      <c r="A679" s="171" t="s">
        <v>309</v>
      </c>
      <c r="B679" s="361">
        <v>18935</v>
      </c>
    </row>
    <row r="680" spans="1:2">
      <c r="A680" s="287"/>
      <c r="B680" s="282"/>
    </row>
    <row r="681" spans="1:2">
      <c r="A681" s="132" t="s">
        <v>183</v>
      </c>
      <c r="B681" s="255">
        <v>6000</v>
      </c>
    </row>
    <row r="682" spans="1:2">
      <c r="A682" s="132"/>
      <c r="B682" s="255"/>
    </row>
    <row r="683" spans="1:2">
      <c r="A683" s="124" t="s">
        <v>186</v>
      </c>
      <c r="B683" s="119">
        <v>-2000</v>
      </c>
    </row>
    <row r="684" spans="1:2">
      <c r="A684" s="291"/>
      <c r="B684" s="284"/>
    </row>
    <row r="685" spans="1:2">
      <c r="A685" s="124" t="s">
        <v>187</v>
      </c>
      <c r="B685" s="119">
        <v>-860</v>
      </c>
    </row>
    <row r="686" spans="1:2">
      <c r="A686" s="134"/>
      <c r="B686" s="304"/>
    </row>
    <row r="687" spans="1:2">
      <c r="A687" s="124" t="s">
        <v>33</v>
      </c>
      <c r="B687" s="119">
        <v>-13700</v>
      </c>
    </row>
    <row r="688" spans="1:2">
      <c r="A688" s="291"/>
      <c r="B688" s="284"/>
    </row>
    <row r="689" spans="1:2">
      <c r="A689" s="290"/>
      <c r="B689" s="282"/>
    </row>
    <row r="690" spans="1:2" ht="15.75">
      <c r="A690" s="141" t="s">
        <v>189</v>
      </c>
      <c r="B690" s="296"/>
    </row>
    <row r="691" spans="1:2">
      <c r="A691" s="290"/>
      <c r="B691" s="282"/>
    </row>
    <row r="692" spans="1:2">
      <c r="A692" s="136" t="s">
        <v>140</v>
      </c>
      <c r="B692" s="143">
        <f>B698+B707+B719+B723+B701</f>
        <v>123486</v>
      </c>
    </row>
    <row r="693" spans="1:2">
      <c r="A693" s="114" t="s">
        <v>154</v>
      </c>
      <c r="B693" s="144">
        <v>13000</v>
      </c>
    </row>
    <row r="694" spans="1:2">
      <c r="A694" s="137" t="s">
        <v>141</v>
      </c>
      <c r="B694" s="175">
        <f t="shared" ref="B694" si="11">B695+B696</f>
        <v>123486</v>
      </c>
    </row>
    <row r="695" spans="1:2">
      <c r="A695" s="138" t="s">
        <v>142</v>
      </c>
      <c r="B695" s="144">
        <f>'2.2 OMATULUD'!B335</f>
        <v>50160</v>
      </c>
    </row>
    <row r="696" spans="1:2">
      <c r="A696" s="139" t="s">
        <v>143</v>
      </c>
      <c r="B696" s="144">
        <f t="shared" ref="B696" si="12">B692-B695</f>
        <v>73326</v>
      </c>
    </row>
    <row r="697" spans="1:2">
      <c r="A697" s="139"/>
      <c r="B697" s="144"/>
    </row>
    <row r="698" spans="1:2" ht="15">
      <c r="A698" s="164" t="s">
        <v>155</v>
      </c>
      <c r="B698" s="357">
        <f t="shared" ref="B698" si="13">B699</f>
        <v>19500</v>
      </c>
    </row>
    <row r="699" spans="1:2">
      <c r="A699" s="293" t="s">
        <v>261</v>
      </c>
      <c r="B699" s="280">
        <v>19500</v>
      </c>
    </row>
    <row r="700" spans="1:2">
      <c r="A700" s="159"/>
      <c r="B700" s="300"/>
    </row>
    <row r="701" spans="1:2" ht="15">
      <c r="A701" s="364" t="s">
        <v>160</v>
      </c>
      <c r="B701" s="365">
        <f t="shared" ref="B701" si="14">B702</f>
        <v>18100</v>
      </c>
    </row>
    <row r="702" spans="1:2">
      <c r="A702" s="308" t="s">
        <v>161</v>
      </c>
      <c r="B702" s="309">
        <f t="shared" ref="B702" si="15">B704</f>
        <v>18100</v>
      </c>
    </row>
    <row r="703" spans="1:2">
      <c r="A703" s="359" t="s">
        <v>150</v>
      </c>
      <c r="B703" s="309"/>
    </row>
    <row r="704" spans="1:2">
      <c r="A704" s="140" t="s">
        <v>262</v>
      </c>
      <c r="B704" s="317">
        <v>18100</v>
      </c>
    </row>
    <row r="705" spans="1:2">
      <c r="A705" s="165" t="s">
        <v>145</v>
      </c>
      <c r="B705" s="304">
        <v>6725</v>
      </c>
    </row>
    <row r="706" spans="1:2">
      <c r="A706" s="111"/>
      <c r="B706" s="358"/>
    </row>
    <row r="707" spans="1:2" ht="15">
      <c r="A707" s="164" t="s">
        <v>163</v>
      </c>
      <c r="B707" s="357">
        <f>B714+B709</f>
        <v>5356</v>
      </c>
    </row>
    <row r="708" spans="1:2" ht="15">
      <c r="A708" s="164"/>
      <c r="B708" s="357"/>
    </row>
    <row r="709" spans="1:2">
      <c r="A709" s="156" t="s">
        <v>166</v>
      </c>
      <c r="B709" s="143">
        <f>B711</f>
        <v>3656</v>
      </c>
    </row>
    <row r="710" spans="1:2">
      <c r="A710" s="167" t="s">
        <v>150</v>
      </c>
      <c r="B710" s="143"/>
    </row>
    <row r="711" spans="1:2">
      <c r="A711" s="168" t="s">
        <v>344</v>
      </c>
      <c r="B711" s="131">
        <f>-950+4606</f>
        <v>3656</v>
      </c>
    </row>
    <row r="712" spans="1:2">
      <c r="A712" s="130" t="s">
        <v>145</v>
      </c>
      <c r="B712" s="133">
        <v>2732</v>
      </c>
    </row>
    <row r="713" spans="1:2">
      <c r="A713" s="130"/>
      <c r="B713" s="133"/>
    </row>
    <row r="714" spans="1:2">
      <c r="A714" s="166" t="s">
        <v>181</v>
      </c>
      <c r="B714" s="338">
        <f>B716</f>
        <v>1700</v>
      </c>
    </row>
    <row r="715" spans="1:2">
      <c r="A715" s="167" t="s">
        <v>150</v>
      </c>
      <c r="B715" s="143"/>
    </row>
    <row r="716" spans="1:2">
      <c r="A716" s="168" t="s">
        <v>263</v>
      </c>
      <c r="B716" s="131">
        <v>1700</v>
      </c>
    </row>
    <row r="717" spans="1:2">
      <c r="A717" s="130" t="s">
        <v>145</v>
      </c>
      <c r="B717" s="133">
        <v>1270</v>
      </c>
    </row>
    <row r="718" spans="1:2">
      <c r="A718" s="147"/>
      <c r="B718" s="328"/>
    </row>
    <row r="719" spans="1:2" ht="15">
      <c r="A719" s="164" t="s">
        <v>178</v>
      </c>
      <c r="B719" s="357">
        <f t="shared" ref="B719" si="16">B720</f>
        <v>78248</v>
      </c>
    </row>
    <row r="720" spans="1:2">
      <c r="A720" s="293" t="s">
        <v>179</v>
      </c>
      <c r="B720" s="280">
        <f>14000+1748+7500+55000</f>
        <v>78248</v>
      </c>
    </row>
    <row r="721" spans="1:2">
      <c r="A721" s="130" t="s">
        <v>613</v>
      </c>
      <c r="B721" s="133">
        <v>55000</v>
      </c>
    </row>
    <row r="722" spans="1:2">
      <c r="A722" s="225"/>
      <c r="B722" s="311"/>
    </row>
    <row r="723" spans="1:2">
      <c r="A723" s="170" t="s">
        <v>144</v>
      </c>
      <c r="B723" s="360">
        <f>B725+B728+B730+B734+B732</f>
        <v>2282</v>
      </c>
    </row>
    <row r="724" spans="1:2">
      <c r="A724" s="170"/>
      <c r="B724" s="360"/>
    </row>
    <row r="725" spans="1:2">
      <c r="A725" s="128" t="s">
        <v>182</v>
      </c>
      <c r="B725" s="131">
        <f>8620-3198</f>
        <v>5422</v>
      </c>
    </row>
    <row r="726" spans="1:2">
      <c r="A726" s="125" t="s">
        <v>145</v>
      </c>
      <c r="B726" s="133">
        <f>6442-2391</f>
        <v>4051</v>
      </c>
    </row>
    <row r="727" spans="1:2">
      <c r="A727" s="287"/>
      <c r="B727" s="282"/>
    </row>
    <row r="728" spans="1:2">
      <c r="A728" s="171" t="s">
        <v>309</v>
      </c>
      <c r="B728" s="361">
        <f>17000-950</f>
        <v>16050</v>
      </c>
    </row>
    <row r="729" spans="1:2">
      <c r="A729" s="287"/>
      <c r="B729" s="282"/>
    </row>
    <row r="730" spans="1:2">
      <c r="A730" s="132" t="s">
        <v>183</v>
      </c>
      <c r="B730" s="255">
        <v>16620</v>
      </c>
    </row>
    <row r="731" spans="1:2">
      <c r="A731" s="158"/>
      <c r="B731" s="144"/>
    </row>
    <row r="732" spans="1:2">
      <c r="A732" s="128" t="s">
        <v>570</v>
      </c>
      <c r="B732" s="131">
        <v>-7810</v>
      </c>
    </row>
    <row r="733" spans="1:2">
      <c r="A733" s="158"/>
      <c r="B733" s="144"/>
    </row>
    <row r="734" spans="1:2">
      <c r="A734" s="124" t="s">
        <v>33</v>
      </c>
      <c r="B734" s="119">
        <v>-28000</v>
      </c>
    </row>
    <row r="735" spans="1:2">
      <c r="A735" s="290"/>
      <c r="B735" s="282"/>
    </row>
    <row r="736" spans="1:2">
      <c r="A736" s="290"/>
      <c r="B736" s="282"/>
    </row>
    <row r="737" spans="1:2" ht="15.75">
      <c r="A737" s="141" t="s">
        <v>34</v>
      </c>
      <c r="B737" s="296"/>
    </row>
    <row r="738" spans="1:2">
      <c r="A738" s="290"/>
      <c r="B738" s="282"/>
    </row>
    <row r="739" spans="1:2">
      <c r="A739" s="136" t="s">
        <v>140</v>
      </c>
      <c r="B739" s="143">
        <f>+B744</f>
        <v>2200</v>
      </c>
    </row>
    <row r="740" spans="1:2">
      <c r="A740" s="137" t="s">
        <v>141</v>
      </c>
      <c r="B740" s="175">
        <f t="shared" ref="B740" si="17">B741+B742</f>
        <v>2200</v>
      </c>
    </row>
    <row r="741" spans="1:2">
      <c r="A741" s="138" t="s">
        <v>142</v>
      </c>
      <c r="B741" s="144">
        <f>'2.2 OMATULUD'!B390</f>
        <v>-315</v>
      </c>
    </row>
    <row r="742" spans="1:2">
      <c r="A742" s="139" t="s">
        <v>143</v>
      </c>
      <c r="B742" s="144">
        <f>B739-B741</f>
        <v>2515</v>
      </c>
    </row>
    <row r="743" spans="1:2">
      <c r="A743" s="169"/>
      <c r="B743" s="317"/>
    </row>
    <row r="744" spans="1:2">
      <c r="A744" s="170" t="s">
        <v>144</v>
      </c>
      <c r="B744" s="360">
        <f>B746+B749+B751</f>
        <v>2200</v>
      </c>
    </row>
    <row r="745" spans="1:2">
      <c r="A745" s="170"/>
      <c r="B745" s="360"/>
    </row>
    <row r="746" spans="1:2">
      <c r="A746" s="128" t="s">
        <v>182</v>
      </c>
      <c r="B746" s="131">
        <f>6000-1085</f>
        <v>4915</v>
      </c>
    </row>
    <row r="747" spans="1:2">
      <c r="A747" s="125" t="s">
        <v>145</v>
      </c>
      <c r="B747" s="133">
        <v>-811</v>
      </c>
    </row>
    <row r="748" spans="1:2">
      <c r="A748" s="158"/>
      <c r="B748" s="144"/>
    </row>
    <row r="749" spans="1:2">
      <c r="A749" s="132" t="s">
        <v>183</v>
      </c>
      <c r="B749" s="255">
        <f>900+3600</f>
        <v>4500</v>
      </c>
    </row>
    <row r="750" spans="1:2">
      <c r="A750" s="124"/>
      <c r="B750" s="119"/>
    </row>
    <row r="751" spans="1:2">
      <c r="A751" s="124" t="s">
        <v>186</v>
      </c>
      <c r="B751" s="119">
        <v>-7215</v>
      </c>
    </row>
    <row r="752" spans="1:2">
      <c r="A752" s="290"/>
      <c r="B752" s="282"/>
    </row>
    <row r="753" spans="1:2">
      <c r="A753" s="290"/>
      <c r="B753" s="282"/>
    </row>
    <row r="754" spans="1:2" ht="15.75">
      <c r="A754" s="141" t="s">
        <v>35</v>
      </c>
      <c r="B754" s="296"/>
    </row>
    <row r="755" spans="1:2">
      <c r="A755" s="290"/>
      <c r="B755" s="282"/>
    </row>
    <row r="756" spans="1:2">
      <c r="A756" s="136" t="s">
        <v>140</v>
      </c>
      <c r="B756" s="143">
        <f>B761+B764+B777</f>
        <v>16510</v>
      </c>
    </row>
    <row r="757" spans="1:2">
      <c r="A757" s="137" t="s">
        <v>141</v>
      </c>
      <c r="B757" s="175">
        <f t="shared" ref="B757" si="18">B758+B759</f>
        <v>16510</v>
      </c>
    </row>
    <row r="758" spans="1:2">
      <c r="A758" s="138" t="s">
        <v>142</v>
      </c>
      <c r="B758" s="144">
        <f>'2.2 OMATULUD'!B400</f>
        <v>11367</v>
      </c>
    </row>
    <row r="759" spans="1:2">
      <c r="A759" s="139" t="s">
        <v>143</v>
      </c>
      <c r="B759" s="144">
        <f>B756-B758</f>
        <v>5143</v>
      </c>
    </row>
    <row r="760" spans="1:2">
      <c r="A760" s="139"/>
      <c r="B760" s="144"/>
    </row>
    <row r="761" spans="1:2" ht="15">
      <c r="A761" s="164" t="s">
        <v>155</v>
      </c>
      <c r="B761" s="357">
        <f t="shared" ref="B761" si="19">B762</f>
        <v>1700</v>
      </c>
    </row>
    <row r="762" spans="1:2">
      <c r="A762" s="293" t="s">
        <v>264</v>
      </c>
      <c r="B762" s="280">
        <v>1700</v>
      </c>
    </row>
    <row r="763" spans="1:2">
      <c r="A763" s="362"/>
      <c r="B763" s="363"/>
    </row>
    <row r="764" spans="1:2" ht="15">
      <c r="A764" s="164" t="s">
        <v>163</v>
      </c>
      <c r="B764" s="357">
        <f>+B767</f>
        <v>9900</v>
      </c>
    </row>
    <row r="765" spans="1:2">
      <c r="A765" s="125"/>
      <c r="B765" s="133"/>
    </row>
    <row r="766" spans="1:2">
      <c r="A766" s="153"/>
      <c r="B766" s="311"/>
    </row>
    <row r="767" spans="1:2">
      <c r="A767" s="166" t="s">
        <v>181</v>
      </c>
      <c r="B767" s="338">
        <f>B769+B772+B775</f>
        <v>9900</v>
      </c>
    </row>
    <row r="768" spans="1:2">
      <c r="A768" s="167" t="s">
        <v>150</v>
      </c>
      <c r="B768" s="143"/>
    </row>
    <row r="769" spans="1:2">
      <c r="A769" s="168" t="s">
        <v>284</v>
      </c>
      <c r="B769" s="131">
        <v>2400</v>
      </c>
    </row>
    <row r="770" spans="1:2">
      <c r="A770" s="153"/>
      <c r="B770" s="311"/>
    </row>
    <row r="771" spans="1:2">
      <c r="A771" s="167" t="s">
        <v>150</v>
      </c>
      <c r="B771" s="143"/>
    </row>
    <row r="772" spans="1:2">
      <c r="A772" s="168" t="s">
        <v>285</v>
      </c>
      <c r="B772" s="131">
        <v>2000</v>
      </c>
    </row>
    <row r="773" spans="1:2">
      <c r="A773" s="158"/>
      <c r="B773" s="144"/>
    </row>
    <row r="774" spans="1:2">
      <c r="A774" s="167" t="s">
        <v>150</v>
      </c>
      <c r="B774" s="143"/>
    </row>
    <row r="775" spans="1:2">
      <c r="A775" s="168" t="s">
        <v>286</v>
      </c>
      <c r="B775" s="131">
        <v>5500</v>
      </c>
    </row>
    <row r="776" spans="1:2">
      <c r="A776" s="139"/>
      <c r="B776" s="144"/>
    </row>
    <row r="777" spans="1:2">
      <c r="A777" s="170" t="s">
        <v>144</v>
      </c>
      <c r="B777" s="360">
        <f>B779++B782+B784</f>
        <v>4910</v>
      </c>
    </row>
    <row r="778" spans="1:2">
      <c r="A778" s="170"/>
      <c r="B778" s="360"/>
    </row>
    <row r="779" spans="1:2">
      <c r="A779" s="128" t="s">
        <v>182</v>
      </c>
      <c r="B779" s="131">
        <f>-275-815</f>
        <v>-1090</v>
      </c>
    </row>
    <row r="780" spans="1:2">
      <c r="A780" s="125" t="s">
        <v>145</v>
      </c>
      <c r="B780" s="133">
        <v>-815</v>
      </c>
    </row>
    <row r="781" spans="1:2">
      <c r="A781" s="172"/>
      <c r="B781" s="178"/>
    </row>
    <row r="782" spans="1:2">
      <c r="A782" s="171" t="s">
        <v>309</v>
      </c>
      <c r="B782" s="361">
        <v>4000</v>
      </c>
    </row>
    <row r="783" spans="1:2">
      <c r="A783" s="124"/>
      <c r="B783" s="119"/>
    </row>
    <row r="784" spans="1:2">
      <c r="A784" s="132" t="s">
        <v>241</v>
      </c>
      <c r="B784" s="255">
        <v>2000</v>
      </c>
    </row>
    <row r="785" spans="1:2">
      <c r="A785" s="124"/>
      <c r="B785" s="119"/>
    </row>
    <row r="786" spans="1:2">
      <c r="A786" s="124"/>
      <c r="B786" s="119"/>
    </row>
    <row r="787" spans="1:2" ht="15.75">
      <c r="A787" s="141" t="s">
        <v>36</v>
      </c>
      <c r="B787" s="296"/>
    </row>
    <row r="788" spans="1:2">
      <c r="A788" s="290"/>
      <c r="B788" s="282"/>
    </row>
    <row r="789" spans="1:2">
      <c r="A789" s="136" t="s">
        <v>140</v>
      </c>
      <c r="B789" s="143">
        <f>B794+B802+B807+B797</f>
        <v>4085</v>
      </c>
    </row>
    <row r="790" spans="1:2">
      <c r="A790" s="137" t="s">
        <v>141</v>
      </c>
      <c r="B790" s="175">
        <f t="shared" ref="B790" si="20">B791+B792</f>
        <v>4085</v>
      </c>
    </row>
    <row r="791" spans="1:2">
      <c r="A791" s="138" t="s">
        <v>142</v>
      </c>
      <c r="B791" s="144">
        <f>'2.2 OMATULUD'!B435</f>
        <v>3640</v>
      </c>
    </row>
    <row r="792" spans="1:2">
      <c r="A792" s="139" t="s">
        <v>143</v>
      </c>
      <c r="B792" s="144">
        <f>B789-B791</f>
        <v>445</v>
      </c>
    </row>
    <row r="793" spans="1:2">
      <c r="A793" s="139"/>
      <c r="B793" s="144"/>
    </row>
    <row r="794" spans="1:2" ht="15">
      <c r="A794" s="164" t="s">
        <v>155</v>
      </c>
      <c r="B794" s="357">
        <f t="shared" ref="B794" si="21">B795</f>
        <v>-3280</v>
      </c>
    </row>
    <row r="795" spans="1:2">
      <c r="A795" s="293" t="s">
        <v>571</v>
      </c>
      <c r="B795" s="280">
        <v>-3280</v>
      </c>
    </row>
    <row r="796" spans="1:2">
      <c r="A796" s="159"/>
      <c r="B796" s="300"/>
    </row>
    <row r="797" spans="1:2" ht="15">
      <c r="A797" s="364" t="s">
        <v>160</v>
      </c>
      <c r="B797" s="365">
        <f t="shared" ref="B797" si="22">B798</f>
        <v>100</v>
      </c>
    </row>
    <row r="798" spans="1:2">
      <c r="A798" s="308" t="s">
        <v>161</v>
      </c>
      <c r="B798" s="309">
        <f t="shared" ref="B798" si="23">B800</f>
        <v>100</v>
      </c>
    </row>
    <row r="799" spans="1:2">
      <c r="A799" s="359" t="s">
        <v>150</v>
      </c>
      <c r="B799" s="309"/>
    </row>
    <row r="800" spans="1:2">
      <c r="A800" s="140" t="s">
        <v>572</v>
      </c>
      <c r="B800" s="317">
        <v>100</v>
      </c>
    </row>
    <row r="801" spans="1:2">
      <c r="A801" s="139"/>
      <c r="B801" s="144"/>
    </row>
    <row r="802" spans="1:2" ht="15">
      <c r="A802" s="164" t="s">
        <v>163</v>
      </c>
      <c r="B802" s="357">
        <f t="shared" ref="B802" si="24">B803</f>
        <v>3300</v>
      </c>
    </row>
    <row r="803" spans="1:2">
      <c r="A803" s="166" t="s">
        <v>181</v>
      </c>
      <c r="B803" s="338">
        <f>B805</f>
        <v>3300</v>
      </c>
    </row>
    <row r="804" spans="1:2">
      <c r="A804" s="167" t="s">
        <v>150</v>
      </c>
      <c r="B804" s="143"/>
    </row>
    <row r="805" spans="1:2">
      <c r="A805" s="168" t="s">
        <v>265</v>
      </c>
      <c r="B805" s="131">
        <v>3300</v>
      </c>
    </row>
    <row r="806" spans="1:2">
      <c r="A806" s="291"/>
      <c r="B806" s="284"/>
    </row>
    <row r="807" spans="1:2">
      <c r="A807" s="170" t="s">
        <v>144</v>
      </c>
      <c r="B807" s="360">
        <f>B809+B812+B814+B816</f>
        <v>3965</v>
      </c>
    </row>
    <row r="808" spans="1:2">
      <c r="A808" s="170"/>
      <c r="B808" s="360"/>
    </row>
    <row r="809" spans="1:2">
      <c r="A809" s="128" t="s">
        <v>182</v>
      </c>
      <c r="B809" s="131">
        <f>2339-1894</f>
        <v>445</v>
      </c>
    </row>
    <row r="810" spans="1:2">
      <c r="A810" s="125" t="s">
        <v>145</v>
      </c>
      <c r="B810" s="133">
        <v>-1416</v>
      </c>
    </row>
    <row r="811" spans="1:2">
      <c r="A811" s="154"/>
      <c r="B811" s="311"/>
    </row>
    <row r="812" spans="1:2">
      <c r="A812" s="171" t="s">
        <v>309</v>
      </c>
      <c r="B812" s="361">
        <v>9090</v>
      </c>
    </row>
    <row r="813" spans="1:2">
      <c r="A813" s="287"/>
      <c r="B813" s="282"/>
    </row>
    <row r="814" spans="1:2">
      <c r="A814" s="132" t="s">
        <v>183</v>
      </c>
      <c r="B814" s="255">
        <v>5010</v>
      </c>
    </row>
    <row r="815" spans="1:2">
      <c r="A815" s="158"/>
      <c r="B815" s="144"/>
    </row>
    <row r="816" spans="1:2">
      <c r="A816" s="124" t="s">
        <v>33</v>
      </c>
      <c r="B816" s="119">
        <v>-10580</v>
      </c>
    </row>
    <row r="817" spans="1:2">
      <c r="A817" s="290"/>
      <c r="B817" s="282"/>
    </row>
    <row r="818" spans="1:2">
      <c r="A818" s="290"/>
      <c r="B818" s="282"/>
    </row>
    <row r="819" spans="1:2" ht="15.75">
      <c r="A819" s="141" t="s">
        <v>37</v>
      </c>
      <c r="B819" s="296"/>
    </row>
    <row r="820" spans="1:2">
      <c r="A820" s="290"/>
      <c r="B820" s="282"/>
    </row>
    <row r="821" spans="1:2">
      <c r="A821" s="136" t="s">
        <v>140</v>
      </c>
      <c r="B821" s="143">
        <f>B832+B838+B841+B826</f>
        <v>-31257</v>
      </c>
    </row>
    <row r="822" spans="1:2">
      <c r="A822" s="137" t="s">
        <v>141</v>
      </c>
      <c r="B822" s="175">
        <f t="shared" ref="B822" si="25">B823+B824</f>
        <v>-31257</v>
      </c>
    </row>
    <row r="823" spans="1:2">
      <c r="A823" s="138" t="s">
        <v>142</v>
      </c>
      <c r="B823" s="144">
        <f>'2.2 OMATULUD'!B458</f>
        <v>-24845</v>
      </c>
    </row>
    <row r="824" spans="1:2">
      <c r="A824" s="139" t="s">
        <v>143</v>
      </c>
      <c r="B824" s="144">
        <f>B821-B823</f>
        <v>-6412</v>
      </c>
    </row>
    <row r="825" spans="1:2">
      <c r="A825" s="159"/>
      <c r="B825" s="300"/>
    </row>
    <row r="826" spans="1:2" ht="15">
      <c r="A826" s="164" t="s">
        <v>160</v>
      </c>
      <c r="B826" s="357">
        <f t="shared" ref="B826" si="26">B827</f>
        <v>2085</v>
      </c>
    </row>
    <row r="827" spans="1:2">
      <c r="A827" s="293" t="s">
        <v>161</v>
      </c>
      <c r="B827" s="280">
        <f t="shared" ref="B827" si="27">B830</f>
        <v>2085</v>
      </c>
    </row>
    <row r="828" spans="1:2">
      <c r="A828" s="209"/>
      <c r="B828" s="366"/>
    </row>
    <row r="829" spans="1:2">
      <c r="A829" s="167" t="s">
        <v>150</v>
      </c>
      <c r="B829" s="143"/>
    </row>
    <row r="830" spans="1:2">
      <c r="A830" s="168" t="s">
        <v>279</v>
      </c>
      <c r="B830" s="131">
        <v>2085</v>
      </c>
    </row>
    <row r="831" spans="1:2">
      <c r="A831" s="139"/>
      <c r="B831" s="144"/>
    </row>
    <row r="832" spans="1:2" ht="15">
      <c r="A832" s="164" t="s">
        <v>163</v>
      </c>
      <c r="B832" s="357">
        <f t="shared" ref="B832" si="28">B833</f>
        <v>4170</v>
      </c>
    </row>
    <row r="833" spans="1:2">
      <c r="A833" s="166" t="s">
        <v>181</v>
      </c>
      <c r="B833" s="338">
        <f>B836</f>
        <v>4170</v>
      </c>
    </row>
    <row r="834" spans="1:2">
      <c r="A834" s="168"/>
      <c r="B834" s="131"/>
    </row>
    <row r="835" spans="1:2">
      <c r="A835" s="167" t="s">
        <v>150</v>
      </c>
      <c r="B835" s="143"/>
    </row>
    <row r="836" spans="1:2">
      <c r="A836" s="213" t="s">
        <v>281</v>
      </c>
      <c r="B836" s="255">
        <v>4170</v>
      </c>
    </row>
    <row r="837" spans="1:2">
      <c r="A837" s="290"/>
      <c r="B837" s="282"/>
    </row>
    <row r="838" spans="1:2" ht="15">
      <c r="A838" s="164" t="s">
        <v>178</v>
      </c>
      <c r="B838" s="357">
        <f t="shared" ref="B838" si="29">B839</f>
        <v>10000</v>
      </c>
    </row>
    <row r="839" spans="1:2">
      <c r="A839" s="293" t="s">
        <v>179</v>
      </c>
      <c r="B839" s="280">
        <v>10000</v>
      </c>
    </row>
    <row r="840" spans="1:2">
      <c r="A840" s="291"/>
      <c r="B840" s="284"/>
    </row>
    <row r="841" spans="1:2">
      <c r="A841" s="170" t="s">
        <v>144</v>
      </c>
      <c r="B841" s="360">
        <f>B843+B846+B848+B850</f>
        <v>-47512</v>
      </c>
    </row>
    <row r="842" spans="1:2">
      <c r="A842" s="170"/>
      <c r="B842" s="360"/>
    </row>
    <row r="843" spans="1:2">
      <c r="A843" s="128" t="s">
        <v>182</v>
      </c>
      <c r="B843" s="131">
        <f>-1620-4792</f>
        <v>-6412</v>
      </c>
    </row>
    <row r="844" spans="1:2">
      <c r="A844" s="125" t="s">
        <v>145</v>
      </c>
      <c r="B844" s="133">
        <v>-4792</v>
      </c>
    </row>
    <row r="845" spans="1:2">
      <c r="A845" s="158"/>
      <c r="B845" s="144"/>
    </row>
    <row r="846" spans="1:2">
      <c r="A846" s="171" t="s">
        <v>309</v>
      </c>
      <c r="B846" s="361">
        <v>-12000</v>
      </c>
    </row>
    <row r="847" spans="1:2">
      <c r="A847" s="132"/>
      <c r="B847" s="255"/>
    </row>
    <row r="848" spans="1:2">
      <c r="A848" s="124" t="s">
        <v>186</v>
      </c>
      <c r="B848" s="119">
        <v>-31100</v>
      </c>
    </row>
    <row r="849" spans="1:4">
      <c r="A849" s="158"/>
      <c r="B849" s="144"/>
    </row>
    <row r="850" spans="1:4">
      <c r="A850" s="124" t="s">
        <v>33</v>
      </c>
      <c r="B850" s="119">
        <f>12000-10000</f>
        <v>2000</v>
      </c>
    </row>
    <row r="851" spans="1:4">
      <c r="A851" s="310"/>
      <c r="B851" s="321"/>
    </row>
    <row r="852" spans="1:4">
      <c r="A852" s="310"/>
      <c r="B852" s="321"/>
    </row>
    <row r="853" spans="1:4" ht="15.75">
      <c r="A853" s="141" t="s">
        <v>38</v>
      </c>
      <c r="B853" s="296"/>
    </row>
    <row r="854" spans="1:4">
      <c r="A854" s="124"/>
      <c r="B854" s="119"/>
    </row>
    <row r="855" spans="1:4">
      <c r="A855" s="123" t="s">
        <v>39</v>
      </c>
      <c r="B855" s="149">
        <v>-10000</v>
      </c>
    </row>
    <row r="856" spans="1:4">
      <c r="A856" s="187"/>
      <c r="B856" s="149"/>
    </row>
    <row r="857" spans="1:4">
      <c r="A857" s="123" t="s">
        <v>252</v>
      </c>
      <c r="B857" s="149">
        <f t="shared" ref="B857" si="30">B858+B859</f>
        <v>-5639023</v>
      </c>
    </row>
    <row r="858" spans="1:4">
      <c r="A858" s="187" t="s">
        <v>40</v>
      </c>
      <c r="B858" s="149">
        <f>-10648-9099-6516-8620-15682</f>
        <v>-50565</v>
      </c>
    </row>
    <row r="859" spans="1:4">
      <c r="A859" s="187" t="s">
        <v>62</v>
      </c>
      <c r="B859" s="149">
        <f>SUM(B860:B861)</f>
        <v>-5588458</v>
      </c>
    </row>
    <row r="860" spans="1:4" ht="25.5">
      <c r="A860" s="458" t="s">
        <v>612</v>
      </c>
      <c r="B860" s="119">
        <f>-1207532+100000</f>
        <v>-1107532</v>
      </c>
    </row>
    <row r="861" spans="1:4" ht="25.5">
      <c r="A861" s="367" t="s">
        <v>270</v>
      </c>
      <c r="B861" s="305">
        <f>-900-900-4501720+21297+21297-20000</f>
        <v>-4480926</v>
      </c>
    </row>
    <row r="862" spans="1:4" ht="22.5">
      <c r="A862" s="173" t="s">
        <v>251</v>
      </c>
      <c r="B862" s="303"/>
    </row>
    <row r="863" spans="1:4">
      <c r="A863" s="173"/>
      <c r="B863" s="282"/>
    </row>
    <row r="864" spans="1:4" ht="15.75">
      <c r="A864" s="368" t="s">
        <v>72</v>
      </c>
      <c r="B864" s="369">
        <f ca="1">SUMIF($A11:B863,A821,B11:B863)+B855+B857</f>
        <v>-3051673</v>
      </c>
      <c r="D864" s="101"/>
    </row>
    <row r="865" spans="1:4">
      <c r="A865" s="370"/>
      <c r="B865" s="371"/>
      <c r="D865" s="101"/>
    </row>
    <row r="866" spans="1:4">
      <c r="A866" s="73" t="s">
        <v>154</v>
      </c>
      <c r="B866" s="372">
        <f ca="1">SUMIF($A12:$B$856,A866,$B$12:$B$856)</f>
        <v>720911</v>
      </c>
      <c r="D866" s="101"/>
    </row>
    <row r="867" spans="1:4">
      <c r="A867" s="373"/>
      <c r="B867" s="374"/>
      <c r="D867" s="101"/>
    </row>
    <row r="868" spans="1:4" ht="15.75">
      <c r="A868" s="74" t="s">
        <v>141</v>
      </c>
      <c r="B868" s="369">
        <f ca="1">SUMIF($A$6:B863,A822,B6:B863)+B855+B857</f>
        <v>-3051673</v>
      </c>
      <c r="D868" s="101"/>
    </row>
    <row r="869" spans="1:4">
      <c r="A869" s="75" t="s">
        <v>142</v>
      </c>
      <c r="B869" s="375">
        <f ca="1">SUMIF($A10:$B$856,A87,$B$10:$B$856)</f>
        <v>1325417</v>
      </c>
      <c r="D869" s="101"/>
    </row>
    <row r="870" spans="1:4">
      <c r="A870" s="76" t="s">
        <v>127</v>
      </c>
      <c r="B870" s="375">
        <f ca="1">SUMIF($A12:$B$856,A870,B12:B863)</f>
        <v>84256</v>
      </c>
      <c r="D870" s="101"/>
    </row>
    <row r="871" spans="1:4">
      <c r="A871" s="76" t="s">
        <v>543</v>
      </c>
      <c r="B871" s="375">
        <f ca="1">SUMIF($A13:B863,A871,B13:B863)</f>
        <v>418</v>
      </c>
      <c r="D871" s="101"/>
    </row>
    <row r="872" spans="1:4">
      <c r="A872" s="76" t="s">
        <v>143</v>
      </c>
      <c r="B872" s="375">
        <f ca="1">SUMIF($A12:B863,A872,B12:B863)+SUMIF($A12:B863,A14,B12:B863)+B855+B857</f>
        <v>-4461764</v>
      </c>
      <c r="D872" s="101"/>
    </row>
    <row r="873" spans="1:4">
      <c r="A873" s="76"/>
      <c r="B873" s="6"/>
    </row>
    <row r="874" spans="1:4">
      <c r="A874" s="76"/>
      <c r="B874" s="115"/>
    </row>
    <row r="875" spans="1:4">
      <c r="A875" s="76"/>
      <c r="B875" s="6"/>
    </row>
    <row r="876" spans="1:4">
      <c r="A876" s="76"/>
      <c r="B876" s="6"/>
    </row>
    <row r="877" spans="1:4">
      <c r="A877" s="7" t="s">
        <v>291</v>
      </c>
      <c r="B877" s="83"/>
    </row>
    <row r="878" spans="1:4">
      <c r="A878" s="7" t="s">
        <v>114</v>
      </c>
      <c r="B878" s="84"/>
    </row>
  </sheetData>
  <mergeCells count="3">
    <mergeCell ref="A1:B1"/>
    <mergeCell ref="A2:B2"/>
    <mergeCell ref="A3:B3"/>
  </mergeCells>
  <phoneticPr fontId="23" type="noConversion"/>
  <pageMargins left="1.1811023622047245" right="0.47244094488188981" top="0.47244094488188981" bottom="0.98425196850393704" header="0.51181102362204722" footer="0.51181102362204722"/>
  <pageSetup paperSize="9" fitToHeight="70" orientation="portrait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01"/>
  <sheetViews>
    <sheetView zoomScaleNormal="100" workbookViewId="0">
      <pane ySplit="9" topLeftCell="A10" activePane="bottomLeft" state="frozen"/>
      <selection activeCell="M10" sqref="M10"/>
      <selection pane="bottomLeft" sqref="A1:D1"/>
    </sheetView>
  </sheetViews>
  <sheetFormatPr defaultColWidth="9.140625" defaultRowHeight="12.75"/>
  <cols>
    <col min="1" max="1" width="58.140625" style="227" customWidth="1"/>
    <col min="2" max="2" width="8" style="226" customWidth="1"/>
    <col min="3" max="3" width="12.140625" style="226" customWidth="1"/>
    <col min="4" max="4" width="11.28515625" style="226" customWidth="1"/>
    <col min="5" max="16384" width="9.140625" style="226"/>
  </cols>
  <sheetData>
    <row r="1" spans="1:5">
      <c r="A1" s="487" t="s">
        <v>383</v>
      </c>
      <c r="B1" s="487"/>
      <c r="C1" s="487"/>
      <c r="D1" s="487"/>
    </row>
    <row r="2" spans="1:5">
      <c r="A2" s="487" t="s">
        <v>319</v>
      </c>
      <c r="B2" s="487"/>
      <c r="C2" s="487"/>
      <c r="D2" s="487"/>
    </row>
    <row r="3" spans="1:5">
      <c r="A3" s="488" t="s">
        <v>382</v>
      </c>
      <c r="B3" s="488"/>
      <c r="C3" s="488"/>
      <c r="D3" s="488"/>
    </row>
    <row r="4" spans="1:5">
      <c r="A4" s="226"/>
      <c r="D4" s="102" t="s">
        <v>290</v>
      </c>
    </row>
    <row r="6" spans="1:5" ht="15">
      <c r="A6" s="103" t="s">
        <v>41</v>
      </c>
    </row>
    <row r="7" spans="1:5">
      <c r="A7" s="104"/>
      <c r="D7" s="404" t="s">
        <v>73</v>
      </c>
    </row>
    <row r="8" spans="1:5" ht="25.5">
      <c r="A8" s="405" t="s">
        <v>310</v>
      </c>
      <c r="B8" s="406" t="s">
        <v>312</v>
      </c>
      <c r="C8" s="232" t="s">
        <v>593</v>
      </c>
      <c r="D8" s="232" t="s">
        <v>631</v>
      </c>
    </row>
    <row r="9" spans="1:5" ht="14.25">
      <c r="A9" s="407"/>
      <c r="B9" s="408"/>
      <c r="C9" s="409"/>
      <c r="D9" s="409"/>
    </row>
    <row r="10" spans="1:5" ht="12.75" customHeight="1">
      <c r="A10" s="494" t="s">
        <v>293</v>
      </c>
      <c r="B10" s="494"/>
      <c r="C10" s="494"/>
      <c r="D10" s="410"/>
    </row>
    <row r="11" spans="1:5" ht="12.75" customHeight="1">
      <c r="A11" s="411" t="s">
        <v>294</v>
      </c>
      <c r="B11" s="412" t="s">
        <v>191</v>
      </c>
      <c r="C11" s="412">
        <f>C12+C13+C14+C15</f>
        <v>96224045</v>
      </c>
      <c r="D11" s="412">
        <f>D12+D13+D14+D15</f>
        <v>3235270</v>
      </c>
      <c r="E11" s="227"/>
    </row>
    <row r="12" spans="1:5" ht="12.75" customHeight="1">
      <c r="A12" s="413" t="s">
        <v>185</v>
      </c>
      <c r="B12" s="414" t="s">
        <v>42</v>
      </c>
      <c r="C12" s="415">
        <f>C18+C79</f>
        <v>44337506</v>
      </c>
      <c r="D12" s="416">
        <f>D18+D79</f>
        <v>3235270</v>
      </c>
    </row>
    <row r="13" spans="1:5" ht="12.75" customHeight="1">
      <c r="A13" s="482"/>
      <c r="B13" s="414" t="s">
        <v>43</v>
      </c>
      <c r="C13" s="415">
        <f t="shared" ref="C13:D15" si="0">C19</f>
        <v>3790320</v>
      </c>
      <c r="D13" s="416">
        <f t="shared" si="0"/>
        <v>0</v>
      </c>
    </row>
    <row r="14" spans="1:5" ht="12.75" customHeight="1">
      <c r="A14" s="482"/>
      <c r="B14" s="414" t="s">
        <v>621</v>
      </c>
      <c r="C14" s="415">
        <f t="shared" si="0"/>
        <v>1425048</v>
      </c>
      <c r="D14" s="416">
        <f t="shared" si="0"/>
        <v>0</v>
      </c>
    </row>
    <row r="15" spans="1:5" ht="12.75" customHeight="1">
      <c r="A15" s="417"/>
      <c r="B15" s="414" t="s">
        <v>622</v>
      </c>
      <c r="C15" s="415">
        <f t="shared" si="0"/>
        <v>46671171</v>
      </c>
      <c r="D15" s="416">
        <f t="shared" si="0"/>
        <v>0</v>
      </c>
    </row>
    <row r="16" spans="1:5" ht="14.25">
      <c r="A16" s="407"/>
      <c r="B16" s="408"/>
      <c r="C16" s="408"/>
      <c r="D16" s="418"/>
    </row>
    <row r="17" spans="1:4">
      <c r="A17" s="419" t="s">
        <v>308</v>
      </c>
      <c r="B17" s="420" t="s">
        <v>191</v>
      </c>
      <c r="C17" s="420">
        <f>C18+C19+C20+C21</f>
        <v>96224045</v>
      </c>
      <c r="D17" s="420">
        <f>D18+D19</f>
        <v>-1371150</v>
      </c>
    </row>
    <row r="18" spans="1:4" ht="12.75" customHeight="1">
      <c r="A18" s="413" t="s">
        <v>185</v>
      </c>
      <c r="B18" s="414" t="s">
        <v>42</v>
      </c>
      <c r="C18" s="415">
        <f>C41+C24</f>
        <v>44337506</v>
      </c>
      <c r="D18" s="416">
        <f>D41+D24</f>
        <v>-1371150</v>
      </c>
    </row>
    <row r="19" spans="1:4" ht="12.75" customHeight="1">
      <c r="A19" s="465"/>
      <c r="B19" s="414" t="s">
        <v>43</v>
      </c>
      <c r="C19" s="415">
        <f>C42</f>
        <v>3790320</v>
      </c>
      <c r="D19" s="416">
        <f>D42</f>
        <v>0</v>
      </c>
    </row>
    <row r="20" spans="1:4" ht="12.75" customHeight="1">
      <c r="A20" s="482"/>
      <c r="B20" s="414" t="s">
        <v>621</v>
      </c>
      <c r="C20" s="415">
        <f>C25</f>
        <v>1425048</v>
      </c>
      <c r="D20" s="416">
        <f>D25</f>
        <v>0</v>
      </c>
    </row>
    <row r="21" spans="1:4" ht="12.75" customHeight="1">
      <c r="A21" s="417"/>
      <c r="B21" s="414" t="s">
        <v>622</v>
      </c>
      <c r="C21" s="415">
        <f>C26</f>
        <v>46671171</v>
      </c>
      <c r="D21" s="416">
        <f>D30</f>
        <v>0</v>
      </c>
    </row>
    <row r="22" spans="1:4" ht="12.75" customHeight="1">
      <c r="A22" s="495" t="s">
        <v>619</v>
      </c>
      <c r="B22" s="496"/>
      <c r="C22" s="496"/>
      <c r="D22" s="497"/>
    </row>
    <row r="23" spans="1:4" ht="12.75" customHeight="1">
      <c r="A23" s="461" t="s">
        <v>620</v>
      </c>
      <c r="B23" s="462" t="s">
        <v>191</v>
      </c>
      <c r="C23" s="463">
        <f>C24+C25+C26</f>
        <v>64406932</v>
      </c>
      <c r="D23" s="463">
        <f>D24+D25+D26</f>
        <v>-10000</v>
      </c>
    </row>
    <row r="24" spans="1:4" ht="12.75" customHeight="1">
      <c r="A24" s="464" t="s">
        <v>185</v>
      </c>
      <c r="B24" s="460" t="s">
        <v>42</v>
      </c>
      <c r="C24" s="107">
        <f t="shared" ref="C24:D26" si="1">C28</f>
        <v>16310713</v>
      </c>
      <c r="D24" s="107">
        <f t="shared" si="1"/>
        <v>-10000</v>
      </c>
    </row>
    <row r="25" spans="1:4" ht="12.75" customHeight="1">
      <c r="A25" s="465"/>
      <c r="B25" s="460" t="s">
        <v>621</v>
      </c>
      <c r="C25" s="107">
        <f t="shared" si="1"/>
        <v>1425048</v>
      </c>
      <c r="D25" s="107">
        <f t="shared" si="1"/>
        <v>0</v>
      </c>
    </row>
    <row r="26" spans="1:4" ht="12.75" customHeight="1">
      <c r="A26" s="466"/>
      <c r="B26" s="460" t="s">
        <v>622</v>
      </c>
      <c r="C26" s="107">
        <f t="shared" si="1"/>
        <v>46671171</v>
      </c>
      <c r="D26" s="107">
        <f t="shared" si="1"/>
        <v>0</v>
      </c>
    </row>
    <row r="27" spans="1:4" ht="12.75" customHeight="1">
      <c r="A27" s="467" t="s">
        <v>296</v>
      </c>
      <c r="B27" s="468" t="s">
        <v>191</v>
      </c>
      <c r="C27" s="469">
        <f>C28+C29+C30</f>
        <v>64406932</v>
      </c>
      <c r="D27" s="469">
        <f t="shared" ref="D27" si="2">D28+D29+D30</f>
        <v>-10000</v>
      </c>
    </row>
    <row r="28" spans="1:4" ht="12.75" customHeight="1">
      <c r="A28" s="464" t="s">
        <v>185</v>
      </c>
      <c r="B28" s="470" t="s">
        <v>42</v>
      </c>
      <c r="C28" s="212">
        <f t="shared" ref="C28:D30" si="3">C32</f>
        <v>16310713</v>
      </c>
      <c r="D28" s="212">
        <f t="shared" si="3"/>
        <v>-10000</v>
      </c>
    </row>
    <row r="29" spans="1:4" ht="12.75" customHeight="1">
      <c r="A29" s="465"/>
      <c r="B29" s="471" t="s">
        <v>621</v>
      </c>
      <c r="C29" s="472">
        <f t="shared" si="3"/>
        <v>1425048</v>
      </c>
      <c r="D29" s="472">
        <f t="shared" si="3"/>
        <v>0</v>
      </c>
    </row>
    <row r="30" spans="1:4" ht="12.75" customHeight="1">
      <c r="A30" s="466"/>
      <c r="B30" s="473" t="s">
        <v>622</v>
      </c>
      <c r="C30" s="211">
        <f t="shared" si="3"/>
        <v>46671171</v>
      </c>
      <c r="D30" s="211">
        <f t="shared" si="3"/>
        <v>0</v>
      </c>
    </row>
    <row r="31" spans="1:4" ht="12.75" customHeight="1">
      <c r="A31" s="466" t="s">
        <v>623</v>
      </c>
      <c r="B31" s="479" t="s">
        <v>191</v>
      </c>
      <c r="C31" s="211">
        <f>C32+C33+C34</f>
        <v>64406932</v>
      </c>
      <c r="D31" s="211">
        <f t="shared" ref="D31" si="4">D32+D33+D34</f>
        <v>-10000</v>
      </c>
    </row>
    <row r="32" spans="1:4" ht="12.75" customHeight="1">
      <c r="A32" s="480" t="s">
        <v>185</v>
      </c>
      <c r="B32" s="481" t="s">
        <v>42</v>
      </c>
      <c r="C32" s="211">
        <f>16310713</f>
        <v>16310713</v>
      </c>
      <c r="D32" s="211">
        <v>-10000</v>
      </c>
    </row>
    <row r="33" spans="1:4" ht="12.75" customHeight="1">
      <c r="A33" s="482"/>
      <c r="B33" s="483" t="s">
        <v>621</v>
      </c>
      <c r="C33" s="211">
        <v>1425048</v>
      </c>
      <c r="D33" s="211">
        <v>0</v>
      </c>
    </row>
    <row r="34" spans="1:4" ht="12.75" customHeight="1">
      <c r="A34" s="484"/>
      <c r="B34" s="479" t="s">
        <v>622</v>
      </c>
      <c r="C34" s="211">
        <v>46671171</v>
      </c>
      <c r="D34" s="211">
        <v>0</v>
      </c>
    </row>
    <row r="35" spans="1:4" ht="12.75" customHeight="1">
      <c r="A35" s="474" t="s">
        <v>624</v>
      </c>
      <c r="B35" s="475"/>
      <c r="C35" s="476"/>
      <c r="D35" s="476"/>
    </row>
    <row r="36" spans="1:4" ht="12.75" customHeight="1">
      <c r="A36" s="474" t="s">
        <v>625</v>
      </c>
      <c r="B36" s="477"/>
      <c r="C36" s="478"/>
      <c r="D36" s="478"/>
    </row>
    <row r="37" spans="1:4" ht="12.75" customHeight="1">
      <c r="A37" s="474" t="s">
        <v>626</v>
      </c>
      <c r="B37" s="477"/>
      <c r="C37" s="478"/>
      <c r="D37" s="478"/>
    </row>
    <row r="38" spans="1:4" ht="12.75" customHeight="1">
      <c r="A38" s="474" t="s">
        <v>627</v>
      </c>
      <c r="B38" s="477"/>
      <c r="C38" s="478"/>
      <c r="D38" s="478"/>
    </row>
    <row r="39" spans="1:4">
      <c r="A39" s="491" t="s">
        <v>297</v>
      </c>
      <c r="B39" s="492"/>
      <c r="C39" s="492"/>
      <c r="D39" s="421"/>
    </row>
    <row r="40" spans="1:4">
      <c r="A40" s="422" t="s">
        <v>298</v>
      </c>
      <c r="B40" s="423" t="s">
        <v>191</v>
      </c>
      <c r="C40" s="424">
        <f>C41+C42</f>
        <v>31817113</v>
      </c>
      <c r="D40" s="424">
        <f t="shared" ref="D40" si="5">D41+D42</f>
        <v>-1361150</v>
      </c>
    </row>
    <row r="41" spans="1:4">
      <c r="A41" s="413" t="s">
        <v>185</v>
      </c>
      <c r="B41" s="425" t="s">
        <v>42</v>
      </c>
      <c r="C41" s="426">
        <f>C44+C54+C58+C61+C69+C75+C66</f>
        <v>28026793</v>
      </c>
      <c r="D41" s="426">
        <f>D44+D54+D58+D61+D69+D75+D66</f>
        <v>-1361150</v>
      </c>
    </row>
    <row r="42" spans="1:4">
      <c r="A42" s="427"/>
      <c r="B42" s="425" t="s">
        <v>43</v>
      </c>
      <c r="C42" s="426">
        <f>C45+C70</f>
        <v>3790320</v>
      </c>
      <c r="D42" s="426">
        <f>D45+D70</f>
        <v>0</v>
      </c>
    </row>
    <row r="43" spans="1:4" ht="12.75" customHeight="1">
      <c r="A43" s="428" t="s">
        <v>295</v>
      </c>
      <c r="B43" s="429" t="s">
        <v>191</v>
      </c>
      <c r="C43" s="430">
        <f>C44+C45</f>
        <v>7377632</v>
      </c>
      <c r="D43" s="430">
        <f>D44+D45</f>
        <v>101450</v>
      </c>
    </row>
    <row r="44" spans="1:4" ht="12.75" customHeight="1">
      <c r="A44" s="431" t="s">
        <v>185</v>
      </c>
      <c r="B44" s="432" t="s">
        <v>42</v>
      </c>
      <c r="C44" s="433">
        <f>C48+C50+C51+C46+C52+C53</f>
        <v>7025050</v>
      </c>
      <c r="D44" s="433">
        <f>D48+D50+D51+D46+D52+D53</f>
        <v>101450</v>
      </c>
    </row>
    <row r="45" spans="1:4" ht="12.75" customHeight="1">
      <c r="A45" s="434"/>
      <c r="B45" s="435" t="s">
        <v>43</v>
      </c>
      <c r="C45" s="433">
        <f>C49</f>
        <v>352582</v>
      </c>
      <c r="D45" s="433">
        <f t="shared" ref="D45" si="6">D49</f>
        <v>0</v>
      </c>
    </row>
    <row r="46" spans="1:4">
      <c r="A46" s="427" t="s">
        <v>594</v>
      </c>
      <c r="B46" s="435" t="s">
        <v>42</v>
      </c>
      <c r="C46" s="433">
        <v>72450</v>
      </c>
      <c r="D46" s="433">
        <v>72450</v>
      </c>
    </row>
    <row r="47" spans="1:4">
      <c r="A47" s="436" t="s">
        <v>299</v>
      </c>
      <c r="B47" s="432" t="s">
        <v>191</v>
      </c>
      <c r="C47" s="426">
        <f>C48+C49</f>
        <v>603582</v>
      </c>
      <c r="D47" s="426">
        <f>D48</f>
        <v>3000</v>
      </c>
    </row>
    <row r="48" spans="1:4">
      <c r="A48" s="413" t="s">
        <v>185</v>
      </c>
      <c r="B48" s="437" t="s">
        <v>42</v>
      </c>
      <c r="C48" s="212">
        <f>248000+3000</f>
        <v>251000</v>
      </c>
      <c r="D48" s="438">
        <v>3000</v>
      </c>
    </row>
    <row r="49" spans="1:5">
      <c r="A49" s="439"/>
      <c r="B49" s="435" t="s">
        <v>43</v>
      </c>
      <c r="C49" s="211">
        <f>340111+12471</f>
        <v>352582</v>
      </c>
      <c r="D49" s="433">
        <v>0</v>
      </c>
    </row>
    <row r="50" spans="1:5" ht="12.75" customHeight="1">
      <c r="A50" s="440" t="s">
        <v>325</v>
      </c>
      <c r="B50" s="432" t="s">
        <v>42</v>
      </c>
      <c r="C50" s="433">
        <v>6600</v>
      </c>
      <c r="D50" s="433">
        <v>-6600</v>
      </c>
    </row>
    <row r="51" spans="1:5">
      <c r="A51" s="440" t="s">
        <v>354</v>
      </c>
      <c r="B51" s="432" t="s">
        <v>42</v>
      </c>
      <c r="C51" s="433">
        <v>260000</v>
      </c>
      <c r="D51" s="433">
        <v>-130000</v>
      </c>
    </row>
    <row r="52" spans="1:5" ht="25.5">
      <c r="A52" s="440" t="s">
        <v>606</v>
      </c>
      <c r="B52" s="432" t="s">
        <v>42</v>
      </c>
      <c r="C52" s="433">
        <v>291000</v>
      </c>
      <c r="D52" s="433">
        <f>136600+6000</f>
        <v>142600</v>
      </c>
    </row>
    <row r="53" spans="1:5">
      <c r="A53" s="440" t="s">
        <v>630</v>
      </c>
      <c r="B53" s="432" t="s">
        <v>42</v>
      </c>
      <c r="C53" s="433">
        <v>6144000</v>
      </c>
      <c r="D53" s="433">
        <v>20000</v>
      </c>
    </row>
    <row r="54" spans="1:5" ht="12.75" customHeight="1">
      <c r="A54" s="428" t="s">
        <v>300</v>
      </c>
      <c r="B54" s="429" t="s">
        <v>191</v>
      </c>
      <c r="C54" s="430">
        <f>C55</f>
        <v>1360000</v>
      </c>
      <c r="D54" s="430">
        <f t="shared" ref="D54" si="7">D55</f>
        <v>120000</v>
      </c>
    </row>
    <row r="55" spans="1:5">
      <c r="A55" s="436" t="s">
        <v>595</v>
      </c>
      <c r="B55" s="432" t="s">
        <v>42</v>
      </c>
      <c r="C55" s="426">
        <v>1360000</v>
      </c>
      <c r="D55" s="426">
        <v>120000</v>
      </c>
    </row>
    <row r="56" spans="1:5">
      <c r="A56" s="436" t="s">
        <v>596</v>
      </c>
      <c r="B56" s="432" t="s">
        <v>42</v>
      </c>
      <c r="C56" s="426">
        <v>8300000</v>
      </c>
      <c r="D56" s="426">
        <v>0</v>
      </c>
    </row>
    <row r="57" spans="1:5">
      <c r="A57" s="441" t="s">
        <v>145</v>
      </c>
      <c r="B57" s="442"/>
      <c r="C57" s="443">
        <v>635</v>
      </c>
      <c r="D57" s="443">
        <v>635</v>
      </c>
    </row>
    <row r="58" spans="1:5">
      <c r="A58" s="428" t="s">
        <v>301</v>
      </c>
      <c r="B58" s="429" t="s">
        <v>191</v>
      </c>
      <c r="C58" s="430">
        <f>SUM(C59:C60)</f>
        <v>380000</v>
      </c>
      <c r="D58" s="430">
        <f t="shared" ref="D58" si="8">SUM(D59:D60)</f>
        <v>0</v>
      </c>
    </row>
    <row r="59" spans="1:5" ht="25.5">
      <c r="A59" s="436" t="s">
        <v>597</v>
      </c>
      <c r="B59" s="432" t="s">
        <v>42</v>
      </c>
      <c r="C59" s="426">
        <f>130000+23692</f>
        <v>153692</v>
      </c>
      <c r="D59" s="426">
        <v>23692</v>
      </c>
    </row>
    <row r="60" spans="1:5">
      <c r="A60" s="436" t="s">
        <v>598</v>
      </c>
      <c r="B60" s="432" t="s">
        <v>42</v>
      </c>
      <c r="C60" s="426">
        <f>250000-23692</f>
        <v>226308</v>
      </c>
      <c r="D60" s="426">
        <v>-23692</v>
      </c>
    </row>
    <row r="61" spans="1:5">
      <c r="A61" s="428" t="s">
        <v>302</v>
      </c>
      <c r="B61" s="429" t="s">
        <v>191</v>
      </c>
      <c r="C61" s="430">
        <f>SUM(C62:C65)</f>
        <v>2338100</v>
      </c>
      <c r="D61" s="430">
        <f t="shared" ref="D61" si="9">SUM(D62:D65)</f>
        <v>-619500</v>
      </c>
    </row>
    <row r="62" spans="1:5">
      <c r="A62" s="436" t="s">
        <v>599</v>
      </c>
      <c r="B62" s="432" t="s">
        <v>42</v>
      </c>
      <c r="C62" s="426">
        <f>2210000-596900</f>
        <v>1613100</v>
      </c>
      <c r="D62" s="426">
        <v>-596900</v>
      </c>
    </row>
    <row r="63" spans="1:5">
      <c r="A63" s="459" t="s">
        <v>618</v>
      </c>
      <c r="B63" s="460" t="s">
        <v>42</v>
      </c>
      <c r="C63" s="107">
        <f>640000+5100</f>
        <v>645100</v>
      </c>
      <c r="D63" s="107">
        <v>5100</v>
      </c>
      <c r="E63" s="227"/>
    </row>
    <row r="64" spans="1:5">
      <c r="A64" s="459" t="s">
        <v>617</v>
      </c>
      <c r="B64" s="460" t="s">
        <v>42</v>
      </c>
      <c r="C64" s="107">
        <f>85000-5100</f>
        <v>79900</v>
      </c>
      <c r="D64" s="107">
        <v>-5100</v>
      </c>
      <c r="E64" s="227"/>
    </row>
    <row r="65" spans="1:4">
      <c r="A65" s="436" t="s">
        <v>600</v>
      </c>
      <c r="B65" s="432" t="s">
        <v>42</v>
      </c>
      <c r="C65" s="426">
        <v>0</v>
      </c>
      <c r="D65" s="426">
        <v>-22600</v>
      </c>
    </row>
    <row r="66" spans="1:4">
      <c r="A66" s="428" t="s">
        <v>358</v>
      </c>
      <c r="B66" s="429" t="s">
        <v>191</v>
      </c>
      <c r="C66" s="430">
        <f>C67</f>
        <v>14312</v>
      </c>
      <c r="D66" s="430">
        <f t="shared" ref="D66" si="10">D67</f>
        <v>4700</v>
      </c>
    </row>
    <row r="67" spans="1:4" ht="12.75" customHeight="1">
      <c r="A67" s="436" t="s">
        <v>326</v>
      </c>
      <c r="B67" s="432" t="s">
        <v>42</v>
      </c>
      <c r="C67" s="426">
        <f>9612+4700</f>
        <v>14312</v>
      </c>
      <c r="D67" s="426">
        <v>4700</v>
      </c>
    </row>
    <row r="68" spans="1:4">
      <c r="A68" s="428" t="s">
        <v>296</v>
      </c>
      <c r="B68" s="429" t="s">
        <v>191</v>
      </c>
      <c r="C68" s="430">
        <f>C69+C70</f>
        <v>20347069</v>
      </c>
      <c r="D68" s="430">
        <f>D69+D70</f>
        <v>-942800</v>
      </c>
    </row>
    <row r="69" spans="1:4">
      <c r="A69" s="431" t="s">
        <v>185</v>
      </c>
      <c r="B69" s="432" t="s">
        <v>42</v>
      </c>
      <c r="C69" s="426">
        <f>C72+C74</f>
        <v>16909331</v>
      </c>
      <c r="D69" s="426">
        <f>D72+D74</f>
        <v>-942800</v>
      </c>
    </row>
    <row r="70" spans="1:4">
      <c r="A70" s="444"/>
      <c r="B70" s="435" t="s">
        <v>43</v>
      </c>
      <c r="C70" s="426">
        <f>C73</f>
        <v>3437738</v>
      </c>
      <c r="D70" s="426">
        <f>D73</f>
        <v>0</v>
      </c>
    </row>
    <row r="71" spans="1:4">
      <c r="A71" s="445" t="s">
        <v>303</v>
      </c>
      <c r="B71" s="432" t="s">
        <v>191</v>
      </c>
      <c r="C71" s="107">
        <f>C72+C73</f>
        <v>19953869</v>
      </c>
      <c r="D71" s="107">
        <f>D72+D73</f>
        <v>-1011000</v>
      </c>
    </row>
    <row r="72" spans="1:4" ht="12.75" customHeight="1">
      <c r="A72" s="431" t="s">
        <v>185</v>
      </c>
      <c r="B72" s="432" t="s">
        <v>42</v>
      </c>
      <c r="C72" s="107">
        <f>16931000-219869-210000+15000</f>
        <v>16516131</v>
      </c>
      <c r="D72" s="107">
        <f>15000-1026000</f>
        <v>-1011000</v>
      </c>
    </row>
    <row r="73" spans="1:4">
      <c r="A73" s="446"/>
      <c r="B73" s="432" t="s">
        <v>43</v>
      </c>
      <c r="C73" s="107">
        <f>2882869+554869</f>
        <v>3437738</v>
      </c>
      <c r="D73" s="107">
        <v>0</v>
      </c>
    </row>
    <row r="74" spans="1:4">
      <c r="A74" s="436" t="s">
        <v>348</v>
      </c>
      <c r="B74" s="432" t="s">
        <v>42</v>
      </c>
      <c r="C74" s="426">
        <f>200000+125000+68200</f>
        <v>393200</v>
      </c>
      <c r="D74" s="426">
        <v>68200</v>
      </c>
    </row>
    <row r="75" spans="1:4">
      <c r="A75" s="428" t="s">
        <v>304</v>
      </c>
      <c r="B75" s="429" t="s">
        <v>191</v>
      </c>
      <c r="C75" s="430">
        <f>C76</f>
        <v>0</v>
      </c>
      <c r="D75" s="430">
        <f>D76</f>
        <v>-25000</v>
      </c>
    </row>
    <row r="76" spans="1:4">
      <c r="A76" s="436" t="s">
        <v>601</v>
      </c>
      <c r="B76" s="432" t="s">
        <v>42</v>
      </c>
      <c r="C76" s="426">
        <v>0</v>
      </c>
      <c r="D76" s="426">
        <v>-25000</v>
      </c>
    </row>
    <row r="77" spans="1:4" ht="14.25">
      <c r="A77" s="407"/>
      <c r="B77" s="408"/>
      <c r="C77" s="408"/>
      <c r="D77" s="418"/>
    </row>
    <row r="78" spans="1:4">
      <c r="A78" s="491" t="s">
        <v>311</v>
      </c>
      <c r="B78" s="492"/>
      <c r="C78" s="492"/>
      <c r="D78" s="421"/>
    </row>
    <row r="79" spans="1:4">
      <c r="A79" s="447" t="s">
        <v>306</v>
      </c>
      <c r="B79" s="448" t="s">
        <v>191</v>
      </c>
      <c r="C79" s="449"/>
      <c r="D79" s="449">
        <f>D80+D83+D85</f>
        <v>4606420</v>
      </c>
    </row>
    <row r="80" spans="1:4">
      <c r="A80" s="428" t="s">
        <v>607</v>
      </c>
      <c r="B80" s="429" t="s">
        <v>42</v>
      </c>
      <c r="C80" s="430"/>
      <c r="D80" s="430">
        <f>D81+D82</f>
        <v>120000</v>
      </c>
    </row>
    <row r="81" spans="1:4">
      <c r="A81" s="457" t="s">
        <v>602</v>
      </c>
      <c r="B81" s="432" t="s">
        <v>42</v>
      </c>
      <c r="C81" s="426"/>
      <c r="D81" s="426">
        <v>100000</v>
      </c>
    </row>
    <row r="82" spans="1:4">
      <c r="A82" s="436" t="s">
        <v>603</v>
      </c>
      <c r="B82" s="432" t="s">
        <v>42</v>
      </c>
      <c r="C82" s="426"/>
      <c r="D82" s="426">
        <v>20000</v>
      </c>
    </row>
    <row r="83" spans="1:4">
      <c r="A83" s="428" t="s">
        <v>296</v>
      </c>
      <c r="B83" s="429" t="s">
        <v>191</v>
      </c>
      <c r="C83" s="430"/>
      <c r="D83" s="430">
        <f>D84</f>
        <v>4600000</v>
      </c>
    </row>
    <row r="84" spans="1:4" ht="25.5">
      <c r="A84" s="427" t="s">
        <v>604</v>
      </c>
      <c r="B84" s="435" t="s">
        <v>42</v>
      </c>
      <c r="C84" s="433"/>
      <c r="D84" s="426">
        <v>4600000</v>
      </c>
    </row>
    <row r="85" spans="1:4" ht="12.75" customHeight="1">
      <c r="A85" s="428" t="s">
        <v>305</v>
      </c>
      <c r="B85" s="429" t="s">
        <v>191</v>
      </c>
      <c r="C85" s="430"/>
      <c r="D85" s="430">
        <f>D86</f>
        <v>-113580</v>
      </c>
    </row>
    <row r="86" spans="1:4" ht="12.75" customHeight="1">
      <c r="A86" s="436" t="s">
        <v>313</v>
      </c>
      <c r="B86" s="432" t="s">
        <v>42</v>
      </c>
      <c r="C86" s="433"/>
      <c r="D86" s="426">
        <v>-113580</v>
      </c>
    </row>
    <row r="87" spans="1:4" ht="12.75" customHeight="1">
      <c r="A87" s="450"/>
      <c r="B87" s="451"/>
      <c r="C87" s="452"/>
      <c r="D87" s="452"/>
    </row>
    <row r="88" spans="1:4" ht="14.25">
      <c r="A88" s="453" t="s">
        <v>317</v>
      </c>
      <c r="B88" s="451"/>
      <c r="C88" s="454"/>
      <c r="D88" s="455"/>
    </row>
    <row r="89" spans="1:4" ht="14.25">
      <c r="A89" s="451" t="s">
        <v>234</v>
      </c>
      <c r="B89" s="451"/>
      <c r="C89" s="454"/>
      <c r="D89" s="455"/>
    </row>
    <row r="90" spans="1:4" ht="14.25">
      <c r="A90" s="453" t="s">
        <v>318</v>
      </c>
      <c r="B90" s="451"/>
      <c r="C90" s="454"/>
      <c r="D90" s="455"/>
    </row>
    <row r="91" spans="1:4" ht="14.25">
      <c r="A91" s="453" t="s">
        <v>231</v>
      </c>
      <c r="B91" s="451"/>
      <c r="C91" s="454"/>
      <c r="D91" s="455"/>
    </row>
    <row r="92" spans="1:4" ht="14.25">
      <c r="A92" s="453" t="s">
        <v>232</v>
      </c>
      <c r="B92" s="451"/>
      <c r="C92" s="454"/>
      <c r="D92" s="455"/>
    </row>
    <row r="93" spans="1:4" ht="14.25">
      <c r="A93" s="453"/>
      <c r="B93" s="451"/>
      <c r="C93" s="454"/>
      <c r="D93" s="455"/>
    </row>
    <row r="94" spans="1:4" ht="37.5" customHeight="1">
      <c r="A94" s="493" t="s">
        <v>608</v>
      </c>
      <c r="B94" s="493"/>
      <c r="C94" s="493"/>
      <c r="D94" s="493"/>
    </row>
    <row r="95" spans="1:4">
      <c r="A95" s="456"/>
      <c r="B95" s="456"/>
      <c r="C95" s="456"/>
      <c r="D95" s="456"/>
    </row>
    <row r="96" spans="1:4">
      <c r="A96" s="456"/>
      <c r="B96" s="456"/>
      <c r="C96" s="456"/>
      <c r="D96" s="456"/>
    </row>
    <row r="97" spans="1:4">
      <c r="A97" s="456"/>
      <c r="B97" s="456"/>
      <c r="C97" s="456"/>
      <c r="D97" s="456"/>
    </row>
    <row r="98" spans="1:4">
      <c r="A98" s="456"/>
      <c r="B98" s="456"/>
      <c r="C98" s="456"/>
      <c r="D98" s="456"/>
    </row>
    <row r="99" spans="1:4" ht="14.25">
      <c r="A99" s="456"/>
      <c r="B99" s="456"/>
      <c r="C99" s="456"/>
      <c r="D99" s="455"/>
    </row>
    <row r="100" spans="1:4" ht="14.25">
      <c r="A100" s="456" t="s">
        <v>291</v>
      </c>
      <c r="B100" s="456"/>
      <c r="C100" s="456"/>
      <c r="D100" s="455"/>
    </row>
    <row r="101" spans="1:4" ht="14.25">
      <c r="A101" s="456" t="s">
        <v>114</v>
      </c>
      <c r="B101" s="456"/>
      <c r="C101" s="456"/>
      <c r="D101" s="455"/>
    </row>
  </sheetData>
  <mergeCells count="8">
    <mergeCell ref="A78:C78"/>
    <mergeCell ref="A94:D94"/>
    <mergeCell ref="A1:D1"/>
    <mergeCell ref="A2:D2"/>
    <mergeCell ref="A3:D3"/>
    <mergeCell ref="A10:C10"/>
    <mergeCell ref="A39:C39"/>
    <mergeCell ref="A22:D22"/>
  </mergeCells>
  <pageMargins left="1.1811023622047245" right="0.47244094488188981" top="0.47244094488188981" bottom="0.98425196850393704" header="0.23622047244094491" footer="0.19685039370078741"/>
  <pageSetup paperSize="9" scale="95" orientation="portrait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50"/>
  <sheetViews>
    <sheetView zoomScaleNormal="100" workbookViewId="0">
      <selection sqref="A1:B1"/>
    </sheetView>
  </sheetViews>
  <sheetFormatPr defaultRowHeight="12.75"/>
  <cols>
    <col min="1" max="1" width="66.7109375" customWidth="1"/>
    <col min="2" max="2" width="12.42578125" customWidth="1"/>
    <col min="3" max="3" width="11" bestFit="1" customWidth="1"/>
    <col min="4" max="5" width="11.7109375" bestFit="1" customWidth="1"/>
  </cols>
  <sheetData>
    <row r="1" spans="1:5">
      <c r="A1" s="487" t="s">
        <v>383</v>
      </c>
      <c r="B1" s="487"/>
    </row>
    <row r="2" spans="1:5">
      <c r="A2" s="487" t="s">
        <v>319</v>
      </c>
      <c r="B2" s="487"/>
    </row>
    <row r="3" spans="1:5" ht="12" customHeight="1">
      <c r="A3" s="488" t="s">
        <v>382</v>
      </c>
      <c r="B3" s="488"/>
    </row>
    <row r="4" spans="1:5">
      <c r="A4" s="14"/>
      <c r="B4" s="262" t="s">
        <v>360</v>
      </c>
    </row>
    <row r="7" spans="1:5" ht="15">
      <c r="A7" s="97" t="s">
        <v>44</v>
      </c>
      <c r="B7" s="98"/>
    </row>
    <row r="8" spans="1:5" ht="12.75" customHeight="1">
      <c r="A8" s="79"/>
      <c r="B8" s="99" t="s">
        <v>73</v>
      </c>
    </row>
    <row r="9" spans="1:5" ht="15">
      <c r="A9" s="79"/>
      <c r="B9" s="272"/>
      <c r="C9" s="273"/>
    </row>
    <row r="10" spans="1:5">
      <c r="A10" s="80" t="s">
        <v>45</v>
      </c>
      <c r="B10" s="77">
        <v>555152363</v>
      </c>
      <c r="C10" s="275"/>
      <c r="D10" s="23"/>
      <c r="E10" s="23"/>
    </row>
    <row r="11" spans="1:5">
      <c r="A11" s="80" t="s">
        <v>46</v>
      </c>
      <c r="B11" s="77">
        <v>443404034</v>
      </c>
      <c r="C11" s="275"/>
      <c r="D11" s="23"/>
      <c r="E11" s="23"/>
    </row>
    <row r="12" spans="1:5">
      <c r="A12" s="93" t="s">
        <v>361</v>
      </c>
      <c r="B12" s="94">
        <v>377478000</v>
      </c>
      <c r="C12" s="275"/>
      <c r="D12" s="23"/>
      <c r="E12" s="23"/>
    </row>
    <row r="13" spans="1:5">
      <c r="A13" s="93" t="s">
        <v>362</v>
      </c>
      <c r="B13" s="94">
        <v>338300000</v>
      </c>
      <c r="C13" s="275"/>
      <c r="D13" s="23"/>
      <c r="E13" s="23"/>
    </row>
    <row r="14" spans="1:5">
      <c r="A14" s="93" t="s">
        <v>363</v>
      </c>
      <c r="B14" s="94">
        <v>27800000</v>
      </c>
      <c r="C14" s="275"/>
      <c r="D14" s="23"/>
      <c r="E14" s="23"/>
    </row>
    <row r="15" spans="1:5">
      <c r="A15" s="95" t="s">
        <v>364</v>
      </c>
      <c r="B15" s="94">
        <v>11378000</v>
      </c>
      <c r="C15" s="275"/>
      <c r="D15" s="23"/>
      <c r="E15" s="23"/>
    </row>
    <row r="16" spans="1:5">
      <c r="A16" s="95" t="s">
        <v>365</v>
      </c>
      <c r="B16" s="94">
        <v>63911437</v>
      </c>
      <c r="C16" s="275"/>
      <c r="D16" s="23"/>
      <c r="E16" s="23"/>
    </row>
    <row r="17" spans="1:5">
      <c r="A17" s="95" t="s">
        <v>366</v>
      </c>
      <c r="B17" s="94">
        <v>2014597</v>
      </c>
      <c r="C17" s="275"/>
      <c r="D17" s="23"/>
      <c r="E17" s="23"/>
    </row>
    <row r="18" spans="1:5">
      <c r="A18" s="64" t="s">
        <v>47</v>
      </c>
      <c r="B18" s="77">
        <v>111748329</v>
      </c>
      <c r="C18" s="275"/>
      <c r="D18" s="23"/>
      <c r="E18" s="23"/>
    </row>
    <row r="19" spans="1:5">
      <c r="A19" s="95" t="s">
        <v>367</v>
      </c>
      <c r="B19" s="94">
        <v>89892231</v>
      </c>
      <c r="C19" s="275"/>
      <c r="D19" s="23"/>
      <c r="E19" s="23"/>
    </row>
    <row r="20" spans="1:5">
      <c r="A20" s="95" t="s">
        <v>368</v>
      </c>
      <c r="B20" s="94">
        <v>21856098</v>
      </c>
      <c r="C20" s="275"/>
      <c r="D20" s="23"/>
      <c r="E20" s="23"/>
    </row>
    <row r="21" spans="1:5">
      <c r="A21" s="64" t="s">
        <v>48</v>
      </c>
      <c r="B21" s="77">
        <v>-515022586</v>
      </c>
      <c r="C21" s="275"/>
      <c r="D21" s="23"/>
      <c r="E21" s="23"/>
    </row>
    <row r="22" spans="1:5">
      <c r="A22" s="95" t="s">
        <v>369</v>
      </c>
      <c r="B22" s="94">
        <v>-509717586</v>
      </c>
      <c r="C22" s="275"/>
      <c r="D22" s="23"/>
      <c r="E22" s="23"/>
    </row>
    <row r="23" spans="1:5">
      <c r="A23" s="95" t="s">
        <v>370</v>
      </c>
      <c r="B23" s="94">
        <v>-5305000</v>
      </c>
      <c r="C23" s="275"/>
      <c r="D23" s="23"/>
      <c r="E23" s="23"/>
    </row>
    <row r="24" spans="1:5">
      <c r="A24" s="64" t="s">
        <v>49</v>
      </c>
      <c r="B24" s="77">
        <v>40129777</v>
      </c>
      <c r="C24" s="275"/>
      <c r="D24" s="23"/>
      <c r="E24" s="23"/>
    </row>
    <row r="25" spans="1:5">
      <c r="A25" s="95"/>
      <c r="B25" s="96"/>
      <c r="C25" s="275"/>
      <c r="D25" s="23"/>
      <c r="E25" s="23"/>
    </row>
    <row r="26" spans="1:5">
      <c r="A26" s="80" t="s">
        <v>50</v>
      </c>
      <c r="B26" s="77">
        <v>12327201</v>
      </c>
      <c r="C26" s="275"/>
      <c r="D26" s="23"/>
      <c r="E26" s="23"/>
    </row>
    <row r="27" spans="1:5">
      <c r="A27" s="266" t="s">
        <v>371</v>
      </c>
      <c r="B27" s="94">
        <v>3241384</v>
      </c>
      <c r="C27" s="275"/>
      <c r="D27" s="23"/>
      <c r="E27" s="23"/>
    </row>
    <row r="28" spans="1:5">
      <c r="A28" s="266" t="s">
        <v>372</v>
      </c>
      <c r="B28" s="94">
        <v>9045817</v>
      </c>
      <c r="C28" s="275"/>
      <c r="D28" s="23"/>
      <c r="E28" s="23"/>
    </row>
    <row r="29" spans="1:5">
      <c r="A29" s="266" t="s">
        <v>373</v>
      </c>
      <c r="B29" s="94">
        <v>40000</v>
      </c>
      <c r="C29" s="275"/>
      <c r="D29" s="23"/>
      <c r="E29" s="23"/>
    </row>
    <row r="30" spans="1:5">
      <c r="A30" s="64" t="s">
        <v>51</v>
      </c>
      <c r="B30" s="77">
        <v>-67399991</v>
      </c>
      <c r="C30" s="275"/>
      <c r="D30" s="23"/>
      <c r="E30" s="23"/>
    </row>
    <row r="31" spans="1:5">
      <c r="A31" s="266" t="s">
        <v>374</v>
      </c>
      <c r="B31" s="94">
        <v>-67139991</v>
      </c>
      <c r="C31" s="275"/>
      <c r="D31" s="23"/>
      <c r="E31" s="23"/>
    </row>
    <row r="32" spans="1:5">
      <c r="A32" s="266" t="s">
        <v>628</v>
      </c>
      <c r="B32" s="94">
        <v>-260000</v>
      </c>
      <c r="C32" s="275"/>
      <c r="D32" s="23"/>
      <c r="E32" s="23"/>
    </row>
    <row r="33" spans="1:5">
      <c r="A33" s="64" t="s">
        <v>52</v>
      </c>
      <c r="B33" s="77">
        <v>-55072790</v>
      </c>
      <c r="C33" s="275"/>
      <c r="D33" s="23"/>
      <c r="E33" s="23"/>
    </row>
    <row r="34" spans="1:5">
      <c r="A34" s="93"/>
      <c r="B34" s="96"/>
      <c r="C34" s="275"/>
      <c r="D34" s="23"/>
      <c r="E34" s="23"/>
    </row>
    <row r="35" spans="1:5">
      <c r="A35" s="80" t="s">
        <v>53</v>
      </c>
      <c r="B35" s="77">
        <v>20000000</v>
      </c>
      <c r="C35" s="275"/>
      <c r="D35" s="23"/>
      <c r="E35" s="23"/>
    </row>
    <row r="36" spans="1:5">
      <c r="A36" s="93" t="s">
        <v>375</v>
      </c>
      <c r="B36" s="94">
        <v>20000000</v>
      </c>
      <c r="C36" s="275"/>
      <c r="D36" s="23"/>
      <c r="E36" s="23"/>
    </row>
    <row r="37" spans="1:5">
      <c r="A37" s="64" t="s">
        <v>54</v>
      </c>
      <c r="B37" s="77">
        <v>-8611625</v>
      </c>
      <c r="C37" s="275"/>
      <c r="D37" s="23"/>
      <c r="E37" s="23"/>
    </row>
    <row r="38" spans="1:5">
      <c r="A38" s="261" t="s">
        <v>376</v>
      </c>
      <c r="B38" s="94">
        <v>-7569265</v>
      </c>
      <c r="C38" s="275"/>
      <c r="D38" s="23"/>
      <c r="E38" s="23"/>
    </row>
    <row r="39" spans="1:5">
      <c r="A39" s="95" t="s">
        <v>377</v>
      </c>
      <c r="B39" s="94">
        <v>-1042360</v>
      </c>
      <c r="C39" s="275"/>
      <c r="D39" s="23"/>
      <c r="E39" s="23"/>
    </row>
    <row r="40" spans="1:5">
      <c r="A40" s="64" t="s">
        <v>55</v>
      </c>
      <c r="B40" s="77">
        <v>11388375</v>
      </c>
      <c r="C40" s="275"/>
    </row>
    <row r="41" spans="1:5">
      <c r="A41" s="93"/>
      <c r="B41" s="96"/>
      <c r="C41" s="275"/>
    </row>
    <row r="42" spans="1:5">
      <c r="A42" s="80" t="s">
        <v>56</v>
      </c>
      <c r="B42" s="77">
        <v>587479564</v>
      </c>
      <c r="C42" s="275"/>
    </row>
    <row r="43" spans="1:5">
      <c r="A43" s="80" t="s">
        <v>57</v>
      </c>
      <c r="B43" s="77">
        <v>-591034202</v>
      </c>
      <c r="C43" s="275"/>
    </row>
    <row r="44" spans="1:5">
      <c r="A44" s="80" t="s">
        <v>58</v>
      </c>
      <c r="B44" s="77">
        <v>-3554638</v>
      </c>
      <c r="C44" s="273"/>
    </row>
    <row r="45" spans="1:5">
      <c r="A45" s="80"/>
      <c r="B45" s="274"/>
      <c r="C45" s="273"/>
    </row>
    <row r="46" spans="1:5" s="96" customFormat="1">
      <c r="A46" s="80"/>
      <c r="B46" s="240"/>
    </row>
    <row r="47" spans="1:5">
      <c r="A47" s="80"/>
      <c r="B47" s="77"/>
    </row>
    <row r="48" spans="1:5">
      <c r="A48" s="80"/>
      <c r="B48" s="77"/>
    </row>
    <row r="49" spans="1:1">
      <c r="A49" s="40" t="s">
        <v>291</v>
      </c>
    </row>
    <row r="50" spans="1:1">
      <c r="A50" s="20" t="s">
        <v>114</v>
      </c>
    </row>
  </sheetData>
  <mergeCells count="3">
    <mergeCell ref="A1:B1"/>
    <mergeCell ref="A2:B2"/>
    <mergeCell ref="A3:B3"/>
  </mergeCells>
  <phoneticPr fontId="28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1 KOONDEELARVE</vt:lpstr>
      <vt:lpstr>2 TULUDE KOOND</vt:lpstr>
      <vt:lpstr>2.1 LK TULUD</vt:lpstr>
      <vt:lpstr>Sheet2</vt:lpstr>
      <vt:lpstr>2.2 OMATULUD</vt:lpstr>
      <vt:lpstr>2.3 TOETUSED</vt:lpstr>
      <vt:lpstr>3 KULUD</vt:lpstr>
      <vt:lpstr>4 INVEST</vt:lpstr>
      <vt:lpstr>5 RAHAKÄIVE</vt:lpstr>
      <vt:lpstr>6 LIIGENDUS</vt:lpstr>
      <vt:lpstr>'1 KOONDEELARVE'!Print_Titles</vt:lpstr>
      <vt:lpstr>'2 TULUDE KOOND'!Print_Titles</vt:lpstr>
      <vt:lpstr>'4 INVEST'!Print_Titles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2016-09-22T13:06:41Z</cp:lastPrinted>
  <dcterms:created xsi:type="dcterms:W3CDTF">2011-11-17T06:19:29Z</dcterms:created>
  <dcterms:modified xsi:type="dcterms:W3CDTF">2016-09-28T07:02:16Z</dcterms:modified>
</cp:coreProperties>
</file>