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05" windowWidth="19440" windowHeight="6660" tabRatio="849"/>
  </bookViews>
  <sheets>
    <sheet name="Koondeelarve" sheetId="51" r:id="rId1"/>
    <sheet name="Tulude koond" sheetId="57" r:id="rId2"/>
    <sheet name="LK tulud" sheetId="36" r:id="rId3"/>
    <sheet name="Toetused" sheetId="58" r:id="rId4"/>
    <sheet name="Omatulud" sheetId="59" r:id="rId5"/>
    <sheet name="Kulud" sheetId="61" r:id="rId6"/>
    <sheet name="Investeeringud" sheetId="56" r:id="rId7"/>
    <sheet name="Fin.teh" sheetId="55" r:id="rId8"/>
    <sheet name="Liigendus" sheetId="54" r:id="rId9"/>
    <sheet name="Ülevaade" sheetId="42" state="hidden" r:id="rId10"/>
    <sheet name="Sheet10" sheetId="60" state="hidden" r:id="rId11"/>
    <sheet name="T. Aasale" sheetId="46" state="hidden" r:id="rId12"/>
  </sheets>
  <externalReferences>
    <externalReference r:id="rId13"/>
    <externalReference r:id="rId14"/>
    <externalReference r:id="rId15"/>
  </externalReferences>
  <definedNames>
    <definedName name="_xlnm._FilterDatabase" localSheetId="0" hidden="1">Koondeelarve!$A$7:$A$49</definedName>
    <definedName name="_xlnm._FilterDatabase" localSheetId="5" hidden="1">Kulud!$C$4:$J$1681</definedName>
    <definedName name="_xlnm._FilterDatabase" localSheetId="4" hidden="1">Omatulud!$A$6:$B$802</definedName>
    <definedName name="_xlnm._FilterDatabase" localSheetId="11" hidden="1">'T. Aasale'!$A$3:$F$181</definedName>
    <definedName name="_xlnm._FilterDatabase" localSheetId="3" hidden="1">Toetused!$A$5:$B$98</definedName>
    <definedName name="_xlnm._FilterDatabase" localSheetId="1" hidden="1">'Tulude koond'!$A$4:$F$52</definedName>
    <definedName name="a" localSheetId="5">'[1]8 KULUD'!#REF!</definedName>
    <definedName name="a" localSheetId="4">'[1]8 KULUD'!#REF!</definedName>
    <definedName name="a" localSheetId="3">'[1]8 KULUD'!#REF!</definedName>
    <definedName name="a">'[1]8 KULUD'!#REF!</definedName>
    <definedName name="job_levels" localSheetId="5">OFFSET(job_levels_range,0,0,COUNTA(job_levels_range),1)</definedName>
    <definedName name="job_levels" localSheetId="4">OFFSET(job_levels_range,0,0,COUNTA(job_levels_range),1)</definedName>
    <definedName name="job_levels" localSheetId="11">OFFSET(job_levels_range,0,0,COUNTA(job_levels_range),1)</definedName>
    <definedName name="job_levels" localSheetId="3">OFFSET(job_levels_range,0,0,COUNTA(job_levels_range),1)</definedName>
    <definedName name="job_levels">OFFSET(job_levels_range,0,0,COUNTA(job_levels_range),1)</definedName>
    <definedName name="job_names" localSheetId="5">OFFSET(job_names_range,0,0,COUNTA(job_names_range),1)</definedName>
    <definedName name="job_names" localSheetId="4">OFFSET(job_names_range,0,0,COUNTA(job_names_range),1)</definedName>
    <definedName name="job_names" localSheetId="11">OFFSET(job_names_range,0,0,COUNTA(job_names_range),1)</definedName>
    <definedName name="job_names" localSheetId="3">OFFSET(job_names_range,0,0,COUNTA(job_names_range),1)</definedName>
    <definedName name="job_names">OFFSET(job_names_range,0,0,COUNTA(job_names_range),1)</definedName>
    <definedName name="joblevels">'[2]Job Names'!$H$9:$H$35</definedName>
    <definedName name="jobnames">#N/A</definedName>
    <definedName name="language_list">'[2]Job Names'!$E$2:$E$5</definedName>
    <definedName name="Maalist">[2]Maakonnad!$A$1:$A$15</definedName>
    <definedName name="OLE_LINK1" localSheetId="5">Kulud!#REF!</definedName>
    <definedName name="_xlnm.Print_Titles" localSheetId="0">Koondeelarve!$4:$4</definedName>
    <definedName name="_xlnm.Print_Titles" localSheetId="5">Kulud!$3:$4</definedName>
    <definedName name="_xlnm.Print_Titles" localSheetId="11">'T. Aasale'!$3:$3</definedName>
    <definedName name="_xlnm.Print_Titles" localSheetId="1">'Tulude koond'!$4:$4</definedName>
    <definedName name="zJob">'[2]Job Families'!$D$1:$D$481</definedName>
    <definedName name="zLev">'[2]Job Families'!$E$1:$E$481</definedName>
    <definedName name="zPnt">'[2]Job Families'!$F$1:$F$481</definedName>
    <definedName name="zPntH">'[2]Job Families'!$H$1:$H$481</definedName>
    <definedName name="zPntL">'[2]Job Families'!$G$1:$G$481</definedName>
  </definedNames>
  <calcPr calcId="145621"/>
</workbook>
</file>

<file path=xl/calcChain.xml><?xml version="1.0" encoding="utf-8"?>
<calcChain xmlns="http://schemas.openxmlformats.org/spreadsheetml/2006/main">
  <c r="F904" i="61" l="1"/>
  <c r="G939" i="61"/>
  <c r="F936" i="61"/>
  <c r="E57" i="51" l="1"/>
  <c r="G57" i="51"/>
  <c r="I36" i="61" l="1"/>
  <c r="E35" i="61"/>
  <c r="F35" i="61"/>
  <c r="H35" i="61"/>
  <c r="F19" i="56" l="1"/>
  <c r="D19" i="56"/>
  <c r="C19" i="56"/>
  <c r="B19" i="56"/>
  <c r="E18" i="56"/>
  <c r="G18" i="56" s="1"/>
  <c r="E17" i="56"/>
  <c r="G17" i="56" s="1"/>
  <c r="E16" i="56"/>
  <c r="G16" i="56" s="1"/>
  <c r="E15" i="56"/>
  <c r="H15" i="56" s="1"/>
  <c r="E14" i="56"/>
  <c r="G14" i="56" s="1"/>
  <c r="E13" i="56"/>
  <c r="G13" i="56" s="1"/>
  <c r="E12" i="56"/>
  <c r="H12" i="56" s="1"/>
  <c r="E11" i="56"/>
  <c r="H11" i="56" s="1"/>
  <c r="E10" i="56"/>
  <c r="G10" i="56" s="1"/>
  <c r="E9" i="56"/>
  <c r="G9" i="56" s="1"/>
  <c r="E8" i="56"/>
  <c r="G8" i="56" s="1"/>
  <c r="E7" i="56"/>
  <c r="H7" i="56" s="1"/>
  <c r="H17" i="56" l="1"/>
  <c r="H9" i="56"/>
  <c r="G12" i="56"/>
  <c r="E19" i="56"/>
  <c r="H8" i="56"/>
  <c r="H16" i="56"/>
  <c r="H13" i="56"/>
  <c r="G7" i="56"/>
  <c r="G11" i="56"/>
  <c r="G15" i="56"/>
  <c r="H10" i="56"/>
  <c r="H14" i="56"/>
  <c r="H18" i="56"/>
  <c r="G19" i="56"/>
  <c r="H842" i="59" l="1"/>
  <c r="H841" i="59"/>
  <c r="H840" i="59"/>
  <c r="H839" i="59"/>
  <c r="H838" i="59"/>
  <c r="H837" i="59"/>
  <c r="H836" i="59"/>
  <c r="H835" i="59"/>
  <c r="H834" i="59"/>
  <c r="H833" i="59"/>
  <c r="H832" i="59"/>
  <c r="H831" i="59"/>
  <c r="H830" i="59"/>
  <c r="H829" i="59"/>
  <c r="H828" i="59"/>
  <c r="H827" i="59"/>
  <c r="H826" i="59"/>
  <c r="H825" i="59"/>
  <c r="H824" i="59"/>
  <c r="H823" i="59"/>
  <c r="H822" i="59"/>
  <c r="H821" i="59"/>
  <c r="H820" i="59"/>
  <c r="H819" i="59"/>
  <c r="F1679" i="61"/>
  <c r="E1679" i="61"/>
  <c r="D1679" i="61"/>
  <c r="F1678" i="61"/>
  <c r="E1678" i="61"/>
  <c r="D1677" i="61"/>
  <c r="F1676" i="61"/>
  <c r="E1676" i="61"/>
  <c r="D1676" i="61"/>
  <c r="E1654" i="61"/>
  <c r="F1648" i="61"/>
  <c r="E1648" i="61"/>
  <c r="D1648" i="61"/>
  <c r="F1646" i="61"/>
  <c r="E1646" i="61"/>
  <c r="D1646" i="61"/>
  <c r="F1645" i="61"/>
  <c r="E1645" i="61"/>
  <c r="D1644" i="61"/>
  <c r="F1643" i="61"/>
  <c r="E1643" i="61"/>
  <c r="D1643" i="61"/>
  <c r="F1613" i="61"/>
  <c r="E1613" i="61"/>
  <c r="D1613" i="61"/>
  <c r="F1607" i="61"/>
  <c r="E1607" i="61"/>
  <c r="D1607" i="61"/>
  <c r="F1606" i="61"/>
  <c r="E1606" i="61"/>
  <c r="D1605" i="61"/>
  <c r="F1604" i="61"/>
  <c r="E1604" i="61"/>
  <c r="D1604" i="61"/>
  <c r="F1578" i="61"/>
  <c r="E1578" i="61"/>
  <c r="D1578" i="61"/>
  <c r="F1577" i="61"/>
  <c r="G1569" i="61"/>
  <c r="G1568" i="61"/>
  <c r="G1567" i="61"/>
  <c r="G1566" i="61"/>
  <c r="F1565" i="61"/>
  <c r="F1562" i="61" s="1"/>
  <c r="E1565" i="61"/>
  <c r="E1562" i="61" s="1"/>
  <c r="D1565" i="61"/>
  <c r="G1564" i="61"/>
  <c r="D1563" i="61"/>
  <c r="F1561" i="61"/>
  <c r="E1561" i="61"/>
  <c r="G1559" i="61"/>
  <c r="G1558" i="61"/>
  <c r="G1557" i="61"/>
  <c r="G1556" i="61"/>
  <c r="G1555" i="61"/>
  <c r="G1554" i="61"/>
  <c r="G1553" i="61"/>
  <c r="G1552" i="61"/>
  <c r="G1551" i="61"/>
  <c r="G1550" i="61"/>
  <c r="G1549" i="61"/>
  <c r="G1548" i="61"/>
  <c r="G1547" i="61"/>
  <c r="G1546" i="61"/>
  <c r="G1545" i="61"/>
  <c r="G1544" i="61"/>
  <c r="G1543" i="61"/>
  <c r="G1542" i="61"/>
  <c r="G1541" i="61"/>
  <c r="G1540" i="61"/>
  <c r="D1539" i="61"/>
  <c r="G1539" i="61" s="1"/>
  <c r="D1538" i="61"/>
  <c r="G1538" i="61" s="1"/>
  <c r="G1537" i="61"/>
  <c r="F1536" i="61"/>
  <c r="E1536" i="61"/>
  <c r="D1536" i="61"/>
  <c r="G1535" i="61"/>
  <c r="G1534" i="61"/>
  <c r="F1533" i="61"/>
  <c r="E1533" i="61"/>
  <c r="D1533" i="61"/>
  <c r="G1532" i="61"/>
  <c r="G1531" i="61"/>
  <c r="G1530" i="61"/>
  <c r="G1529" i="61"/>
  <c r="G1528" i="61"/>
  <c r="G1527" i="61"/>
  <c r="G1526" i="61"/>
  <c r="G1525" i="61"/>
  <c r="F1524" i="61"/>
  <c r="F1523" i="61" s="1"/>
  <c r="E1524" i="61"/>
  <c r="D1524" i="61"/>
  <c r="G1522" i="61"/>
  <c r="G1521" i="61"/>
  <c r="G1520" i="61"/>
  <c r="G1519" i="61"/>
  <c r="G1518" i="61"/>
  <c r="F1517" i="61"/>
  <c r="F1516" i="61" s="1"/>
  <c r="E1517" i="61"/>
  <c r="E1516" i="61" s="1"/>
  <c r="D1517" i="61"/>
  <c r="G1515" i="61"/>
  <c r="D1514" i="61"/>
  <c r="G1514" i="61" s="1"/>
  <c r="D1513" i="61"/>
  <c r="F1512" i="61"/>
  <c r="E1512" i="61"/>
  <c r="G1511" i="61"/>
  <c r="G1509" i="61"/>
  <c r="G1507" i="61"/>
  <c r="G1505" i="61"/>
  <c r="G1504" i="61"/>
  <c r="G1503" i="61"/>
  <c r="G1502" i="61"/>
  <c r="G1501" i="61"/>
  <c r="G1500" i="61"/>
  <c r="G1499" i="61"/>
  <c r="G1498" i="61"/>
  <c r="G1497" i="61"/>
  <c r="G1496" i="61"/>
  <c r="G1495" i="61"/>
  <c r="G1494" i="61"/>
  <c r="G1493" i="61"/>
  <c r="G1492" i="61"/>
  <c r="G1491" i="61"/>
  <c r="G1490" i="61"/>
  <c r="D1489" i="61"/>
  <c r="G1489" i="61" s="1"/>
  <c r="D1488" i="61"/>
  <c r="G1488" i="61" s="1"/>
  <c r="G1487" i="61"/>
  <c r="F1486" i="61"/>
  <c r="E1486" i="61"/>
  <c r="D1486" i="61"/>
  <c r="G1485" i="61"/>
  <c r="G1484" i="61"/>
  <c r="F1483" i="61"/>
  <c r="E1483" i="61"/>
  <c r="D1483" i="61"/>
  <c r="G1482" i="61"/>
  <c r="G1481" i="61"/>
  <c r="G1480" i="61"/>
  <c r="G1479" i="61"/>
  <c r="G1478" i="61"/>
  <c r="G1477" i="61"/>
  <c r="G1476" i="61"/>
  <c r="G1475" i="61"/>
  <c r="F1474" i="61"/>
  <c r="F1473" i="61" s="1"/>
  <c r="E1474" i="61"/>
  <c r="E1473" i="61" s="1"/>
  <c r="D1474" i="61"/>
  <c r="G1472" i="61"/>
  <c r="G1471" i="61"/>
  <c r="G1470" i="61"/>
  <c r="G1469" i="61"/>
  <c r="F1468" i="61"/>
  <c r="F1467" i="61" s="1"/>
  <c r="E1468" i="61"/>
  <c r="E1467" i="61" s="1"/>
  <c r="D1468" i="61"/>
  <c r="G1466" i="61"/>
  <c r="D1465" i="61"/>
  <c r="D1464" i="61"/>
  <c r="F1463" i="61"/>
  <c r="E1463" i="61"/>
  <c r="G1462" i="61"/>
  <c r="G1460" i="61"/>
  <c r="G1458" i="61"/>
  <c r="G1456" i="61"/>
  <c r="G1455" i="61"/>
  <c r="G1454" i="61"/>
  <c r="G1453" i="61"/>
  <c r="G1452" i="61"/>
  <c r="G1451" i="61"/>
  <c r="G1450" i="61"/>
  <c r="G1449" i="61"/>
  <c r="G1448" i="61"/>
  <c r="G1447" i="61"/>
  <c r="G1446" i="61"/>
  <c r="G1445" i="61"/>
  <c r="G1444" i="61"/>
  <c r="G1443" i="61"/>
  <c r="G1442" i="61"/>
  <c r="G1441" i="61"/>
  <c r="G1440" i="61"/>
  <c r="G1439" i="61"/>
  <c r="G1438" i="61"/>
  <c r="D1437" i="61"/>
  <c r="G1437" i="61" s="1"/>
  <c r="D1436" i="61"/>
  <c r="D1434" i="61" s="1"/>
  <c r="G1435" i="61"/>
  <c r="F1434" i="61"/>
  <c r="E1434" i="61"/>
  <c r="G1433" i="61"/>
  <c r="G1432" i="61"/>
  <c r="F1431" i="61"/>
  <c r="E1431" i="61"/>
  <c r="D1431" i="61"/>
  <c r="G1430" i="61"/>
  <c r="G1429" i="61"/>
  <c r="G1428" i="61"/>
  <c r="G1427" i="61"/>
  <c r="G1426" i="61"/>
  <c r="G1425" i="61"/>
  <c r="G1424" i="61"/>
  <c r="G1423" i="61"/>
  <c r="G1422" i="61"/>
  <c r="G1421" i="61"/>
  <c r="G1420" i="61"/>
  <c r="G1419" i="61"/>
  <c r="F1418" i="61"/>
  <c r="E1418" i="61"/>
  <c r="D1418" i="61"/>
  <c r="G1417" i="61"/>
  <c r="G1416" i="61"/>
  <c r="G1415" i="61"/>
  <c r="G1414" i="61"/>
  <c r="F1413" i="61"/>
  <c r="E1413" i="61"/>
  <c r="D1413" i="61"/>
  <c r="G1412" i="61"/>
  <c r="G1411" i="61"/>
  <c r="G1410" i="61"/>
  <c r="G1409" i="61"/>
  <c r="F1408" i="61"/>
  <c r="E1408" i="61"/>
  <c r="D1408" i="61"/>
  <c r="G1407" i="61"/>
  <c r="G1405" i="61"/>
  <c r="G1404" i="61"/>
  <c r="G1403" i="61"/>
  <c r="G1402" i="61"/>
  <c r="F1401" i="61"/>
  <c r="F1400" i="61" s="1"/>
  <c r="E1401" i="61"/>
  <c r="E1400" i="61" s="1"/>
  <c r="D1401" i="61"/>
  <c r="G1399" i="61"/>
  <c r="D1398" i="61"/>
  <c r="G1398" i="61" s="1"/>
  <c r="D1397" i="61"/>
  <c r="G1397" i="61" s="1"/>
  <c r="F1396" i="61"/>
  <c r="E1396" i="61"/>
  <c r="G1395" i="61"/>
  <c r="G1393" i="61"/>
  <c r="G1391" i="61"/>
  <c r="G1389" i="61"/>
  <c r="G1388" i="61"/>
  <c r="G1387" i="61"/>
  <c r="G1386" i="61"/>
  <c r="G1385" i="61"/>
  <c r="G1384" i="61"/>
  <c r="G1383" i="61"/>
  <c r="G1382" i="61"/>
  <c r="G1381" i="61"/>
  <c r="G1380" i="61"/>
  <c r="G1379" i="61"/>
  <c r="G1378" i="61"/>
  <c r="G1377" i="61"/>
  <c r="G1376" i="61"/>
  <c r="G1375" i="61"/>
  <c r="G1374" i="61"/>
  <c r="G1373" i="61"/>
  <c r="G1372" i="61"/>
  <c r="G1371" i="61"/>
  <c r="F1370" i="61"/>
  <c r="D1370" i="61"/>
  <c r="F1369" i="61"/>
  <c r="F1367" i="61" s="1"/>
  <c r="D1369" i="61"/>
  <c r="D1367" i="61" s="1"/>
  <c r="G1368" i="61"/>
  <c r="E1367" i="61"/>
  <c r="G1366" i="61"/>
  <c r="G1365" i="61"/>
  <c r="F1364" i="61"/>
  <c r="E1364" i="61"/>
  <c r="D1364" i="61"/>
  <c r="G1363" i="61"/>
  <c r="G1362" i="61"/>
  <c r="G1361" i="61"/>
  <c r="G1360" i="61"/>
  <c r="G1359" i="61"/>
  <c r="G1358" i="61"/>
  <c r="G1357" i="61"/>
  <c r="G1356" i="61"/>
  <c r="F1355" i="61"/>
  <c r="F1353" i="61" s="1"/>
  <c r="E1355" i="61"/>
  <c r="E1353" i="61" s="1"/>
  <c r="D1355" i="61"/>
  <c r="G1354" i="61"/>
  <c r="G1352" i="61"/>
  <c r="G1351" i="61"/>
  <c r="D1350" i="61"/>
  <c r="G1350" i="61" s="1"/>
  <c r="G1349" i="61"/>
  <c r="F1348" i="61"/>
  <c r="F1347" i="61" s="1"/>
  <c r="E1348" i="61"/>
  <c r="E1347" i="61" s="1"/>
  <c r="G1346" i="61"/>
  <c r="D1345" i="61"/>
  <c r="D1344" i="61"/>
  <c r="F1343" i="61"/>
  <c r="E1343" i="61"/>
  <c r="G1342" i="61"/>
  <c r="G1340" i="61"/>
  <c r="G1338" i="61"/>
  <c r="G1336" i="61"/>
  <c r="G1335" i="61"/>
  <c r="G1334" i="61"/>
  <c r="G1333" i="61"/>
  <c r="G1332" i="61"/>
  <c r="G1331" i="61"/>
  <c r="G1330" i="61"/>
  <c r="G1329" i="61"/>
  <c r="G1328" i="61"/>
  <c r="G1327" i="61"/>
  <c r="G1326" i="61"/>
  <c r="G1325" i="61"/>
  <c r="G1324" i="61"/>
  <c r="G1323" i="61"/>
  <c r="G1322" i="61"/>
  <c r="G1321" i="61"/>
  <c r="G1320" i="61"/>
  <c r="D1319" i="61"/>
  <c r="D1318" i="61"/>
  <c r="G1318" i="61" s="1"/>
  <c r="G1317" i="61"/>
  <c r="F1316" i="61"/>
  <c r="E1316" i="61"/>
  <c r="D1316" i="61"/>
  <c r="G1315" i="61"/>
  <c r="G1314" i="61"/>
  <c r="G1313" i="61"/>
  <c r="G1312" i="61"/>
  <c r="G1311" i="61"/>
  <c r="G1310" i="61"/>
  <c r="F1309" i="61"/>
  <c r="F1308" i="61" s="1"/>
  <c r="E1309" i="61"/>
  <c r="E1308" i="61" s="1"/>
  <c r="D1309" i="61"/>
  <c r="G1307" i="61"/>
  <c r="G1306" i="61"/>
  <c r="F1305" i="61"/>
  <c r="E1305" i="61"/>
  <c r="D1305" i="61"/>
  <c r="G1304" i="61"/>
  <c r="G1303" i="61"/>
  <c r="G1302" i="61"/>
  <c r="G1301" i="61"/>
  <c r="G1300" i="61"/>
  <c r="G1299" i="61"/>
  <c r="G1298" i="61"/>
  <c r="G1297" i="61"/>
  <c r="F1296" i="61"/>
  <c r="E1296" i="61"/>
  <c r="D1296" i="61"/>
  <c r="G1295" i="61"/>
  <c r="G1294" i="61"/>
  <c r="G1293" i="61"/>
  <c r="G1292" i="61"/>
  <c r="F1291" i="61"/>
  <c r="E1291" i="61"/>
  <c r="G1290" i="61"/>
  <c r="G1288" i="61"/>
  <c r="G1287" i="61"/>
  <c r="G1286" i="61"/>
  <c r="G1285" i="61"/>
  <c r="F1284" i="61"/>
  <c r="F1283" i="61" s="1"/>
  <c r="E1284" i="61"/>
  <c r="E1283" i="61" s="1"/>
  <c r="D1284" i="61"/>
  <c r="G1282" i="61"/>
  <c r="G1281" i="61"/>
  <c r="G1280" i="61"/>
  <c r="G1279" i="61"/>
  <c r="F1278" i="61"/>
  <c r="F1277" i="61" s="1"/>
  <c r="E1278" i="61"/>
  <c r="E1277" i="61" s="1"/>
  <c r="D1278" i="61"/>
  <c r="G1276" i="61"/>
  <c r="D1275" i="61"/>
  <c r="G1275" i="61" s="1"/>
  <c r="D1274" i="61"/>
  <c r="F1273" i="61"/>
  <c r="E1273" i="61"/>
  <c r="G1272" i="61"/>
  <c r="G1270" i="61"/>
  <c r="G1268" i="61"/>
  <c r="G1266" i="61"/>
  <c r="G1265" i="61"/>
  <c r="G1264" i="61"/>
  <c r="G1263" i="61"/>
  <c r="G1262" i="61"/>
  <c r="G1261" i="61"/>
  <c r="G1260" i="61"/>
  <c r="G1259" i="61"/>
  <c r="G1258" i="61"/>
  <c r="G1257" i="61"/>
  <c r="G1256" i="61"/>
  <c r="G1255" i="61"/>
  <c r="G1254" i="61"/>
  <c r="G1253" i="61"/>
  <c r="G1252" i="61"/>
  <c r="G1251" i="61"/>
  <c r="G1250" i="61"/>
  <c r="G1249" i="61"/>
  <c r="D1248" i="61"/>
  <c r="D1247" i="61"/>
  <c r="G1247" i="61" s="1"/>
  <c r="G1246" i="61"/>
  <c r="F1245" i="61"/>
  <c r="E1245" i="61"/>
  <c r="D1245" i="61"/>
  <c r="G1244" i="61"/>
  <c r="G1243" i="61"/>
  <c r="F1242" i="61"/>
  <c r="E1242" i="61"/>
  <c r="D1242" i="61"/>
  <c r="G1241" i="61"/>
  <c r="G1240" i="61"/>
  <c r="G1239" i="61"/>
  <c r="G1238" i="61"/>
  <c r="G1237" i="61"/>
  <c r="G1236" i="61"/>
  <c r="G1235" i="61"/>
  <c r="G1234" i="61"/>
  <c r="F1233" i="61"/>
  <c r="F1232" i="61" s="1"/>
  <c r="E1233" i="61"/>
  <c r="E1232" i="61" s="1"/>
  <c r="D1233" i="61"/>
  <c r="G1231" i="61"/>
  <c r="G1230" i="61"/>
  <c r="G1229" i="61"/>
  <c r="G1228" i="61"/>
  <c r="F1227" i="61"/>
  <c r="G1227" i="61" s="1"/>
  <c r="G1225" i="61"/>
  <c r="G1223" i="61"/>
  <c r="G1221" i="61"/>
  <c r="G1219" i="61"/>
  <c r="G1218" i="61"/>
  <c r="G1217" i="61"/>
  <c r="G1216" i="61"/>
  <c r="G1215" i="61"/>
  <c r="G1214" i="61"/>
  <c r="G1213" i="61"/>
  <c r="G1212" i="61"/>
  <c r="G1211" i="61"/>
  <c r="G1210" i="61"/>
  <c r="G1209" i="61"/>
  <c r="G1208" i="61"/>
  <c r="G1207" i="61"/>
  <c r="G1206" i="61"/>
  <c r="G1205" i="61"/>
  <c r="G1204" i="61"/>
  <c r="G1203" i="61"/>
  <c r="G1202" i="61"/>
  <c r="G1201" i="61"/>
  <c r="G1200" i="61"/>
  <c r="G1199" i="61"/>
  <c r="G1198" i="61"/>
  <c r="G1197" i="61"/>
  <c r="G1196" i="61"/>
  <c r="G1195" i="61"/>
  <c r="G1194" i="61"/>
  <c r="G1193" i="61"/>
  <c r="G1192" i="61"/>
  <c r="D1191" i="61"/>
  <c r="G1191" i="61" s="1"/>
  <c r="G1190" i="61"/>
  <c r="G1189" i="61"/>
  <c r="D1188" i="61"/>
  <c r="G1188" i="61" s="1"/>
  <c r="D1187" i="61"/>
  <c r="G1187" i="61" s="1"/>
  <c r="G1186" i="61"/>
  <c r="F1185" i="61"/>
  <c r="E1185" i="61"/>
  <c r="G1184" i="61"/>
  <c r="G1183" i="61"/>
  <c r="G1182" i="61"/>
  <c r="F1181" i="61"/>
  <c r="E1181" i="61"/>
  <c r="D1181" i="61"/>
  <c r="G1180" i="61"/>
  <c r="G1179" i="61"/>
  <c r="G1178" i="61"/>
  <c r="G1177" i="61"/>
  <c r="G1176" i="61"/>
  <c r="G1175" i="61"/>
  <c r="G1174" i="61"/>
  <c r="G1173" i="61"/>
  <c r="F1172" i="61"/>
  <c r="F1171" i="61" s="1"/>
  <c r="E1172" i="61"/>
  <c r="E1171" i="61" s="1"/>
  <c r="D1172" i="61"/>
  <c r="G1170" i="61"/>
  <c r="G1169" i="61"/>
  <c r="G1168" i="61"/>
  <c r="G1167" i="61"/>
  <c r="F1166" i="61"/>
  <c r="F1165" i="61" s="1"/>
  <c r="E1166" i="61"/>
  <c r="E1165" i="61" s="1"/>
  <c r="D1166" i="61"/>
  <c r="G1164" i="61"/>
  <c r="G1163" i="61"/>
  <c r="G1162" i="61"/>
  <c r="F1161" i="61"/>
  <c r="E1161" i="61"/>
  <c r="D1161" i="61"/>
  <c r="G1160" i="61"/>
  <c r="G1158" i="61"/>
  <c r="G1156" i="61"/>
  <c r="G1154" i="61"/>
  <c r="G1153" i="61"/>
  <c r="G1152" i="61"/>
  <c r="G1151" i="61"/>
  <c r="G1150" i="61"/>
  <c r="G1149" i="61"/>
  <c r="G1148" i="61"/>
  <c r="G1147" i="61"/>
  <c r="G1146" i="61"/>
  <c r="G1145" i="61"/>
  <c r="G1144" i="61"/>
  <c r="G1143" i="61"/>
  <c r="G1142" i="61"/>
  <c r="G1141" i="61"/>
  <c r="G1140" i="61"/>
  <c r="G1139" i="61"/>
  <c r="G1138" i="61"/>
  <c r="G1137" i="61"/>
  <c r="D1136" i="61"/>
  <c r="G1136" i="61" s="1"/>
  <c r="D1135" i="61"/>
  <c r="G1135" i="61" s="1"/>
  <c r="G1134" i="61"/>
  <c r="F1133" i="61"/>
  <c r="E1133" i="61"/>
  <c r="G1132" i="61"/>
  <c r="G1131" i="61"/>
  <c r="F1130" i="61"/>
  <c r="E1130" i="61"/>
  <c r="D1130" i="61"/>
  <c r="G1129" i="61"/>
  <c r="G1128" i="61"/>
  <c r="G1127" i="61"/>
  <c r="G1126" i="61"/>
  <c r="G1125" i="61"/>
  <c r="G1124" i="61"/>
  <c r="G1123" i="61"/>
  <c r="G1122" i="61"/>
  <c r="F1121" i="61"/>
  <c r="F1120" i="61" s="1"/>
  <c r="E1121" i="61"/>
  <c r="E1120" i="61" s="1"/>
  <c r="D1121" i="61"/>
  <c r="G1119" i="61"/>
  <c r="G1118" i="61"/>
  <c r="G1117" i="61"/>
  <c r="G1116" i="61"/>
  <c r="F1115" i="61"/>
  <c r="F1114" i="61" s="1"/>
  <c r="E1115" i="61"/>
  <c r="E1114" i="61" s="1"/>
  <c r="D1115" i="61"/>
  <c r="G1113" i="61"/>
  <c r="D1112" i="61"/>
  <c r="G1112" i="61" s="1"/>
  <c r="D1111" i="61"/>
  <c r="G1111" i="61" s="1"/>
  <c r="F1110" i="61"/>
  <c r="E1110" i="61"/>
  <c r="G1109" i="61"/>
  <c r="G1107" i="61"/>
  <c r="G1105" i="61"/>
  <c r="G1103" i="61"/>
  <c r="G1102" i="61"/>
  <c r="G1101" i="61"/>
  <c r="G1100" i="61"/>
  <c r="F1099" i="61"/>
  <c r="D1099" i="61"/>
  <c r="F1098" i="61"/>
  <c r="F1093" i="61" s="1"/>
  <c r="F1096" i="61" s="1"/>
  <c r="D1098" i="61"/>
  <c r="D1093" i="61" s="1"/>
  <c r="G1097" i="61"/>
  <c r="G1094" i="61"/>
  <c r="E1093" i="61"/>
  <c r="E1096" i="61" s="1"/>
  <c r="G1092" i="61"/>
  <c r="G1091" i="61"/>
  <c r="G1090" i="61"/>
  <c r="G1089" i="61"/>
  <c r="G1088" i="61"/>
  <c r="G1087" i="61"/>
  <c r="G1086" i="61"/>
  <c r="G1085" i="61"/>
  <c r="G1084" i="61"/>
  <c r="G1083" i="61"/>
  <c r="G1082" i="61"/>
  <c r="G1081" i="61"/>
  <c r="G1080" i="61"/>
  <c r="G1079" i="61"/>
  <c r="I1078" i="61"/>
  <c r="J1078" i="61" s="1"/>
  <c r="G1074" i="61"/>
  <c r="D1072" i="61"/>
  <c r="G1072" i="61" s="1"/>
  <c r="G1071" i="61"/>
  <c r="G1070" i="61"/>
  <c r="G1069" i="61"/>
  <c r="G1068" i="61"/>
  <c r="G1067" i="61"/>
  <c r="D1066" i="61"/>
  <c r="G1066" i="61" s="1"/>
  <c r="D1065" i="61"/>
  <c r="G1064" i="61"/>
  <c r="G1062" i="61"/>
  <c r="G1061" i="61"/>
  <c r="G1059" i="61"/>
  <c r="F1058" i="61"/>
  <c r="F1063" i="61" s="1"/>
  <c r="F1665" i="61" s="1"/>
  <c r="E1058" i="61"/>
  <c r="E1063" i="61" s="1"/>
  <c r="G1057" i="61"/>
  <c r="G1056" i="61"/>
  <c r="G1055" i="61"/>
  <c r="G1054" i="61"/>
  <c r="G1053" i="61"/>
  <c r="G1052" i="61"/>
  <c r="G1051" i="61"/>
  <c r="G1050" i="61"/>
  <c r="G1049" i="61"/>
  <c r="G1048" i="61"/>
  <c r="G1047" i="61"/>
  <c r="G1046" i="61"/>
  <c r="G1045" i="61"/>
  <c r="G1044" i="61"/>
  <c r="G1043" i="61"/>
  <c r="G1042" i="61"/>
  <c r="G1041" i="61"/>
  <c r="E1040" i="61"/>
  <c r="G1040" i="61" s="1"/>
  <c r="G1039" i="61"/>
  <c r="G1038" i="61"/>
  <c r="G1037" i="61"/>
  <c r="G1036" i="61"/>
  <c r="E1035" i="61"/>
  <c r="G1035" i="61" s="1"/>
  <c r="G1034" i="61"/>
  <c r="G1033" i="61"/>
  <c r="G1032" i="61"/>
  <c r="G1031" i="61"/>
  <c r="G1030" i="61"/>
  <c r="G1029" i="61"/>
  <c r="G1028" i="61"/>
  <c r="G1027" i="61"/>
  <c r="G1026" i="61"/>
  <c r="G1025" i="61"/>
  <c r="G1024" i="61"/>
  <c r="G1023" i="61"/>
  <c r="G1018" i="61"/>
  <c r="G1017" i="61"/>
  <c r="G1016" i="61"/>
  <c r="G1015" i="61"/>
  <c r="G1014" i="61"/>
  <c r="G1013" i="61"/>
  <c r="G1012" i="61"/>
  <c r="G1011" i="61"/>
  <c r="G1010" i="61"/>
  <c r="F1009" i="61"/>
  <c r="D1009" i="61"/>
  <c r="F1008" i="61"/>
  <c r="F1006" i="61" s="1"/>
  <c r="D1008" i="61"/>
  <c r="D1006" i="61" s="1"/>
  <c r="G1007" i="61"/>
  <c r="G1005" i="61"/>
  <c r="D1004" i="61"/>
  <c r="G1004" i="61" s="1"/>
  <c r="D1003" i="61"/>
  <c r="G1003" i="61" s="1"/>
  <c r="E1002" i="61"/>
  <c r="G1001" i="61"/>
  <c r="G1000" i="61"/>
  <c r="D999" i="61"/>
  <c r="G998" i="61"/>
  <c r="G997" i="61"/>
  <c r="G996" i="61"/>
  <c r="G995" i="61"/>
  <c r="G994" i="61"/>
  <c r="G993" i="61"/>
  <c r="G992" i="61"/>
  <c r="D991" i="61"/>
  <c r="F990" i="61"/>
  <c r="D990" i="61"/>
  <c r="G989" i="61"/>
  <c r="G988" i="61"/>
  <c r="G987" i="61"/>
  <c r="D986" i="61"/>
  <c r="D985" i="61"/>
  <c r="G984" i="61"/>
  <c r="F982" i="61"/>
  <c r="G981" i="61"/>
  <c r="G980" i="61"/>
  <c r="G979" i="61"/>
  <c r="G978" i="61"/>
  <c r="G977" i="61"/>
  <c r="G976" i="61"/>
  <c r="G975" i="61"/>
  <c r="G974" i="61"/>
  <c r="G973" i="61"/>
  <c r="F972" i="61"/>
  <c r="E972" i="61"/>
  <c r="E971" i="61" s="1"/>
  <c r="D972" i="61"/>
  <c r="G970" i="61"/>
  <c r="G968" i="61"/>
  <c r="G967" i="61"/>
  <c r="G965" i="61"/>
  <c r="G963" i="61"/>
  <c r="G962" i="61"/>
  <c r="G961" i="61"/>
  <c r="G960" i="61"/>
  <c r="G959" i="61"/>
  <c r="G958" i="61"/>
  <c r="G957" i="61"/>
  <c r="G956" i="61"/>
  <c r="G955" i="61"/>
  <c r="F954" i="61"/>
  <c r="G954" i="61" s="1"/>
  <c r="G953" i="61"/>
  <c r="G952" i="61"/>
  <c r="G951" i="61"/>
  <c r="G950" i="61"/>
  <c r="G949" i="61"/>
  <c r="G948" i="61"/>
  <c r="G947" i="61"/>
  <c r="G946" i="61"/>
  <c r="G945" i="61"/>
  <c r="G944" i="61"/>
  <c r="G943" i="61"/>
  <c r="G942" i="61"/>
  <c r="G941" i="61"/>
  <c r="G940" i="61"/>
  <c r="I939" i="61"/>
  <c r="J939" i="61" s="1"/>
  <c r="G938" i="61"/>
  <c r="G937" i="61"/>
  <c r="D936" i="61"/>
  <c r="G935" i="61"/>
  <c r="G934" i="61"/>
  <c r="G933" i="61"/>
  <c r="G932" i="61"/>
  <c r="G931" i="61"/>
  <c r="G925" i="61"/>
  <c r="G924" i="61"/>
  <c r="G923" i="61"/>
  <c r="G922" i="61"/>
  <c r="G921" i="61"/>
  <c r="G920" i="61"/>
  <c r="G919" i="61"/>
  <c r="G918" i="61"/>
  <c r="G917" i="61"/>
  <c r="G916" i="61"/>
  <c r="G915" i="61"/>
  <c r="G914" i="61"/>
  <c r="D913" i="61"/>
  <c r="G913" i="61" s="1"/>
  <c r="D912" i="61"/>
  <c r="G911" i="61"/>
  <c r="G910" i="61"/>
  <c r="F909" i="61"/>
  <c r="G908" i="61"/>
  <c r="F907" i="61"/>
  <c r="D907" i="61"/>
  <c r="F906" i="61"/>
  <c r="D906" i="61"/>
  <c r="G905" i="61"/>
  <c r="E904" i="61"/>
  <c r="G903" i="61"/>
  <c r="G902" i="61"/>
  <c r="G901" i="61"/>
  <c r="G900" i="61"/>
  <c r="F899" i="61"/>
  <c r="D899" i="61"/>
  <c r="F898" i="61"/>
  <c r="F897" i="61" s="1"/>
  <c r="D898" i="61"/>
  <c r="G896" i="61"/>
  <c r="G895" i="61"/>
  <c r="G894" i="61"/>
  <c r="G893" i="61"/>
  <c r="G892" i="61"/>
  <c r="G891" i="61"/>
  <c r="G890" i="61"/>
  <c r="G889" i="61"/>
  <c r="G888" i="61"/>
  <c r="G887" i="61"/>
  <c r="G886" i="61"/>
  <c r="G885" i="61"/>
  <c r="G884" i="61"/>
  <c r="G883" i="61"/>
  <c r="F882" i="61"/>
  <c r="D882" i="61"/>
  <c r="F881" i="61"/>
  <c r="F880" i="61" s="1"/>
  <c r="E881" i="61"/>
  <c r="E880" i="61" s="1"/>
  <c r="D881" i="61"/>
  <c r="G879" i="61"/>
  <c r="G877" i="61"/>
  <c r="G876" i="61"/>
  <c r="G875" i="61"/>
  <c r="G873" i="61"/>
  <c r="G871" i="61"/>
  <c r="G870" i="61"/>
  <c r="G869" i="61"/>
  <c r="G868" i="61"/>
  <c r="G867" i="61"/>
  <c r="G866" i="61"/>
  <c r="G865" i="61"/>
  <c r="G864" i="61"/>
  <c r="G863" i="61"/>
  <c r="G862" i="61"/>
  <c r="G861" i="61"/>
  <c r="G860" i="61"/>
  <c r="G859" i="61"/>
  <c r="G858" i="61"/>
  <c r="G857" i="61"/>
  <c r="G856" i="61"/>
  <c r="G855" i="61"/>
  <c r="G854" i="61"/>
  <c r="G853" i="61"/>
  <c r="G852" i="61"/>
  <c r="G851" i="61"/>
  <c r="G850" i="61"/>
  <c r="G849" i="61"/>
  <c r="G848" i="61"/>
  <c r="G847" i="61"/>
  <c r="G846" i="61"/>
  <c r="G845" i="61"/>
  <c r="G844" i="61"/>
  <c r="G843" i="61"/>
  <c r="G842" i="61"/>
  <c r="G841" i="61"/>
  <c r="G840" i="61"/>
  <c r="G839" i="61"/>
  <c r="G838" i="61"/>
  <c r="G837" i="61"/>
  <c r="G836" i="61"/>
  <c r="G835" i="61"/>
  <c r="G834" i="61"/>
  <c r="G833" i="61"/>
  <c r="G832" i="61"/>
  <c r="D831" i="61"/>
  <c r="G830" i="61"/>
  <c r="G829" i="61"/>
  <c r="G828" i="61"/>
  <c r="F827" i="61"/>
  <c r="D827" i="61"/>
  <c r="G826" i="61"/>
  <c r="G825" i="61"/>
  <c r="G824" i="61"/>
  <c r="G823" i="61"/>
  <c r="F822" i="61"/>
  <c r="D822" i="61"/>
  <c r="G821" i="61"/>
  <c r="F820" i="61"/>
  <c r="D820" i="61"/>
  <c r="F819" i="61"/>
  <c r="D819" i="61"/>
  <c r="G818" i="61"/>
  <c r="E817" i="61"/>
  <c r="G816" i="61"/>
  <c r="D815" i="61"/>
  <c r="G815" i="61" s="1"/>
  <c r="G814" i="61"/>
  <c r="G813" i="61"/>
  <c r="G812" i="61"/>
  <c r="G811" i="61"/>
  <c r="G810" i="61"/>
  <c r="D809" i="61"/>
  <c r="G809" i="61" s="1"/>
  <c r="G808" i="61"/>
  <c r="G807" i="61"/>
  <c r="G806" i="61"/>
  <c r="G805" i="61"/>
  <c r="G804" i="61"/>
  <c r="G803" i="61"/>
  <c r="F802" i="61"/>
  <c r="F801" i="61" s="1"/>
  <c r="E802" i="61"/>
  <c r="E801" i="61" s="1"/>
  <c r="E794" i="61" s="1"/>
  <c r="E799" i="61" s="1"/>
  <c r="G800" i="61"/>
  <c r="G798" i="61"/>
  <c r="G797" i="61"/>
  <c r="G795" i="61"/>
  <c r="G793" i="61"/>
  <c r="G792" i="61"/>
  <c r="G791" i="61"/>
  <c r="G790" i="61"/>
  <c r="G789" i="61"/>
  <c r="G788" i="61"/>
  <c r="G787" i="61"/>
  <c r="G786" i="61"/>
  <c r="G785" i="61"/>
  <c r="G784" i="61"/>
  <c r="G783" i="61"/>
  <c r="G782" i="61"/>
  <c r="G781" i="61"/>
  <c r="G780" i="61"/>
  <c r="G779" i="61"/>
  <c r="G778" i="61"/>
  <c r="G777" i="61"/>
  <c r="G776" i="61"/>
  <c r="G775" i="61"/>
  <c r="D774" i="61"/>
  <c r="G774" i="61" s="1"/>
  <c r="G773" i="61"/>
  <c r="D772" i="61"/>
  <c r="G772" i="61" s="1"/>
  <c r="G771" i="61"/>
  <c r="G770" i="61"/>
  <c r="G769" i="61"/>
  <c r="G768" i="61"/>
  <c r="G767" i="61"/>
  <c r="D766" i="61"/>
  <c r="G766" i="61" s="1"/>
  <c r="G765" i="61"/>
  <c r="G764" i="61"/>
  <c r="G763" i="61"/>
  <c r="G762" i="61"/>
  <c r="G761" i="61"/>
  <c r="G760" i="61"/>
  <c r="G759" i="61"/>
  <c r="G758" i="61"/>
  <c r="G757" i="61"/>
  <c r="G756" i="61"/>
  <c r="G755" i="61"/>
  <c r="F754" i="61"/>
  <c r="F749" i="61" s="1"/>
  <c r="E754" i="61"/>
  <c r="E749" i="61" s="1"/>
  <c r="D754" i="61"/>
  <c r="G753" i="61"/>
  <c r="D752" i="61"/>
  <c r="G752" i="61" s="1"/>
  <c r="D751" i="61"/>
  <c r="G750" i="61"/>
  <c r="G748" i="61"/>
  <c r="G744" i="61"/>
  <c r="E743" i="61"/>
  <c r="D743" i="61"/>
  <c r="F742" i="61"/>
  <c r="F741" i="61" s="1"/>
  <c r="E742" i="61"/>
  <c r="E741" i="61" s="1"/>
  <c r="D742" i="61"/>
  <c r="G740" i="61"/>
  <c r="G739" i="61"/>
  <c r="G738" i="61"/>
  <c r="G737" i="61"/>
  <c r="E736" i="61"/>
  <c r="D736" i="61"/>
  <c r="E735" i="61"/>
  <c r="D735" i="61"/>
  <c r="G734" i="61"/>
  <c r="G733" i="61"/>
  <c r="G732" i="61"/>
  <c r="G731" i="61"/>
  <c r="G730" i="61"/>
  <c r="G729" i="61"/>
  <c r="G728" i="61"/>
  <c r="G727" i="61"/>
  <c r="I726" i="61"/>
  <c r="J726" i="61" s="1"/>
  <c r="G724" i="61"/>
  <c r="G723" i="61"/>
  <c r="G722" i="61"/>
  <c r="G721" i="61"/>
  <c r="G720" i="61"/>
  <c r="G719" i="61"/>
  <c r="G718" i="61"/>
  <c r="G717" i="61"/>
  <c r="G716" i="61"/>
  <c r="G715" i="61"/>
  <c r="F714" i="61"/>
  <c r="E714" i="61"/>
  <c r="D714" i="61"/>
  <c r="F713" i="61"/>
  <c r="E713" i="61"/>
  <c r="D713" i="61"/>
  <c r="G712" i="61"/>
  <c r="G711" i="61"/>
  <c r="G710" i="61"/>
  <c r="G709" i="61"/>
  <c r="G708" i="61"/>
  <c r="G707" i="61"/>
  <c r="G706" i="61"/>
  <c r="G705" i="61"/>
  <c r="I704" i="61"/>
  <c r="G702" i="61"/>
  <c r="I700" i="61"/>
  <c r="J700" i="61" s="1"/>
  <c r="G698" i="61"/>
  <c r="F697" i="61"/>
  <c r="E697" i="61"/>
  <c r="D697" i="61"/>
  <c r="F696" i="61"/>
  <c r="E696" i="61"/>
  <c r="D696" i="61"/>
  <c r="G694" i="61"/>
  <c r="G692" i="61"/>
  <c r="G691" i="61"/>
  <c r="G689" i="61"/>
  <c r="G687" i="61"/>
  <c r="G686" i="61"/>
  <c r="G685" i="61"/>
  <c r="G684" i="61"/>
  <c r="G683" i="61"/>
  <c r="G682" i="61"/>
  <c r="G681" i="61"/>
  <c r="G680" i="61"/>
  <c r="G679" i="61"/>
  <c r="G678" i="61"/>
  <c r="G677" i="61"/>
  <c r="G676" i="61"/>
  <c r="G675" i="61"/>
  <c r="G674" i="61"/>
  <c r="G673" i="61"/>
  <c r="G672" i="61"/>
  <c r="G671" i="61"/>
  <c r="G670" i="61"/>
  <c r="F669" i="61"/>
  <c r="F662" i="61" s="1"/>
  <c r="F646" i="61" s="1"/>
  <c r="F650" i="61" s="1"/>
  <c r="D669" i="61"/>
  <c r="G668" i="61"/>
  <c r="G667" i="61"/>
  <c r="G666" i="61"/>
  <c r="D665" i="61"/>
  <c r="G665" i="61" s="1"/>
  <c r="D664" i="61"/>
  <c r="G663" i="61"/>
  <c r="E662" i="61"/>
  <c r="G661" i="61"/>
  <c r="G660" i="61"/>
  <c r="G659" i="61"/>
  <c r="D658" i="61"/>
  <c r="G656" i="61"/>
  <c r="G655" i="61"/>
  <c r="G654" i="61"/>
  <c r="E653" i="61"/>
  <c r="E652" i="61" s="1"/>
  <c r="D653" i="61"/>
  <c r="G651" i="61"/>
  <c r="G649" i="61"/>
  <c r="G647" i="61"/>
  <c r="G645" i="61"/>
  <c r="G644" i="61"/>
  <c r="G643" i="61"/>
  <c r="G642" i="61"/>
  <c r="G641" i="61"/>
  <c r="G640" i="61"/>
  <c r="G639" i="61"/>
  <c r="G638" i="61"/>
  <c r="G637" i="61"/>
  <c r="G636" i="61"/>
  <c r="G635" i="61"/>
  <c r="G634" i="61"/>
  <c r="G633" i="61"/>
  <c r="G632" i="61"/>
  <c r="G631" i="61"/>
  <c r="G630" i="61"/>
  <c r="G629" i="61"/>
  <c r="G628" i="61"/>
  <c r="G627" i="61"/>
  <c r="G626" i="61"/>
  <c r="G625" i="61"/>
  <c r="G624" i="61"/>
  <c r="G623" i="61"/>
  <c r="G622" i="61"/>
  <c r="G621" i="61"/>
  <c r="G620" i="61"/>
  <c r="E612" i="61"/>
  <c r="D612" i="61"/>
  <c r="G616" i="61"/>
  <c r="G615" i="61"/>
  <c r="G614" i="61"/>
  <c r="G613" i="61"/>
  <c r="G611" i="61"/>
  <c r="G610" i="61"/>
  <c r="G609" i="61"/>
  <c r="G608" i="61"/>
  <c r="G607" i="61"/>
  <c r="G606" i="61"/>
  <c r="G605" i="61"/>
  <c r="G604" i="61"/>
  <c r="G603" i="61"/>
  <c r="G602" i="61"/>
  <c r="I600" i="61"/>
  <c r="J600" i="61" s="1"/>
  <c r="G598" i="61"/>
  <c r="G597" i="61"/>
  <c r="I596" i="61"/>
  <c r="G595" i="61"/>
  <c r="G594" i="61"/>
  <c r="G593" i="61"/>
  <c r="F592" i="61"/>
  <c r="D592" i="61"/>
  <c r="G590" i="61"/>
  <c r="G589" i="61"/>
  <c r="G588" i="61"/>
  <c r="F587" i="61"/>
  <c r="E587" i="61"/>
  <c r="D587" i="61"/>
  <c r="G585" i="61"/>
  <c r="G584" i="61"/>
  <c r="G583" i="61"/>
  <c r="E582" i="61"/>
  <c r="E581" i="61" s="1"/>
  <c r="D582" i="61"/>
  <c r="G580" i="61"/>
  <c r="G578" i="61"/>
  <c r="G577" i="61"/>
  <c r="G576" i="61"/>
  <c r="G575" i="61"/>
  <c r="G574" i="61"/>
  <c r="F573" i="61"/>
  <c r="E573" i="61"/>
  <c r="D573" i="61"/>
  <c r="G572" i="61"/>
  <c r="G570" i="61"/>
  <c r="G569" i="61"/>
  <c r="G568" i="61"/>
  <c r="G567" i="61"/>
  <c r="G566" i="61"/>
  <c r="G565" i="61"/>
  <c r="D564" i="61"/>
  <c r="G564" i="61" s="1"/>
  <c r="D563" i="61"/>
  <c r="G563" i="61" s="1"/>
  <c r="G562" i="61"/>
  <c r="G561" i="61"/>
  <c r="G560" i="61"/>
  <c r="D559" i="61"/>
  <c r="G559" i="61" s="1"/>
  <c r="D558" i="61"/>
  <c r="G558" i="61" s="1"/>
  <c r="G557" i="61"/>
  <c r="G555" i="61"/>
  <c r="G553" i="61"/>
  <c r="G552" i="61"/>
  <c r="G551" i="61"/>
  <c r="G550" i="61"/>
  <c r="D549" i="61"/>
  <c r="G549" i="61" s="1"/>
  <c r="D548" i="61"/>
  <c r="G548" i="61" s="1"/>
  <c r="G547" i="61"/>
  <c r="G546" i="61"/>
  <c r="G545" i="61"/>
  <c r="G544" i="61"/>
  <c r="G543" i="61"/>
  <c r="G542" i="61"/>
  <c r="G541" i="61"/>
  <c r="G540" i="61"/>
  <c r="G539" i="61"/>
  <c r="G538" i="61"/>
  <c r="F537" i="61"/>
  <c r="F522" i="61" s="1"/>
  <c r="E537" i="61"/>
  <c r="E522" i="61" s="1"/>
  <c r="D537" i="61"/>
  <c r="G536" i="61"/>
  <c r="G535" i="61"/>
  <c r="G534" i="61"/>
  <c r="G533" i="61"/>
  <c r="G532" i="61"/>
  <c r="G531" i="61"/>
  <c r="G530" i="61"/>
  <c r="G529" i="61"/>
  <c r="G528" i="61"/>
  <c r="G527" i="61"/>
  <c r="G526" i="61"/>
  <c r="G525" i="61"/>
  <c r="G524" i="61"/>
  <c r="F523" i="61"/>
  <c r="E523" i="61"/>
  <c r="G521" i="61"/>
  <c r="G520" i="61"/>
  <c r="G519" i="61"/>
  <c r="G518" i="61"/>
  <c r="G517" i="61"/>
  <c r="I515" i="61"/>
  <c r="G514" i="61"/>
  <c r="G513" i="61"/>
  <c r="G512" i="61"/>
  <c r="G511" i="61"/>
  <c r="G510" i="61"/>
  <c r="G509" i="61"/>
  <c r="G508" i="61"/>
  <c r="G507" i="61"/>
  <c r="G506" i="61"/>
  <c r="G505" i="61"/>
  <c r="G504" i="61"/>
  <c r="G503" i="61"/>
  <c r="G502" i="61"/>
  <c r="G501" i="61"/>
  <c r="F481" i="61"/>
  <c r="G498" i="61"/>
  <c r="G497" i="61"/>
  <c r="I496" i="61"/>
  <c r="J496" i="61" s="1"/>
  <c r="G493" i="61"/>
  <c r="G492" i="61"/>
  <c r="G491" i="61"/>
  <c r="G490" i="61"/>
  <c r="G489" i="61"/>
  <c r="G488" i="61"/>
  <c r="D487" i="61"/>
  <c r="G487" i="61" s="1"/>
  <c r="D486" i="61"/>
  <c r="G485" i="61"/>
  <c r="G484" i="61"/>
  <c r="G483" i="61"/>
  <c r="G482" i="61"/>
  <c r="E481" i="61"/>
  <c r="E480" i="61"/>
  <c r="G479" i="61"/>
  <c r="G478" i="61"/>
  <c r="G477" i="61"/>
  <c r="G476" i="61"/>
  <c r="G475" i="61"/>
  <c r="G474" i="61"/>
  <c r="G473" i="61"/>
  <c r="G472" i="61"/>
  <c r="G471" i="61"/>
  <c r="G470" i="61"/>
  <c r="G469" i="61"/>
  <c r="G468" i="61"/>
  <c r="G467" i="61"/>
  <c r="D462" i="61"/>
  <c r="G464" i="61"/>
  <c r="F463" i="61"/>
  <c r="E463" i="61"/>
  <c r="D463" i="61"/>
  <c r="E462" i="61"/>
  <c r="G461" i="61"/>
  <c r="G460" i="61"/>
  <c r="G459" i="61"/>
  <c r="G458" i="61"/>
  <c r="G457" i="61"/>
  <c r="E429" i="61"/>
  <c r="D429" i="61"/>
  <c r="G455" i="61"/>
  <c r="G454" i="61"/>
  <c r="I452" i="61"/>
  <c r="J452" i="61" s="1"/>
  <c r="G451" i="61"/>
  <c r="G450" i="61"/>
  <c r="G449" i="61"/>
  <c r="G448" i="61"/>
  <c r="G447" i="61"/>
  <c r="G445" i="61"/>
  <c r="G444" i="61"/>
  <c r="G443" i="61"/>
  <c r="G442" i="61"/>
  <c r="G441" i="61"/>
  <c r="G440" i="61"/>
  <c r="G439" i="61"/>
  <c r="G438" i="61"/>
  <c r="G437" i="61"/>
  <c r="G436" i="61"/>
  <c r="G435" i="61"/>
  <c r="G434" i="61"/>
  <c r="G433" i="61"/>
  <c r="G432" i="61"/>
  <c r="G431" i="61"/>
  <c r="E430" i="61"/>
  <c r="D430" i="61"/>
  <c r="G427" i="61"/>
  <c r="G425" i="61"/>
  <c r="G424" i="61"/>
  <c r="G422" i="61"/>
  <c r="G420" i="61"/>
  <c r="G419" i="61"/>
  <c r="G418" i="61"/>
  <c r="G417" i="61"/>
  <c r="G416" i="61"/>
  <c r="G415" i="61"/>
  <c r="G414" i="61"/>
  <c r="G413" i="61"/>
  <c r="G412" i="61"/>
  <c r="G411" i="61"/>
  <c r="G410" i="61"/>
  <c r="G409" i="61"/>
  <c r="G408" i="61"/>
  <c r="G407" i="61"/>
  <c r="G406" i="61"/>
  <c r="G405" i="61"/>
  <c r="D404" i="61"/>
  <c r="G404" i="61" s="1"/>
  <c r="F403" i="61"/>
  <c r="F394" i="61" s="1"/>
  <c r="E403" i="61"/>
  <c r="E394" i="61" s="1"/>
  <c r="G402" i="61"/>
  <c r="G401" i="61"/>
  <c r="G400" i="61"/>
  <c r="G399" i="61"/>
  <c r="G398" i="61"/>
  <c r="G397" i="61"/>
  <c r="G396" i="61"/>
  <c r="D395" i="61"/>
  <c r="G393" i="61"/>
  <c r="D392" i="61"/>
  <c r="G392" i="61" s="1"/>
  <c r="G390" i="61"/>
  <c r="G389" i="61"/>
  <c r="G388" i="61"/>
  <c r="G387" i="61"/>
  <c r="G386" i="61"/>
  <c r="G385" i="61"/>
  <c r="G384" i="61"/>
  <c r="G383" i="61"/>
  <c r="G382" i="61"/>
  <c r="G381" i="61"/>
  <c r="G380" i="61"/>
  <c r="D379" i="61"/>
  <c r="G379" i="61" s="1"/>
  <c r="G378" i="61"/>
  <c r="D377" i="61"/>
  <c r="G377" i="61" s="1"/>
  <c r="F376" i="61"/>
  <c r="E376" i="61"/>
  <c r="G375" i="61"/>
  <c r="G374" i="61"/>
  <c r="D373" i="61"/>
  <c r="G372" i="61"/>
  <c r="D371" i="61"/>
  <c r="G371" i="61" s="1"/>
  <c r="D370" i="61"/>
  <c r="G370" i="61" s="1"/>
  <c r="G369" i="61"/>
  <c r="G367" i="61"/>
  <c r="G366" i="61"/>
  <c r="G365" i="61"/>
  <c r="G364" i="61"/>
  <c r="G363" i="61"/>
  <c r="F362" i="61"/>
  <c r="D362" i="61"/>
  <c r="F361" i="61"/>
  <c r="F360" i="61" s="1"/>
  <c r="D361" i="61"/>
  <c r="G359" i="61"/>
  <c r="G358" i="61"/>
  <c r="G357" i="61"/>
  <c r="G356" i="61"/>
  <c r="G355" i="61"/>
  <c r="F354" i="61"/>
  <c r="E354" i="61"/>
  <c r="D354" i="61"/>
  <c r="F353" i="61"/>
  <c r="E353" i="61"/>
  <c r="D353" i="61"/>
  <c r="E352" i="61"/>
  <c r="G352" i="61" s="1"/>
  <c r="D351" i="61"/>
  <c r="G351" i="61" s="1"/>
  <c r="G350" i="61"/>
  <c r="G349" i="61"/>
  <c r="F348" i="61"/>
  <c r="E348" i="61"/>
  <c r="G347" i="61"/>
  <c r="D346" i="61"/>
  <c r="D345" i="61"/>
  <c r="G345" i="61" s="1"/>
  <c r="G344" i="61"/>
  <c r="G343" i="61"/>
  <c r="G342" i="61"/>
  <c r="G341" i="61"/>
  <c r="G340" i="61"/>
  <c r="G339" i="61"/>
  <c r="D338" i="61"/>
  <c r="G338" i="61" s="1"/>
  <c r="D337" i="61"/>
  <c r="G337" i="61" s="1"/>
  <c r="G336" i="61"/>
  <c r="G335" i="61"/>
  <c r="D334" i="61"/>
  <c r="G334" i="61" s="1"/>
  <c r="D333" i="61"/>
  <c r="G333" i="61" s="1"/>
  <c r="G332" i="61"/>
  <c r="G331" i="61"/>
  <c r="F330" i="61"/>
  <c r="E330" i="61"/>
  <c r="F329" i="61"/>
  <c r="E329" i="61"/>
  <c r="G327" i="61"/>
  <c r="G325" i="61"/>
  <c r="G324" i="61"/>
  <c r="G322" i="61"/>
  <c r="G320" i="61"/>
  <c r="G319" i="61"/>
  <c r="G318" i="61"/>
  <c r="G317" i="61"/>
  <c r="G316" i="61"/>
  <c r="G315" i="61"/>
  <c r="G314" i="61"/>
  <c r="G313" i="61"/>
  <c r="G312" i="61"/>
  <c r="G311" i="61"/>
  <c r="G309" i="61"/>
  <c r="G308" i="61"/>
  <c r="G307" i="61"/>
  <c r="G306" i="61"/>
  <c r="G305" i="61"/>
  <c r="G304" i="61"/>
  <c r="G303" i="61"/>
  <c r="G302" i="61"/>
  <c r="G301" i="61"/>
  <c r="G298" i="61"/>
  <c r="G297" i="61"/>
  <c r="G296" i="61"/>
  <c r="G295" i="61"/>
  <c r="G294" i="61"/>
  <c r="G293" i="61"/>
  <c r="G292" i="61"/>
  <c r="G291" i="61"/>
  <c r="G290" i="61"/>
  <c r="G289" i="61"/>
  <c r="G288" i="61"/>
  <c r="G287" i="61"/>
  <c r="G286" i="61"/>
  <c r="G285" i="61"/>
  <c r="G284" i="61"/>
  <c r="G283" i="61"/>
  <c r="G282" i="61"/>
  <c r="G281" i="61"/>
  <c r="G280" i="61"/>
  <c r="D279" i="61"/>
  <c r="G279" i="61" s="1"/>
  <c r="G278" i="61"/>
  <c r="G277" i="61"/>
  <c r="G276" i="61"/>
  <c r="G275" i="61"/>
  <c r="G274" i="61"/>
  <c r="G273" i="61"/>
  <c r="G272" i="61"/>
  <c r="G271" i="61"/>
  <c r="G270" i="61"/>
  <c r="G269" i="61"/>
  <c r="G268" i="61"/>
  <c r="G267" i="61"/>
  <c r="G266" i="61"/>
  <c r="G265" i="61"/>
  <c r="G264" i="61"/>
  <c r="D263" i="61"/>
  <c r="G263" i="61" s="1"/>
  <c r="G262" i="61"/>
  <c r="G261" i="61"/>
  <c r="G260" i="61"/>
  <c r="G259" i="61"/>
  <c r="G258" i="61"/>
  <c r="G257" i="61"/>
  <c r="G256" i="61"/>
  <c r="G255" i="61"/>
  <c r="F254" i="61"/>
  <c r="E254" i="61"/>
  <c r="D254" i="61"/>
  <c r="G253" i="61"/>
  <c r="D252" i="61"/>
  <c r="G252" i="61" s="1"/>
  <c r="F251" i="61"/>
  <c r="E251" i="61"/>
  <c r="D251" i="61"/>
  <c r="G250" i="61"/>
  <c r="G248" i="61"/>
  <c r="G247" i="61"/>
  <c r="G246" i="61"/>
  <c r="G245" i="61"/>
  <c r="G244" i="61"/>
  <c r="G243" i="61"/>
  <c r="G242" i="61"/>
  <c r="G241" i="61"/>
  <c r="G240" i="61"/>
  <c r="F239" i="61"/>
  <c r="F224" i="61" s="1"/>
  <c r="G238" i="61"/>
  <c r="G237" i="61"/>
  <c r="G236" i="61"/>
  <c r="G235" i="61"/>
  <c r="G234" i="61"/>
  <c r="G233" i="61"/>
  <c r="G232" i="61"/>
  <c r="G231" i="61"/>
  <c r="G230" i="61"/>
  <c r="G229" i="61"/>
  <c r="G228" i="61"/>
  <c r="G227" i="61"/>
  <c r="G226" i="61"/>
  <c r="F225" i="61"/>
  <c r="E225" i="61"/>
  <c r="D225" i="61"/>
  <c r="E224" i="61"/>
  <c r="D224" i="61"/>
  <c r="G223" i="61"/>
  <c r="G221" i="61"/>
  <c r="G220" i="61"/>
  <c r="G218" i="61"/>
  <c r="G216" i="61"/>
  <c r="G215" i="61"/>
  <c r="G214" i="61"/>
  <c r="G213" i="61"/>
  <c r="G212" i="61"/>
  <c r="G211" i="61"/>
  <c r="G210" i="61"/>
  <c r="G209" i="61"/>
  <c r="G208" i="61"/>
  <c r="G207" i="61"/>
  <c r="G206" i="61"/>
  <c r="G205" i="61"/>
  <c r="G204" i="61"/>
  <c r="G203" i="61"/>
  <c r="G202" i="61"/>
  <c r="G201" i="61"/>
  <c r="G200" i="61"/>
  <c r="G199" i="61"/>
  <c r="G197" i="61"/>
  <c r="G195" i="61"/>
  <c r="G194" i="61"/>
  <c r="G193" i="61"/>
  <c r="G192" i="61"/>
  <c r="D191" i="61"/>
  <c r="G191" i="61" s="1"/>
  <c r="G190" i="61"/>
  <c r="G189" i="61"/>
  <c r="G188" i="61"/>
  <c r="G187" i="61"/>
  <c r="G186" i="61"/>
  <c r="E185" i="61"/>
  <c r="D185" i="61"/>
  <c r="E184" i="61"/>
  <c r="E182" i="61" s="1"/>
  <c r="D184" i="61"/>
  <c r="G183" i="61"/>
  <c r="F182" i="61"/>
  <c r="G181" i="61"/>
  <c r="G180" i="61"/>
  <c r="G179" i="61"/>
  <c r="G178" i="61"/>
  <c r="G177" i="61"/>
  <c r="G176" i="61"/>
  <c r="G175" i="61"/>
  <c r="G174" i="61"/>
  <c r="G173" i="61"/>
  <c r="G172" i="61"/>
  <c r="G171" i="61"/>
  <c r="G170" i="61"/>
  <c r="G169" i="61"/>
  <c r="F168" i="61"/>
  <c r="G168" i="61" s="1"/>
  <c r="G167" i="61"/>
  <c r="G166" i="61"/>
  <c r="G165" i="61"/>
  <c r="G164" i="61"/>
  <c r="G163" i="61"/>
  <c r="G162" i="61"/>
  <c r="G161" i="61"/>
  <c r="G160" i="61"/>
  <c r="F159" i="61"/>
  <c r="G159" i="61" s="1"/>
  <c r="G158" i="61"/>
  <c r="F157" i="61"/>
  <c r="E157" i="61"/>
  <c r="D157" i="61"/>
  <c r="E156" i="61"/>
  <c r="D156" i="61"/>
  <c r="G155" i="61"/>
  <c r="F153" i="61"/>
  <c r="E153" i="61"/>
  <c r="G150" i="61"/>
  <c r="G148" i="61"/>
  <c r="G147" i="61"/>
  <c r="G146" i="61"/>
  <c r="G145" i="61"/>
  <c r="D144" i="61"/>
  <c r="G144" i="61" s="1"/>
  <c r="D143" i="61"/>
  <c r="G143" i="61" s="1"/>
  <c r="G142" i="61"/>
  <c r="G140" i="61"/>
  <c r="G139" i="61"/>
  <c r="G137" i="61"/>
  <c r="F136" i="61"/>
  <c r="F141" i="61" s="1"/>
  <c r="E136" i="61"/>
  <c r="E141" i="61" s="1"/>
  <c r="E1655" i="61" s="1"/>
  <c r="G135" i="61"/>
  <c r="G134" i="61"/>
  <c r="G133" i="61"/>
  <c r="G132" i="61"/>
  <c r="G131" i="61"/>
  <c r="G130" i="61"/>
  <c r="G129" i="61"/>
  <c r="D128" i="61"/>
  <c r="D127" i="61"/>
  <c r="G127" i="61" s="1"/>
  <c r="G126" i="61"/>
  <c r="G124" i="61"/>
  <c r="G122" i="61"/>
  <c r="F121" i="61"/>
  <c r="F125" i="61" s="1"/>
  <c r="G120" i="61"/>
  <c r="G119" i="61"/>
  <c r="G118" i="61"/>
  <c r="G117" i="61"/>
  <c r="G116" i="61"/>
  <c r="G115" i="61"/>
  <c r="G114" i="61"/>
  <c r="G113" i="61"/>
  <c r="G112" i="61"/>
  <c r="G111" i="61"/>
  <c r="G110" i="61"/>
  <c r="G109" i="61"/>
  <c r="G108" i="61"/>
  <c r="G107" i="61"/>
  <c r="G106" i="61"/>
  <c r="D105" i="61"/>
  <c r="G104" i="61"/>
  <c r="G103" i="61"/>
  <c r="G102" i="61"/>
  <c r="G101" i="61"/>
  <c r="G100" i="61"/>
  <c r="G99" i="61"/>
  <c r="G98" i="61"/>
  <c r="G97" i="61"/>
  <c r="G96" i="61"/>
  <c r="G95" i="61"/>
  <c r="G94" i="61"/>
  <c r="G93" i="61"/>
  <c r="D92" i="61"/>
  <c r="G91" i="61"/>
  <c r="G90" i="61"/>
  <c r="G89" i="61"/>
  <c r="G88" i="61"/>
  <c r="G87" i="61"/>
  <c r="G86" i="61"/>
  <c r="G85" i="61"/>
  <c r="G84" i="61"/>
  <c r="G83" i="61"/>
  <c r="G82" i="61"/>
  <c r="G81" i="61"/>
  <c r="G80" i="61"/>
  <c r="G79" i="61"/>
  <c r="G78" i="61"/>
  <c r="G77" i="61"/>
  <c r="G76" i="61"/>
  <c r="G75" i="61"/>
  <c r="G74" i="61"/>
  <c r="G73" i="61"/>
  <c r="G72" i="61"/>
  <c r="D71" i="61"/>
  <c r="G71" i="61" s="1"/>
  <c r="G70" i="61"/>
  <c r="G69" i="61"/>
  <c r="G68" i="61"/>
  <c r="G67" i="61"/>
  <c r="G66" i="61"/>
  <c r="G65" i="61"/>
  <c r="G64" i="61"/>
  <c r="G63" i="61"/>
  <c r="G62" i="61"/>
  <c r="G61" i="61"/>
  <c r="G60" i="61"/>
  <c r="G59" i="61"/>
  <c r="G58" i="61"/>
  <c r="D57" i="61"/>
  <c r="G57" i="61" s="1"/>
  <c r="D56" i="61"/>
  <c r="G55" i="61"/>
  <c r="D54" i="61"/>
  <c r="G54" i="61" s="1"/>
  <c r="D53" i="61"/>
  <c r="G53" i="61" s="1"/>
  <c r="G52" i="61"/>
  <c r="G51" i="61"/>
  <c r="G50" i="61"/>
  <c r="G49" i="61"/>
  <c r="G48" i="61"/>
  <c r="G47" i="61"/>
  <c r="G46" i="61"/>
  <c r="G45" i="61"/>
  <c r="G44" i="61"/>
  <c r="G43" i="61"/>
  <c r="G42" i="61"/>
  <c r="G41" i="61"/>
  <c r="G40" i="61"/>
  <c r="G39" i="61"/>
  <c r="G38" i="61"/>
  <c r="D37" i="61"/>
  <c r="G34" i="61"/>
  <c r="G32" i="61"/>
  <c r="G31" i="61"/>
  <c r="G29" i="61"/>
  <c r="F28" i="61"/>
  <c r="F33" i="61" s="1"/>
  <c r="E28" i="61"/>
  <c r="E33" i="61" s="1"/>
  <c r="G27" i="61"/>
  <c r="G26" i="61"/>
  <c r="G25" i="61"/>
  <c r="G24" i="61"/>
  <c r="G23" i="61"/>
  <c r="G22" i="61"/>
  <c r="G21" i="61"/>
  <c r="G20" i="61"/>
  <c r="G19" i="61"/>
  <c r="G18" i="61"/>
  <c r="G17" i="61"/>
  <c r="G16" i="61"/>
  <c r="G15" i="61"/>
  <c r="D14" i="61"/>
  <c r="G14" i="61" s="1"/>
  <c r="D13" i="61"/>
  <c r="G13" i="61" s="1"/>
  <c r="G12" i="61"/>
  <c r="G10" i="61"/>
  <c r="G8" i="61"/>
  <c r="F7" i="61"/>
  <c r="F11" i="61" s="1"/>
  <c r="E7" i="61"/>
  <c r="E11" i="61" s="1"/>
  <c r="E1652" i="61" s="1"/>
  <c r="G37" i="61" l="1"/>
  <c r="D35" i="61"/>
  <c r="G35" i="61"/>
  <c r="I35" i="61" s="1"/>
  <c r="J35" i="61" s="1"/>
  <c r="I8" i="61"/>
  <c r="J8" i="61" s="1"/>
  <c r="I26" i="61"/>
  <c r="I29" i="61"/>
  <c r="J29" i="61" s="1"/>
  <c r="I45" i="61"/>
  <c r="I49" i="61"/>
  <c r="I57" i="61"/>
  <c r="J57" i="61" s="1"/>
  <c r="I61" i="61"/>
  <c r="J61" i="61" s="1"/>
  <c r="I65" i="61"/>
  <c r="I69" i="61"/>
  <c r="I73" i="61"/>
  <c r="J73" i="61" s="1"/>
  <c r="I77" i="61"/>
  <c r="J77" i="61" s="1"/>
  <c r="I81" i="61"/>
  <c r="I85" i="61"/>
  <c r="J85" i="61" s="1"/>
  <c r="I89" i="61"/>
  <c r="I101" i="61"/>
  <c r="G105" i="61"/>
  <c r="I105" i="61" s="1"/>
  <c r="J105" i="61" s="1"/>
  <c r="I109" i="61"/>
  <c r="I113" i="61"/>
  <c r="I117" i="61"/>
  <c r="I127" i="61"/>
  <c r="J127" i="61" s="1"/>
  <c r="I131" i="61"/>
  <c r="J131" i="61" s="1"/>
  <c r="I135" i="61"/>
  <c r="I139" i="61"/>
  <c r="J139" i="61" s="1"/>
  <c r="I148" i="61"/>
  <c r="I155" i="61"/>
  <c r="I164" i="61"/>
  <c r="I176" i="61"/>
  <c r="J176" i="61" s="1"/>
  <c r="I180" i="61"/>
  <c r="J180" i="61" s="1"/>
  <c r="I186" i="61"/>
  <c r="I190" i="61"/>
  <c r="I194" i="61"/>
  <c r="I200" i="61"/>
  <c r="J200" i="61" s="1"/>
  <c r="I208" i="61"/>
  <c r="I212" i="61"/>
  <c r="J212" i="61" s="1"/>
  <c r="I216" i="61"/>
  <c r="I223" i="61"/>
  <c r="I228" i="61"/>
  <c r="J228" i="61" s="1"/>
  <c r="I232" i="61"/>
  <c r="I240" i="61"/>
  <c r="J240" i="61" s="1"/>
  <c r="I244" i="61"/>
  <c r="I248" i="61"/>
  <c r="I257" i="61"/>
  <c r="J257" i="61" s="1"/>
  <c r="I261" i="61"/>
  <c r="J261" i="61" s="1"/>
  <c r="I265" i="61"/>
  <c r="I269" i="61"/>
  <c r="J269" i="61" s="1"/>
  <c r="I273" i="61"/>
  <c r="J273" i="61" s="1"/>
  <c r="I277" i="61"/>
  <c r="I281" i="61"/>
  <c r="J281" i="61" s="1"/>
  <c r="I285" i="61"/>
  <c r="J285" i="61" s="1"/>
  <c r="I289" i="61"/>
  <c r="I293" i="61"/>
  <c r="J293" i="61" s="1"/>
  <c r="I297" i="61"/>
  <c r="J297" i="61" s="1"/>
  <c r="I303" i="61"/>
  <c r="J303" i="61" s="1"/>
  <c r="I307" i="61"/>
  <c r="J307" i="61" s="1"/>
  <c r="I312" i="61"/>
  <c r="I316" i="61"/>
  <c r="J316" i="61" s="1"/>
  <c r="I320" i="61"/>
  <c r="I327" i="61"/>
  <c r="I334" i="61"/>
  <c r="J334" i="61" s="1"/>
  <c r="I349" i="61"/>
  <c r="I357" i="61"/>
  <c r="J357" i="61" s="1"/>
  <c r="I364" i="61"/>
  <c r="I369" i="61"/>
  <c r="G373" i="61"/>
  <c r="I373" i="61" s="1"/>
  <c r="J373" i="61" s="1"/>
  <c r="I380" i="61"/>
  <c r="J380" i="61" s="1"/>
  <c r="I384" i="61"/>
  <c r="J384" i="61" s="1"/>
  <c r="I388" i="61"/>
  <c r="J388" i="61" s="1"/>
  <c r="I393" i="61"/>
  <c r="I398" i="61"/>
  <c r="J398" i="61" s="1"/>
  <c r="I405" i="61"/>
  <c r="J405" i="61" s="1"/>
  <c r="I409" i="61"/>
  <c r="I413" i="61"/>
  <c r="I417" i="61"/>
  <c r="I422" i="61"/>
  <c r="J422" i="61" s="1"/>
  <c r="I445" i="61"/>
  <c r="I450" i="61"/>
  <c r="I455" i="61"/>
  <c r="I469" i="61"/>
  <c r="J469" i="61" s="1"/>
  <c r="I477" i="61"/>
  <c r="I485" i="61"/>
  <c r="I493" i="61"/>
  <c r="I508" i="61"/>
  <c r="J508" i="61" s="1"/>
  <c r="I521" i="61"/>
  <c r="I525" i="61"/>
  <c r="J525" i="61" s="1"/>
  <c r="I543" i="61"/>
  <c r="I557" i="61"/>
  <c r="I565" i="61"/>
  <c r="I569" i="61"/>
  <c r="J569" i="61" s="1"/>
  <c r="I576" i="61"/>
  <c r="J576" i="61" s="1"/>
  <c r="I585" i="61"/>
  <c r="I602" i="61"/>
  <c r="I610" i="61"/>
  <c r="J610" i="61" s="1"/>
  <c r="I615" i="61"/>
  <c r="J615" i="61" s="1"/>
  <c r="I620" i="61"/>
  <c r="J620" i="61" s="1"/>
  <c r="I632" i="61"/>
  <c r="J632" i="61" s="1"/>
  <c r="I644" i="61"/>
  <c r="I655" i="61"/>
  <c r="J655" i="61" s="1"/>
  <c r="I668" i="61"/>
  <c r="I671" i="61"/>
  <c r="J671" i="61" s="1"/>
  <c r="I675" i="61"/>
  <c r="J675" i="61" s="1"/>
  <c r="I679" i="61"/>
  <c r="J679" i="61" s="1"/>
  <c r="I687" i="61"/>
  <c r="I706" i="61"/>
  <c r="J706" i="61" s="1"/>
  <c r="I710" i="61"/>
  <c r="J710" i="61" s="1"/>
  <c r="I718" i="61"/>
  <c r="I722" i="61"/>
  <c r="J722" i="61" s="1"/>
  <c r="I727" i="61"/>
  <c r="I737" i="61"/>
  <c r="I757" i="61"/>
  <c r="J757" i="61" s="1"/>
  <c r="I761" i="61"/>
  <c r="I777" i="61"/>
  <c r="I781" i="61"/>
  <c r="I785" i="61"/>
  <c r="I800" i="61"/>
  <c r="I808" i="61"/>
  <c r="I812" i="61"/>
  <c r="I816" i="61"/>
  <c r="I828" i="61"/>
  <c r="J828" i="61" s="1"/>
  <c r="I836" i="61"/>
  <c r="J836" i="61" s="1"/>
  <c r="I844" i="61"/>
  <c r="J844" i="61" s="1"/>
  <c r="I860" i="61"/>
  <c r="J860" i="61" s="1"/>
  <c r="I868" i="61"/>
  <c r="I873" i="61"/>
  <c r="J873" i="61" s="1"/>
  <c r="I889" i="61"/>
  <c r="I893" i="61"/>
  <c r="J893" i="61" s="1"/>
  <c r="D897" i="61"/>
  <c r="I910" i="61"/>
  <c r="J910" i="61" s="1"/>
  <c r="I918" i="61"/>
  <c r="I922" i="61"/>
  <c r="I935" i="61"/>
  <c r="I938" i="61"/>
  <c r="J938" i="61" s="1"/>
  <c r="I944" i="61"/>
  <c r="J944" i="61" s="1"/>
  <c r="I952" i="61"/>
  <c r="J952" i="61" s="1"/>
  <c r="I956" i="61"/>
  <c r="J956" i="61" s="1"/>
  <c r="I960" i="61"/>
  <c r="I974" i="61"/>
  <c r="J974" i="61" s="1"/>
  <c r="I978" i="61"/>
  <c r="I987" i="61"/>
  <c r="I1013" i="61"/>
  <c r="I1017" i="61"/>
  <c r="I1029" i="61"/>
  <c r="I1033" i="61"/>
  <c r="J1033" i="61" s="1"/>
  <c r="I1037" i="61"/>
  <c r="I1041" i="61"/>
  <c r="J1041" i="61" s="1"/>
  <c r="I1049" i="61"/>
  <c r="I1057" i="61"/>
  <c r="I1066" i="61"/>
  <c r="J1066" i="61" s="1"/>
  <c r="I1082" i="61"/>
  <c r="J1082" i="61" s="1"/>
  <c r="I1090" i="61"/>
  <c r="I1094" i="61"/>
  <c r="J1094" i="61" s="1"/>
  <c r="I1112" i="61"/>
  <c r="J1112" i="61" s="1"/>
  <c r="I1119" i="61"/>
  <c r="I1122" i="61"/>
  <c r="I1132" i="61"/>
  <c r="I1135" i="61"/>
  <c r="J1135" i="61" s="1"/>
  <c r="I1139" i="61"/>
  <c r="I1147" i="61"/>
  <c r="I1151" i="61"/>
  <c r="I1156" i="61"/>
  <c r="J1156" i="61" s="1"/>
  <c r="I1164" i="61"/>
  <c r="I1167" i="61"/>
  <c r="D1171" i="61"/>
  <c r="I1174" i="61"/>
  <c r="J1174" i="61" s="1"/>
  <c r="I1178" i="61"/>
  <c r="J1178" i="61" s="1"/>
  <c r="I1184" i="61"/>
  <c r="I1195" i="61"/>
  <c r="J1195" i="61" s="1"/>
  <c r="I1199" i="61"/>
  <c r="J1199" i="61" s="1"/>
  <c r="I1203" i="61"/>
  <c r="J1203" i="61" s="1"/>
  <c r="I1219" i="61"/>
  <c r="I1238" i="61"/>
  <c r="I1250" i="61"/>
  <c r="J1250" i="61" s="1"/>
  <c r="I1258" i="61"/>
  <c r="J1258" i="61" s="1"/>
  <c r="I1266" i="61"/>
  <c r="D1283" i="61"/>
  <c r="I1286" i="61"/>
  <c r="J1286" i="61" s="1"/>
  <c r="I1294" i="61"/>
  <c r="J1294" i="61" s="1"/>
  <c r="I1304" i="61"/>
  <c r="I1306" i="61"/>
  <c r="J1306" i="61" s="1"/>
  <c r="I1323" i="61"/>
  <c r="J1323" i="61" s="1"/>
  <c r="I1331" i="61"/>
  <c r="I1349" i="61"/>
  <c r="I1354" i="61"/>
  <c r="I1356" i="61"/>
  <c r="I1366" i="61"/>
  <c r="I1376" i="61"/>
  <c r="J1376" i="61" s="1"/>
  <c r="I1384" i="61"/>
  <c r="J1384" i="61" s="1"/>
  <c r="I1388" i="61"/>
  <c r="I1395" i="61"/>
  <c r="I1398" i="61"/>
  <c r="J1398" i="61" s="1"/>
  <c r="I1424" i="61"/>
  <c r="J1424" i="61" s="1"/>
  <c r="I1437" i="61"/>
  <c r="J1437" i="61" s="1"/>
  <c r="I1445" i="61"/>
  <c r="J1445" i="61" s="1"/>
  <c r="I1458" i="61"/>
  <c r="J1458" i="61" s="1"/>
  <c r="I1470" i="61"/>
  <c r="J1470" i="61" s="1"/>
  <c r="I1477" i="61"/>
  <c r="J1477" i="61" s="1"/>
  <c r="I1489" i="61"/>
  <c r="J1489" i="61" s="1"/>
  <c r="I1493" i="61"/>
  <c r="J1493" i="61" s="1"/>
  <c r="I1497" i="61"/>
  <c r="J1497" i="61" s="1"/>
  <c r="I1501" i="61"/>
  <c r="J1501" i="61" s="1"/>
  <c r="I1505" i="61"/>
  <c r="I1515" i="61"/>
  <c r="I1522" i="61"/>
  <c r="I1529" i="61"/>
  <c r="I1535" i="61"/>
  <c r="I1541" i="61"/>
  <c r="J1541" i="61" s="1"/>
  <c r="I1549" i="61"/>
  <c r="J1549" i="61" s="1"/>
  <c r="I1553" i="61"/>
  <c r="J1553" i="61" s="1"/>
  <c r="I1557" i="61"/>
  <c r="I18" i="61"/>
  <c r="I10" i="61"/>
  <c r="J10" i="61" s="1"/>
  <c r="I15" i="61"/>
  <c r="I27" i="61"/>
  <c r="I38" i="61"/>
  <c r="I46" i="61"/>
  <c r="J46" i="61" s="1"/>
  <c r="I50" i="61"/>
  <c r="J50" i="61" s="1"/>
  <c r="I54" i="61"/>
  <c r="J54" i="61" s="1"/>
  <c r="I58" i="61"/>
  <c r="I62" i="61"/>
  <c r="I66" i="61"/>
  <c r="I70" i="61"/>
  <c r="I74" i="61"/>
  <c r="J74" i="61" s="1"/>
  <c r="I78" i="61"/>
  <c r="J78" i="61" s="1"/>
  <c r="I82" i="61"/>
  <c r="J82" i="61" s="1"/>
  <c r="I86" i="61"/>
  <c r="I90" i="61"/>
  <c r="J90" i="61" s="1"/>
  <c r="I102" i="61"/>
  <c r="J102" i="61" s="1"/>
  <c r="I106" i="61"/>
  <c r="J106" i="61" s="1"/>
  <c r="I110" i="61"/>
  <c r="J110" i="61" s="1"/>
  <c r="I114" i="61"/>
  <c r="J114" i="61" s="1"/>
  <c r="I118" i="61"/>
  <c r="I122" i="61"/>
  <c r="J122" i="61" s="1"/>
  <c r="I132" i="61"/>
  <c r="I145" i="61"/>
  <c r="I150" i="61"/>
  <c r="J150" i="61" s="1"/>
  <c r="I161" i="61"/>
  <c r="I173" i="61"/>
  <c r="I177" i="61"/>
  <c r="I181" i="61"/>
  <c r="I187" i="61"/>
  <c r="J187" i="61" s="1"/>
  <c r="I195" i="61"/>
  <c r="J195" i="61" s="1"/>
  <c r="I201" i="61"/>
  <c r="I205" i="61"/>
  <c r="J205" i="61" s="1"/>
  <c r="I213" i="61"/>
  <c r="I218" i="61"/>
  <c r="J218" i="61" s="1"/>
  <c r="I229" i="61"/>
  <c r="I233" i="61"/>
  <c r="J233" i="61" s="1"/>
  <c r="I237" i="61"/>
  <c r="J237" i="61" s="1"/>
  <c r="I241" i="61"/>
  <c r="I245" i="61"/>
  <c r="I250" i="61"/>
  <c r="I258" i="61"/>
  <c r="I262" i="61"/>
  <c r="I266" i="61"/>
  <c r="J266" i="61" s="1"/>
  <c r="I270" i="61"/>
  <c r="J270" i="61" s="1"/>
  <c r="I274" i="61"/>
  <c r="J274" i="61" s="1"/>
  <c r="I278" i="61"/>
  <c r="I282" i="61"/>
  <c r="J282" i="61" s="1"/>
  <c r="I286" i="61"/>
  <c r="J286" i="61" s="1"/>
  <c r="I290" i="61"/>
  <c r="J290" i="61" s="1"/>
  <c r="I294" i="61"/>
  <c r="J294" i="61" s="1"/>
  <c r="I298" i="61"/>
  <c r="J298" i="61" s="1"/>
  <c r="I304" i="61"/>
  <c r="I308" i="61"/>
  <c r="I313" i="61"/>
  <c r="J313" i="61" s="1"/>
  <c r="I317" i="61"/>
  <c r="I322" i="61"/>
  <c r="J322" i="61" s="1"/>
  <c r="I331" i="61"/>
  <c r="I335" i="61"/>
  <c r="I339" i="61"/>
  <c r="I343" i="61"/>
  <c r="I347" i="61"/>
  <c r="I350" i="61"/>
  <c r="I358" i="61"/>
  <c r="J358" i="61" s="1"/>
  <c r="I365" i="61"/>
  <c r="J365" i="61" s="1"/>
  <c r="I370" i="61"/>
  <c r="J370" i="61" s="1"/>
  <c r="I374" i="61"/>
  <c r="J374" i="61" s="1"/>
  <c r="I377" i="61"/>
  <c r="J377" i="61" s="1"/>
  <c r="I381" i="61"/>
  <c r="J381" i="61" s="1"/>
  <c r="I385" i="61"/>
  <c r="J385" i="61" s="1"/>
  <c r="I389" i="61"/>
  <c r="J389" i="61" s="1"/>
  <c r="G395" i="61"/>
  <c r="I399" i="61"/>
  <c r="J399" i="61" s="1"/>
  <c r="I406" i="61"/>
  <c r="J406" i="61" s="1"/>
  <c r="I410" i="61"/>
  <c r="I414" i="61"/>
  <c r="J414" i="61" s="1"/>
  <c r="I418" i="61"/>
  <c r="I434" i="61"/>
  <c r="I438" i="61"/>
  <c r="J438" i="61" s="1"/>
  <c r="I442" i="61"/>
  <c r="J442" i="61" s="1"/>
  <c r="I470" i="61"/>
  <c r="I474" i="61"/>
  <c r="I490" i="61"/>
  <c r="J490" i="61" s="1"/>
  <c r="I505" i="61"/>
  <c r="I513" i="61"/>
  <c r="I518" i="61"/>
  <c r="I530" i="61"/>
  <c r="I534" i="61"/>
  <c r="J534" i="61" s="1"/>
  <c r="I548" i="61"/>
  <c r="J548" i="61" s="1"/>
  <c r="I552" i="61"/>
  <c r="J552" i="61" s="1"/>
  <c r="I558" i="61"/>
  <c r="J558" i="61" s="1"/>
  <c r="I562" i="61"/>
  <c r="I570" i="61"/>
  <c r="I577" i="61"/>
  <c r="J577" i="61" s="1"/>
  <c r="I589" i="61"/>
  <c r="J589" i="61" s="1"/>
  <c r="I607" i="61"/>
  <c r="I611" i="61"/>
  <c r="I616" i="61"/>
  <c r="I621" i="61"/>
  <c r="I633" i="61"/>
  <c r="I637" i="61"/>
  <c r="I641" i="61"/>
  <c r="J641" i="61" s="1"/>
  <c r="I645" i="61"/>
  <c r="I656" i="61"/>
  <c r="I665" i="61"/>
  <c r="J665" i="61" s="1"/>
  <c r="I672" i="61"/>
  <c r="J672" i="61" s="1"/>
  <c r="I676" i="61"/>
  <c r="J676" i="61" s="1"/>
  <c r="I680" i="61"/>
  <c r="I689" i="61"/>
  <c r="J689" i="61" s="1"/>
  <c r="I711" i="61"/>
  <c r="J711" i="61" s="1"/>
  <c r="I715" i="61"/>
  <c r="I723" i="61"/>
  <c r="I732" i="61"/>
  <c r="I738" i="61"/>
  <c r="J738" i="61" s="1"/>
  <c r="I752" i="61"/>
  <c r="J752" i="61" s="1"/>
  <c r="I758" i="61"/>
  <c r="I770" i="61"/>
  <c r="J770" i="61" s="1"/>
  <c r="I774" i="61"/>
  <c r="J774" i="61" s="1"/>
  <c r="I782" i="61"/>
  <c r="I786" i="61"/>
  <c r="I790" i="61"/>
  <c r="I795" i="61"/>
  <c r="J795" i="61" s="1"/>
  <c r="I805" i="61"/>
  <c r="I809" i="61"/>
  <c r="J809" i="61" s="1"/>
  <c r="I813" i="61"/>
  <c r="I826" i="61"/>
  <c r="I833" i="61"/>
  <c r="J833" i="61" s="1"/>
  <c r="I857" i="61"/>
  <c r="I865" i="61"/>
  <c r="J865" i="61" s="1"/>
  <c r="I875" i="61"/>
  <c r="J875" i="61" s="1"/>
  <c r="D880" i="61"/>
  <c r="I886" i="61"/>
  <c r="I894" i="61"/>
  <c r="I901" i="61"/>
  <c r="J901" i="61" s="1"/>
  <c r="I905" i="61"/>
  <c r="I911" i="61"/>
  <c r="J911" i="61" s="1"/>
  <c r="I915" i="61"/>
  <c r="I923" i="61"/>
  <c r="J923" i="61" s="1"/>
  <c r="I932" i="61"/>
  <c r="J932" i="61" s="1"/>
  <c r="I949" i="61"/>
  <c r="I957" i="61"/>
  <c r="J957" i="61" s="1"/>
  <c r="I967" i="61"/>
  <c r="J967" i="61" s="1"/>
  <c r="I975" i="61"/>
  <c r="I979" i="61"/>
  <c r="I984" i="61"/>
  <c r="I988" i="61"/>
  <c r="J988" i="61" s="1"/>
  <c r="G991" i="61"/>
  <c r="G999" i="61"/>
  <c r="I1010" i="61"/>
  <c r="I1014" i="61"/>
  <c r="J1014" i="61" s="1"/>
  <c r="I1030" i="61"/>
  <c r="J1030" i="61" s="1"/>
  <c r="I1034" i="61"/>
  <c r="I1038" i="61"/>
  <c r="J1038" i="61" s="1"/>
  <c r="I1042" i="61"/>
  <c r="I1046" i="61"/>
  <c r="J1046" i="61" s="1"/>
  <c r="I1050" i="61"/>
  <c r="J1050" i="61" s="1"/>
  <c r="I1067" i="61"/>
  <c r="I1079" i="61"/>
  <c r="J1079" i="61" s="1"/>
  <c r="I1083" i="61"/>
  <c r="I1097" i="61"/>
  <c r="I1103" i="61"/>
  <c r="I1113" i="61"/>
  <c r="I1116" i="61"/>
  <c r="I1127" i="61"/>
  <c r="J1127" i="61" s="1"/>
  <c r="I1136" i="61"/>
  <c r="J1136" i="61" s="1"/>
  <c r="I1144" i="61"/>
  <c r="J1144" i="61" s="1"/>
  <c r="I1148" i="61"/>
  <c r="J1148" i="61" s="1"/>
  <c r="I1152" i="61"/>
  <c r="I1158" i="61"/>
  <c r="J1158" i="61" s="1"/>
  <c r="I1168" i="61"/>
  <c r="J1168" i="61" s="1"/>
  <c r="I1188" i="61"/>
  <c r="J1188" i="61" s="1"/>
  <c r="I1192" i="61"/>
  <c r="J1192" i="61" s="1"/>
  <c r="I1221" i="61"/>
  <c r="J1221" i="61" s="1"/>
  <c r="I1235" i="61"/>
  <c r="J1235" i="61" s="1"/>
  <c r="I1251" i="61"/>
  <c r="I1255" i="61"/>
  <c r="I1259" i="61"/>
  <c r="I1263" i="61"/>
  <c r="I1268" i="61"/>
  <c r="J1268" i="61" s="1"/>
  <c r="D1277" i="61"/>
  <c r="I1280" i="61"/>
  <c r="J1280" i="61" s="1"/>
  <c r="I1287" i="61"/>
  <c r="J1287" i="61" s="1"/>
  <c r="I1295" i="61"/>
  <c r="I1297" i="61"/>
  <c r="I1301" i="61"/>
  <c r="I1310" i="61"/>
  <c r="I1314" i="61"/>
  <c r="J1314" i="61" s="1"/>
  <c r="I1320" i="61"/>
  <c r="I1324" i="61"/>
  <c r="I1328" i="61"/>
  <c r="I1332" i="61"/>
  <c r="J1332" i="61" s="1"/>
  <c r="I1336" i="61"/>
  <c r="D1353" i="61"/>
  <c r="I1361" i="61"/>
  <c r="J1361" i="61" s="1"/>
  <c r="I1373" i="61"/>
  <c r="I1389" i="61"/>
  <c r="I1399" i="61"/>
  <c r="I1421" i="61"/>
  <c r="J1421" i="61" s="1"/>
  <c r="I1425" i="61"/>
  <c r="J1425" i="61" s="1"/>
  <c r="I1429" i="61"/>
  <c r="J1429" i="61" s="1"/>
  <c r="I1438" i="61"/>
  <c r="I1442" i="61"/>
  <c r="I1446" i="61"/>
  <c r="I1454" i="61"/>
  <c r="I1460" i="61"/>
  <c r="J1460" i="61" s="1"/>
  <c r="I1471" i="61"/>
  <c r="J1471" i="61" s="1"/>
  <c r="I1478" i="61"/>
  <c r="I1490" i="61"/>
  <c r="I1498" i="61"/>
  <c r="I1507" i="61"/>
  <c r="J1507" i="61" s="1"/>
  <c r="D1516" i="61"/>
  <c r="I1519" i="61"/>
  <c r="D1523" i="61"/>
  <c r="I1526" i="61"/>
  <c r="J1526" i="61" s="1"/>
  <c r="I1542" i="61"/>
  <c r="I1550" i="61"/>
  <c r="I1558" i="61"/>
  <c r="J1558" i="61" s="1"/>
  <c r="I1569" i="61"/>
  <c r="I14" i="61"/>
  <c r="J14" i="61" s="1"/>
  <c r="I20" i="61"/>
  <c r="J20" i="61" s="1"/>
  <c r="I24" i="61"/>
  <c r="I32" i="61"/>
  <c r="J32" i="61" s="1"/>
  <c r="I39" i="61"/>
  <c r="J39" i="61" s="1"/>
  <c r="I43" i="61"/>
  <c r="I47" i="61"/>
  <c r="I51" i="61"/>
  <c r="J51" i="61" s="1"/>
  <c r="I55" i="61"/>
  <c r="I67" i="61"/>
  <c r="I71" i="61"/>
  <c r="J71" i="61" s="1"/>
  <c r="I75" i="61"/>
  <c r="J75" i="61" s="1"/>
  <c r="I79" i="61"/>
  <c r="I83" i="61"/>
  <c r="I87" i="61"/>
  <c r="J87" i="61" s="1"/>
  <c r="I91" i="61"/>
  <c r="I107" i="61"/>
  <c r="I111" i="61"/>
  <c r="I115" i="61"/>
  <c r="I119" i="61"/>
  <c r="I124" i="61"/>
  <c r="J124" i="61" s="1"/>
  <c r="I129" i="61"/>
  <c r="I133" i="61"/>
  <c r="I142" i="61"/>
  <c r="I146" i="61"/>
  <c r="I158" i="61"/>
  <c r="I166" i="61"/>
  <c r="J166" i="61" s="1"/>
  <c r="I170" i="61"/>
  <c r="I174" i="61"/>
  <c r="I178" i="61"/>
  <c r="I188" i="61"/>
  <c r="J188" i="61" s="1"/>
  <c r="I192" i="61"/>
  <c r="I197" i="61"/>
  <c r="J197" i="61" s="1"/>
  <c r="I202" i="61"/>
  <c r="J202" i="61" s="1"/>
  <c r="I210" i="61"/>
  <c r="J210" i="61" s="1"/>
  <c r="I214" i="61"/>
  <c r="I226" i="61"/>
  <c r="I234" i="61"/>
  <c r="J234" i="61" s="1"/>
  <c r="I238" i="61"/>
  <c r="I242" i="61"/>
  <c r="J242" i="61" s="1"/>
  <c r="I246" i="61"/>
  <c r="J246" i="61" s="1"/>
  <c r="I253" i="61"/>
  <c r="I255" i="61"/>
  <c r="J255" i="61" s="1"/>
  <c r="I259" i="61"/>
  <c r="J259" i="61" s="1"/>
  <c r="I263" i="61"/>
  <c r="J263" i="61" s="1"/>
  <c r="I267" i="61"/>
  <c r="J267" i="61" s="1"/>
  <c r="I271" i="61"/>
  <c r="I275" i="61"/>
  <c r="J275" i="61" s="1"/>
  <c r="I279" i="61"/>
  <c r="J279" i="61" s="1"/>
  <c r="I283" i="61"/>
  <c r="J283" i="61" s="1"/>
  <c r="I287" i="61"/>
  <c r="J287" i="61" s="1"/>
  <c r="I291" i="61"/>
  <c r="J291" i="61" s="1"/>
  <c r="I295" i="61"/>
  <c r="J295" i="61" s="1"/>
  <c r="I301" i="61"/>
  <c r="J301" i="61" s="1"/>
  <c r="I305" i="61"/>
  <c r="J305" i="61" s="1"/>
  <c r="I309" i="61"/>
  <c r="J309" i="61" s="1"/>
  <c r="I314" i="61"/>
  <c r="J314" i="61" s="1"/>
  <c r="I318" i="61"/>
  <c r="I332" i="61"/>
  <c r="I336" i="61"/>
  <c r="I340" i="61"/>
  <c r="I344" i="61"/>
  <c r="I351" i="61"/>
  <c r="J351" i="61" s="1"/>
  <c r="I355" i="61"/>
  <c r="I359" i="61"/>
  <c r="I366" i="61"/>
  <c r="J366" i="61" s="1"/>
  <c r="I371" i="61"/>
  <c r="J371" i="61" s="1"/>
  <c r="I375" i="61"/>
  <c r="I378" i="61"/>
  <c r="J378" i="61" s="1"/>
  <c r="I382" i="61"/>
  <c r="J382" i="61" s="1"/>
  <c r="I386" i="61"/>
  <c r="J386" i="61" s="1"/>
  <c r="I390" i="61"/>
  <c r="J390" i="61" s="1"/>
  <c r="I396" i="61"/>
  <c r="J396" i="61" s="1"/>
  <c r="I400" i="61"/>
  <c r="J400" i="61" s="1"/>
  <c r="I407" i="61"/>
  <c r="J407" i="61" s="1"/>
  <c r="I411" i="61"/>
  <c r="I415" i="61"/>
  <c r="I419" i="61"/>
  <c r="I431" i="61"/>
  <c r="I439" i="61"/>
  <c r="J439" i="61" s="1"/>
  <c r="I448" i="61"/>
  <c r="I467" i="61"/>
  <c r="I479" i="61"/>
  <c r="I483" i="61"/>
  <c r="J483" i="61" s="1"/>
  <c r="I487" i="61"/>
  <c r="J487" i="61" s="1"/>
  <c r="I491" i="61"/>
  <c r="J491" i="61" s="1"/>
  <c r="I502" i="61"/>
  <c r="I510" i="61"/>
  <c r="I527" i="61"/>
  <c r="I535" i="61"/>
  <c r="I541" i="61"/>
  <c r="I545" i="61"/>
  <c r="J545" i="61" s="1"/>
  <c r="I549" i="61"/>
  <c r="J549" i="61" s="1"/>
  <c r="I559" i="61"/>
  <c r="J559" i="61" s="1"/>
  <c r="I563" i="61"/>
  <c r="J563" i="61" s="1"/>
  <c r="I567" i="61"/>
  <c r="I583" i="61"/>
  <c r="J583" i="61" s="1"/>
  <c r="I590" i="61"/>
  <c r="J590" i="61" s="1"/>
  <c r="I594" i="61"/>
  <c r="J594" i="61" s="1"/>
  <c r="I598" i="61"/>
  <c r="J598" i="61" s="1"/>
  <c r="I608" i="61"/>
  <c r="J608" i="61" s="1"/>
  <c r="I613" i="61"/>
  <c r="I626" i="61"/>
  <c r="J626" i="61" s="1"/>
  <c r="I630" i="61"/>
  <c r="J630" i="61" s="1"/>
  <c r="I642" i="61"/>
  <c r="D657" i="61"/>
  <c r="I666" i="61"/>
  <c r="I681" i="61"/>
  <c r="J681" i="61" s="1"/>
  <c r="I685" i="61"/>
  <c r="I691" i="61"/>
  <c r="J691" i="61" s="1"/>
  <c r="I708" i="61"/>
  <c r="I712" i="61"/>
  <c r="I716" i="61"/>
  <c r="J716" i="61" s="1"/>
  <c r="I720" i="61"/>
  <c r="I729" i="61"/>
  <c r="J729" i="61" s="1"/>
  <c r="I739" i="61"/>
  <c r="J739" i="61" s="1"/>
  <c r="I748" i="61"/>
  <c r="I753" i="61"/>
  <c r="I755" i="61"/>
  <c r="J755" i="61" s="1"/>
  <c r="I767" i="61"/>
  <c r="I771" i="61"/>
  <c r="I775" i="61"/>
  <c r="I779" i="61"/>
  <c r="I783" i="61"/>
  <c r="I797" i="61"/>
  <c r="J797" i="61" s="1"/>
  <c r="I806" i="61"/>
  <c r="I814" i="61"/>
  <c r="I818" i="61"/>
  <c r="I823" i="61"/>
  <c r="J823" i="61" s="1"/>
  <c r="I834" i="61"/>
  <c r="I838" i="61"/>
  <c r="I842" i="61"/>
  <c r="J842" i="61" s="1"/>
  <c r="I850" i="61"/>
  <c r="J850" i="61" s="1"/>
  <c r="I854" i="61"/>
  <c r="I862" i="61"/>
  <c r="I866" i="61"/>
  <c r="G1577" i="61"/>
  <c r="I883" i="61"/>
  <c r="I891" i="61"/>
  <c r="J891" i="61" s="1"/>
  <c r="I902" i="61"/>
  <c r="J902" i="61" s="1"/>
  <c r="I908" i="61"/>
  <c r="I920" i="61"/>
  <c r="I933" i="61"/>
  <c r="I940" i="61"/>
  <c r="I946" i="61"/>
  <c r="J946" i="61" s="1"/>
  <c r="I954" i="61"/>
  <c r="J954" i="61" s="1"/>
  <c r="I958" i="61"/>
  <c r="I962" i="61"/>
  <c r="I980" i="61"/>
  <c r="J980" i="61" s="1"/>
  <c r="I992" i="61"/>
  <c r="I996" i="61"/>
  <c r="I1000" i="61"/>
  <c r="J1000" i="61" s="1"/>
  <c r="I1011" i="61"/>
  <c r="J1011" i="61" s="1"/>
  <c r="I1027" i="61"/>
  <c r="J1027" i="61" s="1"/>
  <c r="I1031" i="61"/>
  <c r="J1031" i="61" s="1"/>
  <c r="I1035" i="61"/>
  <c r="J1035" i="61" s="1"/>
  <c r="I1043" i="61"/>
  <c r="J1043" i="61" s="1"/>
  <c r="I1047" i="61"/>
  <c r="I1051" i="61"/>
  <c r="J1051" i="61" s="1"/>
  <c r="I1055" i="61"/>
  <c r="I1064" i="61"/>
  <c r="I1080" i="61"/>
  <c r="I1088" i="61"/>
  <c r="J1088" i="61" s="1"/>
  <c r="I1092" i="61"/>
  <c r="D1096" i="61"/>
  <c r="I1105" i="61"/>
  <c r="J1105" i="61" s="1"/>
  <c r="I1124" i="61"/>
  <c r="J1124" i="61" s="1"/>
  <c r="I1128" i="61"/>
  <c r="J1128" i="61" s="1"/>
  <c r="I1141" i="61"/>
  <c r="I1149" i="61"/>
  <c r="I1160" i="61"/>
  <c r="I1169" i="61"/>
  <c r="J1169" i="61" s="1"/>
  <c r="I1176" i="61"/>
  <c r="I1189" i="61"/>
  <c r="I1213" i="61"/>
  <c r="J1213" i="61" s="1"/>
  <c r="I1217" i="61"/>
  <c r="I1223" i="61"/>
  <c r="J1223" i="61" s="1"/>
  <c r="I1236" i="61"/>
  <c r="J1236" i="61" s="1"/>
  <c r="I1256" i="61"/>
  <c r="J1256" i="61" s="1"/>
  <c r="I1264" i="61"/>
  <c r="I1281" i="61"/>
  <c r="J1281" i="61" s="1"/>
  <c r="I1292" i="61"/>
  <c r="I1315" i="61"/>
  <c r="I1317" i="61"/>
  <c r="I1321" i="61"/>
  <c r="J1321" i="61" s="1"/>
  <c r="I1325" i="61"/>
  <c r="J1325" i="61" s="1"/>
  <c r="I1329" i="61"/>
  <c r="J1329" i="61" s="1"/>
  <c r="I1338" i="61"/>
  <c r="J1338" i="61" s="1"/>
  <c r="I1351" i="61"/>
  <c r="J1351" i="61" s="1"/>
  <c r="I1358" i="61"/>
  <c r="J1358" i="61" s="1"/>
  <c r="I1362" i="61"/>
  <c r="J1362" i="61" s="1"/>
  <c r="I1386" i="61"/>
  <c r="J1386" i="61" s="1"/>
  <c r="I1391" i="61"/>
  <c r="J1391" i="61" s="1"/>
  <c r="D1400" i="61"/>
  <c r="I1416" i="61"/>
  <c r="J1416" i="61" s="1"/>
  <c r="I1422" i="61"/>
  <c r="I1430" i="61"/>
  <c r="I1432" i="61"/>
  <c r="J1432" i="61" s="1"/>
  <c r="I1435" i="61"/>
  <c r="I1439" i="61"/>
  <c r="J1439" i="61" s="1"/>
  <c r="I1443" i="61"/>
  <c r="J1443" i="61" s="1"/>
  <c r="I1447" i="61"/>
  <c r="J1447" i="61" s="1"/>
  <c r="I1451" i="61"/>
  <c r="I1472" i="61"/>
  <c r="I1475" i="61"/>
  <c r="I1495" i="61"/>
  <c r="J1495" i="61" s="1"/>
  <c r="I1503" i="61"/>
  <c r="I1509" i="61"/>
  <c r="J1509" i="61" s="1"/>
  <c r="I1527" i="61"/>
  <c r="J1527" i="61" s="1"/>
  <c r="I1543" i="61"/>
  <c r="J1543" i="61" s="1"/>
  <c r="I1547" i="61"/>
  <c r="J1547" i="61" s="1"/>
  <c r="I1555" i="61"/>
  <c r="I1559" i="61"/>
  <c r="I13" i="61"/>
  <c r="J13" i="61" s="1"/>
  <c r="I21" i="61"/>
  <c r="I34" i="61"/>
  <c r="I40" i="61"/>
  <c r="I48" i="61"/>
  <c r="J48" i="61" s="1"/>
  <c r="I52" i="61"/>
  <c r="I60" i="61"/>
  <c r="I64" i="61"/>
  <c r="I68" i="61"/>
  <c r="I72" i="61"/>
  <c r="J72" i="61" s="1"/>
  <c r="I76" i="61"/>
  <c r="I80" i="61"/>
  <c r="J80" i="61" s="1"/>
  <c r="I84" i="61"/>
  <c r="J84" i="61" s="1"/>
  <c r="I88" i="61"/>
  <c r="J88" i="61" s="1"/>
  <c r="G92" i="61"/>
  <c r="I104" i="61"/>
  <c r="I108" i="61"/>
  <c r="J108" i="61" s="1"/>
  <c r="I112" i="61"/>
  <c r="J112" i="61" s="1"/>
  <c r="I116" i="61"/>
  <c r="J116" i="61" s="1"/>
  <c r="I120" i="61"/>
  <c r="I126" i="61"/>
  <c r="I130" i="61"/>
  <c r="J130" i="61" s="1"/>
  <c r="I134" i="61"/>
  <c r="I137" i="61"/>
  <c r="J137" i="61" s="1"/>
  <c r="I143" i="61"/>
  <c r="J143" i="61" s="1"/>
  <c r="I147" i="61"/>
  <c r="I167" i="61"/>
  <c r="I175" i="61"/>
  <c r="J175" i="61" s="1"/>
  <c r="I179" i="61"/>
  <c r="J179" i="61" s="1"/>
  <c r="I183" i="61"/>
  <c r="I189" i="61"/>
  <c r="J189" i="61" s="1"/>
  <c r="I193" i="61"/>
  <c r="J193" i="61" s="1"/>
  <c r="I199" i="61"/>
  <c r="J199" i="61" s="1"/>
  <c r="I203" i="61"/>
  <c r="I207" i="61"/>
  <c r="J207" i="61" s="1"/>
  <c r="I211" i="61"/>
  <c r="I215" i="61"/>
  <c r="I227" i="61"/>
  <c r="J227" i="61" s="1"/>
  <c r="I235" i="61"/>
  <c r="I243" i="61"/>
  <c r="J243" i="61" s="1"/>
  <c r="I247" i="61"/>
  <c r="J247" i="61" s="1"/>
  <c r="I256" i="61"/>
  <c r="I260" i="61"/>
  <c r="J260" i="61" s="1"/>
  <c r="I264" i="61"/>
  <c r="J264" i="61" s="1"/>
  <c r="I268" i="61"/>
  <c r="J268" i="61" s="1"/>
  <c r="I272" i="61"/>
  <c r="J272" i="61" s="1"/>
  <c r="I276" i="61"/>
  <c r="I280" i="61"/>
  <c r="J280" i="61" s="1"/>
  <c r="I284" i="61"/>
  <c r="J284" i="61" s="1"/>
  <c r="I288" i="61"/>
  <c r="J288" i="61" s="1"/>
  <c r="I292" i="61"/>
  <c r="J292" i="61" s="1"/>
  <c r="I296" i="61"/>
  <c r="J296" i="61" s="1"/>
  <c r="I302" i="61"/>
  <c r="I306" i="61"/>
  <c r="I311" i="61"/>
  <c r="I315" i="61"/>
  <c r="I319" i="61"/>
  <c r="I325" i="61"/>
  <c r="J325" i="61" s="1"/>
  <c r="I333" i="61"/>
  <c r="J333" i="61" s="1"/>
  <c r="I352" i="61"/>
  <c r="I356" i="61"/>
  <c r="I363" i="61"/>
  <c r="I367" i="61"/>
  <c r="I372" i="61"/>
  <c r="I379" i="61"/>
  <c r="J379" i="61" s="1"/>
  <c r="I383" i="61"/>
  <c r="J383" i="61" s="1"/>
  <c r="I387" i="61"/>
  <c r="J387" i="61" s="1"/>
  <c r="I392" i="61"/>
  <c r="J392" i="61" s="1"/>
  <c r="I397" i="61"/>
  <c r="I401" i="61"/>
  <c r="J401" i="61" s="1"/>
  <c r="I404" i="61"/>
  <c r="J404" i="61" s="1"/>
  <c r="I408" i="61"/>
  <c r="J408" i="61" s="1"/>
  <c r="I412" i="61"/>
  <c r="J412" i="61" s="1"/>
  <c r="I416" i="61"/>
  <c r="J416" i="61" s="1"/>
  <c r="I420" i="61"/>
  <c r="I427" i="61"/>
  <c r="I436" i="61"/>
  <c r="I440" i="61"/>
  <c r="I457" i="61"/>
  <c r="I461" i="61"/>
  <c r="I472" i="61"/>
  <c r="J472" i="61" s="1"/>
  <c r="I488" i="61"/>
  <c r="I498" i="61"/>
  <c r="I507" i="61"/>
  <c r="J507" i="61" s="1"/>
  <c r="I520" i="61"/>
  <c r="J520" i="61" s="1"/>
  <c r="I532" i="61"/>
  <c r="I538" i="61"/>
  <c r="J538" i="61" s="1"/>
  <c r="I546" i="61"/>
  <c r="I550" i="61"/>
  <c r="I560" i="61"/>
  <c r="I564" i="61"/>
  <c r="J564" i="61" s="1"/>
  <c r="I575" i="61"/>
  <c r="J575" i="61" s="1"/>
  <c r="I595" i="61"/>
  <c r="J595" i="61" s="1"/>
  <c r="I605" i="61"/>
  <c r="I623" i="61"/>
  <c r="I627" i="61"/>
  <c r="I635" i="61"/>
  <c r="I639" i="61"/>
  <c r="I654" i="61"/>
  <c r="I659" i="61"/>
  <c r="I663" i="61"/>
  <c r="I670" i="61"/>
  <c r="J670" i="61" s="1"/>
  <c r="I674" i="61"/>
  <c r="J674" i="61" s="1"/>
  <c r="I678" i="61"/>
  <c r="J678" i="61" s="1"/>
  <c r="I682" i="61"/>
  <c r="I686" i="61"/>
  <c r="I692" i="61"/>
  <c r="J692" i="61" s="1"/>
  <c r="I698" i="61"/>
  <c r="I705" i="61"/>
  <c r="I709" i="61"/>
  <c r="I721" i="61"/>
  <c r="I730" i="61"/>
  <c r="J730" i="61" s="1"/>
  <c r="I740" i="61"/>
  <c r="I760" i="61"/>
  <c r="J760" i="61" s="1"/>
  <c r="I764" i="61"/>
  <c r="J764" i="61" s="1"/>
  <c r="I768" i="61"/>
  <c r="J768" i="61" s="1"/>
  <c r="I776" i="61"/>
  <c r="J776" i="61" s="1"/>
  <c r="I792" i="61"/>
  <c r="I803" i="61"/>
  <c r="I807" i="61"/>
  <c r="J807" i="61" s="1"/>
  <c r="I811" i="61"/>
  <c r="J811" i="61" s="1"/>
  <c r="I821" i="61"/>
  <c r="I824" i="61"/>
  <c r="J824" i="61" s="1"/>
  <c r="G831" i="61"/>
  <c r="I835" i="61"/>
  <c r="I839" i="61"/>
  <c r="J839" i="61" s="1"/>
  <c r="I843" i="61"/>
  <c r="I847" i="61"/>
  <c r="I851" i="61"/>
  <c r="J851" i="61" s="1"/>
  <c r="I855" i="61"/>
  <c r="J855" i="61" s="1"/>
  <c r="I877" i="61"/>
  <c r="J877" i="61" s="1"/>
  <c r="I884" i="61"/>
  <c r="J884" i="61" s="1"/>
  <c r="I892" i="61"/>
  <c r="I896" i="61"/>
  <c r="I913" i="61"/>
  <c r="J913" i="61" s="1"/>
  <c r="I917" i="61"/>
  <c r="J917" i="61" s="1"/>
  <c r="I925" i="61"/>
  <c r="J925" i="61" s="1"/>
  <c r="I937" i="61"/>
  <c r="J937" i="61" s="1"/>
  <c r="I941" i="61"/>
  <c r="I943" i="61"/>
  <c r="J943" i="61" s="1"/>
  <c r="I947" i="61"/>
  <c r="I951" i="61"/>
  <c r="I955" i="61"/>
  <c r="I977" i="61"/>
  <c r="J977" i="61" s="1"/>
  <c r="I1001" i="61"/>
  <c r="I1005" i="61"/>
  <c r="I1016" i="61"/>
  <c r="J1016" i="61" s="1"/>
  <c r="I1024" i="61"/>
  <c r="J1024" i="61" s="1"/>
  <c r="I1028" i="61"/>
  <c r="J1028" i="61" s="1"/>
  <c r="I1032" i="61"/>
  <c r="I1044" i="61"/>
  <c r="I1052" i="61"/>
  <c r="I1059" i="61"/>
  <c r="J1059" i="61" s="1"/>
  <c r="I1069" i="61"/>
  <c r="I1081" i="61"/>
  <c r="J1081" i="61" s="1"/>
  <c r="I1085" i="61"/>
  <c r="I1101" i="61"/>
  <c r="I1111" i="61"/>
  <c r="J1111" i="61" s="1"/>
  <c r="I1118" i="61"/>
  <c r="J1118" i="61" s="1"/>
  <c r="I1125" i="61"/>
  <c r="I1131" i="61"/>
  <c r="J1131" i="61" s="1"/>
  <c r="I1134" i="61"/>
  <c r="I1138" i="61"/>
  <c r="J1138" i="61" s="1"/>
  <c r="I1146" i="61"/>
  <c r="J1146" i="61" s="1"/>
  <c r="I1154" i="61"/>
  <c r="I1163" i="61"/>
  <c r="J1163" i="61" s="1"/>
  <c r="I1173" i="61"/>
  <c r="I1177" i="61"/>
  <c r="I1183" i="61"/>
  <c r="J1183" i="61" s="1"/>
  <c r="I1190" i="61"/>
  <c r="J1190" i="61" s="1"/>
  <c r="I1202" i="61"/>
  <c r="I1206" i="61"/>
  <c r="I1210" i="61"/>
  <c r="J1210" i="61" s="1"/>
  <c r="I1218" i="61"/>
  <c r="I1225" i="61"/>
  <c r="I1230" i="61"/>
  <c r="J1230" i="61" s="1"/>
  <c r="I1241" i="61"/>
  <c r="I1243" i="61"/>
  <c r="J1243" i="61" s="1"/>
  <c r="I1253" i="61"/>
  <c r="I1261" i="61"/>
  <c r="I1265" i="61"/>
  <c r="I1272" i="61"/>
  <c r="I1275" i="61"/>
  <c r="J1275" i="61" s="1"/>
  <c r="I1282" i="61"/>
  <c r="I1285" i="61"/>
  <c r="I1290" i="61"/>
  <c r="I1299" i="61"/>
  <c r="J1299" i="61" s="1"/>
  <c r="I1312" i="61"/>
  <c r="I1326" i="61"/>
  <c r="I1334" i="61"/>
  <c r="I1340" i="61"/>
  <c r="J1340" i="61" s="1"/>
  <c r="I1359" i="61"/>
  <c r="I1371" i="61"/>
  <c r="I1375" i="61"/>
  <c r="I1383" i="61"/>
  <c r="I1387" i="61"/>
  <c r="I1404" i="61"/>
  <c r="J1404" i="61" s="1"/>
  <c r="I1417" i="61"/>
  <c r="I1419" i="61"/>
  <c r="I1427" i="61"/>
  <c r="I1433" i="61"/>
  <c r="I1440" i="61"/>
  <c r="I1448" i="61"/>
  <c r="I1452" i="61"/>
  <c r="J1452" i="61" s="1"/>
  <c r="I1456" i="61"/>
  <c r="I1469" i="61"/>
  <c r="D1473" i="61"/>
  <c r="I1480" i="61"/>
  <c r="J1480" i="61" s="1"/>
  <c r="I1492" i="61"/>
  <c r="I1496" i="61"/>
  <c r="I1500" i="61"/>
  <c r="I1521" i="61"/>
  <c r="J1521" i="61" s="1"/>
  <c r="I1532" i="61"/>
  <c r="I1540" i="61"/>
  <c r="I1544" i="61"/>
  <c r="I1548" i="61"/>
  <c r="I1552" i="61"/>
  <c r="F695" i="61"/>
  <c r="F688" i="61" s="1"/>
  <c r="F693" i="61" s="1"/>
  <c r="F1661" i="61" s="1"/>
  <c r="F872" i="61"/>
  <c r="F878" i="61" s="1"/>
  <c r="D403" i="61"/>
  <c r="F1560" i="61"/>
  <c r="E1006" i="61"/>
  <c r="E964" i="61" s="1"/>
  <c r="E969" i="61" s="1"/>
  <c r="D522" i="61"/>
  <c r="D1110" i="61"/>
  <c r="G1309" i="61"/>
  <c r="I1309" i="61" s="1"/>
  <c r="J1309" i="61" s="1"/>
  <c r="E1220" i="61"/>
  <c r="E1224" i="61" s="1"/>
  <c r="D481" i="61"/>
  <c r="E872" i="61"/>
  <c r="E878" i="61" s="1"/>
  <c r="E1663" i="61" s="1"/>
  <c r="F249" i="61"/>
  <c r="F217" i="61" s="1"/>
  <c r="F222" i="61" s="1"/>
  <c r="F430" i="61"/>
  <c r="G430" i="61" s="1"/>
  <c r="F571" i="61"/>
  <c r="F556" i="61" s="1"/>
  <c r="G696" i="61"/>
  <c r="G735" i="61"/>
  <c r="I735" i="61" s="1"/>
  <c r="J735" i="61" s="1"/>
  <c r="G1561" i="61"/>
  <c r="G185" i="61"/>
  <c r="F328" i="61"/>
  <c r="F612" i="61"/>
  <c r="G612" i="61" s="1"/>
  <c r="G899" i="61"/>
  <c r="G1316" i="61"/>
  <c r="E1406" i="61"/>
  <c r="G362" i="61"/>
  <c r="I362" i="61" s="1"/>
  <c r="J362" i="61" s="1"/>
  <c r="G1242" i="61"/>
  <c r="I1242" i="61" s="1"/>
  <c r="J1242" i="61" s="1"/>
  <c r="E1560" i="61"/>
  <c r="D182" i="61"/>
  <c r="G354" i="61"/>
  <c r="I354" i="61" s="1"/>
  <c r="J354" i="61" s="1"/>
  <c r="D523" i="61"/>
  <c r="G1171" i="61"/>
  <c r="G184" i="61"/>
  <c r="G658" i="61"/>
  <c r="E695" i="61"/>
  <c r="E688" i="61" s="1"/>
  <c r="E693" i="61" s="1"/>
  <c r="G936" i="61"/>
  <c r="G1291" i="61"/>
  <c r="D348" i="61"/>
  <c r="D136" i="61"/>
  <c r="D330" i="61"/>
  <c r="G225" i="61"/>
  <c r="G239" i="61"/>
  <c r="D376" i="61"/>
  <c r="G592" i="61"/>
  <c r="I592" i="61" s="1"/>
  <c r="J592" i="61" s="1"/>
  <c r="G714" i="61"/>
  <c r="I714" i="61" s="1"/>
  <c r="J714" i="61" s="1"/>
  <c r="G820" i="61"/>
  <c r="F817" i="61"/>
  <c r="F794" i="61" s="1"/>
  <c r="F799" i="61" s="1"/>
  <c r="F1662" i="61" s="1"/>
  <c r="G827" i="61"/>
  <c r="D909" i="61"/>
  <c r="D1133" i="61"/>
  <c r="F1226" i="61"/>
  <c r="G1226" i="61" s="1"/>
  <c r="D1308" i="61"/>
  <c r="G1401" i="61"/>
  <c r="G1436" i="61"/>
  <c r="G1474" i="61"/>
  <c r="F1155" i="61"/>
  <c r="F1159" i="61" s="1"/>
  <c r="F1668" i="61" s="1"/>
  <c r="G1172" i="61"/>
  <c r="E428" i="61"/>
  <c r="I703" i="61"/>
  <c r="J703" i="61" s="1"/>
  <c r="D802" i="61"/>
  <c r="I876" i="61"/>
  <c r="J876" i="61" s="1"/>
  <c r="E646" i="61"/>
  <c r="E650" i="61" s="1"/>
  <c r="E648" i="61" s="1"/>
  <c r="G669" i="61"/>
  <c r="G736" i="61"/>
  <c r="G906" i="61"/>
  <c r="D1002" i="61"/>
  <c r="F1104" i="61"/>
  <c r="F1108" i="61" s="1"/>
  <c r="G1161" i="61"/>
  <c r="G1305" i="61"/>
  <c r="G1431" i="61"/>
  <c r="G1434" i="61"/>
  <c r="G1486" i="61"/>
  <c r="D28" i="61"/>
  <c r="D7" i="61"/>
  <c r="G153" i="61"/>
  <c r="G251" i="61"/>
  <c r="G353" i="61"/>
  <c r="I353" i="61" s="1"/>
  <c r="J353" i="61" s="1"/>
  <c r="F368" i="61"/>
  <c r="G463" i="61"/>
  <c r="G882" i="61"/>
  <c r="G898" i="61"/>
  <c r="G157" i="61"/>
  <c r="E249" i="61"/>
  <c r="E217" i="61" s="1"/>
  <c r="E222" i="61" s="1"/>
  <c r="E219" i="61" s="1"/>
  <c r="G254" i="61"/>
  <c r="D329" i="61"/>
  <c r="E328" i="61"/>
  <c r="G361" i="61"/>
  <c r="I361" i="61" s="1"/>
  <c r="J361" i="61" s="1"/>
  <c r="G486" i="61"/>
  <c r="D480" i="61"/>
  <c r="G587" i="61"/>
  <c r="I588" i="61"/>
  <c r="J588" i="61" s="1"/>
  <c r="G742" i="61"/>
  <c r="I742" i="61" s="1"/>
  <c r="J742" i="61" s="1"/>
  <c r="D741" i="61"/>
  <c r="G754" i="61"/>
  <c r="I754" i="61" s="1"/>
  <c r="J754" i="61" s="1"/>
  <c r="D662" i="61"/>
  <c r="G664" i="61"/>
  <c r="G152" i="61"/>
  <c r="F156" i="61"/>
  <c r="F149" i="61" s="1"/>
  <c r="F154" i="61" s="1"/>
  <c r="F1656" i="61" s="1"/>
  <c r="D360" i="61"/>
  <c r="F462" i="61"/>
  <c r="G462" i="61" s="1"/>
  <c r="G582" i="61"/>
  <c r="D581" i="61"/>
  <c r="F743" i="61"/>
  <c r="G743" i="61" s="1"/>
  <c r="D749" i="61"/>
  <c r="G751" i="61"/>
  <c r="G897" i="61"/>
  <c r="I699" i="61"/>
  <c r="J699" i="61" s="1"/>
  <c r="G537" i="61"/>
  <c r="G822" i="61"/>
  <c r="I822" i="61" s="1"/>
  <c r="J822" i="61" s="1"/>
  <c r="E1155" i="61"/>
  <c r="E1159" i="61" s="1"/>
  <c r="E1668" i="61" s="1"/>
  <c r="D1185" i="61"/>
  <c r="G1413" i="61"/>
  <c r="G1418" i="61"/>
  <c r="E1457" i="61"/>
  <c r="E1461" i="61" s="1"/>
  <c r="G1483" i="61"/>
  <c r="F1289" i="61"/>
  <c r="F1267" i="61" s="1"/>
  <c r="F1271" i="61" s="1"/>
  <c r="G1473" i="61"/>
  <c r="G1517" i="61"/>
  <c r="G912" i="61"/>
  <c r="F1060" i="61"/>
  <c r="G1098" i="61"/>
  <c r="G1245" i="61"/>
  <c r="G1277" i="61"/>
  <c r="G1370" i="61"/>
  <c r="G1400" i="61"/>
  <c r="G1009" i="61"/>
  <c r="G1093" i="61"/>
  <c r="G1115" i="61"/>
  <c r="G1166" i="61"/>
  <c r="G1181" i="61"/>
  <c r="G1284" i="61"/>
  <c r="G1319" i="61"/>
  <c r="F1406" i="61"/>
  <c r="F1390" i="61" s="1"/>
  <c r="F1394" i="61" s="1"/>
  <c r="I96" i="61"/>
  <c r="J96" i="61" s="1"/>
  <c r="I342" i="61"/>
  <c r="J342" i="61" s="1"/>
  <c r="I725" i="61"/>
  <c r="J725" i="61" s="1"/>
  <c r="I12" i="61"/>
  <c r="I17" i="61"/>
  <c r="J17" i="61" s="1"/>
  <c r="I22" i="61"/>
  <c r="J22" i="61" s="1"/>
  <c r="I25" i="61"/>
  <c r="E1653" i="61"/>
  <c r="E30" i="61"/>
  <c r="I37" i="61"/>
  <c r="J37" i="61" s="1"/>
  <c r="I95" i="61"/>
  <c r="J95" i="61" s="1"/>
  <c r="I99" i="61"/>
  <c r="J99" i="61" s="1"/>
  <c r="F1655" i="61"/>
  <c r="F138" i="61"/>
  <c r="I168" i="61"/>
  <c r="J168" i="61" s="1"/>
  <c r="G224" i="61"/>
  <c r="E368" i="61"/>
  <c r="I402" i="61"/>
  <c r="J402" i="61" s="1"/>
  <c r="I31" i="61"/>
  <c r="J31" i="61" s="1"/>
  <c r="I92" i="61"/>
  <c r="J92" i="61" s="1"/>
  <c r="I103" i="61"/>
  <c r="J103" i="61" s="1"/>
  <c r="I338" i="61"/>
  <c r="J338" i="61" s="1"/>
  <c r="F1653" i="61"/>
  <c r="F30" i="61"/>
  <c r="I44" i="61"/>
  <c r="J44" i="61" s="1"/>
  <c r="I59" i="61"/>
  <c r="J59" i="61" s="1"/>
  <c r="I63" i="61"/>
  <c r="J63" i="61" s="1"/>
  <c r="I94" i="61"/>
  <c r="J94" i="61" s="1"/>
  <c r="I98" i="61"/>
  <c r="J98" i="61" s="1"/>
  <c r="I160" i="61"/>
  <c r="J160" i="61" s="1"/>
  <c r="I165" i="61"/>
  <c r="J165" i="61" s="1"/>
  <c r="I169" i="61"/>
  <c r="J169" i="61" s="1"/>
  <c r="I324" i="61"/>
  <c r="J324" i="61" s="1"/>
  <c r="E1662" i="61"/>
  <c r="E796" i="61"/>
  <c r="I19" i="61"/>
  <c r="J19" i="61" s="1"/>
  <c r="I42" i="61"/>
  <c r="J42" i="61" s="1"/>
  <c r="I100" i="61"/>
  <c r="J100" i="61" s="1"/>
  <c r="I395" i="61"/>
  <c r="J395" i="61" s="1"/>
  <c r="I41" i="61"/>
  <c r="J41" i="61" s="1"/>
  <c r="F1652" i="61"/>
  <c r="F9" i="61"/>
  <c r="I16" i="61"/>
  <c r="J16" i="61" s="1"/>
  <c r="I23" i="61"/>
  <c r="I53" i="61"/>
  <c r="J53" i="61" s="1"/>
  <c r="I93" i="61"/>
  <c r="J93" i="61" s="1"/>
  <c r="I97" i="61"/>
  <c r="J97" i="61" s="1"/>
  <c r="F1654" i="61"/>
  <c r="F123" i="61"/>
  <c r="I144" i="61"/>
  <c r="J144" i="61" s="1"/>
  <c r="I172" i="61"/>
  <c r="J172" i="61" s="1"/>
  <c r="I191" i="61"/>
  <c r="J191" i="61" s="1"/>
  <c r="I221" i="61"/>
  <c r="J221" i="61" s="1"/>
  <c r="I252" i="61"/>
  <c r="J252" i="61" s="1"/>
  <c r="I204" i="61"/>
  <c r="J204" i="61" s="1"/>
  <c r="I206" i="61"/>
  <c r="I209" i="61"/>
  <c r="J209" i="61" s="1"/>
  <c r="I236" i="61"/>
  <c r="J236" i="61" s="1"/>
  <c r="I489" i="61"/>
  <c r="I509" i="61"/>
  <c r="I531" i="61"/>
  <c r="J531" i="61" s="1"/>
  <c r="I536" i="61"/>
  <c r="I631" i="61"/>
  <c r="I759" i="61"/>
  <c r="J759" i="61" s="1"/>
  <c r="I765" i="61"/>
  <c r="I791" i="61"/>
  <c r="I867" i="61"/>
  <c r="J867" i="61" s="1"/>
  <c r="G986" i="61"/>
  <c r="D983" i="61"/>
  <c r="I1012" i="61"/>
  <c r="J1012" i="61" s="1"/>
  <c r="I1150" i="61"/>
  <c r="J1150" i="61" s="1"/>
  <c r="G56" i="61"/>
  <c r="D121" i="61"/>
  <c r="G128" i="61"/>
  <c r="E149" i="61"/>
  <c r="D249" i="61"/>
  <c r="G346" i="61"/>
  <c r="I424" i="61"/>
  <c r="J424" i="61" s="1"/>
  <c r="I425" i="61"/>
  <c r="J425" i="61" s="1"/>
  <c r="I453" i="61"/>
  <c r="J453" i="61" s="1"/>
  <c r="I459" i="61"/>
  <c r="J459" i="61" s="1"/>
  <c r="I460" i="61"/>
  <c r="J460" i="61" s="1"/>
  <c r="I475" i="61"/>
  <c r="J475" i="61" s="1"/>
  <c r="I478" i="61"/>
  <c r="J478" i="61" s="1"/>
  <c r="I482" i="61"/>
  <c r="F480" i="61"/>
  <c r="I499" i="61"/>
  <c r="J499" i="61" s="1"/>
  <c r="I504" i="61"/>
  <c r="J504" i="61" s="1"/>
  <c r="I512" i="61"/>
  <c r="J512" i="61" s="1"/>
  <c r="I517" i="61"/>
  <c r="I519" i="61"/>
  <c r="J519" i="61" s="1"/>
  <c r="I561" i="61"/>
  <c r="J561" i="61" s="1"/>
  <c r="I568" i="61"/>
  <c r="G573" i="61"/>
  <c r="I584" i="61"/>
  <c r="J584" i="61" s="1"/>
  <c r="I593" i="61"/>
  <c r="J593" i="61" s="1"/>
  <c r="I609" i="61"/>
  <c r="I622" i="61"/>
  <c r="J622" i="61" s="1"/>
  <c r="I625" i="61"/>
  <c r="I629" i="61"/>
  <c r="I636" i="61"/>
  <c r="J636" i="61" s="1"/>
  <c r="I638" i="61"/>
  <c r="J638" i="61" s="1"/>
  <c r="I647" i="61"/>
  <c r="J647" i="61" s="1"/>
  <c r="I661" i="61"/>
  <c r="I667" i="61"/>
  <c r="J667" i="61" s="1"/>
  <c r="I673" i="61"/>
  <c r="J673" i="61" s="1"/>
  <c r="I694" i="61"/>
  <c r="I707" i="61"/>
  <c r="J707" i="61" s="1"/>
  <c r="G713" i="61"/>
  <c r="D695" i="61"/>
  <c r="I717" i="61"/>
  <c r="I719" i="61"/>
  <c r="J719" i="61" s="1"/>
  <c r="I724" i="61"/>
  <c r="I745" i="61"/>
  <c r="J745" i="61" s="1"/>
  <c r="I747" i="61"/>
  <c r="J747" i="61" s="1"/>
  <c r="I756" i="61"/>
  <c r="J756" i="61" s="1"/>
  <c r="I769" i="61"/>
  <c r="I788" i="61"/>
  <c r="I789" i="61"/>
  <c r="J789" i="61" s="1"/>
  <c r="I793" i="61"/>
  <c r="I815" i="61"/>
  <c r="J815" i="61" s="1"/>
  <c r="I830" i="61"/>
  <c r="I832" i="61"/>
  <c r="J832" i="61" s="1"/>
  <c r="I845" i="61"/>
  <c r="I848" i="61"/>
  <c r="J848" i="61" s="1"/>
  <c r="I853" i="61"/>
  <c r="J853" i="61" s="1"/>
  <c r="I879" i="61"/>
  <c r="I950" i="61"/>
  <c r="J950" i="61" s="1"/>
  <c r="I976" i="61"/>
  <c r="I1072" i="61"/>
  <c r="J1072" i="61" s="1"/>
  <c r="I1102" i="61"/>
  <c r="I1123" i="61"/>
  <c r="J1123" i="61" s="1"/>
  <c r="I1126" i="61"/>
  <c r="I449" i="61"/>
  <c r="J449" i="61" s="1"/>
  <c r="I471" i="61"/>
  <c r="I501" i="61"/>
  <c r="I511" i="61"/>
  <c r="J511" i="61" s="1"/>
  <c r="I574" i="61"/>
  <c r="J574" i="61" s="1"/>
  <c r="I580" i="61"/>
  <c r="I766" i="61"/>
  <c r="J766" i="61" s="1"/>
  <c r="I780" i="61"/>
  <c r="J780" i="61" s="1"/>
  <c r="G819" i="61"/>
  <c r="D817" i="61"/>
  <c r="I837" i="61"/>
  <c r="J837" i="61" s="1"/>
  <c r="I858" i="61"/>
  <c r="J858" i="61" s="1"/>
  <c r="I863" i="61"/>
  <c r="J863" i="61" s="1"/>
  <c r="I1004" i="61"/>
  <c r="J1004" i="61" s="1"/>
  <c r="I1048" i="61"/>
  <c r="J1048" i="61" s="1"/>
  <c r="E9" i="61"/>
  <c r="E138" i="61"/>
  <c r="I140" i="61"/>
  <c r="I432" i="61"/>
  <c r="J432" i="61" s="1"/>
  <c r="I437" i="61"/>
  <c r="I443" i="61"/>
  <c r="J443" i="61" s="1"/>
  <c r="I454" i="61"/>
  <c r="I458" i="61"/>
  <c r="I473" i="61"/>
  <c r="I476" i="61"/>
  <c r="I497" i="61"/>
  <c r="I514" i="61"/>
  <c r="I539" i="61"/>
  <c r="J539" i="61" s="1"/>
  <c r="I544" i="61"/>
  <c r="I555" i="61"/>
  <c r="I566" i="61"/>
  <c r="I572" i="61"/>
  <c r="E571" i="61"/>
  <c r="E556" i="61" s="1"/>
  <c r="E554" i="61" s="1"/>
  <c r="I604" i="61"/>
  <c r="J604" i="61" s="1"/>
  <c r="I614" i="61"/>
  <c r="J614" i="61" s="1"/>
  <c r="I619" i="61"/>
  <c r="J619" i="61" s="1"/>
  <c r="I624" i="61"/>
  <c r="J624" i="61" s="1"/>
  <c r="I628" i="61"/>
  <c r="J628" i="61" s="1"/>
  <c r="I640" i="61"/>
  <c r="J640" i="61" s="1"/>
  <c r="I643" i="61"/>
  <c r="I649" i="61"/>
  <c r="J649" i="61" s="1"/>
  <c r="I651" i="61"/>
  <c r="I660" i="61"/>
  <c r="J660" i="61" s="1"/>
  <c r="I684" i="61"/>
  <c r="I696" i="61"/>
  <c r="J696" i="61" s="1"/>
  <c r="I728" i="61"/>
  <c r="I734" i="61"/>
  <c r="I744" i="61"/>
  <c r="I763" i="61"/>
  <c r="I773" i="61"/>
  <c r="I784" i="61"/>
  <c r="J784" i="61" s="1"/>
  <c r="I787" i="61"/>
  <c r="J787" i="61" s="1"/>
  <c r="I829" i="61"/>
  <c r="J829" i="61" s="1"/>
  <c r="I841" i="61"/>
  <c r="J841" i="61" s="1"/>
  <c r="I936" i="61"/>
  <c r="J936" i="61" s="1"/>
  <c r="I1003" i="61"/>
  <c r="J1003" i="61" s="1"/>
  <c r="I1007" i="61"/>
  <c r="I1018" i="61"/>
  <c r="J1018" i="61" s="1"/>
  <c r="I1187" i="61"/>
  <c r="J1187" i="61" s="1"/>
  <c r="I447" i="61"/>
  <c r="I484" i="61"/>
  <c r="I492" i="61"/>
  <c r="I503" i="61"/>
  <c r="J503" i="61" s="1"/>
  <c r="I506" i="61"/>
  <c r="I529" i="61"/>
  <c r="I606" i="61"/>
  <c r="J606" i="61" s="1"/>
  <c r="I677" i="61"/>
  <c r="J677" i="61" s="1"/>
  <c r="I804" i="61"/>
  <c r="J804" i="61" s="1"/>
  <c r="I825" i="61"/>
  <c r="J825" i="61" s="1"/>
  <c r="I433" i="61"/>
  <c r="I435" i="61"/>
  <c r="J435" i="61" s="1"/>
  <c r="I441" i="61"/>
  <c r="I444" i="61"/>
  <c r="F429" i="61"/>
  <c r="I451" i="61"/>
  <c r="I464" i="61"/>
  <c r="I468" i="61"/>
  <c r="I494" i="61"/>
  <c r="J494" i="61" s="1"/>
  <c r="I524" i="61"/>
  <c r="I526" i="61"/>
  <c r="I528" i="61"/>
  <c r="J528" i="61" s="1"/>
  <c r="I533" i="61"/>
  <c r="I540" i="61"/>
  <c r="I542" i="61"/>
  <c r="J542" i="61" s="1"/>
  <c r="I547" i="61"/>
  <c r="I551" i="61"/>
  <c r="I553" i="61"/>
  <c r="I578" i="61"/>
  <c r="J578" i="61" s="1"/>
  <c r="I597" i="61"/>
  <c r="I603" i="61"/>
  <c r="J603" i="61" s="1"/>
  <c r="I634" i="61"/>
  <c r="J634" i="61" s="1"/>
  <c r="F1660" i="61"/>
  <c r="F648" i="61"/>
  <c r="G653" i="61"/>
  <c r="D652" i="61"/>
  <c r="I683" i="61"/>
  <c r="J683" i="61" s="1"/>
  <c r="G697" i="61"/>
  <c r="I702" i="61"/>
  <c r="I731" i="61"/>
  <c r="I733" i="61"/>
  <c r="J733" i="61" s="1"/>
  <c r="I750" i="61"/>
  <c r="I762" i="61"/>
  <c r="J762" i="61" s="1"/>
  <c r="I772" i="61"/>
  <c r="J772" i="61" s="1"/>
  <c r="I778" i="61"/>
  <c r="I810" i="61"/>
  <c r="I831" i="61"/>
  <c r="J831" i="61" s="1"/>
  <c r="I840" i="61"/>
  <c r="I846" i="61"/>
  <c r="J846" i="61" s="1"/>
  <c r="I856" i="61"/>
  <c r="J856" i="61" s="1"/>
  <c r="I859" i="61"/>
  <c r="I861" i="61"/>
  <c r="J861" i="61" s="1"/>
  <c r="I864" i="61"/>
  <c r="I870" i="61"/>
  <c r="I882" i="61"/>
  <c r="J882" i="61" s="1"/>
  <c r="I916" i="61"/>
  <c r="I921" i="61"/>
  <c r="J921" i="61" s="1"/>
  <c r="I970" i="61"/>
  <c r="E1665" i="61"/>
  <c r="E1060" i="61"/>
  <c r="G1065" i="61"/>
  <c r="D1058" i="61"/>
  <c r="I1074" i="61"/>
  <c r="J1074" i="61" s="1"/>
  <c r="I1089" i="61"/>
  <c r="I1254" i="61"/>
  <c r="J1254" i="61" s="1"/>
  <c r="I849" i="61"/>
  <c r="I871" i="61"/>
  <c r="G880" i="61"/>
  <c r="G881" i="61"/>
  <c r="I887" i="61"/>
  <c r="J887" i="61" s="1"/>
  <c r="I900" i="61"/>
  <c r="I903" i="61"/>
  <c r="I919" i="61"/>
  <c r="J919" i="61" s="1"/>
  <c r="I931" i="61"/>
  <c r="J931" i="61" s="1"/>
  <c r="I942" i="61"/>
  <c r="I948" i="61"/>
  <c r="J948" i="61" s="1"/>
  <c r="I959" i="61"/>
  <c r="I963" i="61"/>
  <c r="G972" i="61"/>
  <c r="I981" i="61"/>
  <c r="G1008" i="61"/>
  <c r="I1015" i="61"/>
  <c r="I1036" i="61"/>
  <c r="J1036" i="61" s="1"/>
  <c r="I1040" i="61"/>
  <c r="J1040" i="61" s="1"/>
  <c r="I1045" i="61"/>
  <c r="J1045" i="61" s="1"/>
  <c r="I1054" i="61"/>
  <c r="I1056" i="61"/>
  <c r="I1062" i="61"/>
  <c r="J1062" i="61" s="1"/>
  <c r="I1068" i="61"/>
  <c r="J1068" i="61" s="1"/>
  <c r="I1075" i="61"/>
  <c r="J1075" i="61" s="1"/>
  <c r="I1084" i="61"/>
  <c r="J1084" i="61" s="1"/>
  <c r="I1091" i="61"/>
  <c r="D1666" i="61"/>
  <c r="G1096" i="61"/>
  <c r="G1666" i="61" s="1"/>
  <c r="D1095" i="61"/>
  <c r="I1098" i="61"/>
  <c r="J1098" i="61" s="1"/>
  <c r="I1107" i="61"/>
  <c r="J1107" i="61" s="1"/>
  <c r="G1121" i="61"/>
  <c r="I1121" i="61" s="1"/>
  <c r="J1121" i="61" s="1"/>
  <c r="I1129" i="61"/>
  <c r="I1140" i="61"/>
  <c r="J1140" i="61" s="1"/>
  <c r="I1143" i="61"/>
  <c r="I1153" i="61"/>
  <c r="I1191" i="61"/>
  <c r="J1191" i="61" s="1"/>
  <c r="I1193" i="61"/>
  <c r="J1193" i="61" s="1"/>
  <c r="I1197" i="61"/>
  <c r="J1197" i="61" s="1"/>
  <c r="I1216" i="61"/>
  <c r="I1276" i="61"/>
  <c r="I1381" i="61"/>
  <c r="I852" i="61"/>
  <c r="I890" i="61"/>
  <c r="I895" i="61"/>
  <c r="I914" i="61"/>
  <c r="I934" i="61"/>
  <c r="I945" i="61"/>
  <c r="D982" i="61"/>
  <c r="G985" i="61"/>
  <c r="I989" i="61"/>
  <c r="I998" i="61"/>
  <c r="I1023" i="61"/>
  <c r="I1026" i="61"/>
  <c r="I1039" i="61"/>
  <c r="I1053" i="61"/>
  <c r="J1053" i="61" s="1"/>
  <c r="I1061" i="61"/>
  <c r="J1061" i="61" s="1"/>
  <c r="I1071" i="61"/>
  <c r="I1076" i="61"/>
  <c r="J1076" i="61" s="1"/>
  <c r="I1087" i="61"/>
  <c r="G1099" i="61"/>
  <c r="I1109" i="61"/>
  <c r="I1117" i="61"/>
  <c r="J1117" i="61" s="1"/>
  <c r="I1142" i="61"/>
  <c r="J1142" i="61" s="1"/>
  <c r="I1170" i="61"/>
  <c r="I1175" i="61"/>
  <c r="J1175" i="61" s="1"/>
  <c r="I1186" i="61"/>
  <c r="I1196" i="61"/>
  <c r="I1205" i="61"/>
  <c r="J1205" i="61" s="1"/>
  <c r="I1215" i="61"/>
  <c r="J1215" i="61" s="1"/>
  <c r="I1228" i="61"/>
  <c r="I1262" i="61"/>
  <c r="J1262" i="61" s="1"/>
  <c r="I1357" i="61"/>
  <c r="J1357" i="61" s="1"/>
  <c r="I1360" i="61"/>
  <c r="I1412" i="61"/>
  <c r="I869" i="61"/>
  <c r="I885" i="61"/>
  <c r="I888" i="61"/>
  <c r="J888" i="61" s="1"/>
  <c r="G907" i="61"/>
  <c r="I924" i="61"/>
  <c r="I953" i="61"/>
  <c r="I961" i="61"/>
  <c r="I965" i="61"/>
  <c r="J965" i="61" s="1"/>
  <c r="I968" i="61"/>
  <c r="J968" i="61" s="1"/>
  <c r="F971" i="61"/>
  <c r="F964" i="61" s="1"/>
  <c r="F969" i="61" s="1"/>
  <c r="I973" i="61"/>
  <c r="G990" i="61"/>
  <c r="I995" i="61"/>
  <c r="I997" i="61"/>
  <c r="J997" i="61" s="1"/>
  <c r="I1025" i="61"/>
  <c r="J1025" i="61" s="1"/>
  <c r="I1070" i="61"/>
  <c r="J1070" i="61" s="1"/>
  <c r="I1077" i="61"/>
  <c r="J1077" i="61" s="1"/>
  <c r="I1086" i="61"/>
  <c r="J1086" i="61" s="1"/>
  <c r="E1666" i="61"/>
  <c r="E1095" i="61"/>
  <c r="F1666" i="61"/>
  <c r="F1095" i="61"/>
  <c r="I1100" i="61"/>
  <c r="G1130" i="61"/>
  <c r="E1104" i="61"/>
  <c r="E1108" i="61" s="1"/>
  <c r="I1137" i="61"/>
  <c r="I1145" i="61"/>
  <c r="I1180" i="61"/>
  <c r="E1669" i="61"/>
  <c r="E1222" i="61"/>
  <c r="G1233" i="61"/>
  <c r="D1232" i="61"/>
  <c r="I1244" i="61"/>
  <c r="D1273" i="61"/>
  <c r="G1274" i="61"/>
  <c r="I1279" i="61"/>
  <c r="I1307" i="61"/>
  <c r="J1307" i="61" s="1"/>
  <c r="D1343" i="61"/>
  <c r="G1344" i="61"/>
  <c r="E1673" i="61"/>
  <c r="E1459" i="61"/>
  <c r="D1114" i="61"/>
  <c r="D1120" i="61"/>
  <c r="D1165" i="61"/>
  <c r="I1194" i="61"/>
  <c r="I1200" i="61"/>
  <c r="I1204" i="61"/>
  <c r="I1211" i="61"/>
  <c r="I1231" i="61"/>
  <c r="I1240" i="61"/>
  <c r="J1240" i="61" s="1"/>
  <c r="I1246" i="61"/>
  <c r="I1247" i="61"/>
  <c r="J1247" i="61" s="1"/>
  <c r="I1249" i="61"/>
  <c r="I1257" i="61"/>
  <c r="G1283" i="61"/>
  <c r="I1293" i="61"/>
  <c r="J1293" i="61" s="1"/>
  <c r="G1296" i="61"/>
  <c r="D1289" i="61"/>
  <c r="I1303" i="61"/>
  <c r="J1303" i="61" s="1"/>
  <c r="I1311" i="61"/>
  <c r="J1311" i="61" s="1"/>
  <c r="I1319" i="61"/>
  <c r="J1319" i="61" s="1"/>
  <c r="I1327" i="61"/>
  <c r="J1327" i="61" s="1"/>
  <c r="I1330" i="61"/>
  <c r="J1330" i="61" s="1"/>
  <c r="F1337" i="61"/>
  <c r="F1341" i="61" s="1"/>
  <c r="I1350" i="61"/>
  <c r="J1350" i="61" s="1"/>
  <c r="G1353" i="61"/>
  <c r="I1363" i="61"/>
  <c r="I1365" i="61"/>
  <c r="J1365" i="61" s="1"/>
  <c r="I1372" i="61"/>
  <c r="J1372" i="61" s="1"/>
  <c r="I1403" i="61"/>
  <c r="J1403" i="61" s="1"/>
  <c r="E1390" i="61"/>
  <c r="E1394" i="61" s="1"/>
  <c r="I1514" i="61"/>
  <c r="J1514" i="61" s="1"/>
  <c r="D1678" i="61"/>
  <c r="D1645" i="61"/>
  <c r="D1606" i="61"/>
  <c r="G1563" i="61"/>
  <c r="D1562" i="61"/>
  <c r="I1179" i="61"/>
  <c r="J1179" i="61" s="1"/>
  <c r="I1198" i="61"/>
  <c r="I1207" i="61"/>
  <c r="J1207" i="61" s="1"/>
  <c r="I1214" i="61"/>
  <c r="I1234" i="61"/>
  <c r="G1248" i="61"/>
  <c r="I1288" i="61"/>
  <c r="I1322" i="61"/>
  <c r="I1333" i="61"/>
  <c r="I1342" i="61"/>
  <c r="G1345" i="61"/>
  <c r="I1346" i="61"/>
  <c r="I1352" i="61"/>
  <c r="G1367" i="61"/>
  <c r="I1368" i="61"/>
  <c r="I1374" i="61"/>
  <c r="J1374" i="61" s="1"/>
  <c r="I1402" i="61"/>
  <c r="I1201" i="61"/>
  <c r="J1201" i="61" s="1"/>
  <c r="I1208" i="61"/>
  <c r="I1212" i="61"/>
  <c r="J1212" i="61" s="1"/>
  <c r="I1237" i="61"/>
  <c r="I1239" i="61"/>
  <c r="J1239" i="61" s="1"/>
  <c r="I1252" i="61"/>
  <c r="J1252" i="61" s="1"/>
  <c r="I1260" i="61"/>
  <c r="J1260" i="61" s="1"/>
  <c r="E1289" i="61"/>
  <c r="E1267" i="61" s="1"/>
  <c r="E1271" i="61" s="1"/>
  <c r="I1298" i="61"/>
  <c r="J1298" i="61" s="1"/>
  <c r="I1300" i="61"/>
  <c r="I1302" i="61"/>
  <c r="J1302" i="61" s="1"/>
  <c r="I1305" i="61"/>
  <c r="J1305" i="61" s="1"/>
  <c r="I1313" i="61"/>
  <c r="I1335" i="61"/>
  <c r="G1364" i="61"/>
  <c r="E1337" i="61"/>
  <c r="E1341" i="61" s="1"/>
  <c r="G1369" i="61"/>
  <c r="I1382" i="61"/>
  <c r="J1382" i="61" s="1"/>
  <c r="G1516" i="61"/>
  <c r="I1525" i="61"/>
  <c r="G1278" i="61"/>
  <c r="G1355" i="61"/>
  <c r="I1355" i="61" s="1"/>
  <c r="J1355" i="61" s="1"/>
  <c r="D1396" i="61"/>
  <c r="I1397" i="61"/>
  <c r="J1397" i="61" s="1"/>
  <c r="I1407" i="61"/>
  <c r="G1408" i="61"/>
  <c r="D1406" i="61"/>
  <c r="I1410" i="61"/>
  <c r="J1410" i="61" s="1"/>
  <c r="I1420" i="61"/>
  <c r="J1420" i="61" s="1"/>
  <c r="I1423" i="61"/>
  <c r="I1441" i="61"/>
  <c r="J1441" i="61" s="1"/>
  <c r="I1450" i="61"/>
  <c r="J1450" i="61" s="1"/>
  <c r="G1465" i="61"/>
  <c r="I1466" i="61"/>
  <c r="I1476" i="61"/>
  <c r="J1476" i="61" s="1"/>
  <c r="I1479" i="61"/>
  <c r="I1482" i="61"/>
  <c r="I1491" i="61"/>
  <c r="J1491" i="61" s="1"/>
  <c r="I1499" i="61"/>
  <c r="J1499" i="61" s="1"/>
  <c r="F1506" i="61"/>
  <c r="F1510" i="61" s="1"/>
  <c r="I1528" i="61"/>
  <c r="I1531" i="61"/>
  <c r="J1531" i="61" s="1"/>
  <c r="I1534" i="61"/>
  <c r="J1534" i="61" s="1"/>
  <c r="I1539" i="61"/>
  <c r="J1539" i="61" s="1"/>
  <c r="I1551" i="61"/>
  <c r="J1551" i="61" s="1"/>
  <c r="I1554" i="61"/>
  <c r="I1556" i="61"/>
  <c r="I1566" i="61"/>
  <c r="I1379" i="61"/>
  <c r="I1380" i="61"/>
  <c r="J1380" i="61" s="1"/>
  <c r="I1414" i="61"/>
  <c r="I1426" i="61"/>
  <c r="I1428" i="61"/>
  <c r="J1428" i="61" s="1"/>
  <c r="I1444" i="61"/>
  <c r="I1453" i="61"/>
  <c r="G1468" i="61"/>
  <c r="D1467" i="61"/>
  <c r="F1457" i="61"/>
  <c r="F1461" i="61" s="1"/>
  <c r="I1481" i="61"/>
  <c r="J1481" i="61" s="1"/>
  <c r="I1485" i="61"/>
  <c r="I1494" i="61"/>
  <c r="I1502" i="61"/>
  <c r="I1511" i="61"/>
  <c r="I1518" i="61"/>
  <c r="I1520" i="61"/>
  <c r="J1520" i="61" s="1"/>
  <c r="G1524" i="61"/>
  <c r="E1523" i="61"/>
  <c r="G1533" i="61"/>
  <c r="I1533" i="61" s="1"/>
  <c r="J1533" i="61" s="1"/>
  <c r="G1536" i="61"/>
  <c r="I1546" i="61"/>
  <c r="I1564" i="61"/>
  <c r="J1564" i="61" s="1"/>
  <c r="G1648" i="61"/>
  <c r="G1613" i="61"/>
  <c r="G1578" i="61"/>
  <c r="I1578" i="61" s="1"/>
  <c r="J1578" i="61" s="1"/>
  <c r="D1348" i="61"/>
  <c r="I1377" i="61"/>
  <c r="I1378" i="61"/>
  <c r="J1378" i="61" s="1"/>
  <c r="I1385" i="61"/>
  <c r="I1405" i="61"/>
  <c r="I1409" i="61"/>
  <c r="I1411" i="61"/>
  <c r="J1411" i="61" s="1"/>
  <c r="I1415" i="61"/>
  <c r="J1415" i="61" s="1"/>
  <c r="I1455" i="61"/>
  <c r="I1462" i="61"/>
  <c r="D1463" i="61"/>
  <c r="G1464" i="61"/>
  <c r="I1474" i="61"/>
  <c r="J1474" i="61" s="1"/>
  <c r="I1484" i="61"/>
  <c r="J1484" i="61" s="1"/>
  <c r="I1487" i="61"/>
  <c r="I1504" i="61"/>
  <c r="D1512" i="61"/>
  <c r="G1513" i="61"/>
  <c r="I1537" i="61"/>
  <c r="I1538" i="61"/>
  <c r="J1538" i="61" s="1"/>
  <c r="G1676" i="61"/>
  <c r="G1643" i="61"/>
  <c r="G1604" i="61"/>
  <c r="G1644" i="61"/>
  <c r="D1680" i="61"/>
  <c r="D1647" i="61"/>
  <c r="D1608" i="61"/>
  <c r="G1565" i="61"/>
  <c r="G1679" i="61"/>
  <c r="G1646" i="61"/>
  <c r="G1607" i="61"/>
  <c r="E1680" i="61"/>
  <c r="E1647" i="61"/>
  <c r="E1608" i="61"/>
  <c r="E1677" i="61"/>
  <c r="E1644" i="61"/>
  <c r="E1605" i="61"/>
  <c r="F1647" i="61"/>
  <c r="F1680" i="61"/>
  <c r="F1608" i="61"/>
  <c r="F1644" i="61"/>
  <c r="F1677" i="61"/>
  <c r="F1605" i="61"/>
  <c r="I1567" i="61"/>
  <c r="I1568" i="61"/>
  <c r="J1568" i="61" s="1"/>
  <c r="F82" i="36"/>
  <c r="F64" i="36"/>
  <c r="D428" i="61" l="1"/>
  <c r="F1663" i="61"/>
  <c r="F874" i="61"/>
  <c r="G1467" i="61"/>
  <c r="I1345" i="61"/>
  <c r="J1345" i="61" s="1"/>
  <c r="I1563" i="61"/>
  <c r="J1563" i="61" s="1"/>
  <c r="I907" i="61"/>
  <c r="J907" i="61" s="1"/>
  <c r="G360" i="61"/>
  <c r="I360" i="61" s="1"/>
  <c r="J360" i="61" s="1"/>
  <c r="G662" i="61"/>
  <c r="I153" i="61"/>
  <c r="J153" i="61" s="1"/>
  <c r="G1308" i="61"/>
  <c r="I185" i="61"/>
  <c r="J185" i="61" s="1"/>
  <c r="G481" i="61"/>
  <c r="I481" i="61" s="1"/>
  <c r="J481" i="61" s="1"/>
  <c r="G522" i="61"/>
  <c r="I522" i="61" s="1"/>
  <c r="J522" i="61" s="1"/>
  <c r="G657" i="61"/>
  <c r="G1120" i="61"/>
  <c r="I1344" i="61"/>
  <c r="J1344" i="61" s="1"/>
  <c r="I985" i="61"/>
  <c r="J985" i="61" s="1"/>
  <c r="D571" i="61"/>
  <c r="G1002" i="61"/>
  <c r="D141" i="61"/>
  <c r="G523" i="61"/>
  <c r="G1605" i="61"/>
  <c r="G1114" i="61"/>
  <c r="G982" i="61"/>
  <c r="I1065" i="61"/>
  <c r="J1065" i="61" s="1"/>
  <c r="I1370" i="61"/>
  <c r="J1370" i="61" s="1"/>
  <c r="I751" i="61"/>
  <c r="J751" i="61" s="1"/>
  <c r="G741" i="61"/>
  <c r="G28" i="61"/>
  <c r="I906" i="61"/>
  <c r="J906" i="61" s="1"/>
  <c r="I1436" i="61"/>
  <c r="J1436" i="61" s="1"/>
  <c r="G1133" i="61"/>
  <c r="I820" i="61"/>
  <c r="J820" i="61" s="1"/>
  <c r="G348" i="61"/>
  <c r="I348" i="61" s="1"/>
  <c r="J348" i="61" s="1"/>
  <c r="I1465" i="61"/>
  <c r="J1465" i="61" s="1"/>
  <c r="I912" i="61"/>
  <c r="J912" i="61" s="1"/>
  <c r="G1185" i="61"/>
  <c r="G749" i="61"/>
  <c r="I664" i="61"/>
  <c r="J664" i="61" s="1"/>
  <c r="I486" i="61"/>
  <c r="J486" i="61" s="1"/>
  <c r="I254" i="61"/>
  <c r="J254" i="61" s="1"/>
  <c r="I251" i="61"/>
  <c r="J251" i="61" s="1"/>
  <c r="D801" i="61"/>
  <c r="G909" i="61"/>
  <c r="I909" i="61" s="1"/>
  <c r="J909" i="61" s="1"/>
  <c r="I184" i="61"/>
  <c r="J184" i="61" s="1"/>
  <c r="G1110" i="61"/>
  <c r="D394" i="61"/>
  <c r="D368" i="61" s="1"/>
  <c r="G368" i="61" s="1"/>
  <c r="G403" i="61"/>
  <c r="I403" i="61" s="1"/>
  <c r="J403" i="61" s="1"/>
  <c r="G7" i="61"/>
  <c r="F690" i="61"/>
  <c r="F1220" i="61"/>
  <c r="F1224" i="61" s="1"/>
  <c r="E1157" i="61"/>
  <c r="G330" i="61"/>
  <c r="F1657" i="61"/>
  <c r="F219" i="61"/>
  <c r="G480" i="61"/>
  <c r="I480" i="61" s="1"/>
  <c r="J480" i="61" s="1"/>
  <c r="E1661" i="61"/>
  <c r="E690" i="61"/>
  <c r="G581" i="61"/>
  <c r="I581" i="61" s="1"/>
  <c r="J581" i="61" s="1"/>
  <c r="G1677" i="61"/>
  <c r="I1561" i="61"/>
  <c r="J1561" i="61" s="1"/>
  <c r="E421" i="61"/>
  <c r="E426" i="61" s="1"/>
  <c r="E1659" i="61" s="1"/>
  <c r="D11" i="61"/>
  <c r="E1664" i="61"/>
  <c r="E966" i="61"/>
  <c r="D33" i="61"/>
  <c r="D1653" i="61" s="1"/>
  <c r="G1006" i="61"/>
  <c r="D1655" i="61"/>
  <c r="E321" i="61"/>
  <c r="E326" i="61" s="1"/>
  <c r="E1660" i="61"/>
  <c r="F554" i="61"/>
  <c r="E1657" i="61"/>
  <c r="E874" i="61"/>
  <c r="G817" i="61"/>
  <c r="G376" i="61"/>
  <c r="F796" i="61"/>
  <c r="G1406" i="61"/>
  <c r="F1157" i="61"/>
  <c r="G802" i="61"/>
  <c r="I802" i="61" s="1"/>
  <c r="J802" i="61" s="1"/>
  <c r="G141" i="61"/>
  <c r="F321" i="61"/>
  <c r="F326" i="61" s="1"/>
  <c r="F1658" i="61" s="1"/>
  <c r="G136" i="61"/>
  <c r="I136" i="61" s="1"/>
  <c r="J136" i="61" s="1"/>
  <c r="F1269" i="61"/>
  <c r="F1670" i="61"/>
  <c r="G182" i="61"/>
  <c r="I182" i="61" s="1"/>
  <c r="J182" i="61" s="1"/>
  <c r="D149" i="61"/>
  <c r="D904" i="61"/>
  <c r="G156" i="61"/>
  <c r="F1667" i="61"/>
  <c r="F1106" i="61"/>
  <c r="D1104" i="61"/>
  <c r="F151" i="61"/>
  <c r="D971" i="61"/>
  <c r="F1672" i="61"/>
  <c r="F1392" i="61"/>
  <c r="G329" i="61"/>
  <c r="D328" i="61"/>
  <c r="G1095" i="61"/>
  <c r="E1670" i="61"/>
  <c r="E1269" i="61"/>
  <c r="I1666" i="61"/>
  <c r="J1666" i="61" s="1"/>
  <c r="I741" i="61"/>
  <c r="J741" i="61" s="1"/>
  <c r="I1646" i="61"/>
  <c r="J1646" i="61" s="1"/>
  <c r="I1545" i="61"/>
  <c r="J1545" i="61" s="1"/>
  <c r="I1400" i="61"/>
  <c r="J1400" i="61" s="1"/>
  <c r="I1516" i="61"/>
  <c r="J1516" i="61" s="1"/>
  <c r="I1172" i="61"/>
  <c r="J1172" i="61" s="1"/>
  <c r="G1343" i="61"/>
  <c r="I1099" i="61"/>
  <c r="J1099" i="61" s="1"/>
  <c r="I231" i="61"/>
  <c r="J231" i="61" s="1"/>
  <c r="I128" i="61"/>
  <c r="J128" i="61" s="1"/>
  <c r="I446" i="61"/>
  <c r="J446" i="61" s="1"/>
  <c r="I1679" i="61"/>
  <c r="J1679" i="61" s="1"/>
  <c r="I1607" i="61"/>
  <c r="J1607" i="61" s="1"/>
  <c r="I1536" i="61"/>
  <c r="J1536" i="61" s="1"/>
  <c r="G1680" i="61"/>
  <c r="G1647" i="61"/>
  <c r="G1608" i="61"/>
  <c r="I1517" i="61"/>
  <c r="J1517" i="61" s="1"/>
  <c r="I1488" i="61"/>
  <c r="J1488" i="61" s="1"/>
  <c r="G1463" i="61"/>
  <c r="D1457" i="61"/>
  <c r="I1565" i="61"/>
  <c r="J1565" i="61" s="1"/>
  <c r="F1674" i="61"/>
  <c r="F1508" i="61"/>
  <c r="I1393" i="61"/>
  <c r="J1393" i="61" s="1"/>
  <c r="I1248" i="61"/>
  <c r="J1248" i="61" s="1"/>
  <c r="E1671" i="61"/>
  <c r="E1339" i="61"/>
  <c r="I1093" i="61"/>
  <c r="J1093" i="61" s="1"/>
  <c r="E1672" i="61"/>
  <c r="E1392" i="61"/>
  <c r="I1369" i="61"/>
  <c r="J1369" i="61" s="1"/>
  <c r="I1364" i="61"/>
  <c r="J1364" i="61" s="1"/>
  <c r="E1667" i="61"/>
  <c r="E1106" i="61"/>
  <c r="F1664" i="61"/>
  <c r="F966" i="61"/>
  <c r="I898" i="61"/>
  <c r="J898" i="61" s="1"/>
  <c r="I1413" i="61"/>
  <c r="J1413" i="61" s="1"/>
  <c r="I993" i="61"/>
  <c r="J993" i="61" s="1"/>
  <c r="I899" i="61"/>
  <c r="J899" i="61" s="1"/>
  <c r="I495" i="61"/>
  <c r="J495" i="61" s="1"/>
  <c r="I1296" i="61"/>
  <c r="J1296" i="61" s="1"/>
  <c r="I1002" i="61"/>
  <c r="J1002" i="61" s="1"/>
  <c r="I986" i="61"/>
  <c r="J986" i="61" s="1"/>
  <c r="I1227" i="61"/>
  <c r="J1227" i="61" s="1"/>
  <c r="I897" i="61"/>
  <c r="J897" i="61" s="1"/>
  <c r="G801" i="61"/>
  <c r="D794" i="61"/>
  <c r="I746" i="61"/>
  <c r="J746" i="61" s="1"/>
  <c r="F428" i="61"/>
  <c r="G429" i="61"/>
  <c r="I697" i="61"/>
  <c r="J697" i="61" s="1"/>
  <c r="I618" i="61"/>
  <c r="J618" i="61" s="1"/>
  <c r="I713" i="61"/>
  <c r="J713" i="61" s="1"/>
  <c r="I523" i="61"/>
  <c r="J523" i="61" s="1"/>
  <c r="I430" i="61"/>
  <c r="J430" i="61" s="1"/>
  <c r="I163" i="61"/>
  <c r="J163" i="61" s="1"/>
  <c r="I341" i="61"/>
  <c r="J341" i="61" s="1"/>
  <c r="I827" i="61"/>
  <c r="J827" i="61" s="1"/>
  <c r="I346" i="61"/>
  <c r="J346" i="61" s="1"/>
  <c r="D217" i="61"/>
  <c r="G249" i="61"/>
  <c r="I56" i="61"/>
  <c r="J56" i="61" s="1"/>
  <c r="I225" i="61"/>
  <c r="J225" i="61" s="1"/>
  <c r="I7" i="61"/>
  <c r="J7" i="61" s="1"/>
  <c r="I1284" i="61"/>
  <c r="J1284" i="61" s="1"/>
  <c r="I516" i="61"/>
  <c r="I653" i="61"/>
  <c r="J653" i="61" s="1"/>
  <c r="I573" i="61"/>
  <c r="J573" i="61" s="1"/>
  <c r="G121" i="61"/>
  <c r="D125" i="61"/>
  <c r="I162" i="61"/>
  <c r="J162" i="61" s="1"/>
  <c r="I1483" i="61"/>
  <c r="J1483" i="61" s="1"/>
  <c r="I1513" i="61"/>
  <c r="J1513" i="61" s="1"/>
  <c r="I1473" i="61"/>
  <c r="J1473" i="61" s="1"/>
  <c r="G1348" i="61"/>
  <c r="I1348" i="61" s="1"/>
  <c r="J1348" i="61" s="1"/>
  <c r="D1347" i="61"/>
  <c r="E1506" i="61"/>
  <c r="E1510" i="61" s="1"/>
  <c r="G1523" i="61"/>
  <c r="I1270" i="61"/>
  <c r="J1270" i="61" s="1"/>
  <c r="I1530" i="61"/>
  <c r="J1530" i="61" s="1"/>
  <c r="I1468" i="61"/>
  <c r="J1468" i="61" s="1"/>
  <c r="I1449" i="61"/>
  <c r="J1449" i="61" s="1"/>
  <c r="I1418" i="61"/>
  <c r="J1418" i="61" s="1"/>
  <c r="I1316" i="61"/>
  <c r="J1316" i="61" s="1"/>
  <c r="I1233" i="61"/>
  <c r="J1233" i="61" s="1"/>
  <c r="I1464" i="61"/>
  <c r="J1464" i="61" s="1"/>
  <c r="I1283" i="61"/>
  <c r="J1283" i="61" s="1"/>
  <c r="I1229" i="61"/>
  <c r="J1229" i="61" s="1"/>
  <c r="G1562" i="61"/>
  <c r="I1562" i="61" s="1"/>
  <c r="J1562" i="61" s="1"/>
  <c r="D1560" i="61"/>
  <c r="I1408" i="61"/>
  <c r="J1408" i="61" s="1"/>
  <c r="G1289" i="61"/>
  <c r="I1008" i="61"/>
  <c r="J1008" i="61" s="1"/>
  <c r="I1291" i="61"/>
  <c r="J1291" i="61" s="1"/>
  <c r="G1273" i="61"/>
  <c r="D1267" i="61"/>
  <c r="G1232" i="61"/>
  <c r="D1220" i="61"/>
  <c r="I1115" i="61"/>
  <c r="J1115" i="61" s="1"/>
  <c r="I990" i="61"/>
  <c r="J990" i="61" s="1"/>
  <c r="I798" i="61"/>
  <c r="J798" i="61" s="1"/>
  <c r="I500" i="61"/>
  <c r="J500" i="61" s="1"/>
  <c r="I1318" i="61"/>
  <c r="J1318" i="61" s="1"/>
  <c r="I1133" i="61"/>
  <c r="J1133" i="61" s="1"/>
  <c r="I999" i="61"/>
  <c r="J999" i="61" s="1"/>
  <c r="G1058" i="61"/>
  <c r="I1058" i="61" s="1"/>
  <c r="J1058" i="61" s="1"/>
  <c r="D1063" i="61"/>
  <c r="I658" i="61"/>
  <c r="J658" i="61" s="1"/>
  <c r="I152" i="61"/>
  <c r="J152" i="61" s="1"/>
  <c r="I330" i="61"/>
  <c r="J330" i="61" s="1"/>
  <c r="I819" i="61"/>
  <c r="J819" i="61" s="1"/>
  <c r="I1171" i="61"/>
  <c r="J1171" i="61" s="1"/>
  <c r="I1009" i="61"/>
  <c r="J1009" i="61" s="1"/>
  <c r="I881" i="61"/>
  <c r="J881" i="61" s="1"/>
  <c r="I749" i="61"/>
  <c r="J749" i="61" s="1"/>
  <c r="I337" i="61"/>
  <c r="J337" i="61" s="1"/>
  <c r="I456" i="61"/>
  <c r="J456" i="61" s="1"/>
  <c r="I220" i="61"/>
  <c r="J220" i="61" s="1"/>
  <c r="E1658" i="61"/>
  <c r="E323" i="61"/>
  <c r="I230" i="61"/>
  <c r="J230" i="61" s="1"/>
  <c r="I224" i="61"/>
  <c r="J224" i="61" s="1"/>
  <c r="D1652" i="61"/>
  <c r="D9" i="61"/>
  <c r="I159" i="61"/>
  <c r="J159" i="61" s="1"/>
  <c r="I1434" i="61"/>
  <c r="J1434" i="61" s="1"/>
  <c r="F1673" i="61"/>
  <c r="F1459" i="61"/>
  <c r="I1431" i="61"/>
  <c r="J1431" i="61" s="1"/>
  <c r="G1396" i="61"/>
  <c r="D1390" i="61"/>
  <c r="G1165" i="61"/>
  <c r="D1155" i="61"/>
  <c r="I1166" i="61"/>
  <c r="J1166" i="61" s="1"/>
  <c r="I1006" i="61"/>
  <c r="J1006" i="61" s="1"/>
  <c r="I537" i="61"/>
  <c r="J537" i="61" s="1"/>
  <c r="I880" i="61"/>
  <c r="J880" i="61" s="1"/>
  <c r="I972" i="61"/>
  <c r="J972" i="61" s="1"/>
  <c r="I345" i="61"/>
  <c r="J345" i="61" s="1"/>
  <c r="I1676" i="61"/>
  <c r="J1676" i="61" s="1"/>
  <c r="I1643" i="61"/>
  <c r="J1643" i="61" s="1"/>
  <c r="I1604" i="61"/>
  <c r="J1604" i="61" s="1"/>
  <c r="G1512" i="61"/>
  <c r="D1506" i="61"/>
  <c r="I1401" i="61"/>
  <c r="J1401" i="61" s="1"/>
  <c r="I1367" i="61"/>
  <c r="J1367" i="61" s="1"/>
  <c r="I1278" i="61"/>
  <c r="J1278" i="61" s="1"/>
  <c r="I1096" i="61"/>
  <c r="J1096" i="61" s="1"/>
  <c r="G1678" i="61"/>
  <c r="G1645" i="61"/>
  <c r="G1606" i="61"/>
  <c r="F1671" i="61"/>
  <c r="F1339" i="61"/>
  <c r="I1274" i="61"/>
  <c r="J1274" i="61" s="1"/>
  <c r="I1209" i="61"/>
  <c r="J1209" i="61" s="1"/>
  <c r="I982" i="61"/>
  <c r="J982" i="61" s="1"/>
  <c r="I1245" i="61"/>
  <c r="J1245" i="61" s="1"/>
  <c r="I1110" i="61"/>
  <c r="J1110" i="61" s="1"/>
  <c r="I1162" i="61"/>
  <c r="J1162" i="61" s="1"/>
  <c r="I994" i="61"/>
  <c r="J994" i="61" s="1"/>
  <c r="I736" i="61"/>
  <c r="J736" i="61" s="1"/>
  <c r="I582" i="61"/>
  <c r="J582" i="61" s="1"/>
  <c r="I1182" i="61"/>
  <c r="J1182" i="61" s="1"/>
  <c r="I1130" i="61"/>
  <c r="J1130" i="61" s="1"/>
  <c r="D646" i="61"/>
  <c r="G652" i="61"/>
  <c r="I669" i="61"/>
  <c r="J669" i="61" s="1"/>
  <c r="I239" i="61"/>
  <c r="J239" i="61" s="1"/>
  <c r="I171" i="61"/>
  <c r="J171" i="61" s="1"/>
  <c r="I466" i="61"/>
  <c r="J466" i="61" s="1"/>
  <c r="G695" i="61"/>
  <c r="D688" i="61"/>
  <c r="G571" i="61"/>
  <c r="E154" i="61"/>
  <c r="G983" i="61"/>
  <c r="I157" i="61"/>
  <c r="J157" i="61" s="1"/>
  <c r="G1655" i="61"/>
  <c r="I141" i="61"/>
  <c r="J141" i="61" s="1"/>
  <c r="I376" i="61"/>
  <c r="J376" i="61" s="1"/>
  <c r="D30" i="61" l="1"/>
  <c r="G30" i="61" s="1"/>
  <c r="G33" i="61"/>
  <c r="G1653" i="61" s="1"/>
  <c r="G1347" i="61"/>
  <c r="I1347" i="61" s="1"/>
  <c r="J1347" i="61" s="1"/>
  <c r="D964" i="61"/>
  <c r="G394" i="61"/>
  <c r="D556" i="61"/>
  <c r="G1104" i="61"/>
  <c r="G11" i="61"/>
  <c r="G1652" i="61" s="1"/>
  <c r="D154" i="61"/>
  <c r="D1656" i="61" s="1"/>
  <c r="D138" i="61"/>
  <c r="E423" i="61"/>
  <c r="F1222" i="61"/>
  <c r="F1669" i="61"/>
  <c r="F421" i="61"/>
  <c r="F426" i="61" s="1"/>
  <c r="F1659" i="61" s="1"/>
  <c r="D1108" i="61"/>
  <c r="G971" i="61"/>
  <c r="I971" i="61" s="1"/>
  <c r="J971" i="61" s="1"/>
  <c r="F323" i="61"/>
  <c r="G428" i="61"/>
  <c r="G149" i="61"/>
  <c r="D872" i="61"/>
  <c r="G904" i="61"/>
  <c r="I904" i="61" s="1"/>
  <c r="J904" i="61" s="1"/>
  <c r="G328" i="61"/>
  <c r="D321" i="61"/>
  <c r="G646" i="61"/>
  <c r="D650" i="61"/>
  <c r="I1512" i="61"/>
  <c r="J1512" i="61" s="1"/>
  <c r="D1665" i="61"/>
  <c r="G1063" i="61"/>
  <c r="D1060" i="61"/>
  <c r="D1224" i="61"/>
  <c r="G1220" i="61"/>
  <c r="I1608" i="61"/>
  <c r="J1608" i="61" s="1"/>
  <c r="I1467" i="61"/>
  <c r="J1467" i="61" s="1"/>
  <c r="I1677" i="61"/>
  <c r="J1677" i="61" s="1"/>
  <c r="I1605" i="61"/>
  <c r="J1605" i="61" s="1"/>
  <c r="I1165" i="61"/>
  <c r="J1165" i="61" s="1"/>
  <c r="I463" i="61"/>
  <c r="J463" i="61" s="1"/>
  <c r="I28" i="61"/>
  <c r="J28" i="61" s="1"/>
  <c r="I1289" i="61"/>
  <c r="J1289" i="61" s="1"/>
  <c r="G1560" i="61"/>
  <c r="I1560" i="61" s="1"/>
  <c r="J1560" i="61" s="1"/>
  <c r="E1674" i="61"/>
  <c r="E1508" i="61"/>
  <c r="I1406" i="61"/>
  <c r="J1406" i="61" s="1"/>
  <c r="G217" i="61"/>
  <c r="I217" i="61" s="1"/>
  <c r="J217" i="61" s="1"/>
  <c r="D222" i="61"/>
  <c r="D1461" i="61"/>
  <c r="G1457" i="61"/>
  <c r="I662" i="61"/>
  <c r="J662" i="61" s="1"/>
  <c r="I1120" i="61"/>
  <c r="J1120" i="61" s="1"/>
  <c r="I1353" i="61"/>
  <c r="J1353" i="61" s="1"/>
  <c r="I11" i="61"/>
  <c r="J11" i="61" s="1"/>
  <c r="I1655" i="61"/>
  <c r="J1655" i="61" s="1"/>
  <c r="I1185" i="61"/>
  <c r="J1185" i="61" s="1"/>
  <c r="I571" i="61"/>
  <c r="J571" i="61" s="1"/>
  <c r="I652" i="61"/>
  <c r="J652" i="61" s="1"/>
  <c r="I1524" i="61"/>
  <c r="J1524" i="61" s="1"/>
  <c r="G964" i="61"/>
  <c r="D969" i="61"/>
  <c r="I1232" i="61"/>
  <c r="J1232" i="61" s="1"/>
  <c r="I249" i="61"/>
  <c r="J249" i="61" s="1"/>
  <c r="I1161" i="61"/>
  <c r="J1161" i="61" s="1"/>
  <c r="I1644" i="61"/>
  <c r="J1644" i="61" s="1"/>
  <c r="I1343" i="61"/>
  <c r="J1343" i="61" s="1"/>
  <c r="E1656" i="61"/>
  <c r="E151" i="61"/>
  <c r="G688" i="61"/>
  <c r="D693" i="61"/>
  <c r="I1647" i="61"/>
  <c r="J1647" i="61" s="1"/>
  <c r="I1678" i="61"/>
  <c r="J1678" i="61" s="1"/>
  <c r="I743" i="61"/>
  <c r="J743" i="61" s="1"/>
  <c r="G1267" i="61"/>
  <c r="D1271" i="61"/>
  <c r="I1648" i="61"/>
  <c r="J1648" i="61" s="1"/>
  <c r="D1654" i="61"/>
  <c r="G125" i="61"/>
  <c r="D123" i="61"/>
  <c r="I465" i="61"/>
  <c r="J465" i="61" s="1"/>
  <c r="I429" i="61"/>
  <c r="J429" i="61" s="1"/>
  <c r="I817" i="61"/>
  <c r="J817" i="61" s="1"/>
  <c r="I657" i="61"/>
  <c r="J657" i="61" s="1"/>
  <c r="I1463" i="61"/>
  <c r="J1463" i="61" s="1"/>
  <c r="I1486" i="61"/>
  <c r="J1486" i="61" s="1"/>
  <c r="I1095" i="61"/>
  <c r="J1095" i="61" s="1"/>
  <c r="I329" i="61"/>
  <c r="J329" i="61" s="1"/>
  <c r="I1181" i="61"/>
  <c r="J1181" i="61" s="1"/>
  <c r="D1159" i="61"/>
  <c r="G1155" i="61"/>
  <c r="I1155" i="61" s="1"/>
  <c r="J1155" i="61" s="1"/>
  <c r="G1390" i="61"/>
  <c r="D1394" i="61"/>
  <c r="I1606" i="61"/>
  <c r="J1606" i="61" s="1"/>
  <c r="I991" i="61"/>
  <c r="J991" i="61" s="1"/>
  <c r="I1680" i="61"/>
  <c r="J1680" i="61" s="1"/>
  <c r="I156" i="61"/>
  <c r="J156" i="61" s="1"/>
  <c r="I983" i="61"/>
  <c r="J983" i="61" s="1"/>
  <c r="I1226" i="61"/>
  <c r="J1226" i="61" s="1"/>
  <c r="I1308" i="61"/>
  <c r="J1308" i="61" s="1"/>
  <c r="D1510" i="61"/>
  <c r="G1506" i="61"/>
  <c r="I1506" i="61" s="1"/>
  <c r="J1506" i="61" s="1"/>
  <c r="I1523" i="61"/>
  <c r="J1523" i="61" s="1"/>
  <c r="I801" i="61"/>
  <c r="J801" i="61" s="1"/>
  <c r="G9" i="61"/>
  <c r="I695" i="61"/>
  <c r="J695" i="61" s="1"/>
  <c r="I1114" i="61"/>
  <c r="J1114" i="61" s="1"/>
  <c r="I1277" i="61"/>
  <c r="J1277" i="61" s="1"/>
  <c r="I121" i="61"/>
  <c r="J121" i="61" s="1"/>
  <c r="I394" i="61"/>
  <c r="J394" i="61" s="1"/>
  <c r="D799" i="61"/>
  <c r="G794" i="61"/>
  <c r="I617" i="61"/>
  <c r="J617" i="61" s="1"/>
  <c r="I1613" i="61"/>
  <c r="J1613" i="61" s="1"/>
  <c r="I1645" i="61"/>
  <c r="J1645" i="61" s="1"/>
  <c r="I1396" i="61"/>
  <c r="J1396" i="61" s="1"/>
  <c r="D1337" i="61"/>
  <c r="I1273" i="61"/>
  <c r="J1273" i="61" s="1"/>
  <c r="G1060" i="61" l="1"/>
  <c r="I1060" i="61" s="1"/>
  <c r="J1060" i="61" s="1"/>
  <c r="D1667" i="61"/>
  <c r="D151" i="61"/>
  <c r="G151" i="61" s="1"/>
  <c r="G123" i="61"/>
  <c r="I123" i="61" s="1"/>
  <c r="J123" i="61" s="1"/>
  <c r="G138" i="61"/>
  <c r="I138" i="61" s="1"/>
  <c r="J138" i="61" s="1"/>
  <c r="D554" i="61"/>
  <c r="G556" i="61"/>
  <c r="I556" i="61" s="1"/>
  <c r="J556" i="61" s="1"/>
  <c r="G154" i="61"/>
  <c r="G1656" i="61" s="1"/>
  <c r="F1675" i="61"/>
  <c r="F1681" i="61" s="1"/>
  <c r="D1106" i="61"/>
  <c r="F423" i="61"/>
  <c r="G1108" i="61"/>
  <c r="G1667" i="61" s="1"/>
  <c r="E1675" i="61"/>
  <c r="E1681" i="61" s="1"/>
  <c r="G872" i="61"/>
  <c r="I872" i="61" s="1"/>
  <c r="J872" i="61" s="1"/>
  <c r="D878" i="61"/>
  <c r="D326" i="61"/>
  <c r="G321" i="61"/>
  <c r="I688" i="61"/>
  <c r="J688" i="61" s="1"/>
  <c r="D1662" i="61"/>
  <c r="D796" i="61"/>
  <c r="G799" i="61"/>
  <c r="I799" i="61" s="1"/>
  <c r="J799" i="61" s="1"/>
  <c r="I33" i="61"/>
  <c r="J33" i="61" s="1"/>
  <c r="D1672" i="61"/>
  <c r="G1394" i="61"/>
  <c r="I1394" i="61" s="1"/>
  <c r="J1394" i="61" s="1"/>
  <c r="D1392" i="61"/>
  <c r="G1654" i="61"/>
  <c r="I1654" i="61" s="1"/>
  <c r="J1654" i="61" s="1"/>
  <c r="I1457" i="61"/>
  <c r="J1457" i="61" s="1"/>
  <c r="D1670" i="61"/>
  <c r="D1269" i="61"/>
  <c r="G1271" i="61"/>
  <c r="G1670" i="61" s="1"/>
  <c r="D1664" i="61"/>
  <c r="G969" i="61"/>
  <c r="G1664" i="61" s="1"/>
  <c r="D966" i="61"/>
  <c r="I612" i="61"/>
  <c r="J612" i="61" s="1"/>
  <c r="I462" i="61"/>
  <c r="J462" i="61" s="1"/>
  <c r="D1669" i="61"/>
  <c r="D1222" i="61"/>
  <c r="G1224" i="61"/>
  <c r="G1669" i="61" s="1"/>
  <c r="I1652" i="61"/>
  <c r="J1652" i="61" s="1"/>
  <c r="I149" i="61"/>
  <c r="J149" i="61" s="1"/>
  <c r="D1661" i="61"/>
  <c r="G693" i="61"/>
  <c r="G1661" i="61" s="1"/>
  <c r="D690" i="61"/>
  <c r="D1660" i="61"/>
  <c r="G650" i="61"/>
  <c r="G1660" i="61" s="1"/>
  <c r="D648" i="61"/>
  <c r="I1267" i="61"/>
  <c r="J1267" i="61" s="1"/>
  <c r="I964" i="61"/>
  <c r="J964" i="61" s="1"/>
  <c r="D1668" i="61"/>
  <c r="D1157" i="61"/>
  <c r="G1159" i="61"/>
  <c r="I1390" i="61"/>
  <c r="J1390" i="61" s="1"/>
  <c r="I368" i="61"/>
  <c r="J368" i="61" s="1"/>
  <c r="D1673" i="61"/>
  <c r="D1459" i="61"/>
  <c r="G1461" i="61"/>
  <c r="G1673" i="61" s="1"/>
  <c r="D1657" i="61"/>
  <c r="D219" i="61"/>
  <c r="G222" i="61"/>
  <c r="I222" i="61" s="1"/>
  <c r="J222" i="61" s="1"/>
  <c r="I9" i="61"/>
  <c r="J9" i="61" s="1"/>
  <c r="D1341" i="61"/>
  <c r="G1337" i="61"/>
  <c r="I1337" i="61" s="1"/>
  <c r="J1337" i="61" s="1"/>
  <c r="I794" i="61"/>
  <c r="J794" i="61" s="1"/>
  <c r="I328" i="61"/>
  <c r="J328" i="61" s="1"/>
  <c r="D1674" i="61"/>
  <c r="D1508" i="61"/>
  <c r="G1510" i="61"/>
  <c r="I1510" i="61" s="1"/>
  <c r="J1510" i="61" s="1"/>
  <c r="I1104" i="61"/>
  <c r="J1104" i="61" s="1"/>
  <c r="I1220" i="61"/>
  <c r="J1220" i="61" s="1"/>
  <c r="I125" i="61"/>
  <c r="J125" i="61" s="1"/>
  <c r="I646" i="61"/>
  <c r="J646" i="61" s="1"/>
  <c r="G1665" i="61"/>
  <c r="I1063" i="61"/>
  <c r="J1063" i="61" s="1"/>
  <c r="G1222" i="61" l="1"/>
  <c r="G966" i="61"/>
  <c r="G1269" i="61"/>
  <c r="G1392" i="61"/>
  <c r="I1392" i="61" s="1"/>
  <c r="J1392" i="61" s="1"/>
  <c r="G796" i="61"/>
  <c r="G1459" i="61"/>
  <c r="G690" i="61"/>
  <c r="G554" i="61"/>
  <c r="I554" i="61" s="1"/>
  <c r="J554" i="61" s="1"/>
  <c r="D421" i="61"/>
  <c r="G1508" i="61"/>
  <c r="I1508" i="61" s="1"/>
  <c r="J1508" i="61" s="1"/>
  <c r="G1157" i="61"/>
  <c r="I1157" i="61" s="1"/>
  <c r="J1157" i="61" s="1"/>
  <c r="G648" i="61"/>
  <c r="G1106" i="61"/>
  <c r="G878" i="61"/>
  <c r="G1663" i="61" s="1"/>
  <c r="D1663" i="61"/>
  <c r="D874" i="61"/>
  <c r="D323" i="61"/>
  <c r="D1658" i="61"/>
  <c r="G326" i="61"/>
  <c r="G1658" i="61" s="1"/>
  <c r="D1671" i="61"/>
  <c r="D1339" i="61"/>
  <c r="G1341" i="61"/>
  <c r="I969" i="61"/>
  <c r="J969" i="61" s="1"/>
  <c r="G1668" i="61"/>
  <c r="I1668" i="61" s="1"/>
  <c r="J1668" i="61" s="1"/>
  <c r="I1159" i="61"/>
  <c r="J1159" i="61" s="1"/>
  <c r="I428" i="61"/>
  <c r="J428" i="61" s="1"/>
  <c r="I1224" i="61"/>
  <c r="J1224" i="61" s="1"/>
  <c r="I1665" i="61"/>
  <c r="J1665" i="61" s="1"/>
  <c r="I650" i="61"/>
  <c r="J650" i="61" s="1"/>
  <c r="G1672" i="61"/>
  <c r="I1271" i="61"/>
  <c r="J1271" i="61" s="1"/>
  <c r="G1662" i="61"/>
  <c r="I30" i="61"/>
  <c r="J30" i="61" s="1"/>
  <c r="I1461" i="61"/>
  <c r="J1461" i="61" s="1"/>
  <c r="G1657" i="61"/>
  <c r="I321" i="61"/>
  <c r="J321" i="61" s="1"/>
  <c r="I1108" i="61"/>
  <c r="J1108" i="61" s="1"/>
  <c r="I693" i="61"/>
  <c r="J693" i="61" s="1"/>
  <c r="I878" i="61"/>
  <c r="J878" i="61" s="1"/>
  <c r="G1674" i="61"/>
  <c r="I1674" i="61" s="1"/>
  <c r="J1674" i="61" s="1"/>
  <c r="G219" i="61"/>
  <c r="I154" i="61"/>
  <c r="J154" i="61" s="1"/>
  <c r="I1653" i="61"/>
  <c r="J1653" i="61" s="1"/>
  <c r="I796" i="61"/>
  <c r="J796" i="61" s="1"/>
  <c r="I1341" i="61" l="1"/>
  <c r="J1341" i="61" s="1"/>
  <c r="G874" i="61"/>
  <c r="D426" i="61"/>
  <c r="G421" i="61"/>
  <c r="I421" i="61" s="1"/>
  <c r="J421" i="61" s="1"/>
  <c r="G323" i="61"/>
  <c r="I1656" i="61"/>
  <c r="J1656" i="61" s="1"/>
  <c r="I1459" i="61"/>
  <c r="J1459" i="61" s="1"/>
  <c r="I1669" i="61"/>
  <c r="J1669" i="61" s="1"/>
  <c r="G1671" i="61"/>
  <c r="I1106" i="61"/>
  <c r="J1106" i="61" s="1"/>
  <c r="I1661" i="61"/>
  <c r="J1661" i="61" s="1"/>
  <c r="I219" i="61"/>
  <c r="J219" i="61" s="1"/>
  <c r="I151" i="61"/>
  <c r="J151" i="61" s="1"/>
  <c r="I1672" i="61"/>
  <c r="J1672" i="61" s="1"/>
  <c r="I1667" i="61"/>
  <c r="J1667" i="61" s="1"/>
  <c r="I1664" i="61"/>
  <c r="J1664" i="61" s="1"/>
  <c r="I1269" i="61"/>
  <c r="J1269" i="61" s="1"/>
  <c r="I1662" i="61"/>
  <c r="J1662" i="61" s="1"/>
  <c r="I1222" i="61"/>
  <c r="J1222" i="61" s="1"/>
  <c r="I648" i="61"/>
  <c r="J648" i="61" s="1"/>
  <c r="I966" i="61"/>
  <c r="J966" i="61" s="1"/>
  <c r="I1673" i="61"/>
  <c r="J1673" i="61" s="1"/>
  <c r="G1339" i="61"/>
  <c r="I690" i="61"/>
  <c r="J690" i="61" s="1"/>
  <c r="I1663" i="61"/>
  <c r="J1663" i="61" s="1"/>
  <c r="I1657" i="61"/>
  <c r="J1657" i="61" s="1"/>
  <c r="I1660" i="61"/>
  <c r="J1660" i="61" s="1"/>
  <c r="I1670" i="61"/>
  <c r="J1670" i="61" s="1"/>
  <c r="I326" i="61"/>
  <c r="J326" i="61" s="1"/>
  <c r="I874" i="61" l="1"/>
  <c r="J874" i="61" s="1"/>
  <c r="I1671" i="61"/>
  <c r="J1671" i="61" s="1"/>
  <c r="I1339" i="61"/>
  <c r="J1339" i="61" s="1"/>
  <c r="D1659" i="61"/>
  <c r="G426" i="61"/>
  <c r="D423" i="61"/>
  <c r="I1658" i="61"/>
  <c r="J1658" i="61" s="1"/>
  <c r="I323" i="61"/>
  <c r="J323" i="61" s="1"/>
  <c r="G1659" i="61" l="1"/>
  <c r="I426" i="61"/>
  <c r="J426" i="61" s="1"/>
  <c r="D1675" i="61"/>
  <c r="G423" i="61"/>
  <c r="D1630" i="61"/>
  <c r="E1599" i="61"/>
  <c r="D1639" i="61"/>
  <c r="F1596" i="61"/>
  <c r="E1629" i="61"/>
  <c r="D1631" i="61"/>
  <c r="E1593" i="61"/>
  <c r="E1591" i="61"/>
  <c r="D1626" i="61"/>
  <c r="F1588" i="61"/>
  <c r="E1602" i="61"/>
  <c r="E1630" i="61"/>
  <c r="F1634" i="61"/>
  <c r="F1579" i="61"/>
  <c r="F1612" i="61" s="1"/>
  <c r="F1584" i="61"/>
  <c r="F1570" i="61"/>
  <c r="F1602" i="61"/>
  <c r="E1627" i="61"/>
  <c r="E1579" i="61"/>
  <c r="E1612" i="61" s="1"/>
  <c r="D1619" i="61"/>
  <c r="F1630" i="61"/>
  <c r="D1572" i="61"/>
  <c r="F1576" i="61"/>
  <c r="F1611" i="61" s="1"/>
  <c r="F1619" i="61"/>
  <c r="E1592" i="61"/>
  <c r="D1640" i="61"/>
  <c r="E1590" i="61"/>
  <c r="D1623" i="61"/>
  <c r="D1586" i="61"/>
  <c r="F1626" i="61"/>
  <c r="D1599" i="61"/>
  <c r="E1626" i="61"/>
  <c r="E1596" i="61"/>
  <c r="D1636" i="61"/>
  <c r="E1600" i="61"/>
  <c r="E1621" i="61"/>
  <c r="E1641" i="61"/>
  <c r="D1592" i="61"/>
  <c r="F1591" i="61"/>
  <c r="E1625" i="61"/>
  <c r="D1584" i="61"/>
  <c r="F1641" i="61"/>
  <c r="F1595" i="61"/>
  <c r="D1627" i="61"/>
  <c r="E1628" i="61"/>
  <c r="E1619" i="61"/>
  <c r="D1591" i="61"/>
  <c r="F1637" i="61"/>
  <c r="F1601" i="61"/>
  <c r="F1632" i="61"/>
  <c r="F1629" i="61"/>
  <c r="F1620" i="61"/>
  <c r="E1586" i="61"/>
  <c r="E1624" i="61"/>
  <c r="F1585" i="61"/>
  <c r="D1641" i="61"/>
  <c r="F1624" i="61"/>
  <c r="D1575" i="61"/>
  <c r="D1610" i="61" s="1"/>
  <c r="E1574" i="61"/>
  <c r="E1584" i="61"/>
  <c r="D1570" i="61"/>
  <c r="D1595" i="61"/>
  <c r="F1640" i="61"/>
  <c r="E1589" i="61"/>
  <c r="D1621" i="61"/>
  <c r="E1638" i="61"/>
  <c r="D1596" i="61"/>
  <c r="D1589" i="61"/>
  <c r="E1588" i="61"/>
  <c r="E1601" i="61"/>
  <c r="F1592" i="61"/>
  <c r="E1635" i="61"/>
  <c r="E1622" i="61"/>
  <c r="F1627" i="61"/>
  <c r="F1600" i="61"/>
  <c r="D1625" i="61"/>
  <c r="E1633" i="61"/>
  <c r="D1632" i="61"/>
  <c r="D1620" i="61"/>
  <c r="D1594" i="61"/>
  <c r="D1588" i="61"/>
  <c r="F1638" i="61"/>
  <c r="E1631" i="61"/>
  <c r="D1593" i="61"/>
  <c r="F1621" i="61"/>
  <c r="E1570" i="61"/>
  <c r="D1622" i="61"/>
  <c r="F1628" i="61"/>
  <c r="E1623" i="61"/>
  <c r="D1587" i="61"/>
  <c r="E1587" i="61"/>
  <c r="D1579" i="61"/>
  <c r="D1612" i="61" s="1"/>
  <c r="E1597" i="61"/>
  <c r="D1637" i="61"/>
  <c r="F1575" i="61"/>
  <c r="F1610" i="61" s="1"/>
  <c r="D1590" i="61"/>
  <c r="F1593" i="61"/>
  <c r="F1572" i="61"/>
  <c r="E1572" i="61"/>
  <c r="D1634" i="61"/>
  <c r="F1590" i="61"/>
  <c r="F1631" i="61"/>
  <c r="F1599" i="61"/>
  <c r="E1575" i="61"/>
  <c r="E1610" i="61" s="1"/>
  <c r="E1576" i="61"/>
  <c r="E1611" i="61" s="1"/>
  <c r="E1636" i="61"/>
  <c r="F1636" i="61"/>
  <c r="D1633" i="61"/>
  <c r="D1576" i="61"/>
  <c r="D1611" i="61" s="1"/>
  <c r="F1633" i="61"/>
  <c r="F1622" i="61"/>
  <c r="D1629" i="61"/>
  <c r="F1625" i="61"/>
  <c r="F1623" i="61"/>
  <c r="D1597" i="61"/>
  <c r="F1589" i="61"/>
  <c r="E1634" i="61"/>
  <c r="E1585" i="61"/>
  <c r="E1637" i="61"/>
  <c r="F1586" i="61"/>
  <c r="F1635" i="61"/>
  <c r="D1601" i="61"/>
  <c r="D1628" i="61"/>
  <c r="E1632" i="61"/>
  <c r="F1587" i="61"/>
  <c r="D1585" i="61"/>
  <c r="F1639" i="61"/>
  <c r="D1638" i="61"/>
  <c r="D1602" i="61"/>
  <c r="G1593" i="61"/>
  <c r="F1598" i="61"/>
  <c r="E1640" i="61"/>
  <c r="F1574" i="61"/>
  <c r="D1574" i="61"/>
  <c r="F1594" i="61"/>
  <c r="E1620" i="61"/>
  <c r="F1597" i="61"/>
  <c r="D1635" i="61"/>
  <c r="E1594" i="61"/>
  <c r="E1595" i="61"/>
  <c r="D1600" i="61"/>
  <c r="E1598" i="61"/>
  <c r="E1639" i="61"/>
  <c r="D1624" i="61"/>
  <c r="D1598" i="61"/>
  <c r="E1603" i="61" l="1"/>
  <c r="E1609" i="61" s="1"/>
  <c r="E1614" i="61" s="1"/>
  <c r="D1603" i="61"/>
  <c r="D1609" i="61" s="1"/>
  <c r="D1681" i="61"/>
  <c r="F1642" i="61"/>
  <c r="F1649" i="61" s="1"/>
  <c r="D1642" i="61"/>
  <c r="F1603" i="61"/>
  <c r="F1609" i="61" s="1"/>
  <c r="F1614" i="61" s="1"/>
  <c r="G1638" i="61"/>
  <c r="G1579" i="61"/>
  <c r="I1579" i="61" s="1"/>
  <c r="J1579" i="61" s="1"/>
  <c r="G1574" i="61"/>
  <c r="G1599" i="61"/>
  <c r="G1576" i="61"/>
  <c r="G1570" i="61"/>
  <c r="I1570" i="61" s="1"/>
  <c r="G1572" i="61"/>
  <c r="G1598" i="61"/>
  <c r="G1635" i="61"/>
  <c r="G1592" i="61"/>
  <c r="G1624" i="61"/>
  <c r="G1630" i="61"/>
  <c r="G1597" i="61"/>
  <c r="G1588" i="61"/>
  <c r="G1585" i="61"/>
  <c r="G1637" i="61"/>
  <c r="G1628" i="61"/>
  <c r="G1602" i="61"/>
  <c r="G1634" i="61"/>
  <c r="G1589" i="61"/>
  <c r="G1636" i="61"/>
  <c r="G1600" i="61"/>
  <c r="G1641" i="61"/>
  <c r="G1632" i="61"/>
  <c r="G1639" i="61"/>
  <c r="G1621" i="61"/>
  <c r="G1620" i="61"/>
  <c r="G1631" i="61"/>
  <c r="G1622" i="61"/>
  <c r="G1594" i="61"/>
  <c r="G1595" i="61"/>
  <c r="G1626" i="61"/>
  <c r="I423" i="61"/>
  <c r="J423" i="61" s="1"/>
  <c r="G1575" i="61"/>
  <c r="I1575" i="61" s="1"/>
  <c r="J1575" i="61" s="1"/>
  <c r="G1629" i="61"/>
  <c r="G1623" i="61"/>
  <c r="G1584" i="61"/>
  <c r="G1590" i="61"/>
  <c r="G1601" i="61"/>
  <c r="G1627" i="61"/>
  <c r="G1640" i="61"/>
  <c r="G1596" i="61"/>
  <c r="G1625" i="61"/>
  <c r="G1591" i="61"/>
  <c r="G1586" i="61"/>
  <c r="G1587" i="61"/>
  <c r="G1633" i="61"/>
  <c r="G1619" i="61"/>
  <c r="E1642" i="61"/>
  <c r="E1649" i="61" s="1"/>
  <c r="G1675" i="61"/>
  <c r="I1659" i="61"/>
  <c r="J1659" i="61" s="1"/>
  <c r="D1614" i="61"/>
  <c r="I1574" i="61"/>
  <c r="J1574" i="61" s="1"/>
  <c r="G1610" i="61" l="1"/>
  <c r="I1610" i="61" s="1"/>
  <c r="J1610" i="61" s="1"/>
  <c r="G1603" i="61"/>
  <c r="G1612" i="61"/>
  <c r="D1649" i="61"/>
  <c r="G1611" i="61"/>
  <c r="G1642" i="61"/>
  <c r="G1649" i="61" s="1"/>
  <c r="G1681" i="61"/>
  <c r="I1681" i="61" s="1"/>
  <c r="J1681" i="61" s="1"/>
  <c r="I1675" i="61"/>
  <c r="J1675" i="61" s="1"/>
  <c r="I1596" i="61"/>
  <c r="J1596" i="61" s="1"/>
  <c r="I1585" i="61"/>
  <c r="J1585" i="61" s="1"/>
  <c r="I1633" i="61"/>
  <c r="J1633" i="61" s="1"/>
  <c r="I1631" i="61"/>
  <c r="J1631" i="61" s="1"/>
  <c r="I1595" i="61"/>
  <c r="J1595" i="61" s="1"/>
  <c r="I1619" i="61"/>
  <c r="J1619" i="61" s="1"/>
  <c r="I1630" i="61"/>
  <c r="J1630" i="61" s="1"/>
  <c r="I1586" i="61"/>
  <c r="J1586" i="61" s="1"/>
  <c r="I1588" i="61"/>
  <c r="J1588" i="61" s="1"/>
  <c r="I1576" i="61"/>
  <c r="J1576" i="61" s="1"/>
  <c r="I1572" i="61"/>
  <c r="J1572" i="61" s="1"/>
  <c r="I1591" i="61"/>
  <c r="J1591" i="61" s="1"/>
  <c r="I1637" i="61"/>
  <c r="J1637" i="61" s="1"/>
  <c r="I1626" i="61"/>
  <c r="J1626" i="61" s="1"/>
  <c r="J1570" i="61"/>
  <c r="I1622" i="61"/>
  <c r="J1622" i="61" s="1"/>
  <c r="I1624" i="61"/>
  <c r="J1624" i="61" s="1"/>
  <c r="G1609" i="61" l="1"/>
  <c r="I1611" i="61"/>
  <c r="J1611" i="61" s="1"/>
  <c r="I1590" i="61"/>
  <c r="J1590" i="61" s="1"/>
  <c r="I1636" i="61"/>
  <c r="J1636" i="61" s="1"/>
  <c r="I1592" i="61"/>
  <c r="J1592" i="61" s="1"/>
  <c r="I1639" i="61"/>
  <c r="J1639" i="61" s="1"/>
  <c r="I1635" i="61"/>
  <c r="J1635" i="61" s="1"/>
  <c r="I1584" i="61"/>
  <c r="J1584" i="61" s="1"/>
  <c r="I1627" i="61"/>
  <c r="J1627" i="61" s="1"/>
  <c r="I1601" i="61"/>
  <c r="J1601" i="61" s="1"/>
  <c r="I1638" i="61"/>
  <c r="J1638" i="61" s="1"/>
  <c r="I1597" i="61"/>
  <c r="J1597" i="61" s="1"/>
  <c r="I1640" i="61"/>
  <c r="J1640" i="61" s="1"/>
  <c r="I1629" i="61"/>
  <c r="J1629" i="61" s="1"/>
  <c r="I1620" i="61"/>
  <c r="J1620" i="61" s="1"/>
  <c r="I1641" i="61"/>
  <c r="J1641" i="61" s="1"/>
  <c r="I1587" i="61"/>
  <c r="J1587" i="61" s="1"/>
  <c r="I1598" i="61"/>
  <c r="J1598" i="61" s="1"/>
  <c r="I1600" i="61"/>
  <c r="J1600" i="61" s="1"/>
  <c r="I1634" i="61"/>
  <c r="J1634" i="61" s="1"/>
  <c r="I1602" i="61"/>
  <c r="J1602" i="61" s="1"/>
  <c r="I1628" i="61"/>
  <c r="J1628" i="61" s="1"/>
  <c r="I1589" i="61"/>
  <c r="J1589" i="61" s="1"/>
  <c r="I1594" i="61"/>
  <c r="J1594" i="61" s="1"/>
  <c r="I1623" i="61"/>
  <c r="J1623" i="61" s="1"/>
  <c r="I1621" i="61"/>
  <c r="J1621" i="61" s="1"/>
  <c r="I1593" i="61"/>
  <c r="J1593" i="61" s="1"/>
  <c r="I1625" i="61"/>
  <c r="J1625" i="61" s="1"/>
  <c r="I1599" i="61"/>
  <c r="J1599" i="61" s="1"/>
  <c r="I1632" i="61"/>
  <c r="J1632" i="61" s="1"/>
  <c r="G1614" i="61" l="1"/>
  <c r="I1603" i="61"/>
  <c r="J1603" i="61" s="1"/>
  <c r="I1642" i="61"/>
  <c r="J1642" i="61" s="1"/>
  <c r="I1612" i="61"/>
  <c r="J1612" i="61" s="1"/>
  <c r="I1649" i="61" l="1"/>
  <c r="J1649" i="61" s="1"/>
  <c r="I1609" i="61"/>
  <c r="J1609" i="61" s="1"/>
  <c r="I1614" i="61" l="1"/>
  <c r="J1614" i="61" l="1"/>
  <c r="D45" i="57" l="1"/>
  <c r="C45" i="57"/>
  <c r="B45" i="57"/>
  <c r="E21" i="54" l="1"/>
  <c r="F36" i="54"/>
  <c r="E40" i="54"/>
  <c r="E38" i="54"/>
  <c r="E37" i="54"/>
  <c r="E36" i="54"/>
  <c r="E34" i="54" s="1"/>
  <c r="E35" i="54"/>
  <c r="D34" i="54"/>
  <c r="C34" i="54"/>
  <c r="C39" i="54" s="1"/>
  <c r="B34" i="54"/>
  <c r="E33" i="54"/>
  <c r="E31" i="54"/>
  <c r="E30" i="54"/>
  <c r="E29" i="54"/>
  <c r="E28" i="54"/>
  <c r="E27" i="54"/>
  <c r="E26" i="54"/>
  <c r="E25" i="54"/>
  <c r="E24" i="54"/>
  <c r="E23" i="54"/>
  <c r="E22" i="54"/>
  <c r="D21" i="54"/>
  <c r="C21" i="54"/>
  <c r="B21" i="54"/>
  <c r="E20" i="54"/>
  <c r="C19" i="54"/>
  <c r="C32" i="54" s="1"/>
  <c r="E18" i="54"/>
  <c r="E17" i="54"/>
  <c r="E16" i="54"/>
  <c r="E13" i="54" s="1"/>
  <c r="E15" i="54"/>
  <c r="E14" i="54"/>
  <c r="D13" i="54"/>
  <c r="D19" i="54" s="1"/>
  <c r="D32" i="54" s="1"/>
  <c r="C13" i="54"/>
  <c r="B13" i="54"/>
  <c r="E12" i="54"/>
  <c r="E11" i="54"/>
  <c r="E10" i="54"/>
  <c r="E9" i="54"/>
  <c r="E8" i="54"/>
  <c r="E6" i="54" s="1"/>
  <c r="E7" i="54"/>
  <c r="D6" i="54"/>
  <c r="C6" i="54"/>
  <c r="B6" i="54"/>
  <c r="B19" i="54" s="1"/>
  <c r="B32" i="54" s="1"/>
  <c r="D39" i="54" l="1"/>
  <c r="E19" i="54"/>
  <c r="E32" i="54" s="1"/>
  <c r="E39" i="54" s="1"/>
  <c r="B39" i="54"/>
  <c r="F462" i="59" l="1"/>
  <c r="F274" i="59" l="1"/>
  <c r="F273" i="59"/>
  <c r="F269" i="59"/>
  <c r="F253" i="59"/>
  <c r="F250" i="59"/>
  <c r="F249" i="59"/>
  <c r="F247" i="59"/>
  <c r="F246" i="59"/>
  <c r="F245" i="59"/>
  <c r="F7" i="58" l="1"/>
  <c r="F63" i="51" l="1"/>
  <c r="F62" i="51"/>
  <c r="F16" i="51"/>
  <c r="F15" i="51"/>
  <c r="F13" i="51"/>
  <c r="F10" i="51"/>
  <c r="F9" i="51"/>
  <c r="F8" i="51"/>
  <c r="F8" i="54" l="1"/>
  <c r="F50" i="57"/>
  <c r="F21" i="51" s="1"/>
  <c r="F49" i="57"/>
  <c r="F20" i="51" s="1"/>
  <c r="F40" i="57"/>
  <c r="F39" i="57"/>
  <c r="F36" i="57"/>
  <c r="F35" i="57"/>
  <c r="F30" i="57"/>
  <c r="F31" i="57"/>
  <c r="F27" i="57"/>
  <c r="F6" i="57"/>
  <c r="F17" i="57"/>
  <c r="F12" i="57"/>
  <c r="F15" i="57"/>
  <c r="F14" i="57"/>
  <c r="F13" i="57"/>
  <c r="F8" i="57"/>
  <c r="F10" i="57"/>
  <c r="F9" i="57"/>
  <c r="F236" i="59"/>
  <c r="F324" i="59"/>
  <c r="F338" i="59"/>
  <c r="F337" i="59" s="1"/>
  <c r="F348" i="59"/>
  <c r="F398" i="59"/>
  <c r="F407" i="59"/>
  <c r="F409" i="59"/>
  <c r="F408" i="59" s="1"/>
  <c r="F564" i="59"/>
  <c r="F590" i="59"/>
  <c r="F621" i="59"/>
  <c r="F627" i="59"/>
  <c r="F626" i="59" s="1"/>
  <c r="F690" i="59"/>
  <c r="F730" i="59"/>
  <c r="F748" i="59"/>
  <c r="F181" i="59"/>
  <c r="F180" i="59" s="1"/>
  <c r="F190" i="59"/>
  <c r="F153" i="59"/>
  <c r="F70" i="59"/>
  <c r="F69" i="59"/>
  <c r="F68" i="59"/>
  <c r="F57" i="59"/>
  <c r="C836" i="59"/>
  <c r="C834" i="59"/>
  <c r="D832" i="59"/>
  <c r="C832" i="59"/>
  <c r="C830" i="59"/>
  <c r="D822" i="59"/>
  <c r="C822" i="59"/>
  <c r="D821" i="59"/>
  <c r="C821" i="59"/>
  <c r="D820" i="59"/>
  <c r="D819" i="59"/>
  <c r="H815" i="59"/>
  <c r="G815" i="59"/>
  <c r="G814" i="59"/>
  <c r="H814" i="59" s="1"/>
  <c r="E814" i="59"/>
  <c r="F813" i="59"/>
  <c r="D813" i="59"/>
  <c r="C813" i="59"/>
  <c r="E813" i="59" s="1"/>
  <c r="G813" i="59" s="1"/>
  <c r="H813" i="59" s="1"/>
  <c r="B813" i="59"/>
  <c r="E812" i="59"/>
  <c r="E811" i="59"/>
  <c r="G811" i="59" s="1"/>
  <c r="H811" i="59" s="1"/>
  <c r="E810" i="59"/>
  <c r="G810" i="59" s="1"/>
  <c r="H810" i="59" s="1"/>
  <c r="E809" i="59"/>
  <c r="G809" i="59" s="1"/>
  <c r="H809" i="59" s="1"/>
  <c r="F808" i="59"/>
  <c r="D808" i="59"/>
  <c r="C808" i="59"/>
  <c r="B808" i="59"/>
  <c r="F807" i="59"/>
  <c r="B807" i="59"/>
  <c r="H806" i="59"/>
  <c r="E806" i="59"/>
  <c r="G806" i="59" s="1"/>
  <c r="E805" i="59"/>
  <c r="G805" i="59" s="1"/>
  <c r="H805" i="59" s="1"/>
  <c r="E804" i="59"/>
  <c r="G804" i="59" s="1"/>
  <c r="H804" i="59" s="1"/>
  <c r="C803" i="59"/>
  <c r="E803" i="59" s="1"/>
  <c r="G803" i="59" s="1"/>
  <c r="H803" i="59" s="1"/>
  <c r="C802" i="59"/>
  <c r="B802" i="59"/>
  <c r="E802" i="59" s="1"/>
  <c r="G802" i="59" s="1"/>
  <c r="H802" i="59" s="1"/>
  <c r="F801" i="59"/>
  <c r="D801" i="59"/>
  <c r="D800" i="59" s="1"/>
  <c r="H799" i="59"/>
  <c r="E799" i="59"/>
  <c r="G799" i="59" s="1"/>
  <c r="E798" i="59"/>
  <c r="F797" i="59"/>
  <c r="D797" i="59"/>
  <c r="H796" i="59"/>
  <c r="E796" i="59"/>
  <c r="G796" i="59" s="1"/>
  <c r="E795" i="59"/>
  <c r="G795" i="59" s="1"/>
  <c r="H795" i="59" s="1"/>
  <c r="F794" i="59"/>
  <c r="D794" i="59"/>
  <c r="C794" i="59"/>
  <c r="C793" i="59" s="1"/>
  <c r="B794" i="59"/>
  <c r="B793" i="59" s="1"/>
  <c r="H792" i="59"/>
  <c r="E792" i="59"/>
  <c r="G792" i="59" s="1"/>
  <c r="E791" i="59"/>
  <c r="G791" i="59" s="1"/>
  <c r="H791" i="59" s="1"/>
  <c r="E790" i="59"/>
  <c r="G790" i="59" s="1"/>
  <c r="H790" i="59" s="1"/>
  <c r="F789" i="59"/>
  <c r="D789" i="59"/>
  <c r="C789" i="59"/>
  <c r="B789" i="59"/>
  <c r="F788" i="59"/>
  <c r="D788" i="59"/>
  <c r="C788" i="59"/>
  <c r="B788" i="59"/>
  <c r="H787" i="59"/>
  <c r="E787" i="59"/>
  <c r="G787" i="59" s="1"/>
  <c r="E786" i="59"/>
  <c r="G786" i="59" s="1"/>
  <c r="H786" i="59" s="1"/>
  <c r="E785" i="59"/>
  <c r="G785" i="59" s="1"/>
  <c r="H785" i="59" s="1"/>
  <c r="F784" i="59"/>
  <c r="D784" i="59"/>
  <c r="C784" i="59"/>
  <c r="B784" i="59"/>
  <c r="E783" i="59"/>
  <c r="G783" i="59" s="1"/>
  <c r="H783" i="59" s="1"/>
  <c r="E782" i="59"/>
  <c r="G782" i="59" s="1"/>
  <c r="H782" i="59" s="1"/>
  <c r="F781" i="59"/>
  <c r="E781" i="59"/>
  <c r="D780" i="59"/>
  <c r="C780" i="59"/>
  <c r="B780" i="59"/>
  <c r="H779" i="59"/>
  <c r="E779" i="59"/>
  <c r="G779" i="59" s="1"/>
  <c r="E778" i="59"/>
  <c r="G778" i="59" s="1"/>
  <c r="H778" i="59" s="1"/>
  <c r="E777" i="59"/>
  <c r="G777" i="59" s="1"/>
  <c r="H777" i="59" s="1"/>
  <c r="F776" i="59"/>
  <c r="D776" i="59"/>
  <c r="C776" i="59"/>
  <c r="B776" i="59"/>
  <c r="E775" i="59"/>
  <c r="G775" i="59" s="1"/>
  <c r="H775" i="59" s="1"/>
  <c r="E774" i="59"/>
  <c r="G774" i="59" s="1"/>
  <c r="H774" i="59" s="1"/>
  <c r="F773" i="59"/>
  <c r="D773" i="59"/>
  <c r="C773" i="59"/>
  <c r="B773" i="59"/>
  <c r="H771" i="59"/>
  <c r="E771" i="59"/>
  <c r="G771" i="59" s="1"/>
  <c r="H769" i="59"/>
  <c r="E769" i="59"/>
  <c r="G769" i="59" s="1"/>
  <c r="E768" i="59"/>
  <c r="G768" i="59" s="1"/>
  <c r="H768" i="59" s="1"/>
  <c r="E767" i="59"/>
  <c r="G767" i="59" s="1"/>
  <c r="H767" i="59" s="1"/>
  <c r="E766" i="59"/>
  <c r="G766" i="59" s="1"/>
  <c r="H766" i="59" s="1"/>
  <c r="E765" i="59"/>
  <c r="G765" i="59" s="1"/>
  <c r="H765" i="59" s="1"/>
  <c r="E764" i="59"/>
  <c r="G764" i="59" s="1"/>
  <c r="H764" i="59" s="1"/>
  <c r="F763" i="59"/>
  <c r="D763" i="59"/>
  <c r="B763" i="59"/>
  <c r="E762" i="59"/>
  <c r="G762" i="59" s="1"/>
  <c r="H762" i="59" s="1"/>
  <c r="E761" i="59"/>
  <c r="G761" i="59" s="1"/>
  <c r="H761" i="59" s="1"/>
  <c r="F760" i="59"/>
  <c r="D760" i="59"/>
  <c r="C760" i="59"/>
  <c r="B760" i="59"/>
  <c r="E759" i="59"/>
  <c r="G759" i="59" s="1"/>
  <c r="H759" i="59" s="1"/>
  <c r="E758" i="59"/>
  <c r="G758" i="59" s="1"/>
  <c r="H758" i="59" s="1"/>
  <c r="E757" i="59"/>
  <c r="G757" i="59" s="1"/>
  <c r="H757" i="59" s="1"/>
  <c r="E756" i="59"/>
  <c r="G756" i="59" s="1"/>
  <c r="H756" i="59" s="1"/>
  <c r="E755" i="59"/>
  <c r="G755" i="59" s="1"/>
  <c r="H755" i="59" s="1"/>
  <c r="F754" i="59"/>
  <c r="D754" i="59"/>
  <c r="C754" i="59"/>
  <c r="B754" i="59"/>
  <c r="H752" i="59"/>
  <c r="E752" i="59"/>
  <c r="G752" i="59" s="1"/>
  <c r="E751" i="59"/>
  <c r="G751" i="59" s="1"/>
  <c r="H751" i="59" s="1"/>
  <c r="E750" i="59"/>
  <c r="G750" i="59" s="1"/>
  <c r="H750" i="59" s="1"/>
  <c r="F749" i="59"/>
  <c r="D749" i="59"/>
  <c r="C749" i="59"/>
  <c r="B749" i="59"/>
  <c r="E748" i="59"/>
  <c r="G748" i="59" s="1"/>
  <c r="H748" i="59" s="1"/>
  <c r="F747" i="59"/>
  <c r="D747" i="59"/>
  <c r="C747" i="59"/>
  <c r="B747" i="59"/>
  <c r="E746" i="59"/>
  <c r="G746" i="59" s="1"/>
  <c r="H746" i="59" s="1"/>
  <c r="E745" i="59"/>
  <c r="G745" i="59" s="1"/>
  <c r="H745" i="59" s="1"/>
  <c r="F744" i="59"/>
  <c r="D744" i="59"/>
  <c r="C744" i="59"/>
  <c r="B744" i="59"/>
  <c r="E743" i="59"/>
  <c r="G743" i="59" s="1"/>
  <c r="H743" i="59" s="1"/>
  <c r="F742" i="59"/>
  <c r="D742" i="59"/>
  <c r="C742" i="59"/>
  <c r="B742" i="59"/>
  <c r="H740" i="59"/>
  <c r="E740" i="59"/>
  <c r="G740" i="59" s="1"/>
  <c r="H738" i="59"/>
  <c r="G738" i="59"/>
  <c r="E737" i="59"/>
  <c r="G737" i="59" s="1"/>
  <c r="H737" i="59" s="1"/>
  <c r="E736" i="59"/>
  <c r="G736" i="59" s="1"/>
  <c r="H736" i="59" s="1"/>
  <c r="F735" i="59"/>
  <c r="D735" i="59"/>
  <c r="C735" i="59"/>
  <c r="B735" i="59"/>
  <c r="E734" i="59"/>
  <c r="G734" i="59" s="1"/>
  <c r="H734" i="59" s="1"/>
  <c r="E733" i="59"/>
  <c r="G733" i="59" s="1"/>
  <c r="H733" i="59" s="1"/>
  <c r="F732" i="59"/>
  <c r="D732" i="59"/>
  <c r="C732" i="59"/>
  <c r="B732" i="59"/>
  <c r="E731" i="59"/>
  <c r="G731" i="59" s="1"/>
  <c r="H731" i="59" s="1"/>
  <c r="E730" i="59"/>
  <c r="E729" i="59"/>
  <c r="G729" i="59" s="1"/>
  <c r="H729" i="59" s="1"/>
  <c r="F728" i="59"/>
  <c r="F727" i="59" s="1"/>
  <c r="D728" i="59"/>
  <c r="C728" i="59"/>
  <c r="B728" i="59"/>
  <c r="H726" i="59"/>
  <c r="E726" i="59"/>
  <c r="G726" i="59" s="1"/>
  <c r="E725" i="59"/>
  <c r="G725" i="59" s="1"/>
  <c r="H725" i="59" s="1"/>
  <c r="E724" i="59"/>
  <c r="G724" i="59" s="1"/>
  <c r="H724" i="59" s="1"/>
  <c r="E723" i="59"/>
  <c r="G723" i="59" s="1"/>
  <c r="H723" i="59" s="1"/>
  <c r="E722" i="59"/>
  <c r="G722" i="59" s="1"/>
  <c r="H722" i="59" s="1"/>
  <c r="F721" i="59"/>
  <c r="D721" i="59"/>
  <c r="C721" i="59"/>
  <c r="B721" i="59"/>
  <c r="E720" i="59"/>
  <c r="G720" i="59" s="1"/>
  <c r="H720" i="59" s="1"/>
  <c r="E719" i="59"/>
  <c r="G719" i="59" s="1"/>
  <c r="H719" i="59" s="1"/>
  <c r="E718" i="59"/>
  <c r="G718" i="59" s="1"/>
  <c r="H718" i="59" s="1"/>
  <c r="F717" i="59"/>
  <c r="D717" i="59"/>
  <c r="C717" i="59"/>
  <c r="B717" i="59"/>
  <c r="B716" i="59" s="1"/>
  <c r="H715" i="59"/>
  <c r="E715" i="59"/>
  <c r="G715" i="59" s="1"/>
  <c r="E714" i="59"/>
  <c r="G714" i="59" s="1"/>
  <c r="H714" i="59" s="1"/>
  <c r="E713" i="59"/>
  <c r="G713" i="59" s="1"/>
  <c r="H713" i="59" s="1"/>
  <c r="F712" i="59"/>
  <c r="D712" i="59"/>
  <c r="C712" i="59"/>
  <c r="B712" i="59"/>
  <c r="E711" i="59"/>
  <c r="G711" i="59" s="1"/>
  <c r="H711" i="59" s="1"/>
  <c r="E710" i="59"/>
  <c r="G710" i="59" s="1"/>
  <c r="H710" i="59" s="1"/>
  <c r="E709" i="59"/>
  <c r="G709" i="59" s="1"/>
  <c r="H709" i="59" s="1"/>
  <c r="E708" i="59"/>
  <c r="G708" i="59" s="1"/>
  <c r="H708" i="59" s="1"/>
  <c r="F707" i="59"/>
  <c r="D707" i="59"/>
  <c r="D706" i="59" s="1"/>
  <c r="C707" i="59"/>
  <c r="C706" i="59" s="1"/>
  <c r="B707" i="59"/>
  <c r="H705" i="59"/>
  <c r="E705" i="59"/>
  <c r="G705" i="59" s="1"/>
  <c r="E704" i="59"/>
  <c r="G704" i="59" s="1"/>
  <c r="H704" i="59" s="1"/>
  <c r="B703" i="59"/>
  <c r="E703" i="59" s="1"/>
  <c r="G703" i="59" s="1"/>
  <c r="H703" i="59" s="1"/>
  <c r="E702" i="59"/>
  <c r="G702" i="59" s="1"/>
  <c r="H702" i="59" s="1"/>
  <c r="E701" i="59"/>
  <c r="G701" i="59" s="1"/>
  <c r="H701" i="59" s="1"/>
  <c r="F700" i="59"/>
  <c r="D700" i="59"/>
  <c r="C700" i="59"/>
  <c r="B700" i="59"/>
  <c r="B699" i="59"/>
  <c r="E699" i="59" s="1"/>
  <c r="G699" i="59" s="1"/>
  <c r="H699" i="59" s="1"/>
  <c r="F698" i="59"/>
  <c r="D698" i="59"/>
  <c r="C698" i="59"/>
  <c r="B698" i="59"/>
  <c r="E697" i="59"/>
  <c r="G697" i="59" s="1"/>
  <c r="H697" i="59" s="1"/>
  <c r="E696" i="59"/>
  <c r="G696" i="59" s="1"/>
  <c r="H696" i="59" s="1"/>
  <c r="E695" i="59"/>
  <c r="G695" i="59" s="1"/>
  <c r="H695" i="59" s="1"/>
  <c r="F694" i="59"/>
  <c r="D694" i="59"/>
  <c r="C694" i="59"/>
  <c r="B694" i="59"/>
  <c r="E693" i="59"/>
  <c r="G693" i="59" s="1"/>
  <c r="H693" i="59" s="1"/>
  <c r="E692" i="59"/>
  <c r="G692" i="59" s="1"/>
  <c r="H692" i="59" s="1"/>
  <c r="F691" i="59"/>
  <c r="D691" i="59"/>
  <c r="C691" i="59"/>
  <c r="B691" i="59"/>
  <c r="E690" i="59"/>
  <c r="G690" i="59" s="1"/>
  <c r="H690" i="59" s="1"/>
  <c r="F689" i="59"/>
  <c r="D689" i="59"/>
  <c r="C689" i="59"/>
  <c r="B689" i="59"/>
  <c r="E688" i="59"/>
  <c r="G688" i="59" s="1"/>
  <c r="H688" i="59" s="1"/>
  <c r="E687" i="59"/>
  <c r="G687" i="59" s="1"/>
  <c r="H687" i="59" s="1"/>
  <c r="F686" i="59"/>
  <c r="D686" i="59"/>
  <c r="C686" i="59"/>
  <c r="B686" i="59"/>
  <c r="H684" i="59"/>
  <c r="E684" i="59"/>
  <c r="G684" i="59" s="1"/>
  <c r="H682" i="59"/>
  <c r="G682" i="59"/>
  <c r="E682" i="59"/>
  <c r="E681" i="59"/>
  <c r="G681" i="59" s="1"/>
  <c r="H681" i="59" s="1"/>
  <c r="E680" i="59"/>
  <c r="G680" i="59" s="1"/>
  <c r="H680" i="59" s="1"/>
  <c r="E679" i="59"/>
  <c r="G679" i="59" s="1"/>
  <c r="H679" i="59" s="1"/>
  <c r="E678" i="59"/>
  <c r="G678" i="59" s="1"/>
  <c r="H678" i="59" s="1"/>
  <c r="E677" i="59"/>
  <c r="G677" i="59" s="1"/>
  <c r="H677" i="59" s="1"/>
  <c r="E676" i="59"/>
  <c r="G676" i="59" s="1"/>
  <c r="H676" i="59" s="1"/>
  <c r="F675" i="59"/>
  <c r="D675" i="59"/>
  <c r="D674" i="59" s="1"/>
  <c r="C675" i="59"/>
  <c r="B675" i="59"/>
  <c r="B674" i="59" s="1"/>
  <c r="F674" i="59"/>
  <c r="H673" i="59"/>
  <c r="E673" i="59"/>
  <c r="G673" i="59" s="1"/>
  <c r="E672" i="59"/>
  <c r="G672" i="59" s="1"/>
  <c r="H672" i="59" s="1"/>
  <c r="H671" i="59"/>
  <c r="E671" i="59"/>
  <c r="G671" i="59" s="1"/>
  <c r="E670" i="59"/>
  <c r="G670" i="59" s="1"/>
  <c r="H670" i="59" s="1"/>
  <c r="F669" i="59"/>
  <c r="D669" i="59"/>
  <c r="C669" i="59"/>
  <c r="B669" i="59"/>
  <c r="E668" i="59"/>
  <c r="G668" i="59" s="1"/>
  <c r="H668" i="59" s="1"/>
  <c r="F667" i="59"/>
  <c r="D667" i="59"/>
  <c r="C667" i="59"/>
  <c r="B667" i="59"/>
  <c r="E666" i="59"/>
  <c r="G666" i="59" s="1"/>
  <c r="H666" i="59" s="1"/>
  <c r="E665" i="59"/>
  <c r="G665" i="59" s="1"/>
  <c r="H665" i="59" s="1"/>
  <c r="B664" i="59"/>
  <c r="E664" i="59" s="1"/>
  <c r="G664" i="59" s="1"/>
  <c r="H664" i="59" s="1"/>
  <c r="E663" i="59"/>
  <c r="G663" i="59" s="1"/>
  <c r="H663" i="59" s="1"/>
  <c r="F662" i="59"/>
  <c r="D662" i="59"/>
  <c r="C662" i="59"/>
  <c r="H660" i="59"/>
  <c r="E660" i="59"/>
  <c r="G660" i="59" s="1"/>
  <c r="E659" i="59"/>
  <c r="G659" i="59" s="1"/>
  <c r="H659" i="59" s="1"/>
  <c r="E658" i="59"/>
  <c r="G658" i="59" s="1"/>
  <c r="H658" i="59" s="1"/>
  <c r="F657" i="59"/>
  <c r="D657" i="59"/>
  <c r="C657" i="59"/>
  <c r="B657" i="59"/>
  <c r="E656" i="59"/>
  <c r="G656" i="59" s="1"/>
  <c r="H656" i="59" s="1"/>
  <c r="B655" i="59"/>
  <c r="E655" i="59" s="1"/>
  <c r="G655" i="59" s="1"/>
  <c r="H655" i="59" s="1"/>
  <c r="E654" i="59"/>
  <c r="G654" i="59" s="1"/>
  <c r="H654" i="59" s="1"/>
  <c r="F653" i="59"/>
  <c r="D653" i="59"/>
  <c r="C653" i="59"/>
  <c r="E652" i="59"/>
  <c r="G652" i="59" s="1"/>
  <c r="H652" i="59" s="1"/>
  <c r="E651" i="59"/>
  <c r="G651" i="59" s="1"/>
  <c r="H651" i="59" s="1"/>
  <c r="F650" i="59"/>
  <c r="D650" i="59"/>
  <c r="C650" i="59"/>
  <c r="B650" i="59"/>
  <c r="E649" i="59"/>
  <c r="G649" i="59" s="1"/>
  <c r="H649" i="59" s="1"/>
  <c r="E648" i="59"/>
  <c r="G648" i="59" s="1"/>
  <c r="H648" i="59" s="1"/>
  <c r="F647" i="59"/>
  <c r="D647" i="59"/>
  <c r="C647" i="59"/>
  <c r="B647" i="59"/>
  <c r="H645" i="59"/>
  <c r="E645" i="59"/>
  <c r="G645" i="59" s="1"/>
  <c r="H643" i="59"/>
  <c r="E643" i="59"/>
  <c r="G643" i="59" s="1"/>
  <c r="H642" i="59"/>
  <c r="E642" i="59"/>
  <c r="G642" i="59" s="1"/>
  <c r="E641" i="59"/>
  <c r="F640" i="59"/>
  <c r="E640" i="59"/>
  <c r="E639" i="59"/>
  <c r="E638" i="59"/>
  <c r="H637" i="59"/>
  <c r="E637" i="59"/>
  <c r="G637" i="59" s="1"/>
  <c r="E636" i="59"/>
  <c r="G636" i="59" s="1"/>
  <c r="H636" i="59" s="1"/>
  <c r="E635" i="59"/>
  <c r="F634" i="59"/>
  <c r="D634" i="59"/>
  <c r="D633" i="59" s="1"/>
  <c r="C634" i="59"/>
  <c r="C633" i="59" s="1"/>
  <c r="H632" i="59"/>
  <c r="E632" i="59"/>
  <c r="G632" i="59" s="1"/>
  <c r="E631" i="59"/>
  <c r="G631" i="59" s="1"/>
  <c r="H631" i="59" s="1"/>
  <c r="E630" i="59"/>
  <c r="G630" i="59" s="1"/>
  <c r="H630" i="59" s="1"/>
  <c r="F629" i="59"/>
  <c r="D629" i="59"/>
  <c r="C629" i="59"/>
  <c r="B629" i="59"/>
  <c r="E628" i="59"/>
  <c r="G628" i="59" s="1"/>
  <c r="H628" i="59" s="1"/>
  <c r="E627" i="59"/>
  <c r="G627" i="59" s="1"/>
  <c r="H627" i="59" s="1"/>
  <c r="D626" i="59"/>
  <c r="C626" i="59"/>
  <c r="B626" i="59"/>
  <c r="B625" i="59" s="1"/>
  <c r="H624" i="59"/>
  <c r="E624" i="59"/>
  <c r="G624" i="59" s="1"/>
  <c r="B623" i="59"/>
  <c r="E623" i="59" s="1"/>
  <c r="G623" i="59" s="1"/>
  <c r="H623" i="59" s="1"/>
  <c r="E622" i="59"/>
  <c r="G622" i="59" s="1"/>
  <c r="H622" i="59" s="1"/>
  <c r="B621" i="59"/>
  <c r="E621" i="59" s="1"/>
  <c r="G621" i="59" s="1"/>
  <c r="H621" i="59" s="1"/>
  <c r="F620" i="59"/>
  <c r="D620" i="59"/>
  <c r="D619" i="59" s="1"/>
  <c r="C620" i="59"/>
  <c r="C619" i="59" s="1"/>
  <c r="F619" i="59"/>
  <c r="H618" i="59"/>
  <c r="E618" i="59"/>
  <c r="G618" i="59" s="1"/>
  <c r="E617" i="59"/>
  <c r="G617" i="59" s="1"/>
  <c r="H617" i="59" s="1"/>
  <c r="E616" i="59"/>
  <c r="G616" i="59" s="1"/>
  <c r="H616" i="59" s="1"/>
  <c r="E615" i="59"/>
  <c r="G615" i="59" s="1"/>
  <c r="H615" i="59" s="1"/>
  <c r="F614" i="59"/>
  <c r="D614" i="59"/>
  <c r="D613" i="59" s="1"/>
  <c r="C614" i="59"/>
  <c r="C613" i="59" s="1"/>
  <c r="B614" i="59"/>
  <c r="B613" i="59" s="1"/>
  <c r="H612" i="59"/>
  <c r="E612" i="59"/>
  <c r="G612" i="59" s="1"/>
  <c r="E611" i="59"/>
  <c r="G611" i="59" s="1"/>
  <c r="H611" i="59" s="1"/>
  <c r="E610" i="59"/>
  <c r="G610" i="59" s="1"/>
  <c r="H610" i="59" s="1"/>
  <c r="F609" i="59"/>
  <c r="D609" i="59"/>
  <c r="C609" i="59"/>
  <c r="B609" i="59"/>
  <c r="E608" i="59"/>
  <c r="G608" i="59" s="1"/>
  <c r="H608" i="59" s="1"/>
  <c r="E607" i="59"/>
  <c r="G607" i="59" s="1"/>
  <c r="H607" i="59" s="1"/>
  <c r="E606" i="59"/>
  <c r="E605" i="59"/>
  <c r="G605" i="59" s="1"/>
  <c r="H605" i="59" s="1"/>
  <c r="F604" i="59"/>
  <c r="D604" i="59"/>
  <c r="C604" i="59"/>
  <c r="C603" i="59" s="1"/>
  <c r="B604" i="59"/>
  <c r="B603" i="59" s="1"/>
  <c r="F603" i="59"/>
  <c r="H602" i="59"/>
  <c r="E602" i="59"/>
  <c r="G602" i="59" s="1"/>
  <c r="E601" i="59"/>
  <c r="G601" i="59" s="1"/>
  <c r="H601" i="59" s="1"/>
  <c r="E600" i="59"/>
  <c r="G600" i="59" s="1"/>
  <c r="H600" i="59" s="1"/>
  <c r="F599" i="59"/>
  <c r="D599" i="59"/>
  <c r="C599" i="59"/>
  <c r="C596" i="59" s="1"/>
  <c r="B599" i="59"/>
  <c r="E598" i="59"/>
  <c r="G598" i="59" s="1"/>
  <c r="H598" i="59" s="1"/>
  <c r="F597" i="59"/>
  <c r="D597" i="59"/>
  <c r="D596" i="59" s="1"/>
  <c r="C597" i="59"/>
  <c r="B597" i="59"/>
  <c r="H595" i="59"/>
  <c r="E595" i="59"/>
  <c r="G595" i="59" s="1"/>
  <c r="E594" i="59"/>
  <c r="G594" i="59" s="1"/>
  <c r="H594" i="59" s="1"/>
  <c r="F593" i="59"/>
  <c r="D593" i="59"/>
  <c r="C593" i="59"/>
  <c r="B593" i="59"/>
  <c r="E592" i="59"/>
  <c r="G592" i="59" s="1"/>
  <c r="H592" i="59" s="1"/>
  <c r="E591" i="59"/>
  <c r="G591" i="59" s="1"/>
  <c r="H591" i="59" s="1"/>
  <c r="E590" i="59"/>
  <c r="G590" i="59" s="1"/>
  <c r="H590" i="59" s="1"/>
  <c r="F589" i="59"/>
  <c r="D589" i="59"/>
  <c r="C589" i="59"/>
  <c r="B589" i="59"/>
  <c r="E588" i="59"/>
  <c r="G588" i="59" s="1"/>
  <c r="H588" i="59" s="1"/>
  <c r="E587" i="59"/>
  <c r="G587" i="59" s="1"/>
  <c r="H587" i="59" s="1"/>
  <c r="F586" i="59"/>
  <c r="D586" i="59"/>
  <c r="C586" i="59"/>
  <c r="B586" i="59"/>
  <c r="E585" i="59"/>
  <c r="G585" i="59" s="1"/>
  <c r="H585" i="59" s="1"/>
  <c r="E584" i="59"/>
  <c r="G584" i="59" s="1"/>
  <c r="H584" i="59" s="1"/>
  <c r="F583" i="59"/>
  <c r="D583" i="59"/>
  <c r="C583" i="59"/>
  <c r="B583" i="59"/>
  <c r="H581" i="59"/>
  <c r="E581" i="59"/>
  <c r="G581" i="59" s="1"/>
  <c r="H579" i="59"/>
  <c r="E579" i="59"/>
  <c r="G579" i="59" s="1"/>
  <c r="E578" i="59"/>
  <c r="E577" i="59"/>
  <c r="E576" i="59"/>
  <c r="F575" i="59"/>
  <c r="D575" i="59"/>
  <c r="E575" i="59" s="1"/>
  <c r="E574" i="59"/>
  <c r="G574" i="59" s="1"/>
  <c r="H574" i="59" s="1"/>
  <c r="E573" i="59"/>
  <c r="G573" i="59" s="1"/>
  <c r="H573" i="59" s="1"/>
  <c r="E572" i="59"/>
  <c r="G572" i="59" s="1"/>
  <c r="H572" i="59" s="1"/>
  <c r="F571" i="59"/>
  <c r="D571" i="59"/>
  <c r="B571" i="59"/>
  <c r="H569" i="59"/>
  <c r="E569" i="59"/>
  <c r="G569" i="59" s="1"/>
  <c r="E568" i="59"/>
  <c r="G568" i="59" s="1"/>
  <c r="H568" i="59" s="1"/>
  <c r="E567" i="59"/>
  <c r="G567" i="59" s="1"/>
  <c r="H567" i="59" s="1"/>
  <c r="F566" i="59"/>
  <c r="D566" i="59"/>
  <c r="B566" i="59"/>
  <c r="E565" i="59"/>
  <c r="E564" i="59"/>
  <c r="G564" i="59" s="1"/>
  <c r="H564" i="59" s="1"/>
  <c r="F563" i="59"/>
  <c r="D563" i="59"/>
  <c r="B563" i="59"/>
  <c r="E562" i="59"/>
  <c r="G562" i="59" s="1"/>
  <c r="H562" i="59" s="1"/>
  <c r="E561" i="59"/>
  <c r="G561" i="59" s="1"/>
  <c r="H561" i="59" s="1"/>
  <c r="F560" i="59"/>
  <c r="D560" i="59"/>
  <c r="B560" i="59"/>
  <c r="E559" i="59"/>
  <c r="G559" i="59" s="1"/>
  <c r="H559" i="59" s="1"/>
  <c r="E558" i="59"/>
  <c r="G558" i="59" s="1"/>
  <c r="H558" i="59" s="1"/>
  <c r="F557" i="59"/>
  <c r="D557" i="59"/>
  <c r="B557" i="59"/>
  <c r="H555" i="59"/>
  <c r="E555" i="59"/>
  <c r="G555" i="59" s="1"/>
  <c r="H553" i="59"/>
  <c r="E553" i="59"/>
  <c r="G553" i="59" s="1"/>
  <c r="E552" i="59"/>
  <c r="G552" i="59" s="1"/>
  <c r="H552" i="59" s="1"/>
  <c r="E551" i="59"/>
  <c r="G551" i="59" s="1"/>
  <c r="H551" i="59" s="1"/>
  <c r="E550" i="59"/>
  <c r="G550" i="59" s="1"/>
  <c r="H550" i="59" s="1"/>
  <c r="H549" i="59"/>
  <c r="E549" i="59"/>
  <c r="G549" i="59" s="1"/>
  <c r="F548" i="59"/>
  <c r="D548" i="59"/>
  <c r="C548" i="59"/>
  <c r="B548" i="59"/>
  <c r="E547" i="59"/>
  <c r="G547" i="59" s="1"/>
  <c r="H547" i="59" s="1"/>
  <c r="E546" i="59"/>
  <c r="G546" i="59" s="1"/>
  <c r="H546" i="59" s="1"/>
  <c r="E545" i="59"/>
  <c r="G545" i="59" s="1"/>
  <c r="H545" i="59" s="1"/>
  <c r="E544" i="59"/>
  <c r="G544" i="59" s="1"/>
  <c r="H544" i="59" s="1"/>
  <c r="E543" i="59"/>
  <c r="G543" i="59" s="1"/>
  <c r="H543" i="59" s="1"/>
  <c r="F542" i="59"/>
  <c r="D542" i="59"/>
  <c r="C542" i="59"/>
  <c r="B542" i="59"/>
  <c r="B541" i="59"/>
  <c r="H540" i="59"/>
  <c r="E540" i="59"/>
  <c r="G540" i="59" s="1"/>
  <c r="E539" i="59"/>
  <c r="G539" i="59" s="1"/>
  <c r="H539" i="59" s="1"/>
  <c r="E538" i="59"/>
  <c r="G538" i="59" s="1"/>
  <c r="H538" i="59" s="1"/>
  <c r="F537" i="59"/>
  <c r="D537" i="59"/>
  <c r="C537" i="59"/>
  <c r="B537" i="59"/>
  <c r="E536" i="59"/>
  <c r="G536" i="59" s="1"/>
  <c r="H536" i="59" s="1"/>
  <c r="E535" i="59"/>
  <c r="G535" i="59" s="1"/>
  <c r="H535" i="59" s="1"/>
  <c r="F534" i="59"/>
  <c r="D534" i="59"/>
  <c r="C534" i="59"/>
  <c r="B534" i="59"/>
  <c r="F533" i="59"/>
  <c r="H532" i="59"/>
  <c r="E532" i="59"/>
  <c r="G532" i="59" s="1"/>
  <c r="E531" i="59"/>
  <c r="G531" i="59" s="1"/>
  <c r="H531" i="59" s="1"/>
  <c r="E530" i="59"/>
  <c r="G530" i="59" s="1"/>
  <c r="H530" i="59" s="1"/>
  <c r="E529" i="59"/>
  <c r="G529" i="59" s="1"/>
  <c r="H529" i="59" s="1"/>
  <c r="E528" i="59"/>
  <c r="G528" i="59" s="1"/>
  <c r="H528" i="59" s="1"/>
  <c r="E527" i="59"/>
  <c r="G527" i="59" s="1"/>
  <c r="H527" i="59" s="1"/>
  <c r="F526" i="59"/>
  <c r="D526" i="59"/>
  <c r="C526" i="59"/>
  <c r="C525" i="59" s="1"/>
  <c r="B526" i="59"/>
  <c r="B525" i="59" s="1"/>
  <c r="F525" i="59"/>
  <c r="H524" i="59"/>
  <c r="E524" i="59"/>
  <c r="G524" i="59" s="1"/>
  <c r="E523" i="59"/>
  <c r="G523" i="59" s="1"/>
  <c r="H523" i="59" s="1"/>
  <c r="E522" i="59"/>
  <c r="G522" i="59" s="1"/>
  <c r="H522" i="59" s="1"/>
  <c r="F521" i="59"/>
  <c r="D521" i="59"/>
  <c r="C521" i="59"/>
  <c r="B521" i="59"/>
  <c r="E520" i="59"/>
  <c r="G520" i="59" s="1"/>
  <c r="H520" i="59" s="1"/>
  <c r="E519" i="59"/>
  <c r="G519" i="59" s="1"/>
  <c r="H519" i="59" s="1"/>
  <c r="F518" i="59"/>
  <c r="D518" i="59"/>
  <c r="C518" i="59"/>
  <c r="B518" i="59"/>
  <c r="E517" i="59"/>
  <c r="G517" i="59" s="1"/>
  <c r="H517" i="59" s="1"/>
  <c r="E516" i="59"/>
  <c r="G516" i="59" s="1"/>
  <c r="H516" i="59" s="1"/>
  <c r="F515" i="59"/>
  <c r="E515" i="59"/>
  <c r="D514" i="59"/>
  <c r="C514" i="59"/>
  <c r="B514" i="59"/>
  <c r="E513" i="59"/>
  <c r="G513" i="59" s="1"/>
  <c r="H513" i="59" s="1"/>
  <c r="E512" i="59"/>
  <c r="G512" i="59" s="1"/>
  <c r="H512" i="59" s="1"/>
  <c r="F511" i="59"/>
  <c r="D511" i="59"/>
  <c r="C511" i="59"/>
  <c r="B511" i="59"/>
  <c r="H509" i="59"/>
  <c r="E509" i="59"/>
  <c r="G509" i="59" s="1"/>
  <c r="H507" i="59"/>
  <c r="E507" i="59"/>
  <c r="G507" i="59" s="1"/>
  <c r="E506" i="59"/>
  <c r="G506" i="59" s="1"/>
  <c r="H506" i="59" s="1"/>
  <c r="E505" i="59"/>
  <c r="G505" i="59" s="1"/>
  <c r="H505" i="59" s="1"/>
  <c r="E504" i="59"/>
  <c r="G504" i="59" s="1"/>
  <c r="H504" i="59" s="1"/>
  <c r="E503" i="59"/>
  <c r="G503" i="59" s="1"/>
  <c r="H503" i="59" s="1"/>
  <c r="E502" i="59"/>
  <c r="G502" i="59" s="1"/>
  <c r="H502" i="59" s="1"/>
  <c r="F501" i="59"/>
  <c r="D501" i="59"/>
  <c r="B501" i="59"/>
  <c r="B500" i="59" s="1"/>
  <c r="H499" i="59"/>
  <c r="E499" i="59"/>
  <c r="G499" i="59" s="1"/>
  <c r="E498" i="59"/>
  <c r="G498" i="59" s="1"/>
  <c r="H498" i="59" s="1"/>
  <c r="F497" i="59"/>
  <c r="D497" i="59"/>
  <c r="B497" i="59"/>
  <c r="E496" i="59"/>
  <c r="G496" i="59" s="1"/>
  <c r="H496" i="59" s="1"/>
  <c r="H495" i="59"/>
  <c r="E495" i="59"/>
  <c r="G495" i="59" s="1"/>
  <c r="F494" i="59"/>
  <c r="D494" i="59"/>
  <c r="B494" i="59"/>
  <c r="H492" i="59"/>
  <c r="E492" i="59"/>
  <c r="G492" i="59" s="1"/>
  <c r="E491" i="59"/>
  <c r="G491" i="59" s="1"/>
  <c r="H491" i="59" s="1"/>
  <c r="E490" i="59"/>
  <c r="G490" i="59" s="1"/>
  <c r="H490" i="59" s="1"/>
  <c r="F489" i="59"/>
  <c r="D489" i="59"/>
  <c r="B489" i="59"/>
  <c r="E488" i="59"/>
  <c r="G488" i="59" s="1"/>
  <c r="H488" i="59" s="1"/>
  <c r="E487" i="59"/>
  <c r="G487" i="59" s="1"/>
  <c r="H487" i="59" s="1"/>
  <c r="F486" i="59"/>
  <c r="D486" i="59"/>
  <c r="B486" i="59"/>
  <c r="E485" i="59"/>
  <c r="G485" i="59" s="1"/>
  <c r="H485" i="59" s="1"/>
  <c r="E484" i="59"/>
  <c r="G484" i="59" s="1"/>
  <c r="H484" i="59" s="1"/>
  <c r="F483" i="59"/>
  <c r="D483" i="59"/>
  <c r="B483" i="59"/>
  <c r="E482" i="59"/>
  <c r="G482" i="59" s="1"/>
  <c r="H482" i="59" s="1"/>
  <c r="E481" i="59"/>
  <c r="G481" i="59" s="1"/>
  <c r="H481" i="59" s="1"/>
  <c r="F480" i="59"/>
  <c r="D480" i="59"/>
  <c r="B480" i="59"/>
  <c r="H478" i="59"/>
  <c r="E478" i="59"/>
  <c r="G478" i="59" s="1"/>
  <c r="H476" i="59"/>
  <c r="E476" i="59"/>
  <c r="G476" i="59" s="1"/>
  <c r="E475" i="59"/>
  <c r="G475" i="59" s="1"/>
  <c r="H475" i="59" s="1"/>
  <c r="F474" i="59"/>
  <c r="B474" i="59"/>
  <c r="E474" i="59" s="1"/>
  <c r="E473" i="59"/>
  <c r="G473" i="59" s="1"/>
  <c r="H473" i="59" s="1"/>
  <c r="F472" i="59"/>
  <c r="B472" i="59"/>
  <c r="E472" i="59" s="1"/>
  <c r="H470" i="59"/>
  <c r="E470" i="59"/>
  <c r="G470" i="59" s="1"/>
  <c r="B469" i="59"/>
  <c r="E469" i="59" s="1"/>
  <c r="G469" i="59" s="1"/>
  <c r="H469" i="59" s="1"/>
  <c r="F468" i="59"/>
  <c r="D468" i="59"/>
  <c r="D467" i="59" s="1"/>
  <c r="H466" i="59"/>
  <c r="G466" i="59"/>
  <c r="E466" i="59"/>
  <c r="B465" i="59"/>
  <c r="E465" i="59" s="1"/>
  <c r="G465" i="59" s="1"/>
  <c r="H465" i="59" s="1"/>
  <c r="E464" i="59"/>
  <c r="G464" i="59" s="1"/>
  <c r="H464" i="59" s="1"/>
  <c r="F463" i="59"/>
  <c r="D463" i="59"/>
  <c r="C463" i="59"/>
  <c r="C462" i="59"/>
  <c r="E462" i="59" s="1"/>
  <c r="G462" i="59" s="1"/>
  <c r="H462" i="59" s="1"/>
  <c r="C461" i="59"/>
  <c r="B461" i="59"/>
  <c r="B459" i="59" s="1"/>
  <c r="E460" i="59"/>
  <c r="G460" i="59" s="1"/>
  <c r="H460" i="59" s="1"/>
  <c r="F459" i="59"/>
  <c r="D459" i="59"/>
  <c r="D458" i="59" s="1"/>
  <c r="H457" i="59"/>
  <c r="E457" i="59"/>
  <c r="G457" i="59" s="1"/>
  <c r="E456" i="59"/>
  <c r="G456" i="59" s="1"/>
  <c r="H456" i="59" s="1"/>
  <c r="E455" i="59"/>
  <c r="G455" i="59" s="1"/>
  <c r="H455" i="59" s="1"/>
  <c r="B454" i="59"/>
  <c r="F453" i="59"/>
  <c r="D453" i="59"/>
  <c r="E452" i="59"/>
  <c r="G452" i="59" s="1"/>
  <c r="H452" i="59" s="1"/>
  <c r="F451" i="59"/>
  <c r="D451" i="59"/>
  <c r="B451" i="59"/>
  <c r="H449" i="59"/>
  <c r="E449" i="59"/>
  <c r="G449" i="59" s="1"/>
  <c r="B448" i="59"/>
  <c r="E448" i="59" s="1"/>
  <c r="G448" i="59" s="1"/>
  <c r="H448" i="59" s="1"/>
  <c r="F447" i="59"/>
  <c r="E446" i="59"/>
  <c r="G446" i="59" s="1"/>
  <c r="H446" i="59" s="1"/>
  <c r="E445" i="59"/>
  <c r="G445" i="59" s="1"/>
  <c r="H445" i="59" s="1"/>
  <c r="F444" i="59"/>
  <c r="B444" i="59"/>
  <c r="E444" i="59" s="1"/>
  <c r="H442" i="59"/>
  <c r="E442" i="59"/>
  <c r="G442" i="59" s="1"/>
  <c r="H440" i="59"/>
  <c r="G440" i="59"/>
  <c r="E440" i="59"/>
  <c r="E439" i="59"/>
  <c r="G439" i="59" s="1"/>
  <c r="H439" i="59" s="1"/>
  <c r="F438" i="59"/>
  <c r="B438" i="59"/>
  <c r="E438" i="59" s="1"/>
  <c r="E437" i="59"/>
  <c r="G437" i="59" s="1"/>
  <c r="H437" i="59" s="1"/>
  <c r="F436" i="59"/>
  <c r="D436" i="59"/>
  <c r="D435" i="59" s="1"/>
  <c r="D421" i="59" s="1"/>
  <c r="D830" i="59" s="1"/>
  <c r="B436" i="59"/>
  <c r="B435" i="59" s="1"/>
  <c r="H434" i="59"/>
  <c r="E434" i="59"/>
  <c r="G434" i="59" s="1"/>
  <c r="G433" i="59"/>
  <c r="H433" i="59" s="1"/>
  <c r="E433" i="59"/>
  <c r="F432" i="59"/>
  <c r="B432" i="59"/>
  <c r="E432" i="59" s="1"/>
  <c r="G432" i="59" s="1"/>
  <c r="H432" i="59" s="1"/>
  <c r="E431" i="59"/>
  <c r="G431" i="59" s="1"/>
  <c r="H431" i="59" s="1"/>
  <c r="F430" i="59"/>
  <c r="B430" i="59"/>
  <c r="E430" i="59" s="1"/>
  <c r="E429" i="59"/>
  <c r="G429" i="59" s="1"/>
  <c r="H429" i="59" s="1"/>
  <c r="E428" i="59"/>
  <c r="G428" i="59" s="1"/>
  <c r="H428" i="59" s="1"/>
  <c r="E427" i="59"/>
  <c r="G427" i="59" s="1"/>
  <c r="H427" i="59" s="1"/>
  <c r="F426" i="59"/>
  <c r="B426" i="59"/>
  <c r="E426" i="59" s="1"/>
  <c r="E425" i="59"/>
  <c r="G425" i="59" s="1"/>
  <c r="H425" i="59" s="1"/>
  <c r="F424" i="59"/>
  <c r="B424" i="59"/>
  <c r="E424" i="59" s="1"/>
  <c r="H422" i="59"/>
  <c r="E422" i="59"/>
  <c r="G422" i="59" s="1"/>
  <c r="H420" i="59"/>
  <c r="E420" i="59"/>
  <c r="G420" i="59" s="1"/>
  <c r="E419" i="59"/>
  <c r="G419" i="59" s="1"/>
  <c r="H419" i="59" s="1"/>
  <c r="F418" i="59"/>
  <c r="D418" i="59"/>
  <c r="B418" i="59"/>
  <c r="E417" i="59"/>
  <c r="G417" i="59" s="1"/>
  <c r="H417" i="59" s="1"/>
  <c r="F416" i="59"/>
  <c r="C416" i="59"/>
  <c r="B416" i="59"/>
  <c r="E415" i="59"/>
  <c r="G415" i="59" s="1"/>
  <c r="H415" i="59" s="1"/>
  <c r="E414" i="59"/>
  <c r="G414" i="59" s="1"/>
  <c r="H414" i="59" s="1"/>
  <c r="E413" i="59"/>
  <c r="G413" i="59" s="1"/>
  <c r="H413" i="59" s="1"/>
  <c r="F412" i="59"/>
  <c r="D412" i="59"/>
  <c r="C412" i="59"/>
  <c r="C411" i="59" s="1"/>
  <c r="C829" i="59" s="1"/>
  <c r="B412" i="59"/>
  <c r="H410" i="59"/>
  <c r="E410" i="59"/>
  <c r="G410" i="59" s="1"/>
  <c r="E409" i="59"/>
  <c r="G409" i="59" s="1"/>
  <c r="H409" i="59" s="1"/>
  <c r="B408" i="59"/>
  <c r="E408" i="59" s="1"/>
  <c r="E407" i="59"/>
  <c r="G407" i="59" s="1"/>
  <c r="H407" i="59" s="1"/>
  <c r="F406" i="59"/>
  <c r="D406" i="59"/>
  <c r="C406" i="59"/>
  <c r="B406" i="59"/>
  <c r="E405" i="59"/>
  <c r="G405" i="59" s="1"/>
  <c r="H405" i="59" s="1"/>
  <c r="E404" i="59"/>
  <c r="G404" i="59" s="1"/>
  <c r="H404" i="59" s="1"/>
  <c r="D403" i="59"/>
  <c r="D402" i="59" s="1"/>
  <c r="C403" i="59"/>
  <c r="B403" i="59"/>
  <c r="H401" i="59"/>
  <c r="E401" i="59"/>
  <c r="G401" i="59" s="1"/>
  <c r="E400" i="59"/>
  <c r="G400" i="59" s="1"/>
  <c r="H400" i="59" s="1"/>
  <c r="E399" i="59"/>
  <c r="G399" i="59" s="1"/>
  <c r="H399" i="59" s="1"/>
  <c r="E398" i="59"/>
  <c r="G398" i="59" s="1"/>
  <c r="H398" i="59" s="1"/>
  <c r="F397" i="59"/>
  <c r="D397" i="59"/>
  <c r="D396" i="59" s="1"/>
  <c r="C397" i="59"/>
  <c r="B397" i="59"/>
  <c r="B396" i="59" s="1"/>
  <c r="H395" i="59"/>
  <c r="E395" i="59"/>
  <c r="G395" i="59" s="1"/>
  <c r="H393" i="59"/>
  <c r="E393" i="59"/>
  <c r="G393" i="59" s="1"/>
  <c r="E392" i="59"/>
  <c r="G392" i="59" s="1"/>
  <c r="H392" i="59" s="1"/>
  <c r="F391" i="59"/>
  <c r="B391" i="59"/>
  <c r="E391" i="59" s="1"/>
  <c r="E390" i="59"/>
  <c r="G390" i="59" s="1"/>
  <c r="H390" i="59" s="1"/>
  <c r="E389" i="59"/>
  <c r="G389" i="59" s="1"/>
  <c r="H389" i="59" s="1"/>
  <c r="F388" i="59"/>
  <c r="D388" i="59"/>
  <c r="B388" i="59"/>
  <c r="E387" i="59"/>
  <c r="G387" i="59" s="1"/>
  <c r="H387" i="59" s="1"/>
  <c r="E386" i="59"/>
  <c r="G386" i="59" s="1"/>
  <c r="H386" i="59" s="1"/>
  <c r="E385" i="59"/>
  <c r="G385" i="59" s="1"/>
  <c r="H385" i="59" s="1"/>
  <c r="E384" i="59"/>
  <c r="G384" i="59" s="1"/>
  <c r="H384" i="59" s="1"/>
  <c r="F383" i="59"/>
  <c r="D383" i="59"/>
  <c r="C383" i="59"/>
  <c r="C382" i="59" s="1"/>
  <c r="C827" i="59" s="1"/>
  <c r="B383" i="59"/>
  <c r="H381" i="59"/>
  <c r="E381" i="59"/>
  <c r="G381" i="59" s="1"/>
  <c r="H380" i="59"/>
  <c r="E380" i="59"/>
  <c r="G380" i="59" s="1"/>
  <c r="H379" i="59"/>
  <c r="E379" i="59"/>
  <c r="G379" i="59" s="1"/>
  <c r="F378" i="59"/>
  <c r="D378" i="59"/>
  <c r="C378" i="59"/>
  <c r="B378" i="59"/>
  <c r="E377" i="59"/>
  <c r="G377" i="59" s="1"/>
  <c r="H377" i="59" s="1"/>
  <c r="F376" i="59"/>
  <c r="D376" i="59"/>
  <c r="C376" i="59"/>
  <c r="B376" i="59"/>
  <c r="H374" i="59"/>
  <c r="E374" i="59"/>
  <c r="G374" i="59" s="1"/>
  <c r="E373" i="59"/>
  <c r="D372" i="59"/>
  <c r="D371" i="59" s="1"/>
  <c r="E371" i="59" s="1"/>
  <c r="E370" i="59"/>
  <c r="E369" i="59"/>
  <c r="G369" i="59" s="1"/>
  <c r="H369" i="59" s="1"/>
  <c r="E368" i="59"/>
  <c r="G368" i="59" s="1"/>
  <c r="H368" i="59" s="1"/>
  <c r="E367" i="59"/>
  <c r="G367" i="59" s="1"/>
  <c r="H367" i="59" s="1"/>
  <c r="F366" i="59"/>
  <c r="D366" i="59"/>
  <c r="C366" i="59"/>
  <c r="C365" i="59" s="1"/>
  <c r="B366" i="59"/>
  <c r="D365" i="59"/>
  <c r="B365" i="59"/>
  <c r="H364" i="59"/>
  <c r="E364" i="59"/>
  <c r="G364" i="59" s="1"/>
  <c r="E363" i="59"/>
  <c r="G363" i="59" s="1"/>
  <c r="H363" i="59" s="1"/>
  <c r="E362" i="59"/>
  <c r="G362" i="59" s="1"/>
  <c r="H362" i="59" s="1"/>
  <c r="F361" i="59"/>
  <c r="C361" i="59"/>
  <c r="B361" i="59"/>
  <c r="E360" i="59"/>
  <c r="G360" i="59" s="1"/>
  <c r="H360" i="59" s="1"/>
  <c r="F359" i="59"/>
  <c r="C359" i="59"/>
  <c r="B359" i="59"/>
  <c r="E358" i="59"/>
  <c r="G358" i="59" s="1"/>
  <c r="H358" i="59" s="1"/>
  <c r="E357" i="59"/>
  <c r="G357" i="59" s="1"/>
  <c r="H357" i="59" s="1"/>
  <c r="E356" i="59"/>
  <c r="G356" i="59" s="1"/>
  <c r="H356" i="59" s="1"/>
  <c r="F355" i="59"/>
  <c r="C355" i="59"/>
  <c r="B355" i="59"/>
  <c r="H353" i="59"/>
  <c r="E353" i="59"/>
  <c r="G353" i="59" s="1"/>
  <c r="E352" i="59"/>
  <c r="D351" i="59"/>
  <c r="E351" i="59" s="1"/>
  <c r="E350" i="59"/>
  <c r="G350" i="59" s="1"/>
  <c r="H350" i="59" s="1"/>
  <c r="F349" i="59"/>
  <c r="D349" i="59"/>
  <c r="C349" i="59"/>
  <c r="E348" i="59"/>
  <c r="G348" i="59" s="1"/>
  <c r="H348" i="59" s="1"/>
  <c r="E347" i="59"/>
  <c r="G347" i="59" s="1"/>
  <c r="H347" i="59" s="1"/>
  <c r="F346" i="59"/>
  <c r="D346" i="59"/>
  <c r="C346" i="59"/>
  <c r="B346" i="59"/>
  <c r="E345" i="59"/>
  <c r="G345" i="59" s="1"/>
  <c r="H345" i="59" s="1"/>
  <c r="E344" i="59"/>
  <c r="G344" i="59" s="1"/>
  <c r="H344" i="59" s="1"/>
  <c r="F343" i="59"/>
  <c r="D343" i="59"/>
  <c r="C343" i="59"/>
  <c r="B343" i="59"/>
  <c r="H341" i="59"/>
  <c r="E341" i="59"/>
  <c r="G341" i="59" s="1"/>
  <c r="H340" i="59"/>
  <c r="E340" i="59"/>
  <c r="G340" i="59" s="1"/>
  <c r="F339" i="59"/>
  <c r="C339" i="59"/>
  <c r="E339" i="59" s="1"/>
  <c r="E338" i="59"/>
  <c r="D337" i="59"/>
  <c r="D336" i="59" s="1"/>
  <c r="C337" i="59"/>
  <c r="B337" i="59"/>
  <c r="H335" i="59"/>
  <c r="E335" i="59"/>
  <c r="G335" i="59" s="1"/>
  <c r="E334" i="59"/>
  <c r="G334" i="59" s="1"/>
  <c r="H334" i="59" s="1"/>
  <c r="E333" i="59"/>
  <c r="G333" i="59" s="1"/>
  <c r="H333" i="59" s="1"/>
  <c r="F332" i="59"/>
  <c r="C332" i="59"/>
  <c r="B332" i="59"/>
  <c r="E331" i="59"/>
  <c r="G331" i="59" s="1"/>
  <c r="H331" i="59" s="1"/>
  <c r="E330" i="59"/>
  <c r="G330" i="59" s="1"/>
  <c r="H330" i="59" s="1"/>
  <c r="F329" i="59"/>
  <c r="C329" i="59"/>
  <c r="B329" i="59"/>
  <c r="H327" i="59"/>
  <c r="E327" i="59"/>
  <c r="G327" i="59" s="1"/>
  <c r="H326" i="59"/>
  <c r="E326" i="59"/>
  <c r="G326" i="59" s="1"/>
  <c r="E325" i="59"/>
  <c r="G325" i="59" s="1"/>
  <c r="H325" i="59" s="1"/>
  <c r="C324" i="59"/>
  <c r="B324" i="59"/>
  <c r="E323" i="59"/>
  <c r="G323" i="59" s="1"/>
  <c r="H323" i="59" s="1"/>
  <c r="E322" i="59"/>
  <c r="G322" i="59" s="1"/>
  <c r="H322" i="59" s="1"/>
  <c r="E321" i="59"/>
  <c r="G321" i="59" s="1"/>
  <c r="H321" i="59" s="1"/>
  <c r="F320" i="59"/>
  <c r="C320" i="59"/>
  <c r="B320" i="59"/>
  <c r="E320" i="59" s="1"/>
  <c r="H318" i="59"/>
  <c r="E318" i="59"/>
  <c r="G318" i="59" s="1"/>
  <c r="E317" i="59"/>
  <c r="G317" i="59" s="1"/>
  <c r="H317" i="59" s="1"/>
  <c r="E316" i="59"/>
  <c r="G316" i="59" s="1"/>
  <c r="H316" i="59" s="1"/>
  <c r="E315" i="59"/>
  <c r="G315" i="59" s="1"/>
  <c r="H315" i="59" s="1"/>
  <c r="F314" i="59"/>
  <c r="C314" i="59"/>
  <c r="C313" i="59" s="1"/>
  <c r="B314" i="59"/>
  <c r="B313" i="59" s="1"/>
  <c r="H312" i="59"/>
  <c r="E312" i="59"/>
  <c r="G312" i="59" s="1"/>
  <c r="H310" i="59"/>
  <c r="E310" i="59"/>
  <c r="G310" i="59" s="1"/>
  <c r="B309" i="59"/>
  <c r="E309" i="59" s="1"/>
  <c r="G309" i="59" s="1"/>
  <c r="H309" i="59" s="1"/>
  <c r="B308" i="59"/>
  <c r="E308" i="59" s="1"/>
  <c r="G308" i="59" s="1"/>
  <c r="H308" i="59" s="1"/>
  <c r="F307" i="59"/>
  <c r="C307" i="59"/>
  <c r="E306" i="59"/>
  <c r="E305" i="59"/>
  <c r="G305" i="59" s="1"/>
  <c r="H305" i="59" s="1"/>
  <c r="B304" i="59"/>
  <c r="F303" i="59"/>
  <c r="C303" i="59"/>
  <c r="B302" i="59"/>
  <c r="E302" i="59" s="1"/>
  <c r="G302" i="59" s="1"/>
  <c r="H302" i="59" s="1"/>
  <c r="B301" i="59"/>
  <c r="E301" i="59" s="1"/>
  <c r="G301" i="59" s="1"/>
  <c r="H301" i="59" s="1"/>
  <c r="B300" i="59"/>
  <c r="E300" i="59" s="1"/>
  <c r="G300" i="59" s="1"/>
  <c r="H300" i="59" s="1"/>
  <c r="F299" i="59"/>
  <c r="D299" i="59"/>
  <c r="D298" i="59" s="1"/>
  <c r="C299" i="59"/>
  <c r="H297" i="59"/>
  <c r="E297" i="59"/>
  <c r="G297" i="59" s="1"/>
  <c r="E296" i="59"/>
  <c r="G296" i="59" s="1"/>
  <c r="H296" i="59" s="1"/>
  <c r="F295" i="59"/>
  <c r="D295" i="59"/>
  <c r="C295" i="59"/>
  <c r="B295" i="59"/>
  <c r="E294" i="59"/>
  <c r="G294" i="59" s="1"/>
  <c r="H294" i="59" s="1"/>
  <c r="E293" i="59"/>
  <c r="G293" i="59" s="1"/>
  <c r="H293" i="59" s="1"/>
  <c r="H292" i="59"/>
  <c r="E292" i="59"/>
  <c r="G292" i="59" s="1"/>
  <c r="F291" i="59"/>
  <c r="D291" i="59"/>
  <c r="C291" i="59"/>
  <c r="B291" i="59"/>
  <c r="B290" i="59" s="1"/>
  <c r="F290" i="59"/>
  <c r="D290" i="59"/>
  <c r="C290" i="59"/>
  <c r="H289" i="59"/>
  <c r="E289" i="59"/>
  <c r="G289" i="59" s="1"/>
  <c r="E288" i="59"/>
  <c r="G288" i="59" s="1"/>
  <c r="H288" i="59" s="1"/>
  <c r="E287" i="59"/>
  <c r="G287" i="59" s="1"/>
  <c r="H287" i="59" s="1"/>
  <c r="F286" i="59"/>
  <c r="D286" i="59"/>
  <c r="B286" i="59"/>
  <c r="E285" i="59"/>
  <c r="G285" i="59" s="1"/>
  <c r="H285" i="59" s="1"/>
  <c r="E284" i="59"/>
  <c r="G284" i="59" s="1"/>
  <c r="H284" i="59" s="1"/>
  <c r="F283" i="59"/>
  <c r="D283" i="59"/>
  <c r="B283" i="59"/>
  <c r="E282" i="59"/>
  <c r="G282" i="59" s="1"/>
  <c r="H282" i="59" s="1"/>
  <c r="E281" i="59"/>
  <c r="G281" i="59" s="1"/>
  <c r="H281" i="59" s="1"/>
  <c r="E280" i="59"/>
  <c r="G280" i="59" s="1"/>
  <c r="H280" i="59" s="1"/>
  <c r="F279" i="59"/>
  <c r="D279" i="59"/>
  <c r="B279" i="59"/>
  <c r="H277" i="59"/>
  <c r="E277" i="59"/>
  <c r="G277" i="59" s="1"/>
  <c r="F276" i="59"/>
  <c r="E276" i="59"/>
  <c r="D275" i="59"/>
  <c r="D267" i="59" s="1"/>
  <c r="C275" i="59"/>
  <c r="B275" i="59"/>
  <c r="E274" i="59"/>
  <c r="G274" i="59" s="1"/>
  <c r="H274" i="59" s="1"/>
  <c r="E273" i="59"/>
  <c r="G273" i="59" s="1"/>
  <c r="H273" i="59" s="1"/>
  <c r="F272" i="59"/>
  <c r="C272" i="59"/>
  <c r="B272" i="59"/>
  <c r="F271" i="59"/>
  <c r="E271" i="59"/>
  <c r="F270" i="59"/>
  <c r="E270" i="59"/>
  <c r="E269" i="59"/>
  <c r="G269" i="59" s="1"/>
  <c r="H269" i="59" s="1"/>
  <c r="C268" i="59"/>
  <c r="B268" i="59"/>
  <c r="H266" i="59"/>
  <c r="E266" i="59"/>
  <c r="G266" i="59" s="1"/>
  <c r="E265" i="59"/>
  <c r="G265" i="59" s="1"/>
  <c r="H265" i="59" s="1"/>
  <c r="F264" i="59"/>
  <c r="B264" i="59"/>
  <c r="E264" i="59" s="1"/>
  <c r="E263" i="59"/>
  <c r="G263" i="59" s="1"/>
  <c r="H263" i="59" s="1"/>
  <c r="E262" i="59"/>
  <c r="G262" i="59" s="1"/>
  <c r="H262" i="59" s="1"/>
  <c r="F261" i="59"/>
  <c r="B261" i="59"/>
  <c r="E261" i="59" s="1"/>
  <c r="E260" i="59"/>
  <c r="G260" i="59" s="1"/>
  <c r="H260" i="59" s="1"/>
  <c r="E259" i="59"/>
  <c r="G259" i="59" s="1"/>
  <c r="H259" i="59" s="1"/>
  <c r="B258" i="59"/>
  <c r="E258" i="59" s="1"/>
  <c r="G258" i="59" s="1"/>
  <c r="H258" i="59" s="1"/>
  <c r="F257" i="59"/>
  <c r="H255" i="59"/>
  <c r="E255" i="59"/>
  <c r="G255" i="59" s="1"/>
  <c r="E254" i="59"/>
  <c r="E253" i="59"/>
  <c r="G253" i="59" s="1"/>
  <c r="H253" i="59" s="1"/>
  <c r="F252" i="59"/>
  <c r="D252" i="59"/>
  <c r="C252" i="59"/>
  <c r="B252" i="59"/>
  <c r="E251" i="59"/>
  <c r="G251" i="59" s="1"/>
  <c r="H251" i="59" s="1"/>
  <c r="E250" i="59"/>
  <c r="G250" i="59" s="1"/>
  <c r="H250" i="59" s="1"/>
  <c r="E249" i="59"/>
  <c r="G249" i="59" s="1"/>
  <c r="H249" i="59" s="1"/>
  <c r="F248" i="59"/>
  <c r="D248" i="59"/>
  <c r="C248" i="59"/>
  <c r="B248" i="59"/>
  <c r="E247" i="59"/>
  <c r="G247" i="59" s="1"/>
  <c r="H247" i="59" s="1"/>
  <c r="E246" i="59"/>
  <c r="G246" i="59" s="1"/>
  <c r="H246" i="59" s="1"/>
  <c r="E245" i="59"/>
  <c r="G245" i="59" s="1"/>
  <c r="H245" i="59" s="1"/>
  <c r="F244" i="59"/>
  <c r="D244" i="59"/>
  <c r="C244" i="59"/>
  <c r="B244" i="59"/>
  <c r="B243" i="59" s="1"/>
  <c r="H242" i="59"/>
  <c r="E242" i="59"/>
  <c r="G242" i="59" s="1"/>
  <c r="E241" i="59"/>
  <c r="G241" i="59" s="1"/>
  <c r="H241" i="59" s="1"/>
  <c r="F240" i="59"/>
  <c r="D240" i="59"/>
  <c r="C240" i="59"/>
  <c r="B240" i="59"/>
  <c r="E239" i="59"/>
  <c r="G239" i="59" s="1"/>
  <c r="H239" i="59" s="1"/>
  <c r="E238" i="59"/>
  <c r="G238" i="59" s="1"/>
  <c r="H238" i="59" s="1"/>
  <c r="F237" i="59"/>
  <c r="C237" i="59"/>
  <c r="B237" i="59"/>
  <c r="E236" i="59"/>
  <c r="G236" i="59" s="1"/>
  <c r="H236" i="59" s="1"/>
  <c r="E235" i="59"/>
  <c r="G235" i="59" s="1"/>
  <c r="H235" i="59" s="1"/>
  <c r="E234" i="59"/>
  <c r="G234" i="59" s="1"/>
  <c r="H234" i="59" s="1"/>
  <c r="F233" i="59"/>
  <c r="D233" i="59"/>
  <c r="D232" i="59" s="1"/>
  <c r="C233" i="59"/>
  <c r="B233" i="59"/>
  <c r="H231" i="59"/>
  <c r="E231" i="59"/>
  <c r="G231" i="59" s="1"/>
  <c r="E230" i="59"/>
  <c r="G230" i="59" s="1"/>
  <c r="H230" i="59" s="1"/>
  <c r="F229" i="59"/>
  <c r="D229" i="59"/>
  <c r="B229" i="59"/>
  <c r="E228" i="59"/>
  <c r="G228" i="59" s="1"/>
  <c r="H228" i="59" s="1"/>
  <c r="E227" i="59"/>
  <c r="G227" i="59" s="1"/>
  <c r="H227" i="59" s="1"/>
  <c r="E226" i="59"/>
  <c r="G226" i="59" s="1"/>
  <c r="H226" i="59" s="1"/>
  <c r="F225" i="59"/>
  <c r="D225" i="59"/>
  <c r="B225" i="59"/>
  <c r="H223" i="59"/>
  <c r="E223" i="59"/>
  <c r="G223" i="59" s="1"/>
  <c r="H221" i="59"/>
  <c r="E221" i="59"/>
  <c r="G221" i="59" s="1"/>
  <c r="E220" i="59"/>
  <c r="G220" i="59" s="1"/>
  <c r="H220" i="59" s="1"/>
  <c r="E219" i="59"/>
  <c r="G219" i="59" s="1"/>
  <c r="H219" i="59" s="1"/>
  <c r="F218" i="59"/>
  <c r="B218" i="59"/>
  <c r="E218" i="59" s="1"/>
  <c r="E217" i="59"/>
  <c r="G217" i="59" s="1"/>
  <c r="H217" i="59" s="1"/>
  <c r="E216" i="59"/>
  <c r="G216" i="59" s="1"/>
  <c r="H216" i="59" s="1"/>
  <c r="E215" i="59"/>
  <c r="G215" i="59" s="1"/>
  <c r="H215" i="59" s="1"/>
  <c r="E214" i="59"/>
  <c r="G214" i="59" s="1"/>
  <c r="H214" i="59" s="1"/>
  <c r="F213" i="59"/>
  <c r="C213" i="59"/>
  <c r="B213" i="59"/>
  <c r="H211" i="59"/>
  <c r="E211" i="59"/>
  <c r="G211" i="59" s="1"/>
  <c r="E210" i="59"/>
  <c r="G210" i="59" s="1"/>
  <c r="H210" i="59" s="1"/>
  <c r="F209" i="59"/>
  <c r="B209" i="59"/>
  <c r="E209" i="59" s="1"/>
  <c r="E208" i="59"/>
  <c r="E207" i="59"/>
  <c r="G207" i="59" s="1"/>
  <c r="H207" i="59" s="1"/>
  <c r="E206" i="59"/>
  <c r="G206" i="59" s="1"/>
  <c r="H206" i="59" s="1"/>
  <c r="E205" i="59"/>
  <c r="G205" i="59" s="1"/>
  <c r="H205" i="59" s="1"/>
  <c r="F204" i="59"/>
  <c r="D204" i="59"/>
  <c r="D203" i="59" s="1"/>
  <c r="C204" i="59"/>
  <c r="B204" i="59"/>
  <c r="B203" i="59" s="1"/>
  <c r="C203" i="59"/>
  <c r="H202" i="59"/>
  <c r="E202" i="59"/>
  <c r="G202" i="59" s="1"/>
  <c r="B201" i="59"/>
  <c r="B200" i="59" s="1"/>
  <c r="E200" i="59" s="1"/>
  <c r="F200" i="59"/>
  <c r="E199" i="59"/>
  <c r="G199" i="59" s="1"/>
  <c r="H199" i="59" s="1"/>
  <c r="F198" i="59"/>
  <c r="D198" i="59"/>
  <c r="B198" i="59"/>
  <c r="E197" i="59"/>
  <c r="G197" i="59" s="1"/>
  <c r="H197" i="59" s="1"/>
  <c r="F196" i="59"/>
  <c r="E196" i="59"/>
  <c r="E195" i="59"/>
  <c r="G195" i="59" s="1"/>
  <c r="H195" i="59" s="1"/>
  <c r="F194" i="59"/>
  <c r="B194" i="59"/>
  <c r="E194" i="59" s="1"/>
  <c r="D193" i="59"/>
  <c r="D192" i="59" s="1"/>
  <c r="H191" i="59"/>
  <c r="E191" i="59"/>
  <c r="G191" i="59" s="1"/>
  <c r="E190" i="59"/>
  <c r="G190" i="59" s="1"/>
  <c r="H190" i="59" s="1"/>
  <c r="F189" i="59"/>
  <c r="D189" i="59"/>
  <c r="C189" i="59"/>
  <c r="B189" i="59"/>
  <c r="E188" i="59"/>
  <c r="G188" i="59" s="1"/>
  <c r="H188" i="59" s="1"/>
  <c r="E187" i="59"/>
  <c r="G187" i="59" s="1"/>
  <c r="H187" i="59" s="1"/>
  <c r="E186" i="59"/>
  <c r="G186" i="59" s="1"/>
  <c r="H186" i="59" s="1"/>
  <c r="F185" i="59"/>
  <c r="C185" i="59"/>
  <c r="B185" i="59"/>
  <c r="E185" i="59" s="1"/>
  <c r="E184" i="59"/>
  <c r="E183" i="59"/>
  <c r="G183" i="59" s="1"/>
  <c r="H183" i="59" s="1"/>
  <c r="E182" i="59"/>
  <c r="G182" i="59" s="1"/>
  <c r="H182" i="59" s="1"/>
  <c r="B181" i="59"/>
  <c r="E181" i="59" s="1"/>
  <c r="D180" i="59"/>
  <c r="C180" i="59"/>
  <c r="B180" i="59"/>
  <c r="H178" i="59"/>
  <c r="E178" i="59"/>
  <c r="G178" i="59" s="1"/>
  <c r="E177" i="59"/>
  <c r="G177" i="59" s="1"/>
  <c r="H177" i="59" s="1"/>
  <c r="E176" i="59"/>
  <c r="G176" i="59" s="1"/>
  <c r="H176" i="59" s="1"/>
  <c r="E175" i="59"/>
  <c r="G175" i="59" s="1"/>
  <c r="H175" i="59" s="1"/>
  <c r="F174" i="59"/>
  <c r="D174" i="59"/>
  <c r="B174" i="59"/>
  <c r="F173" i="59"/>
  <c r="E173" i="59"/>
  <c r="E172" i="59"/>
  <c r="G172" i="59" s="1"/>
  <c r="H172" i="59" s="1"/>
  <c r="D171" i="59"/>
  <c r="B171" i="59"/>
  <c r="B170" i="59"/>
  <c r="E170" i="59" s="1"/>
  <c r="G170" i="59" s="1"/>
  <c r="H170" i="59" s="1"/>
  <c r="F169" i="59"/>
  <c r="D169" i="59"/>
  <c r="F168" i="59"/>
  <c r="E168" i="59"/>
  <c r="B167" i="59"/>
  <c r="E167" i="59" s="1"/>
  <c r="G167" i="59" s="1"/>
  <c r="H167" i="59" s="1"/>
  <c r="E166" i="59"/>
  <c r="G166" i="59" s="1"/>
  <c r="H166" i="59" s="1"/>
  <c r="B165" i="59"/>
  <c r="E165" i="59" s="1"/>
  <c r="G165" i="59" s="1"/>
  <c r="H165" i="59" s="1"/>
  <c r="D164" i="59"/>
  <c r="C164" i="59"/>
  <c r="C163" i="59" s="1"/>
  <c r="H162" i="59"/>
  <c r="E162" i="59"/>
  <c r="G162" i="59" s="1"/>
  <c r="F161" i="59"/>
  <c r="B161" i="59"/>
  <c r="E161" i="59" s="1"/>
  <c r="C160" i="59"/>
  <c r="E159" i="59"/>
  <c r="G159" i="59" s="1"/>
  <c r="H159" i="59" s="1"/>
  <c r="E158" i="59"/>
  <c r="G158" i="59" s="1"/>
  <c r="H158" i="59" s="1"/>
  <c r="F157" i="59"/>
  <c r="B157" i="59"/>
  <c r="E157" i="59" s="1"/>
  <c r="E156" i="59"/>
  <c r="G156" i="59" s="1"/>
  <c r="H156" i="59" s="1"/>
  <c r="E155" i="59"/>
  <c r="G155" i="59" s="1"/>
  <c r="H155" i="59" s="1"/>
  <c r="E154" i="59"/>
  <c r="G154" i="59" s="1"/>
  <c r="H154" i="59" s="1"/>
  <c r="E153" i="59"/>
  <c r="G153" i="59" s="1"/>
  <c r="H153" i="59" s="1"/>
  <c r="E152" i="59"/>
  <c r="G152" i="59" s="1"/>
  <c r="H152" i="59" s="1"/>
  <c r="F151" i="59"/>
  <c r="C151" i="59"/>
  <c r="B151" i="59"/>
  <c r="H149" i="59"/>
  <c r="E149" i="59"/>
  <c r="G149" i="59" s="1"/>
  <c r="E148" i="59"/>
  <c r="G148" i="59" s="1"/>
  <c r="H148" i="59" s="1"/>
  <c r="E147" i="59"/>
  <c r="G147" i="59" s="1"/>
  <c r="H147" i="59" s="1"/>
  <c r="E146" i="59"/>
  <c r="G146" i="59" s="1"/>
  <c r="H146" i="59" s="1"/>
  <c r="F145" i="59"/>
  <c r="B145" i="59"/>
  <c r="H143" i="59"/>
  <c r="E143" i="59"/>
  <c r="G143" i="59" s="1"/>
  <c r="E142" i="59"/>
  <c r="G142" i="59" s="1"/>
  <c r="H142" i="59" s="1"/>
  <c r="F141" i="59"/>
  <c r="C141" i="59"/>
  <c r="B141" i="59"/>
  <c r="H140" i="59"/>
  <c r="E140" i="59"/>
  <c r="G140" i="59" s="1"/>
  <c r="E139" i="59"/>
  <c r="G139" i="59" s="1"/>
  <c r="H139" i="59" s="1"/>
  <c r="E138" i="59"/>
  <c r="G138" i="59" s="1"/>
  <c r="H138" i="59" s="1"/>
  <c r="B137" i="59"/>
  <c r="E137" i="59" s="1"/>
  <c r="G137" i="59" s="1"/>
  <c r="H137" i="59" s="1"/>
  <c r="F136" i="59"/>
  <c r="D136" i="59"/>
  <c r="D135" i="59" s="1"/>
  <c r="C136" i="59"/>
  <c r="H134" i="59"/>
  <c r="E134" i="59"/>
  <c r="G134" i="59" s="1"/>
  <c r="H133" i="59"/>
  <c r="E133" i="59"/>
  <c r="G133" i="59" s="1"/>
  <c r="E132" i="59"/>
  <c r="G132" i="59" s="1"/>
  <c r="H132" i="59" s="1"/>
  <c r="F131" i="59"/>
  <c r="D131" i="59"/>
  <c r="C131" i="59"/>
  <c r="B131" i="59"/>
  <c r="E130" i="59"/>
  <c r="G130" i="59" s="1"/>
  <c r="H130" i="59" s="1"/>
  <c r="E129" i="59"/>
  <c r="G129" i="59" s="1"/>
  <c r="H129" i="59" s="1"/>
  <c r="F128" i="59"/>
  <c r="C128" i="59"/>
  <c r="B128" i="59"/>
  <c r="E127" i="59"/>
  <c r="G127" i="59" s="1"/>
  <c r="H127" i="59" s="1"/>
  <c r="F126" i="59"/>
  <c r="D126" i="59"/>
  <c r="C126" i="59"/>
  <c r="C125" i="59" s="1"/>
  <c r="B126" i="59"/>
  <c r="H124" i="59"/>
  <c r="E124" i="59"/>
  <c r="G124" i="59" s="1"/>
  <c r="H122" i="59"/>
  <c r="E122" i="59"/>
  <c r="G122" i="59" s="1"/>
  <c r="E121" i="59"/>
  <c r="G121" i="59" s="1"/>
  <c r="H121" i="59" s="1"/>
  <c r="E120" i="59"/>
  <c r="G120" i="59" s="1"/>
  <c r="H120" i="59" s="1"/>
  <c r="F119" i="59"/>
  <c r="D119" i="59"/>
  <c r="C119" i="59"/>
  <c r="B119" i="59"/>
  <c r="B118" i="59"/>
  <c r="E118" i="59" s="1"/>
  <c r="G118" i="59" s="1"/>
  <c r="H118" i="59" s="1"/>
  <c r="E117" i="59"/>
  <c r="G117" i="59" s="1"/>
  <c r="H117" i="59" s="1"/>
  <c r="B116" i="59"/>
  <c r="E116" i="59" s="1"/>
  <c r="G116" i="59" s="1"/>
  <c r="H116" i="59" s="1"/>
  <c r="F115" i="59"/>
  <c r="D115" i="59"/>
  <c r="C115" i="59"/>
  <c r="C114" i="59" s="1"/>
  <c r="H113" i="59"/>
  <c r="E113" i="59"/>
  <c r="G113" i="59" s="1"/>
  <c r="E112" i="59"/>
  <c r="G112" i="59" s="1"/>
  <c r="H112" i="59" s="1"/>
  <c r="E111" i="59"/>
  <c r="G111" i="59" s="1"/>
  <c r="H111" i="59" s="1"/>
  <c r="F110" i="59"/>
  <c r="D110" i="59"/>
  <c r="C110" i="59"/>
  <c r="B110" i="59"/>
  <c r="E109" i="59"/>
  <c r="G109" i="59" s="1"/>
  <c r="H109" i="59" s="1"/>
  <c r="E108" i="59"/>
  <c r="G108" i="59" s="1"/>
  <c r="H108" i="59" s="1"/>
  <c r="E107" i="59"/>
  <c r="G107" i="59" s="1"/>
  <c r="H107" i="59" s="1"/>
  <c r="E106" i="59"/>
  <c r="G106" i="59" s="1"/>
  <c r="H106" i="59" s="1"/>
  <c r="E105" i="59"/>
  <c r="G105" i="59" s="1"/>
  <c r="H105" i="59" s="1"/>
  <c r="E104" i="59"/>
  <c r="G104" i="59" s="1"/>
  <c r="H104" i="59" s="1"/>
  <c r="F103" i="59"/>
  <c r="D103" i="59"/>
  <c r="C103" i="59"/>
  <c r="B103" i="59"/>
  <c r="E102" i="59"/>
  <c r="G102" i="59" s="1"/>
  <c r="H102" i="59" s="1"/>
  <c r="D101" i="59"/>
  <c r="E101" i="59" s="1"/>
  <c r="G101" i="59" s="1"/>
  <c r="H101" i="59" s="1"/>
  <c r="F100" i="59"/>
  <c r="C100" i="59"/>
  <c r="B100" i="59"/>
  <c r="E99" i="59"/>
  <c r="G99" i="59" s="1"/>
  <c r="H99" i="59" s="1"/>
  <c r="E98" i="59"/>
  <c r="G98" i="59" s="1"/>
  <c r="H98" i="59" s="1"/>
  <c r="F97" i="59"/>
  <c r="D97" i="59"/>
  <c r="C97" i="59"/>
  <c r="B97" i="59"/>
  <c r="H95" i="59"/>
  <c r="E95" i="59"/>
  <c r="G95" i="59" s="1"/>
  <c r="H94" i="59"/>
  <c r="E94" i="59"/>
  <c r="G94" i="59" s="1"/>
  <c r="H93" i="59"/>
  <c r="C93" i="59"/>
  <c r="B93" i="59"/>
  <c r="H92" i="59"/>
  <c r="E92" i="59"/>
  <c r="G92" i="59" s="1"/>
  <c r="H91" i="59"/>
  <c r="C91" i="59"/>
  <c r="B91" i="59"/>
  <c r="H90" i="59"/>
  <c r="H89" i="59"/>
  <c r="E89" i="59"/>
  <c r="G89" i="59" s="1"/>
  <c r="E88" i="59"/>
  <c r="G88" i="59" s="1"/>
  <c r="H88" i="59" s="1"/>
  <c r="F87" i="59"/>
  <c r="C87" i="59"/>
  <c r="B87" i="59"/>
  <c r="E86" i="59"/>
  <c r="H85" i="59"/>
  <c r="E85" i="59"/>
  <c r="G85" i="59" s="1"/>
  <c r="E84" i="59"/>
  <c r="G84" i="59" s="1"/>
  <c r="H84" i="59" s="1"/>
  <c r="F83" i="59"/>
  <c r="D83" i="59"/>
  <c r="D82" i="59" s="1"/>
  <c r="C83" i="59"/>
  <c r="C82" i="59" s="1"/>
  <c r="B83" i="59"/>
  <c r="H81" i="59"/>
  <c r="E81" i="59"/>
  <c r="G81" i="59" s="1"/>
  <c r="E80" i="59"/>
  <c r="G80" i="59" s="1"/>
  <c r="H80" i="59" s="1"/>
  <c r="F79" i="59"/>
  <c r="B79" i="59"/>
  <c r="E79" i="59" s="1"/>
  <c r="E78" i="59"/>
  <c r="E77" i="59"/>
  <c r="G77" i="59" s="1"/>
  <c r="H77" i="59" s="1"/>
  <c r="E76" i="59"/>
  <c r="G76" i="59" s="1"/>
  <c r="H76" i="59" s="1"/>
  <c r="F75" i="59"/>
  <c r="D75" i="59"/>
  <c r="C75" i="59"/>
  <c r="B75" i="59"/>
  <c r="F74" i="59"/>
  <c r="D74" i="59"/>
  <c r="E74" i="59" s="1"/>
  <c r="E73" i="59"/>
  <c r="G73" i="59" s="1"/>
  <c r="H73" i="59" s="1"/>
  <c r="E72" i="59"/>
  <c r="G72" i="59" s="1"/>
  <c r="H72" i="59" s="1"/>
  <c r="E71" i="59"/>
  <c r="G71" i="59" s="1"/>
  <c r="H71" i="59" s="1"/>
  <c r="D70" i="59"/>
  <c r="E70" i="59" s="1"/>
  <c r="D69" i="59"/>
  <c r="B69" i="59"/>
  <c r="B68" i="59"/>
  <c r="E68" i="59" s="1"/>
  <c r="G68" i="59" s="1"/>
  <c r="H68" i="59" s="1"/>
  <c r="E67" i="59"/>
  <c r="G67" i="59" s="1"/>
  <c r="H67" i="59" s="1"/>
  <c r="B66" i="59"/>
  <c r="E66" i="59" s="1"/>
  <c r="G66" i="59" s="1"/>
  <c r="H66" i="59" s="1"/>
  <c r="B65" i="59"/>
  <c r="E65" i="59" s="1"/>
  <c r="G65" i="59" s="1"/>
  <c r="H65" i="59" s="1"/>
  <c r="C64" i="59"/>
  <c r="H62" i="59"/>
  <c r="E62" i="59"/>
  <c r="G62" i="59" s="1"/>
  <c r="H61" i="59"/>
  <c r="E61" i="59"/>
  <c r="G61" i="59" s="1"/>
  <c r="H60" i="59"/>
  <c r="C60" i="59"/>
  <c r="E60" i="59" s="1"/>
  <c r="G60" i="59" s="1"/>
  <c r="H59" i="59"/>
  <c r="E59" i="59"/>
  <c r="G59" i="59" s="1"/>
  <c r="D58" i="59"/>
  <c r="D56" i="59" s="1"/>
  <c r="B58" i="59"/>
  <c r="E57" i="59"/>
  <c r="G57" i="59" s="1"/>
  <c r="H57" i="59" s="1"/>
  <c r="F56" i="59"/>
  <c r="C56" i="59"/>
  <c r="F55" i="59"/>
  <c r="D55" i="59"/>
  <c r="D49" i="59" s="1"/>
  <c r="C55" i="59"/>
  <c r="E54" i="59"/>
  <c r="G54" i="59" s="1"/>
  <c r="H54" i="59" s="1"/>
  <c r="E53" i="59"/>
  <c r="G53" i="59" s="1"/>
  <c r="H53" i="59" s="1"/>
  <c r="E52" i="59"/>
  <c r="G52" i="59" s="1"/>
  <c r="H52" i="59" s="1"/>
  <c r="B51" i="59"/>
  <c r="E51" i="59" s="1"/>
  <c r="G51" i="59" s="1"/>
  <c r="H51" i="59" s="1"/>
  <c r="E50" i="59"/>
  <c r="G50" i="59" s="1"/>
  <c r="H50" i="59" s="1"/>
  <c r="H47" i="59"/>
  <c r="E47" i="59"/>
  <c r="G47" i="59" s="1"/>
  <c r="E46" i="59"/>
  <c r="G46" i="59" s="1"/>
  <c r="H46" i="59" s="1"/>
  <c r="F45" i="59"/>
  <c r="C45" i="59"/>
  <c r="B45" i="59"/>
  <c r="E44" i="59"/>
  <c r="G44" i="59" s="1"/>
  <c r="H44" i="59" s="1"/>
  <c r="E43" i="59"/>
  <c r="G43" i="59" s="1"/>
  <c r="H43" i="59" s="1"/>
  <c r="F42" i="59"/>
  <c r="C42" i="59"/>
  <c r="B42" i="59"/>
  <c r="E41" i="59"/>
  <c r="G41" i="59" s="1"/>
  <c r="H41" i="59" s="1"/>
  <c r="F40" i="59"/>
  <c r="C40" i="59"/>
  <c r="B40" i="59"/>
  <c r="E39" i="59"/>
  <c r="G39" i="59" s="1"/>
  <c r="H39" i="59" s="1"/>
  <c r="F38" i="59"/>
  <c r="C38" i="59"/>
  <c r="B38" i="59"/>
  <c r="F37" i="59"/>
  <c r="B36" i="59"/>
  <c r="D36" i="59"/>
  <c r="C36" i="59"/>
  <c r="H34" i="59"/>
  <c r="E34" i="59"/>
  <c r="G34" i="59" s="1"/>
  <c r="H32" i="59"/>
  <c r="E32" i="59"/>
  <c r="G32" i="59" s="1"/>
  <c r="E31" i="59"/>
  <c r="G31" i="59" s="1"/>
  <c r="H31" i="59" s="1"/>
  <c r="E30" i="59"/>
  <c r="G30" i="59" s="1"/>
  <c r="H30" i="59" s="1"/>
  <c r="F29" i="59"/>
  <c r="B29" i="59"/>
  <c r="E29" i="59" s="1"/>
  <c r="E28" i="59"/>
  <c r="G28" i="59" s="1"/>
  <c r="H28" i="59" s="1"/>
  <c r="F27" i="59"/>
  <c r="B27" i="59"/>
  <c r="H25" i="59"/>
  <c r="E25" i="59"/>
  <c r="G25" i="59" s="1"/>
  <c r="E24" i="59"/>
  <c r="G24" i="59" s="1"/>
  <c r="H24" i="59" s="1"/>
  <c r="E23" i="59"/>
  <c r="G23" i="59" s="1"/>
  <c r="H23" i="59" s="1"/>
  <c r="F22" i="59"/>
  <c r="B22" i="59"/>
  <c r="E22" i="59" s="1"/>
  <c r="E21" i="59"/>
  <c r="G21" i="59" s="1"/>
  <c r="H21" i="59" s="1"/>
  <c r="F20" i="59"/>
  <c r="B20" i="59"/>
  <c r="E20" i="59" s="1"/>
  <c r="H18" i="59"/>
  <c r="E18" i="59"/>
  <c r="G18" i="59" s="1"/>
  <c r="E17" i="59"/>
  <c r="G17" i="59" s="1"/>
  <c r="H17" i="59" s="1"/>
  <c r="E16" i="59"/>
  <c r="G16" i="59" s="1"/>
  <c r="H16" i="59" s="1"/>
  <c r="F15" i="59"/>
  <c r="B15" i="59"/>
  <c r="E15" i="59" s="1"/>
  <c r="E14" i="59"/>
  <c r="G14" i="59" s="1"/>
  <c r="H14" i="59" s="1"/>
  <c r="E13" i="59"/>
  <c r="G13" i="59" s="1"/>
  <c r="H13" i="59" s="1"/>
  <c r="F12" i="59"/>
  <c r="C12" i="59"/>
  <c r="C11" i="59" s="1"/>
  <c r="C820" i="59" s="1"/>
  <c r="B12" i="59"/>
  <c r="H10" i="59"/>
  <c r="E10" i="59"/>
  <c r="G10" i="59" s="1"/>
  <c r="E9" i="59"/>
  <c r="G9" i="59" s="1"/>
  <c r="H9" i="59" s="1"/>
  <c r="E8" i="59"/>
  <c r="G8" i="59" s="1"/>
  <c r="H8" i="59" s="1"/>
  <c r="F7" i="59"/>
  <c r="C7" i="59"/>
  <c r="C6" i="59" s="1"/>
  <c r="B7" i="59"/>
  <c r="B6" i="59" s="1"/>
  <c r="F78" i="58"/>
  <c r="F90" i="58"/>
  <c r="E108" i="58"/>
  <c r="E107" i="58"/>
  <c r="E105" i="58"/>
  <c r="E104" i="58"/>
  <c r="E102" i="58"/>
  <c r="E101" i="58"/>
  <c r="E100" i="58"/>
  <c r="E99" i="58"/>
  <c r="E98" i="58"/>
  <c r="E97" i="58"/>
  <c r="E96" i="58"/>
  <c r="G96" i="58" s="1"/>
  <c r="H96" i="58" s="1"/>
  <c r="E94" i="58"/>
  <c r="E93" i="58"/>
  <c r="E92" i="58"/>
  <c r="E89" i="58"/>
  <c r="E88" i="58"/>
  <c r="E87" i="58"/>
  <c r="E86" i="58"/>
  <c r="E85" i="58"/>
  <c r="G85" i="58" s="1"/>
  <c r="H85" i="58" s="1"/>
  <c r="E83" i="58"/>
  <c r="E82" i="58"/>
  <c r="E81" i="58"/>
  <c r="E79" i="58"/>
  <c r="E77" i="58"/>
  <c r="E76" i="58"/>
  <c r="E75" i="58"/>
  <c r="E73" i="58"/>
  <c r="E72" i="58"/>
  <c r="E71" i="58"/>
  <c r="E70" i="58"/>
  <c r="E69" i="58"/>
  <c r="G69" i="58" s="1"/>
  <c r="H69" i="58" s="1"/>
  <c r="E68" i="58"/>
  <c r="E66" i="58"/>
  <c r="E65" i="58"/>
  <c r="E64" i="58"/>
  <c r="E63" i="58"/>
  <c r="E61" i="58"/>
  <c r="E60" i="58"/>
  <c r="E59" i="58"/>
  <c r="G59" i="58" s="1"/>
  <c r="E58" i="58"/>
  <c r="G58" i="58" s="1"/>
  <c r="H58" i="58" s="1"/>
  <c r="E57" i="58"/>
  <c r="G57" i="58" s="1"/>
  <c r="H57" i="58" s="1"/>
  <c r="E56" i="58"/>
  <c r="E55" i="58"/>
  <c r="G55" i="58" s="1"/>
  <c r="H55" i="58" s="1"/>
  <c r="E53" i="58"/>
  <c r="E52" i="58"/>
  <c r="E51" i="58"/>
  <c r="E49" i="58"/>
  <c r="E48" i="58"/>
  <c r="E47" i="58"/>
  <c r="E45" i="58"/>
  <c r="E44" i="58"/>
  <c r="E42" i="58"/>
  <c r="E41" i="58"/>
  <c r="E39" i="58"/>
  <c r="E38" i="58"/>
  <c r="E37" i="58"/>
  <c r="E36" i="58"/>
  <c r="E34" i="58"/>
  <c r="E33" i="58"/>
  <c r="E32" i="58"/>
  <c r="E31" i="58"/>
  <c r="E29" i="58"/>
  <c r="E26" i="58"/>
  <c r="E25" i="58"/>
  <c r="E23" i="58"/>
  <c r="E22" i="58"/>
  <c r="G22" i="58" s="1"/>
  <c r="H22" i="58" s="1"/>
  <c r="E19" i="58"/>
  <c r="E13" i="58"/>
  <c r="E11" i="58"/>
  <c r="E10" i="58"/>
  <c r="E9" i="58"/>
  <c r="G9" i="58" s="1"/>
  <c r="H9" i="58" s="1"/>
  <c r="E8" i="58"/>
  <c r="E6" i="58"/>
  <c r="H108" i="58"/>
  <c r="G108" i="58"/>
  <c r="H107" i="58"/>
  <c r="G107" i="58"/>
  <c r="H106" i="58"/>
  <c r="G106" i="58"/>
  <c r="C106" i="58"/>
  <c r="E106" i="58" s="1"/>
  <c r="H105" i="58"/>
  <c r="G105" i="58"/>
  <c r="G104" i="58"/>
  <c r="H104" i="58" s="1"/>
  <c r="F103" i="58"/>
  <c r="C103" i="58"/>
  <c r="E103" i="58" s="1"/>
  <c r="G101" i="58"/>
  <c r="G100" i="58"/>
  <c r="G99" i="58"/>
  <c r="H99" i="58" s="1"/>
  <c r="H98" i="58"/>
  <c r="G98" i="58"/>
  <c r="G97" i="58"/>
  <c r="H97" i="58" s="1"/>
  <c r="F95" i="58"/>
  <c r="C95" i="58"/>
  <c r="B95" i="58"/>
  <c r="G94" i="58"/>
  <c r="H94" i="58" s="1"/>
  <c r="G93" i="58"/>
  <c r="H93" i="58" s="1"/>
  <c r="G92" i="58"/>
  <c r="H92" i="58" s="1"/>
  <c r="F91" i="58"/>
  <c r="B91" i="58"/>
  <c r="E91" i="58" s="1"/>
  <c r="G88" i="58"/>
  <c r="F87" i="58"/>
  <c r="H86" i="58"/>
  <c r="G86" i="58"/>
  <c r="F84" i="58"/>
  <c r="B84" i="58"/>
  <c r="E84" i="58" s="1"/>
  <c r="H83" i="58"/>
  <c r="G83" i="58"/>
  <c r="H82" i="58"/>
  <c r="G82" i="58"/>
  <c r="H81" i="58"/>
  <c r="G81" i="58"/>
  <c r="H80" i="58"/>
  <c r="G80" i="58"/>
  <c r="B80" i="58"/>
  <c r="E80" i="58" s="1"/>
  <c r="H79" i="58"/>
  <c r="G79" i="58"/>
  <c r="H77" i="58"/>
  <c r="G77" i="58"/>
  <c r="H76" i="58"/>
  <c r="G76" i="58"/>
  <c r="G75" i="58"/>
  <c r="H75" i="58" s="1"/>
  <c r="F74" i="58"/>
  <c r="C74" i="58"/>
  <c r="B74" i="58"/>
  <c r="H73" i="58"/>
  <c r="G73" i="58"/>
  <c r="G72" i="58"/>
  <c r="G71" i="58"/>
  <c r="H71" i="58" s="1"/>
  <c r="G70" i="58"/>
  <c r="H70" i="58" s="1"/>
  <c r="G68" i="58"/>
  <c r="H68" i="58" s="1"/>
  <c r="F67" i="58"/>
  <c r="D67" i="58"/>
  <c r="C67" i="58"/>
  <c r="B67" i="58"/>
  <c r="H66" i="58"/>
  <c r="G66" i="58"/>
  <c r="H64" i="58"/>
  <c r="G64" i="58"/>
  <c r="H63" i="58"/>
  <c r="G63" i="58"/>
  <c r="H62" i="58"/>
  <c r="G62" i="58"/>
  <c r="D62" i="58"/>
  <c r="C62" i="58"/>
  <c r="B62" i="58"/>
  <c r="H61" i="58"/>
  <c r="G61" i="58"/>
  <c r="G60" i="58"/>
  <c r="G56" i="58"/>
  <c r="H56" i="58" s="1"/>
  <c r="F54" i="58"/>
  <c r="D54" i="58"/>
  <c r="C54" i="58"/>
  <c r="B54" i="58"/>
  <c r="H53" i="58"/>
  <c r="G53" i="58"/>
  <c r="H51" i="58"/>
  <c r="G51" i="58"/>
  <c r="H50" i="58"/>
  <c r="G50" i="58"/>
  <c r="D50" i="58"/>
  <c r="C50" i="58"/>
  <c r="H49" i="58"/>
  <c r="G49" i="58"/>
  <c r="H48" i="58"/>
  <c r="G48" i="58"/>
  <c r="H47" i="58"/>
  <c r="G47" i="58"/>
  <c r="H46" i="58"/>
  <c r="G46" i="58"/>
  <c r="C46" i="58"/>
  <c r="B46" i="58"/>
  <c r="H45" i="58"/>
  <c r="G45" i="58"/>
  <c r="H44" i="58"/>
  <c r="G44" i="58"/>
  <c r="H43" i="58"/>
  <c r="G43" i="58"/>
  <c r="C43" i="58"/>
  <c r="E43" i="58" s="1"/>
  <c r="H42" i="58"/>
  <c r="G42" i="58"/>
  <c r="G41" i="58"/>
  <c r="H41" i="58" s="1"/>
  <c r="F40" i="58"/>
  <c r="B40" i="58"/>
  <c r="E40" i="58" s="1"/>
  <c r="H39" i="58"/>
  <c r="G39" i="58"/>
  <c r="G36" i="58"/>
  <c r="H36" i="58" s="1"/>
  <c r="F35" i="58"/>
  <c r="D35" i="58"/>
  <c r="C35" i="58"/>
  <c r="H34" i="58"/>
  <c r="G34" i="58"/>
  <c r="H33" i="58"/>
  <c r="G33" i="58"/>
  <c r="H32" i="58"/>
  <c r="G32" i="58"/>
  <c r="H31" i="58"/>
  <c r="G31" i="58"/>
  <c r="H30" i="58"/>
  <c r="G30" i="58"/>
  <c r="C30" i="58"/>
  <c r="B30" i="58"/>
  <c r="H29" i="58"/>
  <c r="G29" i="58"/>
  <c r="H26" i="58"/>
  <c r="G26" i="58"/>
  <c r="G25" i="58"/>
  <c r="H25" i="58" s="1"/>
  <c r="F24" i="58"/>
  <c r="F20" i="58" s="1"/>
  <c r="B24" i="58"/>
  <c r="F21" i="58"/>
  <c r="B21" i="58"/>
  <c r="D18" i="58"/>
  <c r="D17" i="58" s="1"/>
  <c r="D16" i="58" s="1"/>
  <c r="G13" i="58"/>
  <c r="H13" i="58" s="1"/>
  <c r="H11" i="58"/>
  <c r="G11" i="58"/>
  <c r="H10" i="58"/>
  <c r="G10" i="58"/>
  <c r="G8" i="58"/>
  <c r="H8" i="58" s="1"/>
  <c r="C7" i="58"/>
  <c r="B7" i="58"/>
  <c r="E7" i="58" s="1"/>
  <c r="F6" i="58"/>
  <c r="F59" i="36"/>
  <c r="F58" i="36" s="1"/>
  <c r="F71" i="36"/>
  <c r="F70" i="36" s="1"/>
  <c r="F63" i="36"/>
  <c r="F34" i="57" s="1"/>
  <c r="F7" i="36"/>
  <c r="B62" i="36"/>
  <c r="F14" i="51" l="1"/>
  <c r="F33" i="57"/>
  <c r="G200" i="59"/>
  <c r="H200" i="59" s="1"/>
  <c r="E700" i="59"/>
  <c r="E12" i="59"/>
  <c r="D48" i="59"/>
  <c r="C402" i="59"/>
  <c r="D753" i="59"/>
  <c r="E87" i="59"/>
  <c r="C90" i="59"/>
  <c r="E93" i="59"/>
  <c r="G93" i="59" s="1"/>
  <c r="E151" i="59"/>
  <c r="G181" i="59"/>
  <c r="H181" i="59" s="1"/>
  <c r="G338" i="59"/>
  <c r="H338" i="59" s="1"/>
  <c r="E349" i="59"/>
  <c r="E366" i="59"/>
  <c r="G444" i="59"/>
  <c r="H444" i="59" s="1"/>
  <c r="C459" i="59"/>
  <c r="C458" i="59" s="1"/>
  <c r="G79" i="59"/>
  <c r="F82" i="59"/>
  <c r="F11" i="59"/>
  <c r="G22" i="59"/>
  <c r="H22" i="59" s="1"/>
  <c r="D64" i="59"/>
  <c r="D63" i="59" s="1"/>
  <c r="F144" i="59"/>
  <c r="B193" i="59"/>
  <c r="E193" i="59" s="1"/>
  <c r="E268" i="59"/>
  <c r="F268" i="59"/>
  <c r="F275" i="59"/>
  <c r="F328" i="59"/>
  <c r="E332" i="59"/>
  <c r="G332" i="59" s="1"/>
  <c r="H332" i="59" s="1"/>
  <c r="E346" i="59"/>
  <c r="F365" i="59"/>
  <c r="E376" i="59"/>
  <c r="E383" i="59"/>
  <c r="E388" i="59"/>
  <c r="G388" i="59" s="1"/>
  <c r="H388" i="59" s="1"/>
  <c r="D411" i="59"/>
  <c r="D829" i="59" s="1"/>
  <c r="F443" i="59"/>
  <c r="F450" i="59"/>
  <c r="F467" i="59"/>
  <c r="F471" i="59"/>
  <c r="B479" i="59"/>
  <c r="E511" i="59"/>
  <c r="D582" i="59"/>
  <c r="C625" i="59"/>
  <c r="C646" i="59"/>
  <c r="F716" i="59"/>
  <c r="F793" i="59"/>
  <c r="F411" i="59"/>
  <c r="F570" i="59"/>
  <c r="B26" i="59"/>
  <c r="C179" i="59"/>
  <c r="E229" i="59"/>
  <c r="C243" i="59"/>
  <c r="G271" i="59"/>
  <c r="H271" i="59" s="1"/>
  <c r="C342" i="59"/>
  <c r="C375" i="59"/>
  <c r="F514" i="59"/>
  <c r="F510" i="59" s="1"/>
  <c r="E735" i="59"/>
  <c r="G735" i="59" s="1"/>
  <c r="H735" i="59" s="1"/>
  <c r="D741" i="59"/>
  <c r="F800" i="59"/>
  <c r="F26" i="59"/>
  <c r="E45" i="59"/>
  <c r="G45" i="59" s="1"/>
  <c r="H45" i="59" s="1"/>
  <c r="F64" i="59"/>
  <c r="D125" i="59"/>
  <c r="E128" i="59"/>
  <c r="F135" i="59"/>
  <c r="C150" i="59"/>
  <c r="E174" i="59"/>
  <c r="G174" i="59" s="1"/>
  <c r="H174" i="59" s="1"/>
  <c r="D179" i="59"/>
  <c r="B212" i="59"/>
  <c r="F243" i="59"/>
  <c r="E279" i="59"/>
  <c r="B307" i="59"/>
  <c r="F336" i="59"/>
  <c r="H339" i="59"/>
  <c r="F375" i="59"/>
  <c r="D375" i="59"/>
  <c r="F382" i="59"/>
  <c r="F396" i="59"/>
  <c r="F402" i="59"/>
  <c r="F479" i="59"/>
  <c r="B533" i="59"/>
  <c r="F661" i="59"/>
  <c r="F232" i="59"/>
  <c r="G730" i="59"/>
  <c r="H730" i="59" s="1"/>
  <c r="E55" i="59"/>
  <c r="E58" i="59"/>
  <c r="G58" i="59" s="1"/>
  <c r="H58" i="59" s="1"/>
  <c r="C63" i="59"/>
  <c r="G74" i="59"/>
  <c r="E119" i="59"/>
  <c r="E171" i="59"/>
  <c r="E189" i="59"/>
  <c r="E198" i="59"/>
  <c r="G198" i="59" s="1"/>
  <c r="H198" i="59" s="1"/>
  <c r="E203" i="59"/>
  <c r="F203" i="59"/>
  <c r="E225" i="59"/>
  <c r="D243" i="59"/>
  <c r="E307" i="59"/>
  <c r="G307" i="59" s="1"/>
  <c r="H307" i="59" s="1"/>
  <c r="G339" i="59"/>
  <c r="E406" i="59"/>
  <c r="B423" i="59"/>
  <c r="E423" i="59" s="1"/>
  <c r="G426" i="59"/>
  <c r="H426" i="59" s="1"/>
  <c r="E451" i="59"/>
  <c r="G451" i="59" s="1"/>
  <c r="H451" i="59" s="1"/>
  <c r="E521" i="59"/>
  <c r="E599" i="59"/>
  <c r="B646" i="59"/>
  <c r="E650" i="59"/>
  <c r="B653" i="59"/>
  <c r="E653" i="59" s="1"/>
  <c r="E667" i="59"/>
  <c r="G667" i="59" s="1"/>
  <c r="H667" i="59" s="1"/>
  <c r="E689" i="59"/>
  <c r="E694" i="59"/>
  <c r="G694" i="59" s="1"/>
  <c r="H694" i="59" s="1"/>
  <c r="E707" i="59"/>
  <c r="E712" i="59"/>
  <c r="G712" i="59" s="1"/>
  <c r="H712" i="59" s="1"/>
  <c r="E717" i="59"/>
  <c r="B727" i="59"/>
  <c r="C741" i="59"/>
  <c r="E744" i="59"/>
  <c r="E763" i="59"/>
  <c r="G763" i="59" s="1"/>
  <c r="H763" i="59" s="1"/>
  <c r="C35" i="59"/>
  <c r="D394" i="59"/>
  <c r="D828" i="59" s="1"/>
  <c r="D625" i="59"/>
  <c r="D739" i="59"/>
  <c r="D840" i="59" s="1"/>
  <c r="F224" i="59"/>
  <c r="E240" i="59"/>
  <c r="G240" i="59" s="1"/>
  <c r="H240" i="59" s="1"/>
  <c r="E732" i="59"/>
  <c r="G732" i="59" s="1"/>
  <c r="H732" i="59" s="1"/>
  <c r="E808" i="59"/>
  <c r="B19" i="59"/>
  <c r="B821" i="59" s="1"/>
  <c r="B64" i="59"/>
  <c r="B63" i="59" s="1"/>
  <c r="F114" i="59"/>
  <c r="E204" i="59"/>
  <c r="E237" i="59"/>
  <c r="G237" i="59" s="1"/>
  <c r="H237" i="59" s="1"/>
  <c r="B299" i="59"/>
  <c r="E299" i="59" s="1"/>
  <c r="E359" i="59"/>
  <c r="G359" i="59" s="1"/>
  <c r="H359" i="59" s="1"/>
  <c r="E403" i="59"/>
  <c r="G403" i="59" s="1"/>
  <c r="H403" i="59" s="1"/>
  <c r="E489" i="59"/>
  <c r="F493" i="59"/>
  <c r="E497" i="59"/>
  <c r="G497" i="59" s="1"/>
  <c r="H497" i="59" s="1"/>
  <c r="E501" i="59"/>
  <c r="C510" i="59"/>
  <c r="C533" i="59"/>
  <c r="E537" i="59"/>
  <c r="C541" i="59"/>
  <c r="E557" i="59"/>
  <c r="G557" i="59" s="1"/>
  <c r="H557" i="59" s="1"/>
  <c r="E566" i="59"/>
  <c r="D570" i="59"/>
  <c r="F596" i="59"/>
  <c r="F646" i="59"/>
  <c r="D661" i="59"/>
  <c r="C716" i="59"/>
  <c r="E721" i="59"/>
  <c r="G721" i="59" s="1"/>
  <c r="H721" i="59" s="1"/>
  <c r="G268" i="59"/>
  <c r="E7" i="59"/>
  <c r="G7" i="59" s="1"/>
  <c r="H7" i="59" s="1"/>
  <c r="G20" i="59"/>
  <c r="H20" i="59" s="1"/>
  <c r="E37" i="59"/>
  <c r="G37" i="59" s="1"/>
  <c r="H37" i="59" s="1"/>
  <c r="B35" i="59"/>
  <c r="E40" i="59"/>
  <c r="G40" i="59" s="1"/>
  <c r="H40" i="59" s="1"/>
  <c r="C49" i="59"/>
  <c r="C48" i="59" s="1"/>
  <c r="D100" i="59"/>
  <c r="D96" i="59" s="1"/>
  <c r="C96" i="59"/>
  <c r="B115" i="59"/>
  <c r="E131" i="59"/>
  <c r="G131" i="59" s="1"/>
  <c r="H131" i="59" s="1"/>
  <c r="B136" i="59"/>
  <c r="B135" i="59" s="1"/>
  <c r="B160" i="59"/>
  <c r="G161" i="59"/>
  <c r="B164" i="59"/>
  <c r="E164" i="59" s="1"/>
  <c r="G196" i="59"/>
  <c r="H196" i="59" s="1"/>
  <c r="E213" i="59"/>
  <c r="G213" i="59" s="1"/>
  <c r="H213" i="59" s="1"/>
  <c r="D224" i="59"/>
  <c r="E248" i="59"/>
  <c r="G248" i="59" s="1"/>
  <c r="H248" i="59" s="1"/>
  <c r="E272" i="59"/>
  <c r="E283" i="59"/>
  <c r="G283" i="59" s="1"/>
  <c r="H283" i="59" s="1"/>
  <c r="E286" i="59"/>
  <c r="E290" i="59"/>
  <c r="G290" i="59" s="1"/>
  <c r="H290" i="59" s="1"/>
  <c r="E291" i="59"/>
  <c r="G291" i="59" s="1"/>
  <c r="H291" i="59" s="1"/>
  <c r="E295" i="59"/>
  <c r="G295" i="59" s="1"/>
  <c r="H295" i="59" s="1"/>
  <c r="B319" i="59"/>
  <c r="C328" i="59"/>
  <c r="C336" i="59"/>
  <c r="D342" i="59"/>
  <c r="D311" i="59" s="1"/>
  <c r="D826" i="59" s="1"/>
  <c r="E412" i="59"/>
  <c r="B411" i="59"/>
  <c r="B829" i="59" s="1"/>
  <c r="G55" i="59"/>
  <c r="H55" i="59" s="1"/>
  <c r="G194" i="59"/>
  <c r="E63" i="59"/>
  <c r="E42" i="59"/>
  <c r="G42" i="59" s="1"/>
  <c r="H42" i="59" s="1"/>
  <c r="F49" i="59"/>
  <c r="E69" i="59"/>
  <c r="G69" i="59" s="1"/>
  <c r="H69" i="59" s="1"/>
  <c r="B90" i="59"/>
  <c r="E90" i="59" s="1"/>
  <c r="G90" i="59" s="1"/>
  <c r="D114" i="59"/>
  <c r="B125" i="59"/>
  <c r="E125" i="59" s="1"/>
  <c r="G151" i="59"/>
  <c r="H151" i="59" s="1"/>
  <c r="B169" i="59"/>
  <c r="E201" i="59"/>
  <c r="G201" i="59" s="1"/>
  <c r="H201" i="59" s="1"/>
  <c r="E233" i="59"/>
  <c r="G233" i="59" s="1"/>
  <c r="H233" i="59" s="1"/>
  <c r="E243" i="59"/>
  <c r="G243" i="59" s="1"/>
  <c r="H243" i="59" s="1"/>
  <c r="E244" i="59"/>
  <c r="G244" i="59" s="1"/>
  <c r="H244" i="59" s="1"/>
  <c r="E252" i="59"/>
  <c r="G252" i="59" s="1"/>
  <c r="H252" i="59" s="1"/>
  <c r="E275" i="59"/>
  <c r="G275" i="59" s="1"/>
  <c r="H275" i="59" s="1"/>
  <c r="G276" i="59"/>
  <c r="H276" i="59" s="1"/>
  <c r="G299" i="59"/>
  <c r="H299" i="59" s="1"/>
  <c r="G376" i="59"/>
  <c r="E36" i="59"/>
  <c r="D35" i="59"/>
  <c r="G12" i="59"/>
  <c r="H12" i="59" s="1"/>
  <c r="E75" i="59"/>
  <c r="G75" i="59" s="1"/>
  <c r="E83" i="59"/>
  <c r="G83" i="59" s="1"/>
  <c r="D163" i="59"/>
  <c r="G225" i="59"/>
  <c r="H225" i="59" s="1"/>
  <c r="B267" i="59"/>
  <c r="G270" i="59"/>
  <c r="H270" i="59" s="1"/>
  <c r="C298" i="59"/>
  <c r="E324" i="59"/>
  <c r="G324" i="59" s="1"/>
  <c r="H324" i="59" s="1"/>
  <c r="B328" i="59"/>
  <c r="E328" i="59" s="1"/>
  <c r="G328" i="59" s="1"/>
  <c r="H328" i="59" s="1"/>
  <c r="F354" i="59"/>
  <c r="E372" i="59"/>
  <c r="C508" i="59"/>
  <c r="C835" i="59" s="1"/>
  <c r="B402" i="59"/>
  <c r="E402" i="59" s="1"/>
  <c r="G402" i="59" s="1"/>
  <c r="H402" i="59" s="1"/>
  <c r="G408" i="59"/>
  <c r="H408" i="59" s="1"/>
  <c r="E416" i="59"/>
  <c r="G416" i="59" s="1"/>
  <c r="H416" i="59" s="1"/>
  <c r="G424" i="59"/>
  <c r="G430" i="59"/>
  <c r="E436" i="59"/>
  <c r="G436" i="59" s="1"/>
  <c r="H436" i="59" s="1"/>
  <c r="B463" i="59"/>
  <c r="B471" i="59"/>
  <c r="D479" i="59"/>
  <c r="E479" i="59" s="1"/>
  <c r="G479" i="59" s="1"/>
  <c r="H479" i="59" s="1"/>
  <c r="E486" i="59"/>
  <c r="G486" i="59" s="1"/>
  <c r="H486" i="59" s="1"/>
  <c r="B510" i="59"/>
  <c r="E548" i="59"/>
  <c r="G548" i="59" s="1"/>
  <c r="H548" i="59" s="1"/>
  <c r="D556" i="59"/>
  <c r="E563" i="59"/>
  <c r="G563" i="59" s="1"/>
  <c r="H563" i="59" s="1"/>
  <c r="B596" i="59"/>
  <c r="E596" i="59" s="1"/>
  <c r="E597" i="59"/>
  <c r="E604" i="59"/>
  <c r="B662" i="59"/>
  <c r="E675" i="59"/>
  <c r="G675" i="59" s="1"/>
  <c r="H675" i="59" s="1"/>
  <c r="E691" i="59"/>
  <c r="G691" i="59" s="1"/>
  <c r="H691" i="59" s="1"/>
  <c r="E698" i="59"/>
  <c r="G698" i="59" s="1"/>
  <c r="H698" i="59" s="1"/>
  <c r="G707" i="59"/>
  <c r="D716" i="59"/>
  <c r="E742" i="59"/>
  <c r="C753" i="59"/>
  <c r="C739" i="59" s="1"/>
  <c r="C840" i="59" s="1"/>
  <c r="E788" i="59"/>
  <c r="E789" i="59"/>
  <c r="G789" i="59" s="1"/>
  <c r="H789" i="59" s="1"/>
  <c r="G566" i="59"/>
  <c r="B582" i="59"/>
  <c r="E625" i="59"/>
  <c r="D685" i="59"/>
  <c r="E435" i="59"/>
  <c r="E461" i="59"/>
  <c r="G461" i="59" s="1"/>
  <c r="H461" i="59" s="1"/>
  <c r="B468" i="59"/>
  <c r="B467" i="59" s="1"/>
  <c r="E467" i="59" s="1"/>
  <c r="D500" i="59"/>
  <c r="E500" i="59" s="1"/>
  <c r="D510" i="59"/>
  <c r="E510" i="59" s="1"/>
  <c r="E526" i="59"/>
  <c r="G526" i="59" s="1"/>
  <c r="H526" i="59" s="1"/>
  <c r="E534" i="59"/>
  <c r="E542" i="59"/>
  <c r="E583" i="59"/>
  <c r="G583" i="59" s="1"/>
  <c r="H583" i="59" s="1"/>
  <c r="E586" i="59"/>
  <c r="G586" i="59" s="1"/>
  <c r="H586" i="59" s="1"/>
  <c r="E589" i="59"/>
  <c r="G589" i="59" s="1"/>
  <c r="H589" i="59" s="1"/>
  <c r="D603" i="59"/>
  <c r="E603" i="59" s="1"/>
  <c r="G603" i="59" s="1"/>
  <c r="H603" i="59" s="1"/>
  <c r="E613" i="59"/>
  <c r="E634" i="59"/>
  <c r="C685" i="59"/>
  <c r="E776" i="59"/>
  <c r="G776" i="59" s="1"/>
  <c r="H776" i="59" s="1"/>
  <c r="E780" i="59"/>
  <c r="D793" i="59"/>
  <c r="E793" i="59" s="1"/>
  <c r="G793" i="59" s="1"/>
  <c r="H793" i="59" s="1"/>
  <c r="B801" i="59"/>
  <c r="B800" i="59" s="1"/>
  <c r="D807" i="59"/>
  <c r="E361" i="59"/>
  <c r="E365" i="59"/>
  <c r="G365" i="59" s="1"/>
  <c r="H365" i="59" s="1"/>
  <c r="E378" i="59"/>
  <c r="G378" i="59" s="1"/>
  <c r="D382" i="59"/>
  <c r="D827" i="59" s="1"/>
  <c r="G438" i="59"/>
  <c r="H438" i="59" s="1"/>
  <c r="D450" i="59"/>
  <c r="D441" i="59" s="1"/>
  <c r="D831" i="59" s="1"/>
  <c r="E483" i="59"/>
  <c r="F541" i="59"/>
  <c r="B556" i="59"/>
  <c r="E571" i="59"/>
  <c r="G571" i="59" s="1"/>
  <c r="H571" i="59" s="1"/>
  <c r="D646" i="59"/>
  <c r="E686" i="59"/>
  <c r="B706" i="59"/>
  <c r="E706" i="59" s="1"/>
  <c r="F706" i="59"/>
  <c r="G717" i="59"/>
  <c r="E728" i="59"/>
  <c r="E747" i="59"/>
  <c r="E749" i="59"/>
  <c r="G749" i="59" s="1"/>
  <c r="H749" i="59" s="1"/>
  <c r="E760" i="59"/>
  <c r="G760" i="59" s="1"/>
  <c r="H760" i="59" s="1"/>
  <c r="D772" i="59"/>
  <c r="E794" i="59"/>
  <c r="G808" i="59"/>
  <c r="B819" i="59"/>
  <c r="E6" i="59"/>
  <c r="E819" i="59" s="1"/>
  <c r="B822" i="59"/>
  <c r="E26" i="59"/>
  <c r="E822" i="59" s="1"/>
  <c r="F6" i="59"/>
  <c r="G15" i="59"/>
  <c r="H15" i="59" s="1"/>
  <c r="E27" i="59"/>
  <c r="G27" i="59" s="1"/>
  <c r="H27" i="59" s="1"/>
  <c r="G29" i="59"/>
  <c r="H29" i="59" s="1"/>
  <c r="F19" i="59"/>
  <c r="E38" i="59"/>
  <c r="G38" i="59" s="1"/>
  <c r="H38" i="59" s="1"/>
  <c r="B49" i="59"/>
  <c r="H74" i="59"/>
  <c r="H79" i="59"/>
  <c r="E91" i="59"/>
  <c r="G91" i="59" s="1"/>
  <c r="E97" i="59"/>
  <c r="G97" i="59" s="1"/>
  <c r="H97" i="59" s="1"/>
  <c r="E103" i="59"/>
  <c r="G103" i="59" s="1"/>
  <c r="H103" i="59" s="1"/>
  <c r="E126" i="59"/>
  <c r="G126" i="59" s="1"/>
  <c r="H126" i="59" s="1"/>
  <c r="G157" i="59"/>
  <c r="H157" i="59" s="1"/>
  <c r="G272" i="59"/>
  <c r="H272" i="59" s="1"/>
  <c r="G286" i="59"/>
  <c r="H286" i="59" s="1"/>
  <c r="F827" i="59"/>
  <c r="H75" i="59"/>
  <c r="B82" i="59"/>
  <c r="E82" i="59" s="1"/>
  <c r="G82" i="59" s="1"/>
  <c r="H82" i="59" s="1"/>
  <c r="H83" i="59"/>
  <c r="G128" i="59"/>
  <c r="H128" i="59" s="1"/>
  <c r="B144" i="59"/>
  <c r="E144" i="59" s="1"/>
  <c r="G144" i="59" s="1"/>
  <c r="H144" i="59" s="1"/>
  <c r="E145" i="59"/>
  <c r="G145" i="59" s="1"/>
  <c r="H145" i="59" s="1"/>
  <c r="E160" i="59"/>
  <c r="B150" i="59"/>
  <c r="E150" i="59" s="1"/>
  <c r="G168" i="59"/>
  <c r="H168" i="59" s="1"/>
  <c r="F164" i="59"/>
  <c r="G173" i="59"/>
  <c r="H173" i="59" s="1"/>
  <c r="F171" i="59"/>
  <c r="B56" i="59"/>
  <c r="E56" i="59" s="1"/>
  <c r="G56" i="59" s="1"/>
  <c r="H56" i="59" s="1"/>
  <c r="E64" i="59"/>
  <c r="G64" i="59" s="1"/>
  <c r="H64" i="59" s="1"/>
  <c r="F96" i="59"/>
  <c r="E141" i="59"/>
  <c r="G141" i="59" s="1"/>
  <c r="H141" i="59" s="1"/>
  <c r="C135" i="59"/>
  <c r="E169" i="59"/>
  <c r="G169" i="59" s="1"/>
  <c r="H169" i="59" s="1"/>
  <c r="B163" i="59"/>
  <c r="E163" i="59" s="1"/>
  <c r="F179" i="59"/>
  <c r="C819" i="59"/>
  <c r="B11" i="59"/>
  <c r="E19" i="59"/>
  <c r="E821" i="59" s="1"/>
  <c r="F36" i="59"/>
  <c r="F48" i="59"/>
  <c r="F63" i="59"/>
  <c r="G70" i="59"/>
  <c r="H70" i="59" s="1"/>
  <c r="G87" i="59"/>
  <c r="H87" i="59" s="1"/>
  <c r="E110" i="59"/>
  <c r="G110" i="59" s="1"/>
  <c r="H110" i="59" s="1"/>
  <c r="B96" i="59"/>
  <c r="G119" i="59"/>
  <c r="H119" i="59" s="1"/>
  <c r="E180" i="59"/>
  <c r="G180" i="59" s="1"/>
  <c r="H180" i="59" s="1"/>
  <c r="B179" i="59"/>
  <c r="E179" i="59" s="1"/>
  <c r="G229" i="59"/>
  <c r="H229" i="59" s="1"/>
  <c r="G264" i="59"/>
  <c r="H264" i="59" s="1"/>
  <c r="F125" i="59"/>
  <c r="F160" i="59"/>
  <c r="H161" i="59"/>
  <c r="F193" i="59"/>
  <c r="H194" i="59"/>
  <c r="F212" i="59"/>
  <c r="C232" i="59"/>
  <c r="F256" i="59"/>
  <c r="B257" i="59"/>
  <c r="C267" i="59"/>
  <c r="H268" i="59"/>
  <c r="B278" i="59"/>
  <c r="E278" i="59" s="1"/>
  <c r="E304" i="59"/>
  <c r="G304" i="59" s="1"/>
  <c r="H304" i="59" s="1"/>
  <c r="B303" i="59"/>
  <c r="E303" i="59" s="1"/>
  <c r="G303" i="59" s="1"/>
  <c r="H303" i="59" s="1"/>
  <c r="E314" i="59"/>
  <c r="E329" i="59"/>
  <c r="G329" i="59" s="1"/>
  <c r="H329" i="59" s="1"/>
  <c r="F342" i="59"/>
  <c r="B375" i="59"/>
  <c r="E375" i="59" s="1"/>
  <c r="G375" i="59" s="1"/>
  <c r="H375" i="59" s="1"/>
  <c r="H376" i="59"/>
  <c r="H378" i="59"/>
  <c r="E397" i="59"/>
  <c r="G397" i="59" s="1"/>
  <c r="H397" i="59" s="1"/>
  <c r="C396" i="59"/>
  <c r="C441" i="59"/>
  <c r="C831" i="59" s="1"/>
  <c r="E343" i="59"/>
  <c r="G343" i="59" s="1"/>
  <c r="H343" i="59" s="1"/>
  <c r="B342" i="59"/>
  <c r="E342" i="59" s="1"/>
  <c r="B354" i="59"/>
  <c r="E355" i="59"/>
  <c r="G355" i="59" s="1"/>
  <c r="H355" i="59" s="1"/>
  <c r="B508" i="59"/>
  <c r="G185" i="59"/>
  <c r="H185" i="59" s="1"/>
  <c r="G189" i="59"/>
  <c r="H189" i="59" s="1"/>
  <c r="B192" i="59"/>
  <c r="E192" i="59" s="1"/>
  <c r="G203" i="59"/>
  <c r="H203" i="59" s="1"/>
  <c r="G204" i="59"/>
  <c r="H204" i="59" s="1"/>
  <c r="G209" i="59"/>
  <c r="H209" i="59" s="1"/>
  <c r="C212" i="59"/>
  <c r="E212" i="59" s="1"/>
  <c r="G218" i="59"/>
  <c r="H218" i="59" s="1"/>
  <c r="B224" i="59"/>
  <c r="G261" i="59"/>
  <c r="H261" i="59" s="1"/>
  <c r="F278" i="59"/>
  <c r="G279" i="59"/>
  <c r="H279" i="59" s="1"/>
  <c r="F298" i="59"/>
  <c r="E313" i="59"/>
  <c r="G314" i="59"/>
  <c r="H314" i="59" s="1"/>
  <c r="C319" i="59"/>
  <c r="E319" i="59" s="1"/>
  <c r="G320" i="59"/>
  <c r="H320" i="59" s="1"/>
  <c r="E337" i="59"/>
  <c r="G337" i="59" s="1"/>
  <c r="H337" i="59" s="1"/>
  <c r="B336" i="59"/>
  <c r="E336" i="59" s="1"/>
  <c r="G336" i="59" s="1"/>
  <c r="H336" i="59" s="1"/>
  <c r="C354" i="59"/>
  <c r="G366" i="59"/>
  <c r="H366" i="59" s="1"/>
  <c r="B382" i="59"/>
  <c r="G383" i="59"/>
  <c r="H383" i="59" s="1"/>
  <c r="G391" i="59"/>
  <c r="H391" i="59" s="1"/>
  <c r="B394" i="59"/>
  <c r="B232" i="59"/>
  <c r="F267" i="59"/>
  <c r="F313" i="59"/>
  <c r="F319" i="59"/>
  <c r="G346" i="59"/>
  <c r="H346" i="59" s="1"/>
  <c r="G349" i="59"/>
  <c r="H349" i="59" s="1"/>
  <c r="G361" i="59"/>
  <c r="H361" i="59" s="1"/>
  <c r="E411" i="59"/>
  <c r="E829" i="59" s="1"/>
  <c r="F423" i="59"/>
  <c r="H424" i="59"/>
  <c r="H430" i="59"/>
  <c r="B447" i="59"/>
  <c r="E447" i="59" s="1"/>
  <c r="G447" i="59" s="1"/>
  <c r="H447" i="59" s="1"/>
  <c r="E459" i="59"/>
  <c r="G459" i="59" s="1"/>
  <c r="H459" i="59" s="1"/>
  <c r="G472" i="59"/>
  <c r="H472" i="59" s="1"/>
  <c r="G474" i="59"/>
  <c r="H474" i="59" s="1"/>
  <c r="G483" i="59"/>
  <c r="H483" i="59" s="1"/>
  <c r="G489" i="59"/>
  <c r="H489" i="59" s="1"/>
  <c r="D493" i="59"/>
  <c r="E514" i="59"/>
  <c r="G515" i="59"/>
  <c r="H515" i="59" s="1"/>
  <c r="E518" i="59"/>
  <c r="G518" i="59" s="1"/>
  <c r="H518" i="59" s="1"/>
  <c r="D525" i="59"/>
  <c r="E525" i="59" s="1"/>
  <c r="D533" i="59"/>
  <c r="E533" i="59" s="1"/>
  <c r="G533" i="59" s="1"/>
  <c r="H533" i="59" s="1"/>
  <c r="D541" i="59"/>
  <c r="E541" i="59" s="1"/>
  <c r="G542" i="59"/>
  <c r="H542" i="59" s="1"/>
  <c r="E633" i="59"/>
  <c r="G514" i="59"/>
  <c r="H514" i="59" s="1"/>
  <c r="G534" i="59"/>
  <c r="H534" i="59" s="1"/>
  <c r="E646" i="59"/>
  <c r="G646" i="59" s="1"/>
  <c r="H646" i="59" s="1"/>
  <c r="F394" i="59"/>
  <c r="G406" i="59"/>
  <c r="H406" i="59" s="1"/>
  <c r="G411" i="59"/>
  <c r="G829" i="59" s="1"/>
  <c r="G412" i="59"/>
  <c r="H412" i="59" s="1"/>
  <c r="E418" i="59"/>
  <c r="G418" i="59" s="1"/>
  <c r="H418" i="59" s="1"/>
  <c r="F458" i="59"/>
  <c r="G467" i="59"/>
  <c r="H467" i="59" s="1"/>
  <c r="B832" i="59"/>
  <c r="E471" i="59"/>
  <c r="E832" i="59" s="1"/>
  <c r="G521" i="59"/>
  <c r="H521" i="59" s="1"/>
  <c r="G525" i="59"/>
  <c r="H525" i="59" s="1"/>
  <c r="G537" i="59"/>
  <c r="H537" i="59" s="1"/>
  <c r="B421" i="59"/>
  <c r="F435" i="59"/>
  <c r="E454" i="59"/>
  <c r="G454" i="59" s="1"/>
  <c r="H454" i="59" s="1"/>
  <c r="B453" i="59"/>
  <c r="E468" i="59"/>
  <c r="G468" i="59" s="1"/>
  <c r="H468" i="59" s="1"/>
  <c r="F832" i="59"/>
  <c r="E480" i="59"/>
  <c r="G480" i="59" s="1"/>
  <c r="H480" i="59" s="1"/>
  <c r="B493" i="59"/>
  <c r="E494" i="59"/>
  <c r="G494" i="59" s="1"/>
  <c r="H494" i="59" s="1"/>
  <c r="G501" i="59"/>
  <c r="H501" i="59" s="1"/>
  <c r="F500" i="59"/>
  <c r="G511" i="59"/>
  <c r="H511" i="59" s="1"/>
  <c r="E560" i="59"/>
  <c r="G560" i="59" s="1"/>
  <c r="H560" i="59" s="1"/>
  <c r="H566" i="59"/>
  <c r="C582" i="59"/>
  <c r="C580" i="59" s="1"/>
  <c r="C837" i="59" s="1"/>
  <c r="E593" i="59"/>
  <c r="G593" i="59" s="1"/>
  <c r="H593" i="59" s="1"/>
  <c r="F625" i="59"/>
  <c r="E629" i="59"/>
  <c r="G629" i="59" s="1"/>
  <c r="H629" i="59" s="1"/>
  <c r="F644" i="59"/>
  <c r="E647" i="59"/>
  <c r="G647" i="59" s="1"/>
  <c r="H647" i="59" s="1"/>
  <c r="G650" i="59"/>
  <c r="H650" i="59" s="1"/>
  <c r="E669" i="59"/>
  <c r="G669" i="59" s="1"/>
  <c r="H669" i="59" s="1"/>
  <c r="C661" i="59"/>
  <c r="B685" i="59"/>
  <c r="E614" i="59"/>
  <c r="G614" i="59" s="1"/>
  <c r="H614" i="59" s="1"/>
  <c r="G686" i="59"/>
  <c r="H686" i="59" s="1"/>
  <c r="F556" i="59"/>
  <c r="B570" i="59"/>
  <c r="E570" i="59" s="1"/>
  <c r="G570" i="59" s="1"/>
  <c r="H570" i="59" s="1"/>
  <c r="G597" i="59"/>
  <c r="H597" i="59" s="1"/>
  <c r="G599" i="59"/>
  <c r="H599" i="59" s="1"/>
  <c r="G604" i="59"/>
  <c r="H604" i="59" s="1"/>
  <c r="E609" i="59"/>
  <c r="G609" i="59" s="1"/>
  <c r="H609" i="59" s="1"/>
  <c r="G653" i="59"/>
  <c r="H653" i="59"/>
  <c r="D644" i="59"/>
  <c r="D838" i="59" s="1"/>
  <c r="F685" i="59"/>
  <c r="F582" i="59"/>
  <c r="F613" i="59"/>
  <c r="B620" i="59"/>
  <c r="E626" i="59"/>
  <c r="G626" i="59" s="1"/>
  <c r="H626" i="59" s="1"/>
  <c r="G634" i="59"/>
  <c r="H634" i="59" s="1"/>
  <c r="F633" i="59"/>
  <c r="E657" i="59"/>
  <c r="G657" i="59" s="1"/>
  <c r="H657" i="59" s="1"/>
  <c r="C674" i="59"/>
  <c r="E674" i="59" s="1"/>
  <c r="G674" i="59" s="1"/>
  <c r="H674" i="59" s="1"/>
  <c r="G689" i="59"/>
  <c r="H689" i="59" s="1"/>
  <c r="H707" i="59"/>
  <c r="H717" i="59"/>
  <c r="D727" i="59"/>
  <c r="D683" i="59" s="1"/>
  <c r="D839" i="59" s="1"/>
  <c r="G728" i="59"/>
  <c r="H728" i="59" s="1"/>
  <c r="B741" i="59"/>
  <c r="F741" i="59"/>
  <c r="E773" i="59"/>
  <c r="G773" i="59" s="1"/>
  <c r="H773" i="59" s="1"/>
  <c r="G788" i="59"/>
  <c r="H788" i="59" s="1"/>
  <c r="G700" i="59"/>
  <c r="H700" i="59" s="1"/>
  <c r="G742" i="59"/>
  <c r="H742" i="59" s="1"/>
  <c r="G744" i="59"/>
  <c r="H744" i="59" s="1"/>
  <c r="G747" i="59"/>
  <c r="H747" i="59" s="1"/>
  <c r="G781" i="59"/>
  <c r="H781" i="59" s="1"/>
  <c r="F780" i="59"/>
  <c r="C727" i="59"/>
  <c r="E727" i="59" s="1"/>
  <c r="G727" i="59" s="1"/>
  <c r="H727" i="59" s="1"/>
  <c r="B753" i="59"/>
  <c r="E753" i="59" s="1"/>
  <c r="F753" i="59"/>
  <c r="E754" i="59"/>
  <c r="G754" i="59" s="1"/>
  <c r="H754" i="59" s="1"/>
  <c r="C772" i="59"/>
  <c r="E784" i="59"/>
  <c r="G784" i="59" s="1"/>
  <c r="H784" i="59" s="1"/>
  <c r="B772" i="59"/>
  <c r="C801" i="59"/>
  <c r="H808" i="59"/>
  <c r="G794" i="59"/>
  <c r="H794" i="59" s="1"/>
  <c r="E797" i="59"/>
  <c r="C807" i="59"/>
  <c r="E807" i="59" s="1"/>
  <c r="G807" i="59" s="1"/>
  <c r="H807" i="59" s="1"/>
  <c r="E35" i="58"/>
  <c r="E50" i="58"/>
  <c r="E74" i="58"/>
  <c r="E67" i="58"/>
  <c r="E46" i="58"/>
  <c r="B5" i="58"/>
  <c r="E30" i="58"/>
  <c r="E54" i="58"/>
  <c r="G54" i="58" s="1"/>
  <c r="H54" i="58" s="1"/>
  <c r="E62" i="58"/>
  <c r="F5" i="58"/>
  <c r="F48" i="57" s="1"/>
  <c r="F19" i="51" s="1"/>
  <c r="G24" i="58"/>
  <c r="H24" i="58" s="1"/>
  <c r="C78" i="58"/>
  <c r="E24" i="58"/>
  <c r="G21" i="58"/>
  <c r="H21" i="58" s="1"/>
  <c r="G103" i="58"/>
  <c r="H103" i="58" s="1"/>
  <c r="E17" i="58"/>
  <c r="E21" i="58"/>
  <c r="C28" i="58"/>
  <c r="C27" i="58" s="1"/>
  <c r="B90" i="58"/>
  <c r="E90" i="58" s="1"/>
  <c r="E18" i="58"/>
  <c r="E95" i="58"/>
  <c r="G95" i="58" s="1"/>
  <c r="H95" i="58" s="1"/>
  <c r="B20" i="58"/>
  <c r="E20" i="58" s="1"/>
  <c r="D28" i="58"/>
  <c r="D27" i="58" s="1"/>
  <c r="D109" i="58" s="1"/>
  <c r="G87" i="58"/>
  <c r="G6" i="58"/>
  <c r="H6" i="58" s="1"/>
  <c r="G67" i="58"/>
  <c r="H67" i="58" s="1"/>
  <c r="G35" i="58"/>
  <c r="H35" i="58" s="1"/>
  <c r="G7" i="58"/>
  <c r="H7" i="58" s="1"/>
  <c r="G40" i="58"/>
  <c r="H40" i="58" s="1"/>
  <c r="B28" i="58"/>
  <c r="F28" i="58"/>
  <c r="G74" i="58"/>
  <c r="H74" i="58" s="1"/>
  <c r="G84" i="58"/>
  <c r="H84" i="58" s="1"/>
  <c r="G91" i="58"/>
  <c r="H91" i="58" s="1"/>
  <c r="C5" i="58"/>
  <c r="E716" i="59" l="1"/>
  <c r="G716" i="59" s="1"/>
  <c r="H716" i="59" s="1"/>
  <c r="G596" i="59"/>
  <c r="H596" i="59" s="1"/>
  <c r="D123" i="59"/>
  <c r="D824" i="59" s="1"/>
  <c r="G510" i="59"/>
  <c r="H510" i="59" s="1"/>
  <c r="F47" i="57"/>
  <c r="F150" i="59"/>
  <c r="C33" i="59"/>
  <c r="C823" i="59" s="1"/>
  <c r="F829" i="59"/>
  <c r="F477" i="59"/>
  <c r="F834" i="59" s="1"/>
  <c r="E232" i="59"/>
  <c r="G232" i="59" s="1"/>
  <c r="H232" i="59" s="1"/>
  <c r="F508" i="59"/>
  <c r="F822" i="59"/>
  <c r="F820" i="59"/>
  <c r="E493" i="59"/>
  <c r="G493" i="59" s="1"/>
  <c r="H493" i="59" s="1"/>
  <c r="E267" i="59"/>
  <c r="G267" i="59" s="1"/>
  <c r="H267" i="59" s="1"/>
  <c r="G26" i="59"/>
  <c r="G822" i="59" s="1"/>
  <c r="E135" i="59"/>
  <c r="G135" i="59" s="1"/>
  <c r="H135" i="59" s="1"/>
  <c r="G706" i="59"/>
  <c r="H706" i="59" s="1"/>
  <c r="D554" i="59"/>
  <c r="D836" i="59" s="1"/>
  <c r="E100" i="59"/>
  <c r="G100" i="59" s="1"/>
  <c r="H100" i="59" s="1"/>
  <c r="E35" i="59"/>
  <c r="D222" i="59"/>
  <c r="D825" i="59" s="1"/>
  <c r="E136" i="59"/>
  <c r="G136" i="59" s="1"/>
  <c r="H136" i="59" s="1"/>
  <c r="B554" i="59"/>
  <c r="B836" i="59" s="1"/>
  <c r="H411" i="59"/>
  <c r="B443" i="59"/>
  <c r="D508" i="59"/>
  <c r="D835" i="59" s="1"/>
  <c r="G541" i="59"/>
  <c r="H541" i="59" s="1"/>
  <c r="D580" i="59"/>
  <c r="D837" i="59" s="1"/>
  <c r="D477" i="59"/>
  <c r="B298" i="59"/>
  <c r="E298" i="59" s="1"/>
  <c r="G298" i="59" s="1"/>
  <c r="H298" i="59" s="1"/>
  <c r="C222" i="59"/>
  <c r="C825" i="59" s="1"/>
  <c r="E556" i="59"/>
  <c r="G556" i="59" s="1"/>
  <c r="H556" i="59" s="1"/>
  <c r="E662" i="59"/>
  <c r="G662" i="59" s="1"/>
  <c r="H662" i="59" s="1"/>
  <c r="B661" i="59"/>
  <c r="B644" i="59" s="1"/>
  <c r="B838" i="59" s="1"/>
  <c r="B458" i="59"/>
  <c r="E458" i="59" s="1"/>
  <c r="G458" i="59" s="1"/>
  <c r="H458" i="59" s="1"/>
  <c r="E463" i="59"/>
  <c r="G463" i="59" s="1"/>
  <c r="H463" i="59" s="1"/>
  <c r="E115" i="59"/>
  <c r="G115" i="59" s="1"/>
  <c r="H115" i="59" s="1"/>
  <c r="B114" i="59"/>
  <c r="E114" i="59" s="1"/>
  <c r="G114" i="59" s="1"/>
  <c r="H114" i="59" s="1"/>
  <c r="D33" i="59"/>
  <c r="D823" i="59" s="1"/>
  <c r="E354" i="59"/>
  <c r="G354" i="59" s="1"/>
  <c r="H354" i="59" s="1"/>
  <c r="E96" i="59"/>
  <c r="D770" i="59"/>
  <c r="D841" i="59" s="1"/>
  <c r="D834" i="59"/>
  <c r="E772" i="59"/>
  <c r="B770" i="59"/>
  <c r="F739" i="59"/>
  <c r="G613" i="59"/>
  <c r="H613" i="59" s="1"/>
  <c r="G753" i="59"/>
  <c r="H753" i="59" s="1"/>
  <c r="E741" i="59"/>
  <c r="G741" i="59" s="1"/>
  <c r="H741" i="59" s="1"/>
  <c r="B739" i="59"/>
  <c r="E620" i="59"/>
  <c r="G620" i="59" s="1"/>
  <c r="H620" i="59" s="1"/>
  <c r="B619" i="59"/>
  <c r="E801" i="59"/>
  <c r="G801" i="59" s="1"/>
  <c r="H801" i="59" s="1"/>
  <c r="C800" i="59"/>
  <c r="E800" i="59" s="1"/>
  <c r="G800" i="59" s="1"/>
  <c r="H800" i="59" s="1"/>
  <c r="G633" i="59"/>
  <c r="H633" i="59" s="1"/>
  <c r="F683" i="59"/>
  <c r="F838" i="59"/>
  <c r="G625" i="59"/>
  <c r="H625" i="59" s="1"/>
  <c r="G435" i="59"/>
  <c r="H435" i="59" s="1"/>
  <c r="F828" i="59"/>
  <c r="E224" i="59"/>
  <c r="G224" i="59" s="1"/>
  <c r="H224" i="59" s="1"/>
  <c r="B477" i="59"/>
  <c r="C311" i="59"/>
  <c r="C826" i="59" s="1"/>
  <c r="G212" i="59"/>
  <c r="H212" i="59" s="1"/>
  <c r="G125" i="59"/>
  <c r="H125" i="59" s="1"/>
  <c r="B820" i="59"/>
  <c r="E11" i="59"/>
  <c r="G171" i="59"/>
  <c r="H171" i="59" s="1"/>
  <c r="F821" i="59"/>
  <c r="G19" i="59"/>
  <c r="G821" i="59" s="1"/>
  <c r="F772" i="59"/>
  <c r="G780" i="59"/>
  <c r="H780" i="59" s="1"/>
  <c r="F554" i="59"/>
  <c r="E685" i="59"/>
  <c r="G685" i="59" s="1"/>
  <c r="H685" i="59" s="1"/>
  <c r="B683" i="59"/>
  <c r="E582" i="59"/>
  <c r="G582" i="59" s="1"/>
  <c r="H582" i="59" s="1"/>
  <c r="B830" i="59"/>
  <c r="E421" i="59"/>
  <c r="E830" i="59" s="1"/>
  <c r="C683" i="59"/>
  <c r="C839" i="59" s="1"/>
  <c r="G471" i="59"/>
  <c r="G313" i="59"/>
  <c r="H313" i="59" s="1"/>
  <c r="F311" i="59"/>
  <c r="B311" i="59"/>
  <c r="G278" i="59"/>
  <c r="H278" i="59" s="1"/>
  <c r="G96" i="59"/>
  <c r="H96" i="59" s="1"/>
  <c r="G164" i="59"/>
  <c r="H164" i="59" s="1"/>
  <c r="F163" i="59"/>
  <c r="E453" i="59"/>
  <c r="G453" i="59" s="1"/>
  <c r="H453" i="59" s="1"/>
  <c r="B450" i="59"/>
  <c r="E450" i="59" s="1"/>
  <c r="G450" i="59" s="1"/>
  <c r="H450" i="59" s="1"/>
  <c r="E443" i="59"/>
  <c r="G443" i="59" s="1"/>
  <c r="H443" i="59" s="1"/>
  <c r="B827" i="59"/>
  <c r="E382" i="59"/>
  <c r="B256" i="59"/>
  <c r="E256" i="59" s="1"/>
  <c r="G256" i="59" s="1"/>
  <c r="H256" i="59" s="1"/>
  <c r="E257" i="59"/>
  <c r="G257" i="59" s="1"/>
  <c r="H257" i="59" s="1"/>
  <c r="G193" i="59"/>
  <c r="H193" i="59" s="1"/>
  <c r="F192" i="59"/>
  <c r="G160" i="59"/>
  <c r="H160" i="59" s="1"/>
  <c r="G63" i="59"/>
  <c r="H63" i="59" s="1"/>
  <c r="G179" i="59"/>
  <c r="H179" i="59" s="1"/>
  <c r="B123" i="59"/>
  <c r="E49" i="59"/>
  <c r="G49" i="59" s="1"/>
  <c r="H49" i="59" s="1"/>
  <c r="B48" i="59"/>
  <c r="F580" i="59"/>
  <c r="G500" i="59"/>
  <c r="H500" i="59" s="1"/>
  <c r="C644" i="59"/>
  <c r="C838" i="59" s="1"/>
  <c r="F441" i="59"/>
  <c r="F421" i="59"/>
  <c r="G423" i="59"/>
  <c r="H423" i="59" s="1"/>
  <c r="G319" i="59"/>
  <c r="H319" i="59" s="1"/>
  <c r="B828" i="59"/>
  <c r="B835" i="59"/>
  <c r="E508" i="59"/>
  <c r="C394" i="59"/>
  <c r="C828" i="59" s="1"/>
  <c r="E396" i="59"/>
  <c r="G396" i="59" s="1"/>
  <c r="H396" i="59" s="1"/>
  <c r="G342" i="59"/>
  <c r="H342" i="59" s="1"/>
  <c r="F222" i="59"/>
  <c r="C123" i="59"/>
  <c r="F35" i="59"/>
  <c r="G36" i="59"/>
  <c r="H36" i="59" s="1"/>
  <c r="F819" i="59"/>
  <c r="G6" i="59"/>
  <c r="G819" i="59" s="1"/>
  <c r="E5" i="58"/>
  <c r="B78" i="58"/>
  <c r="E78" i="58" s="1"/>
  <c r="E28" i="58"/>
  <c r="G28" i="58" s="1"/>
  <c r="H28" i="58" s="1"/>
  <c r="C109" i="58"/>
  <c r="G20" i="58"/>
  <c r="H20" i="58" s="1"/>
  <c r="B16" i="58"/>
  <c r="E16" i="58" s="1"/>
  <c r="F27" i="58"/>
  <c r="G90" i="58"/>
  <c r="H90" i="58" s="1"/>
  <c r="F16" i="58"/>
  <c r="G78" i="58"/>
  <c r="H78" i="58" s="1"/>
  <c r="H6" i="59" l="1"/>
  <c r="H26" i="59"/>
  <c r="E554" i="59"/>
  <c r="E836" i="59" s="1"/>
  <c r="G150" i="59"/>
  <c r="H150" i="59" s="1"/>
  <c r="D816" i="59"/>
  <c r="F835" i="59"/>
  <c r="D842" i="59"/>
  <c r="B441" i="59"/>
  <c r="B831" i="59" s="1"/>
  <c r="E661" i="59"/>
  <c r="G661" i="59" s="1"/>
  <c r="H661" i="59" s="1"/>
  <c r="E48" i="59"/>
  <c r="G48" i="59" s="1"/>
  <c r="H48" i="59" s="1"/>
  <c r="B33" i="59"/>
  <c r="E835" i="59"/>
  <c r="G508" i="59"/>
  <c r="G163" i="59"/>
  <c r="H163" i="59" s="1"/>
  <c r="B826" i="59"/>
  <c r="E311" i="59"/>
  <c r="E826" i="59" s="1"/>
  <c r="F770" i="59"/>
  <c r="G772" i="59"/>
  <c r="H772" i="59" s="1"/>
  <c r="F33" i="59"/>
  <c r="G35" i="59"/>
  <c r="H35" i="59" s="1"/>
  <c r="E394" i="59"/>
  <c r="B824" i="59"/>
  <c r="E123" i="59"/>
  <c r="E824" i="59" s="1"/>
  <c r="E827" i="59"/>
  <c r="G382" i="59"/>
  <c r="E644" i="59"/>
  <c r="G832" i="59"/>
  <c r="H471" i="59"/>
  <c r="B839" i="59"/>
  <c r="E683" i="59"/>
  <c r="E839" i="59" s="1"/>
  <c r="B834" i="59"/>
  <c r="E477" i="59"/>
  <c r="C770" i="59"/>
  <c r="C841" i="59" s="1"/>
  <c r="F840" i="59"/>
  <c r="F831" i="59"/>
  <c r="F826" i="59"/>
  <c r="B840" i="59"/>
  <c r="E739" i="59"/>
  <c r="E840" i="59" s="1"/>
  <c r="B841" i="59"/>
  <c r="F825" i="59"/>
  <c r="F837" i="59"/>
  <c r="E820" i="59"/>
  <c r="G11" i="59"/>
  <c r="F123" i="59"/>
  <c r="B222" i="59"/>
  <c r="F839" i="59"/>
  <c r="C824" i="59"/>
  <c r="C842" i="59" s="1"/>
  <c r="F830" i="59"/>
  <c r="G421" i="59"/>
  <c r="G830" i="59" s="1"/>
  <c r="G192" i="59"/>
  <c r="H192" i="59" s="1"/>
  <c r="F836" i="59"/>
  <c r="G554" i="59"/>
  <c r="G836" i="59" s="1"/>
  <c r="H19" i="59"/>
  <c r="E619" i="59"/>
  <c r="G619" i="59" s="1"/>
  <c r="H619" i="59" s="1"/>
  <c r="B580" i="59"/>
  <c r="B27" i="58"/>
  <c r="E27" i="58" s="1"/>
  <c r="F109" i="58"/>
  <c r="G16" i="58"/>
  <c r="H16" i="58" s="1"/>
  <c r="G5" i="58"/>
  <c r="H5" i="58" s="1"/>
  <c r="C3" i="60" l="1"/>
  <c r="E441" i="59"/>
  <c r="E831" i="59" s="1"/>
  <c r="C816" i="59"/>
  <c r="E770" i="59"/>
  <c r="E841" i="59" s="1"/>
  <c r="H554" i="59"/>
  <c r="H421" i="59"/>
  <c r="G683" i="59"/>
  <c r="G839" i="59" s="1"/>
  <c r="G311" i="59"/>
  <c r="B837" i="59"/>
  <c r="E580" i="59"/>
  <c r="E838" i="59"/>
  <c r="G644" i="59"/>
  <c r="F841" i="59"/>
  <c r="F824" i="59"/>
  <c r="G123" i="59"/>
  <c r="G824" i="59" s="1"/>
  <c r="G739" i="59"/>
  <c r="G827" i="59"/>
  <c r="H382" i="59"/>
  <c r="E828" i="59"/>
  <c r="G394" i="59"/>
  <c r="G820" i="59"/>
  <c r="H11" i="59"/>
  <c r="E834" i="59"/>
  <c r="G477" i="59"/>
  <c r="B823" i="59"/>
  <c r="E33" i="59"/>
  <c r="B816" i="59"/>
  <c r="B9" i="60" s="1"/>
  <c r="G835" i="59"/>
  <c r="H508" i="59"/>
  <c r="B825" i="59"/>
  <c r="E222" i="59"/>
  <c r="F823" i="59"/>
  <c r="F816" i="59"/>
  <c r="B109" i="58"/>
  <c r="E109" i="58" s="1"/>
  <c r="G109" i="58"/>
  <c r="H109" i="58" s="1"/>
  <c r="G27" i="58"/>
  <c r="H27" i="58" s="1"/>
  <c r="D5" i="60" l="1"/>
  <c r="D7" i="60"/>
  <c r="C6" i="60"/>
  <c r="D13" i="60"/>
  <c r="D2" i="60"/>
  <c r="B10" i="60"/>
  <c r="D8" i="60"/>
  <c r="B4" i="60"/>
  <c r="C17" i="60"/>
  <c r="B8" i="60"/>
  <c r="C13" i="60"/>
  <c r="B12" i="60"/>
  <c r="D14" i="60"/>
  <c r="C11" i="60"/>
  <c r="D4" i="60"/>
  <c r="C9" i="60"/>
  <c r="C2" i="60"/>
  <c r="B5" i="60"/>
  <c r="C8" i="60"/>
  <c r="B3" i="60"/>
  <c r="C15" i="60"/>
  <c r="B7" i="60"/>
  <c r="D16" i="60"/>
  <c r="E823" i="59"/>
  <c r="B11" i="60"/>
  <c r="C14" i="60"/>
  <c r="C12" i="60"/>
  <c r="B17" i="60"/>
  <c r="D12" i="60"/>
  <c r="B16" i="60"/>
  <c r="D10" i="60"/>
  <c r="D3" i="60"/>
  <c r="B14" i="60"/>
  <c r="B13" i="60"/>
  <c r="B2" i="60"/>
  <c r="D11" i="60"/>
  <c r="B6" i="60"/>
  <c r="D17" i="60"/>
  <c r="D6" i="60"/>
  <c r="D15" i="60"/>
  <c r="D9" i="60"/>
  <c r="B15" i="60"/>
  <c r="C10" i="60"/>
  <c r="C7" i="60"/>
  <c r="C4" i="60"/>
  <c r="C5" i="60"/>
  <c r="C16" i="60"/>
  <c r="F12" i="60"/>
  <c r="F16" i="60"/>
  <c r="F9" i="60"/>
  <c r="F13" i="60"/>
  <c r="F23" i="57" s="1"/>
  <c r="F17" i="60"/>
  <c r="F41" i="57" s="1"/>
  <c r="F38" i="57" s="1"/>
  <c r="F17" i="51" s="1"/>
  <c r="G770" i="59"/>
  <c r="G841" i="59" s="1"/>
  <c r="E816" i="59"/>
  <c r="G441" i="59"/>
  <c r="H441" i="59" s="1"/>
  <c r="H683" i="59"/>
  <c r="G826" i="59"/>
  <c r="H311" i="59"/>
  <c r="H123" i="59"/>
  <c r="G33" i="59"/>
  <c r="B842" i="59"/>
  <c r="F842" i="59"/>
  <c r="G834" i="59"/>
  <c r="H477" i="59"/>
  <c r="G828" i="59"/>
  <c r="H394" i="59"/>
  <c r="G840" i="59"/>
  <c r="H739" i="59"/>
  <c r="E825" i="59"/>
  <c r="G222" i="59"/>
  <c r="G831" i="59"/>
  <c r="G838" i="59"/>
  <c r="H644" i="59"/>
  <c r="E837" i="59"/>
  <c r="E842" i="59" s="1"/>
  <c r="G580" i="59"/>
  <c r="G816" i="59" l="1"/>
  <c r="H816" i="59" s="1"/>
  <c r="E15" i="60"/>
  <c r="E9" i="60"/>
  <c r="E13" i="60"/>
  <c r="E7" i="60"/>
  <c r="E17" i="60"/>
  <c r="F8" i="60"/>
  <c r="F7" i="60"/>
  <c r="F6" i="60"/>
  <c r="B1" i="60"/>
  <c r="B18" i="60" s="1"/>
  <c r="E16" i="60"/>
  <c r="E12" i="60"/>
  <c r="C1" i="60"/>
  <c r="C18" i="60" s="1"/>
  <c r="F5" i="60"/>
  <c r="F4" i="60"/>
  <c r="F3" i="60"/>
  <c r="F2" i="60"/>
  <c r="E11" i="60"/>
  <c r="E5" i="60"/>
  <c r="D1" i="60"/>
  <c r="D18" i="60" s="1"/>
  <c r="F15" i="60"/>
  <c r="F21" i="57" s="1"/>
  <c r="F14" i="60"/>
  <c r="F22" i="57" s="1"/>
  <c r="E3" i="60"/>
  <c r="E8" i="60"/>
  <c r="E6" i="60"/>
  <c r="E10" i="60"/>
  <c r="F11" i="60"/>
  <c r="F10" i="60"/>
  <c r="E14" i="60"/>
  <c r="E2" i="60"/>
  <c r="E4" i="60"/>
  <c r="H770" i="59"/>
  <c r="G837" i="59"/>
  <c r="H580" i="59"/>
  <c r="G825" i="59"/>
  <c r="H222" i="59"/>
  <c r="G823" i="59"/>
  <c r="H33" i="59"/>
  <c r="F1" i="60" l="1"/>
  <c r="F20" i="57" s="1"/>
  <c r="F19" i="57" s="1"/>
  <c r="F11" i="51" s="1"/>
  <c r="F9" i="54" s="1"/>
  <c r="E1" i="60"/>
  <c r="E18" i="60" s="1"/>
  <c r="G842" i="59"/>
  <c r="F18" i="60" l="1"/>
  <c r="F19" i="60" s="1"/>
  <c r="H83" i="36"/>
  <c r="G83" i="36"/>
  <c r="H80" i="36"/>
  <c r="G80" i="36"/>
  <c r="H79" i="36"/>
  <c r="G79" i="36"/>
  <c r="H78" i="36"/>
  <c r="G78" i="36"/>
  <c r="H77" i="36"/>
  <c r="G77" i="36"/>
  <c r="H76" i="36"/>
  <c r="G76" i="36"/>
  <c r="H75" i="36"/>
  <c r="G75" i="36"/>
  <c r="H74" i="36"/>
  <c r="G74" i="36"/>
  <c r="H69" i="36"/>
  <c r="G69" i="36"/>
  <c r="H66" i="36"/>
  <c r="G66" i="36"/>
  <c r="H61" i="36"/>
  <c r="G61" i="36"/>
  <c r="H57" i="36"/>
  <c r="G57" i="36"/>
  <c r="H56" i="36"/>
  <c r="G56" i="36"/>
  <c r="H55" i="36"/>
  <c r="G55" i="36"/>
  <c r="H54" i="36"/>
  <c r="G54" i="36"/>
  <c r="H53" i="36"/>
  <c r="G53" i="36"/>
  <c r="H52" i="36"/>
  <c r="G52" i="36"/>
  <c r="H51" i="36"/>
  <c r="G51" i="36"/>
  <c r="H50" i="36"/>
  <c r="G50" i="36"/>
  <c r="H49" i="36"/>
  <c r="G49" i="36"/>
  <c r="H48" i="36"/>
  <c r="G48" i="36"/>
  <c r="H42" i="36"/>
  <c r="G42" i="36"/>
  <c r="H41" i="36"/>
  <c r="G41" i="36"/>
  <c r="H40" i="36"/>
  <c r="G40" i="36"/>
  <c r="H35" i="36"/>
  <c r="G35" i="36"/>
  <c r="H33" i="36"/>
  <c r="G33" i="36"/>
  <c r="H27" i="36"/>
  <c r="G27" i="36"/>
  <c r="H22" i="36"/>
  <c r="G22" i="36"/>
  <c r="H19" i="36"/>
  <c r="G19" i="36"/>
  <c r="H16" i="36"/>
  <c r="G16" i="36"/>
  <c r="H12" i="36"/>
  <c r="G12" i="36"/>
  <c r="H9" i="36"/>
  <c r="G9" i="36"/>
  <c r="E83" i="36"/>
  <c r="E82" i="36"/>
  <c r="G82" i="36" s="1"/>
  <c r="H82" i="36" s="1"/>
  <c r="E80" i="36"/>
  <c r="E79" i="36"/>
  <c r="E78" i="36"/>
  <c r="E77" i="36"/>
  <c r="E75" i="36"/>
  <c r="E74" i="36"/>
  <c r="E72" i="36"/>
  <c r="G72" i="36" s="1"/>
  <c r="H72" i="36" s="1"/>
  <c r="E69" i="36"/>
  <c r="E68" i="36"/>
  <c r="G68" i="36" s="1"/>
  <c r="H68" i="36" s="1"/>
  <c r="E67" i="36"/>
  <c r="G67" i="36" s="1"/>
  <c r="H67" i="36" s="1"/>
  <c r="E66" i="36"/>
  <c r="E65" i="36"/>
  <c r="G65" i="36" s="1"/>
  <c r="H65" i="36" s="1"/>
  <c r="E64" i="36"/>
  <c r="G64" i="36" s="1"/>
  <c r="H64" i="36" s="1"/>
  <c r="E61" i="36"/>
  <c r="E60" i="36"/>
  <c r="G60" i="36" s="1"/>
  <c r="H60" i="36" s="1"/>
  <c r="E57" i="36"/>
  <c r="E55" i="36"/>
  <c r="E54" i="36"/>
  <c r="E53" i="36"/>
  <c r="E52" i="36"/>
  <c r="E50" i="36"/>
  <c r="E48" i="36"/>
  <c r="E46" i="36"/>
  <c r="G46" i="36" s="1"/>
  <c r="H46" i="36" s="1"/>
  <c r="E45" i="36"/>
  <c r="G45" i="36" s="1"/>
  <c r="H45" i="36" s="1"/>
  <c r="E42" i="36"/>
  <c r="E41" i="36"/>
  <c r="E40" i="36"/>
  <c r="E39" i="36"/>
  <c r="G39" i="36" s="1"/>
  <c r="H39" i="36" s="1"/>
  <c r="E38" i="36"/>
  <c r="G38" i="36" s="1"/>
  <c r="H38" i="36" s="1"/>
  <c r="E37" i="36"/>
  <c r="G37" i="36" s="1"/>
  <c r="H37" i="36" s="1"/>
  <c r="E35" i="36"/>
  <c r="E33" i="36"/>
  <c r="E32" i="36"/>
  <c r="G32" i="36" s="1"/>
  <c r="H32" i="36" s="1"/>
  <c r="E30" i="36"/>
  <c r="G30" i="36" s="1"/>
  <c r="H30" i="36" s="1"/>
  <c r="E27" i="36"/>
  <c r="E26" i="36"/>
  <c r="E25" i="36"/>
  <c r="G25" i="36" s="1"/>
  <c r="H25" i="36" s="1"/>
  <c r="E24" i="36"/>
  <c r="G24" i="36" s="1"/>
  <c r="H24" i="36" s="1"/>
  <c r="E22" i="36"/>
  <c r="E21" i="36"/>
  <c r="G21" i="36" s="1"/>
  <c r="H21" i="36" s="1"/>
  <c r="E19" i="36"/>
  <c r="E18" i="36"/>
  <c r="G18" i="36" s="1"/>
  <c r="H18" i="36" s="1"/>
  <c r="E16" i="36"/>
  <c r="E12" i="36"/>
  <c r="E11" i="36"/>
  <c r="G11" i="36" s="1"/>
  <c r="H11" i="36" s="1"/>
  <c r="E9" i="36"/>
  <c r="E8" i="36"/>
  <c r="G8" i="36" s="1"/>
  <c r="H8" i="36" s="1"/>
  <c r="D76" i="36"/>
  <c r="D73" i="36" s="1"/>
  <c r="D70" i="36" s="1"/>
  <c r="D63" i="36"/>
  <c r="D62" i="36" s="1"/>
  <c r="D59" i="36"/>
  <c r="D58" i="36" s="1"/>
  <c r="D51" i="36"/>
  <c r="E51" i="36" s="1"/>
  <c r="D49" i="36"/>
  <c r="D44" i="36"/>
  <c r="D31" i="36"/>
  <c r="D29" i="36"/>
  <c r="D28" i="36"/>
  <c r="D23" i="36"/>
  <c r="D20" i="36"/>
  <c r="D17" i="36"/>
  <c r="D15" i="36"/>
  <c r="D14" i="36" s="1"/>
  <c r="D7" i="36"/>
  <c r="D6" i="36" s="1"/>
  <c r="D47" i="36" l="1"/>
  <c r="D43" i="36" s="1"/>
  <c r="D34" i="36" s="1"/>
  <c r="E76" i="36"/>
  <c r="E49" i="36"/>
  <c r="D13" i="36"/>
  <c r="D84" i="36" s="1"/>
  <c r="E26" i="57" l="1"/>
  <c r="E52" i="57" l="1"/>
  <c r="H51" i="57"/>
  <c r="G51" i="57"/>
  <c r="E51" i="57"/>
  <c r="G50" i="57"/>
  <c r="H50" i="57" s="1"/>
  <c r="E50" i="57"/>
  <c r="E49" i="57"/>
  <c r="G49" i="57" s="1"/>
  <c r="H49" i="57" s="1"/>
  <c r="G48" i="57"/>
  <c r="H48" i="57" s="1"/>
  <c r="E48" i="57"/>
  <c r="E47" i="57"/>
  <c r="G47" i="57" s="1"/>
  <c r="H47" i="57" s="1"/>
  <c r="H46" i="57"/>
  <c r="G46" i="57"/>
  <c r="E45" i="57"/>
  <c r="H44" i="57"/>
  <c r="G44" i="57"/>
  <c r="E44" i="57"/>
  <c r="E43" i="57"/>
  <c r="H42" i="57"/>
  <c r="G42" i="57"/>
  <c r="E42" i="57"/>
  <c r="E41" i="57"/>
  <c r="G41" i="57" s="1"/>
  <c r="H41" i="57" s="1"/>
  <c r="G40" i="57"/>
  <c r="H40" i="57" s="1"/>
  <c r="E40" i="57"/>
  <c r="E39" i="57"/>
  <c r="G39" i="57" s="1"/>
  <c r="H39" i="57" s="1"/>
  <c r="G38" i="57"/>
  <c r="H38" i="57" s="1"/>
  <c r="E38" i="57"/>
  <c r="H37" i="57"/>
  <c r="G37" i="57"/>
  <c r="E37" i="57"/>
  <c r="G36" i="57"/>
  <c r="H36" i="57" s="1"/>
  <c r="E36" i="57"/>
  <c r="E35" i="57"/>
  <c r="G35" i="57" s="1"/>
  <c r="H35" i="57" s="1"/>
  <c r="G34" i="57"/>
  <c r="H34" i="57" s="1"/>
  <c r="E34" i="57"/>
  <c r="E33" i="57"/>
  <c r="G33" i="57" s="1"/>
  <c r="H33" i="57" s="1"/>
  <c r="H32" i="57"/>
  <c r="G32" i="57"/>
  <c r="E32" i="57"/>
  <c r="E31" i="57"/>
  <c r="G31" i="57" s="1"/>
  <c r="H31" i="57" s="1"/>
  <c r="G30" i="57"/>
  <c r="H30" i="57" s="1"/>
  <c r="E30" i="57"/>
  <c r="H29" i="57"/>
  <c r="G29" i="57"/>
  <c r="E29" i="57"/>
  <c r="E28" i="57"/>
  <c r="E27" i="57"/>
  <c r="G27" i="57" s="1"/>
  <c r="H27" i="57" s="1"/>
  <c r="E25" i="57"/>
  <c r="H24" i="57"/>
  <c r="G24" i="57"/>
  <c r="E24" i="57"/>
  <c r="G23" i="57"/>
  <c r="H23" i="57" s="1"/>
  <c r="E23" i="57"/>
  <c r="E22" i="57"/>
  <c r="G22" i="57" s="1"/>
  <c r="H22" i="57" s="1"/>
  <c r="G21" i="57"/>
  <c r="H21" i="57" s="1"/>
  <c r="E21" i="57"/>
  <c r="E20" i="57"/>
  <c r="G20" i="57" s="1"/>
  <c r="H20" i="57" s="1"/>
  <c r="G19" i="57"/>
  <c r="H19" i="57" s="1"/>
  <c r="E19" i="57"/>
  <c r="H18" i="57"/>
  <c r="G18" i="57"/>
  <c r="E18" i="57"/>
  <c r="G17" i="57"/>
  <c r="H17" i="57" s="1"/>
  <c r="E17" i="57"/>
  <c r="H16" i="57"/>
  <c r="G16" i="57"/>
  <c r="E16" i="57"/>
  <c r="G15" i="57"/>
  <c r="H15" i="57" s="1"/>
  <c r="E15" i="57"/>
  <c r="E14" i="57"/>
  <c r="G14" i="57" s="1"/>
  <c r="H14" i="57" s="1"/>
  <c r="G13" i="57"/>
  <c r="H13" i="57" s="1"/>
  <c r="E13" i="57"/>
  <c r="E12" i="57"/>
  <c r="G12" i="57" s="1"/>
  <c r="H12" i="57" s="1"/>
  <c r="H11" i="57"/>
  <c r="G11" i="57"/>
  <c r="E11" i="57"/>
  <c r="E10" i="57"/>
  <c r="G10" i="57" s="1"/>
  <c r="H10" i="57" s="1"/>
  <c r="G9" i="57"/>
  <c r="H9" i="57" s="1"/>
  <c r="E9" i="57"/>
  <c r="E8" i="57"/>
  <c r="G8" i="57" s="1"/>
  <c r="H8" i="57" s="1"/>
  <c r="H7" i="57"/>
  <c r="G7" i="57"/>
  <c r="E7" i="57"/>
  <c r="E6" i="57"/>
  <c r="G6" i="57" s="1"/>
  <c r="H6" i="57" s="1"/>
  <c r="B13" i="55" l="1"/>
  <c r="B11" i="55"/>
  <c r="B8" i="55"/>
  <c r="B5" i="55"/>
  <c r="D14" i="55"/>
  <c r="F14" i="55" s="1"/>
  <c r="G14" i="55" s="1"/>
  <c r="E13" i="55"/>
  <c r="E11" i="55" s="1"/>
  <c r="D13" i="55"/>
  <c r="G12" i="55"/>
  <c r="D11" i="55"/>
  <c r="G10" i="55"/>
  <c r="D9" i="55"/>
  <c r="F9" i="55" s="1"/>
  <c r="G9" i="55" s="1"/>
  <c r="E8" i="55"/>
  <c r="G7" i="55"/>
  <c r="D6" i="55"/>
  <c r="F6" i="55" s="1"/>
  <c r="G6" i="55" s="1"/>
  <c r="E5" i="55"/>
  <c r="D5" i="55"/>
  <c r="H40" i="54"/>
  <c r="G40" i="54"/>
  <c r="H38" i="54"/>
  <c r="G38" i="54"/>
  <c r="G36" i="54"/>
  <c r="H36" i="54" s="1"/>
  <c r="H35" i="54"/>
  <c r="G35" i="54"/>
  <c r="H33" i="54"/>
  <c r="G33" i="54"/>
  <c r="H31" i="54"/>
  <c r="G31" i="54"/>
  <c r="H28" i="54"/>
  <c r="G28" i="54"/>
  <c r="H27" i="54"/>
  <c r="G27" i="54"/>
  <c r="G26" i="54"/>
  <c r="H26" i="54" s="1"/>
  <c r="G25" i="54"/>
  <c r="H25" i="54" s="1"/>
  <c r="G24" i="54"/>
  <c r="H24" i="54" s="1"/>
  <c r="G23" i="54"/>
  <c r="H23" i="54" s="1"/>
  <c r="H22" i="54"/>
  <c r="G22" i="54"/>
  <c r="H20" i="54"/>
  <c r="G20" i="54"/>
  <c r="H18" i="54"/>
  <c r="G18" i="54"/>
  <c r="G15" i="54"/>
  <c r="H15" i="54" s="1"/>
  <c r="H14" i="54"/>
  <c r="G14" i="54"/>
  <c r="H12" i="54"/>
  <c r="G12" i="54"/>
  <c r="G10" i="54"/>
  <c r="H10" i="54" s="1"/>
  <c r="G9" i="54"/>
  <c r="H9" i="54" s="1"/>
  <c r="G8" i="54"/>
  <c r="H8" i="54" s="1"/>
  <c r="H7" i="54"/>
  <c r="G7" i="54"/>
  <c r="F37" i="54" l="1"/>
  <c r="F64" i="51"/>
  <c r="F13" i="55"/>
  <c r="G13" i="55" s="1"/>
  <c r="D8" i="55"/>
  <c r="F8" i="55" s="1"/>
  <c r="G8" i="55" s="1"/>
  <c r="F11" i="55"/>
  <c r="G11" i="55" s="1"/>
  <c r="F5" i="55"/>
  <c r="G5" i="55" s="1"/>
  <c r="F34" i="54" l="1"/>
  <c r="G37" i="54"/>
  <c r="H37" i="54" s="1"/>
  <c r="G34" i="54" l="1"/>
  <c r="H34" i="54" s="1"/>
  <c r="F61" i="51" l="1"/>
  <c r="F45" i="51"/>
  <c r="H64" i="51"/>
  <c r="E70" i="51"/>
  <c r="G70" i="51" s="1"/>
  <c r="E68" i="51"/>
  <c r="G68" i="51" s="1"/>
  <c r="E67" i="51"/>
  <c r="G67" i="51" s="1"/>
  <c r="E66" i="51"/>
  <c r="H66" i="51" s="1"/>
  <c r="E65" i="51"/>
  <c r="G65" i="51" s="1"/>
  <c r="E64" i="51"/>
  <c r="G64" i="51" s="1"/>
  <c r="E63" i="51"/>
  <c r="G63" i="51" s="1"/>
  <c r="E62" i="51"/>
  <c r="H62" i="51" s="1"/>
  <c r="E60" i="51"/>
  <c r="G60" i="51" s="1"/>
  <c r="E59" i="51"/>
  <c r="G59" i="51" s="1"/>
  <c r="E58" i="51"/>
  <c r="G58" i="51" s="1"/>
  <c r="E56" i="51"/>
  <c r="H56" i="51" s="1"/>
  <c r="E55" i="51"/>
  <c r="G55" i="51" s="1"/>
  <c r="E53" i="51"/>
  <c r="G53" i="51" s="1"/>
  <c r="E52" i="51"/>
  <c r="G52" i="51" s="1"/>
  <c r="E48" i="51"/>
  <c r="G48" i="51" s="1"/>
  <c r="E47" i="51"/>
  <c r="G47" i="51" s="1"/>
  <c r="E42" i="51"/>
  <c r="G42" i="51" s="1"/>
  <c r="E41" i="51"/>
  <c r="G41" i="51" s="1"/>
  <c r="E40" i="51"/>
  <c r="G40" i="51" s="1"/>
  <c r="E39" i="51"/>
  <c r="G39" i="51" s="1"/>
  <c r="E38" i="51"/>
  <c r="G38" i="51" s="1"/>
  <c r="E37" i="51"/>
  <c r="G37" i="51" s="1"/>
  <c r="E36" i="51"/>
  <c r="G36" i="51" s="1"/>
  <c r="E34" i="51"/>
  <c r="G34" i="51" s="1"/>
  <c r="E33" i="51"/>
  <c r="E32" i="51"/>
  <c r="G32" i="51" s="1"/>
  <c r="E30" i="51"/>
  <c r="G30" i="51" s="1"/>
  <c r="E25" i="51"/>
  <c r="E22" i="51"/>
  <c r="G22" i="51" s="1"/>
  <c r="E21" i="51"/>
  <c r="G21" i="51" s="1"/>
  <c r="E20" i="51"/>
  <c r="G20" i="51" s="1"/>
  <c r="E19" i="51"/>
  <c r="G19" i="51" s="1"/>
  <c r="E18" i="51"/>
  <c r="E17" i="51"/>
  <c r="G17" i="51" s="1"/>
  <c r="E16" i="51"/>
  <c r="G16" i="51" s="1"/>
  <c r="E15" i="51"/>
  <c r="G15" i="51" s="1"/>
  <c r="E14" i="51"/>
  <c r="H14" i="51" s="1"/>
  <c r="E13" i="51"/>
  <c r="G13" i="51" s="1"/>
  <c r="E12" i="51"/>
  <c r="E11" i="51"/>
  <c r="G11" i="51" s="1"/>
  <c r="E10" i="51"/>
  <c r="H10" i="51" s="1"/>
  <c r="E9" i="51"/>
  <c r="G9" i="51" s="1"/>
  <c r="E8" i="51"/>
  <c r="G8" i="51" s="1"/>
  <c r="B61" i="51"/>
  <c r="C61" i="51"/>
  <c r="B49" i="51"/>
  <c r="B54" i="51" s="1"/>
  <c r="C49" i="51"/>
  <c r="C54" i="51" s="1"/>
  <c r="B46" i="51"/>
  <c r="C46" i="51"/>
  <c r="B24" i="51"/>
  <c r="B23" i="51" s="1"/>
  <c r="B72" i="51" s="1"/>
  <c r="C24" i="51"/>
  <c r="C23" i="51" s="1"/>
  <c r="B7" i="51"/>
  <c r="B71" i="51" s="1"/>
  <c r="C7" i="51"/>
  <c r="C71" i="51" s="1"/>
  <c r="H13" i="51" l="1"/>
  <c r="G14" i="51"/>
  <c r="H9" i="51"/>
  <c r="H21" i="51"/>
  <c r="H17" i="51"/>
  <c r="G10" i="51"/>
  <c r="H15" i="51"/>
  <c r="H11" i="51"/>
  <c r="H19" i="51"/>
  <c r="B69" i="51"/>
  <c r="G56" i="51"/>
  <c r="H8" i="51"/>
  <c r="H16" i="51"/>
  <c r="H20" i="51"/>
  <c r="H53" i="51"/>
  <c r="H63" i="51"/>
  <c r="G66" i="51"/>
  <c r="G62" i="51"/>
  <c r="C69" i="51"/>
  <c r="C72" i="51"/>
  <c r="C31" i="51"/>
  <c r="C35" i="51" s="1"/>
  <c r="B31" i="51"/>
  <c r="B35" i="51" l="1"/>
  <c r="D44" i="51" l="1"/>
  <c r="E44" i="51" s="1"/>
  <c r="D7" i="51"/>
  <c r="E7" i="51" s="1"/>
  <c r="D61" i="51"/>
  <c r="E61" i="51" s="1"/>
  <c r="D50" i="51"/>
  <c r="E50" i="51" s="1"/>
  <c r="D45" i="51"/>
  <c r="E45" i="51" s="1"/>
  <c r="D43" i="51"/>
  <c r="E43" i="51" s="1"/>
  <c r="D29" i="51"/>
  <c r="E29" i="51" s="1"/>
  <c r="D27" i="51"/>
  <c r="E27" i="51" s="1"/>
  <c r="H61" i="51" l="1"/>
  <c r="G61" i="51"/>
  <c r="G45" i="51"/>
  <c r="H45" i="51"/>
  <c r="G43" i="51"/>
  <c r="H43" i="51"/>
  <c r="G29" i="51"/>
  <c r="H29" i="51"/>
  <c r="D46" i="51"/>
  <c r="E46" i="51" s="1"/>
  <c r="D49" i="51"/>
  <c r="D54" i="51" l="1"/>
  <c r="E49" i="51"/>
  <c r="D69" i="51" l="1"/>
  <c r="E69" i="51" s="1"/>
  <c r="E54" i="51"/>
  <c r="D71" i="51" l="1"/>
  <c r="E71" i="51" l="1"/>
  <c r="H27" i="51" l="1"/>
  <c r="G27" i="51"/>
  <c r="E176" i="46" l="1"/>
  <c r="D176" i="46"/>
  <c r="E165" i="46"/>
  <c r="D167" i="46"/>
  <c r="E162" i="46"/>
  <c r="D164" i="46"/>
  <c r="D163" i="46"/>
  <c r="E178" i="46"/>
  <c r="D179" i="46"/>
  <c r="D178" i="46" s="1"/>
  <c r="E169" i="46"/>
  <c r="D169" i="46"/>
  <c r="D166" i="46"/>
  <c r="D165" i="46" s="1"/>
  <c r="E157" i="46"/>
  <c r="D157" i="46"/>
  <c r="E150" i="46"/>
  <c r="D150" i="46"/>
  <c r="E143" i="46"/>
  <c r="D143" i="46"/>
  <c r="E137" i="46"/>
  <c r="D137" i="46"/>
  <c r="E136" i="46"/>
  <c r="E135" i="46"/>
  <c r="E129" i="46"/>
  <c r="D129" i="46"/>
  <c r="E115" i="46"/>
  <c r="D115" i="46"/>
  <c r="E100" i="46"/>
  <c r="E98" i="46" s="1"/>
  <c r="D100" i="46"/>
  <c r="D98" i="46" s="1"/>
  <c r="E92" i="46"/>
  <c r="E91" i="46" s="1"/>
  <c r="D92" i="46"/>
  <c r="D91" i="46" s="1"/>
  <c r="E82" i="46"/>
  <c r="D82" i="46"/>
  <c r="E67" i="46"/>
  <c r="D67" i="46"/>
  <c r="D61" i="46"/>
  <c r="E56" i="46"/>
  <c r="D56" i="46"/>
  <c r="E54" i="46"/>
  <c r="D54" i="46"/>
  <c r="E52" i="46"/>
  <c r="D52" i="46"/>
  <c r="E38" i="46"/>
  <c r="E37" i="46" s="1"/>
  <c r="D38" i="46"/>
  <c r="D37" i="46" s="1"/>
  <c r="D34" i="46"/>
  <c r="D31" i="46"/>
  <c r="D26" i="46"/>
  <c r="D11" i="46"/>
  <c r="D6" i="46"/>
  <c r="D162" i="46" l="1"/>
  <c r="E50" i="46"/>
  <c r="D50" i="46"/>
  <c r="D10" i="46"/>
  <c r="D4" i="46" s="1"/>
  <c r="E114" i="46"/>
  <c r="E4" i="46" s="1"/>
  <c r="D114" i="46"/>
  <c r="H61" i="42" l="1"/>
  <c r="H60" i="42" l="1"/>
  <c r="H53" i="42"/>
  <c r="H49" i="42"/>
  <c r="H48" i="42" s="1"/>
  <c r="H42" i="42"/>
  <c r="H41" i="42" s="1"/>
  <c r="H39" i="42"/>
  <c r="H38" i="42" s="1"/>
  <c r="H32" i="42"/>
  <c r="H31" i="42"/>
  <c r="H29" i="42"/>
  <c r="H28" i="42" s="1"/>
  <c r="H8" i="42"/>
  <c r="H27" i="42" l="1"/>
  <c r="G25" i="51" l="1"/>
  <c r="H25" i="51" l="1"/>
  <c r="G30" i="54" l="1"/>
  <c r="H30" i="54" s="1"/>
  <c r="F70" i="42" l="1"/>
  <c r="F82" i="42" s="1"/>
  <c r="F68" i="42"/>
  <c r="F67" i="42"/>
  <c r="F66" i="42"/>
  <c r="F54" i="42"/>
  <c r="F51" i="42"/>
  <c r="F42" i="42"/>
  <c r="F83" i="42" s="1"/>
  <c r="F39" i="42"/>
  <c r="F32" i="42"/>
  <c r="F84" i="42" s="1"/>
  <c r="F31" i="42"/>
  <c r="F30" i="42"/>
  <c r="F29" i="42"/>
  <c r="F21" i="42"/>
  <c r="F19" i="42"/>
  <c r="F17" i="42"/>
  <c r="F16" i="42"/>
  <c r="F8" i="42"/>
  <c r="F9" i="42"/>
  <c r="F11" i="42"/>
  <c r="F12" i="42"/>
  <c r="F7" i="42"/>
  <c r="E86" i="42"/>
  <c r="E85" i="42"/>
  <c r="E84" i="42"/>
  <c r="E83" i="42"/>
  <c r="E82" i="42"/>
  <c r="E80" i="42"/>
  <c r="E81" i="42" s="1"/>
  <c r="E79" i="42"/>
  <c r="F85" i="42"/>
  <c r="F86" i="42"/>
  <c r="E53" i="42"/>
  <c r="E27" i="42"/>
  <c r="E18" i="42"/>
  <c r="E87" i="42" l="1"/>
  <c r="F80" i="42"/>
  <c r="F81" i="42" s="1"/>
  <c r="E14" i="42" l="1"/>
  <c r="E76" i="42" s="1"/>
  <c r="E6" i="42"/>
  <c r="E23" i="42" l="1"/>
  <c r="E34" i="42" s="1"/>
  <c r="E44" i="42" s="1"/>
  <c r="E56" i="42" s="1"/>
  <c r="E73" i="42" s="1"/>
  <c r="E75" i="42"/>
  <c r="E77" i="42" l="1"/>
  <c r="E88" i="42"/>
  <c r="H80" i="42" l="1"/>
  <c r="H81" i="42" s="1"/>
  <c r="H82" i="42"/>
  <c r="H83" i="42"/>
  <c r="H84" i="42"/>
  <c r="H86" i="42"/>
  <c r="F62" i="36" l="1"/>
  <c r="F44" i="36"/>
  <c r="F36" i="36"/>
  <c r="F31" i="36"/>
  <c r="F29" i="36"/>
  <c r="F10" i="36"/>
  <c r="F20" i="36"/>
  <c r="F17" i="36"/>
  <c r="F43" i="36" l="1"/>
  <c r="F28" i="57" s="1"/>
  <c r="F28" i="36"/>
  <c r="F6" i="36"/>
  <c r="F25" i="57" l="1"/>
  <c r="G28" i="57"/>
  <c r="H28" i="57" s="1"/>
  <c r="F12" i="51" l="1"/>
  <c r="G25" i="57"/>
  <c r="H25" i="57" s="1"/>
  <c r="F11" i="54" l="1"/>
  <c r="H12" i="51"/>
  <c r="G12" i="51"/>
  <c r="F6" i="54" l="1"/>
  <c r="G11" i="54"/>
  <c r="H11" i="54" s="1"/>
  <c r="G6" i="54" l="1"/>
  <c r="H6" i="54" s="1"/>
  <c r="G17" i="54" l="1"/>
  <c r="H17" i="54" s="1"/>
  <c r="F81" i="36" l="1"/>
  <c r="F43" i="57" s="1"/>
  <c r="F34" i="36"/>
  <c r="F14" i="36"/>
  <c r="F18" i="51" l="1"/>
  <c r="G43" i="57"/>
  <c r="H43" i="57" s="1"/>
  <c r="F45" i="57"/>
  <c r="F13" i="36"/>
  <c r="G45" i="57" l="1"/>
  <c r="H45" i="57" s="1"/>
  <c r="F52" i="57"/>
  <c r="G52" i="57" s="1"/>
  <c r="H52" i="57" s="1"/>
  <c r="G18" i="51"/>
  <c r="H18" i="51"/>
  <c r="F7" i="51"/>
  <c r="G29" i="54" l="1"/>
  <c r="H29" i="54" s="1"/>
  <c r="F21" i="54"/>
  <c r="G21" i="54" s="1"/>
  <c r="H21" i="54" s="1"/>
  <c r="H7" i="51"/>
  <c r="G7" i="51"/>
  <c r="D79" i="42" l="1"/>
  <c r="C80" i="42"/>
  <c r="C81" i="42" s="1"/>
  <c r="D80" i="42"/>
  <c r="D81" i="42" s="1"/>
  <c r="C82" i="42"/>
  <c r="D82" i="42"/>
  <c r="C83" i="42"/>
  <c r="D83" i="42"/>
  <c r="C84" i="42"/>
  <c r="D84" i="42"/>
  <c r="D85" i="42"/>
  <c r="C86" i="42"/>
  <c r="D86" i="42"/>
  <c r="G82" i="42"/>
  <c r="G86" i="42"/>
  <c r="G6" i="42"/>
  <c r="D87" i="42" l="1"/>
  <c r="D65" i="42"/>
  <c r="C65" i="42"/>
  <c r="G61" i="42"/>
  <c r="G60" i="42" s="1"/>
  <c r="C62" i="42"/>
  <c r="F62" i="42" s="1"/>
  <c r="D61" i="42"/>
  <c r="D60" i="42" s="1"/>
  <c r="G53" i="42"/>
  <c r="D53" i="42"/>
  <c r="C53" i="42"/>
  <c r="C50" i="42"/>
  <c r="F50" i="42" s="1"/>
  <c r="D49" i="42"/>
  <c r="D48" i="42" s="1"/>
  <c r="G41" i="42"/>
  <c r="C41" i="42"/>
  <c r="F41" i="42" s="1"/>
  <c r="G38" i="42"/>
  <c r="C38" i="42"/>
  <c r="F38" i="42" s="1"/>
  <c r="G84" i="42"/>
  <c r="C28" i="42"/>
  <c r="F28" i="42" s="1"/>
  <c r="D27" i="42"/>
  <c r="D18" i="42"/>
  <c r="D20" i="42" s="1"/>
  <c r="D14" i="42"/>
  <c r="G18" i="42"/>
  <c r="G16" i="42" s="1"/>
  <c r="C10" i="42"/>
  <c r="F10" i="42" s="1"/>
  <c r="F6" i="42" s="1"/>
  <c r="D6" i="42"/>
  <c r="B2" i="42"/>
  <c r="F53" i="42" l="1"/>
  <c r="C49" i="42"/>
  <c r="F49" i="42" s="1"/>
  <c r="C15" i="42"/>
  <c r="C6" i="42"/>
  <c r="C27" i="42"/>
  <c r="F27" i="42" s="1"/>
  <c r="C48" i="42"/>
  <c r="F48" i="42" s="1"/>
  <c r="C61" i="42"/>
  <c r="F61" i="42" s="1"/>
  <c r="F65" i="42"/>
  <c r="D75" i="42"/>
  <c r="D88" i="42" s="1"/>
  <c r="C60" i="42"/>
  <c r="F60" i="42" s="1"/>
  <c r="G20" i="42"/>
  <c r="G49" i="42"/>
  <c r="G48" i="42" s="1"/>
  <c r="G75" i="42" s="1"/>
  <c r="G27" i="42"/>
  <c r="G65" i="42"/>
  <c r="C18" i="42"/>
  <c r="F18" i="42" s="1"/>
  <c r="G83" i="42"/>
  <c r="D23" i="42"/>
  <c r="D34" i="42" s="1"/>
  <c r="D44" i="42" s="1"/>
  <c r="D56" i="42" s="1"/>
  <c r="D73" i="42" s="1"/>
  <c r="D76" i="42"/>
  <c r="F15" i="42" l="1"/>
  <c r="F79" i="42" s="1"/>
  <c r="F87" i="42" s="1"/>
  <c r="C79" i="42"/>
  <c r="C87" i="42" s="1"/>
  <c r="C14" i="42"/>
  <c r="D77" i="42"/>
  <c r="C75" i="42"/>
  <c r="G80" i="42"/>
  <c r="G81" i="42" s="1"/>
  <c r="G79" i="42"/>
  <c r="G14" i="42"/>
  <c r="C20" i="42"/>
  <c r="F20" i="42" s="1"/>
  <c r="G87" i="42" l="1"/>
  <c r="C76" i="42"/>
  <c r="F14" i="42"/>
  <c r="F76" i="42" s="1"/>
  <c r="C23" i="42"/>
  <c r="C88" i="42"/>
  <c r="F75" i="42"/>
  <c r="F88" i="42"/>
  <c r="C77" i="42"/>
  <c r="G76" i="42"/>
  <c r="G77" i="42" s="1"/>
  <c r="G23" i="42"/>
  <c r="G34" i="42" s="1"/>
  <c r="G44" i="42" s="1"/>
  <c r="G56" i="42" s="1"/>
  <c r="G73" i="42" s="1"/>
  <c r="F23" i="42" l="1"/>
  <c r="C34" i="42"/>
  <c r="F77" i="42"/>
  <c r="F34" i="42" l="1"/>
  <c r="C44" i="42"/>
  <c r="F44" i="42" l="1"/>
  <c r="C56" i="42"/>
  <c r="H15" i="42"/>
  <c r="H19" i="42"/>
  <c r="H9" i="42"/>
  <c r="H17" i="42" s="1"/>
  <c r="H71" i="42" l="1"/>
  <c r="H7" i="42"/>
  <c r="H14" i="42"/>
  <c r="H20" i="42"/>
  <c r="H18" i="42" s="1"/>
  <c r="H16" i="42" s="1"/>
  <c r="H10" i="42"/>
  <c r="F56" i="42"/>
  <c r="F73" i="42" s="1"/>
  <c r="C73" i="42"/>
  <c r="H6" i="42" l="1"/>
  <c r="H23" i="42" s="1"/>
  <c r="H34" i="42" s="1"/>
  <c r="H44" i="42" s="1"/>
  <c r="H56" i="42" s="1"/>
  <c r="H65" i="42"/>
  <c r="H76" i="42" s="1"/>
  <c r="H79" i="42"/>
  <c r="H87" i="42" s="1"/>
  <c r="H73" i="42" l="1"/>
  <c r="H75" i="42"/>
  <c r="H77" i="42" s="1"/>
  <c r="C81" i="36" l="1"/>
  <c r="B81" i="36"/>
  <c r="E81" i="36" s="1"/>
  <c r="G81" i="36" s="1"/>
  <c r="H81" i="36" s="1"/>
  <c r="C73" i="36"/>
  <c r="E73" i="36" s="1"/>
  <c r="G73" i="36" s="1"/>
  <c r="H73" i="36" s="1"/>
  <c r="B71" i="36"/>
  <c r="E71" i="36" s="1"/>
  <c r="G71" i="36" s="1"/>
  <c r="H71" i="36" s="1"/>
  <c r="C63" i="36"/>
  <c r="B59" i="36"/>
  <c r="E59" i="36" s="1"/>
  <c r="G59" i="36" s="1"/>
  <c r="H59" i="36" s="1"/>
  <c r="C56" i="36"/>
  <c r="E56" i="36" s="1"/>
  <c r="C44" i="36"/>
  <c r="B44" i="36"/>
  <c r="B36" i="36"/>
  <c r="E36" i="36" s="1"/>
  <c r="G36" i="36" s="1"/>
  <c r="H36" i="36" s="1"/>
  <c r="C31" i="36"/>
  <c r="B31" i="36"/>
  <c r="B29" i="36"/>
  <c r="E29" i="36" s="1"/>
  <c r="G29" i="36" s="1"/>
  <c r="H29" i="36" s="1"/>
  <c r="F26" i="36"/>
  <c r="B23" i="36"/>
  <c r="E23" i="36" s="1"/>
  <c r="B20" i="36"/>
  <c r="E20" i="36" s="1"/>
  <c r="G20" i="36" s="1"/>
  <c r="H20" i="36" s="1"/>
  <c r="B17" i="36"/>
  <c r="E17" i="36" s="1"/>
  <c r="G17" i="36" s="1"/>
  <c r="H17" i="36" s="1"/>
  <c r="C15" i="36"/>
  <c r="E15" i="36" s="1"/>
  <c r="G15" i="36" s="1"/>
  <c r="H15" i="36" s="1"/>
  <c r="B14" i="36"/>
  <c r="B10" i="36"/>
  <c r="E10" i="36" s="1"/>
  <c r="G10" i="36" s="1"/>
  <c r="H10" i="36" s="1"/>
  <c r="C7" i="36"/>
  <c r="B7" i="36"/>
  <c r="E7" i="36" s="1"/>
  <c r="G7" i="36" s="1"/>
  <c r="H7" i="36" s="1"/>
  <c r="H5" i="36"/>
  <c r="G5" i="36"/>
  <c r="B43" i="36" l="1"/>
  <c r="E44" i="36"/>
  <c r="G44" i="36" s="1"/>
  <c r="H44" i="36" s="1"/>
  <c r="C62" i="36"/>
  <c r="E62" i="36" s="1"/>
  <c r="G62" i="36" s="1"/>
  <c r="H62" i="36" s="1"/>
  <c r="E63" i="36"/>
  <c r="G63" i="36" s="1"/>
  <c r="H63" i="36" s="1"/>
  <c r="E31" i="36"/>
  <c r="G31" i="36" s="1"/>
  <c r="H31" i="36" s="1"/>
  <c r="F23" i="36"/>
  <c r="F84" i="36" s="1"/>
  <c r="G26" i="36"/>
  <c r="H26" i="36" s="1"/>
  <c r="C47" i="36"/>
  <c r="E47" i="36" s="1"/>
  <c r="G47" i="36" s="1"/>
  <c r="H47" i="36" s="1"/>
  <c r="B28" i="36"/>
  <c r="B6" i="36"/>
  <c r="B34" i="36"/>
  <c r="C28" i="36"/>
  <c r="B58" i="36"/>
  <c r="E58" i="36" s="1"/>
  <c r="G58" i="36" s="1"/>
  <c r="H58" i="36" s="1"/>
  <c r="B13" i="36"/>
  <c r="C14" i="36"/>
  <c r="C13" i="36" s="1"/>
  <c r="C43" i="36"/>
  <c r="B70" i="36"/>
  <c r="B84" i="36"/>
  <c r="C34" i="36"/>
  <c r="C6" i="36"/>
  <c r="C70" i="36"/>
  <c r="E13" i="36" l="1"/>
  <c r="G13" i="36" s="1"/>
  <c r="H13" i="36" s="1"/>
  <c r="E6" i="36"/>
  <c r="E28" i="36"/>
  <c r="G28" i="36" s="1"/>
  <c r="H28" i="36" s="1"/>
  <c r="E70" i="36"/>
  <c r="G70" i="36" s="1"/>
  <c r="H70" i="36" s="1"/>
  <c r="G23" i="36"/>
  <c r="H23" i="36" s="1"/>
  <c r="E14" i="36"/>
  <c r="G14" i="36" s="1"/>
  <c r="H14" i="36" s="1"/>
  <c r="E34" i="36"/>
  <c r="G34" i="36" s="1"/>
  <c r="H34" i="36" s="1"/>
  <c r="E43" i="36"/>
  <c r="G43" i="36" s="1"/>
  <c r="H43" i="36" s="1"/>
  <c r="C84" i="36"/>
  <c r="E84" i="36" s="1"/>
  <c r="G84" i="36" s="1"/>
  <c r="H84" i="36" s="1"/>
  <c r="G6" i="36"/>
  <c r="H6" i="36" s="1"/>
  <c r="F44" i="51" l="1"/>
  <c r="F13" i="54" l="1"/>
  <c r="G16" i="54"/>
  <c r="H16" i="54" s="1"/>
  <c r="H33" i="51"/>
  <c r="G33" i="51"/>
  <c r="G44" i="51"/>
  <c r="H44" i="51"/>
  <c r="F46" i="51"/>
  <c r="F19" i="54" l="1"/>
  <c r="G13" i="54"/>
  <c r="H13" i="54" s="1"/>
  <c r="G50" i="51"/>
  <c r="H50" i="51"/>
  <c r="F71" i="51"/>
  <c r="H46" i="51"/>
  <c r="G46" i="51"/>
  <c r="F23" i="51"/>
  <c r="F49" i="51" l="1"/>
  <c r="F54" i="51" s="1"/>
  <c r="G19" i="54"/>
  <c r="H19" i="54" s="1"/>
  <c r="F32" i="54"/>
  <c r="F72" i="51"/>
  <c r="G71" i="51"/>
  <c r="H71" i="51"/>
  <c r="F31" i="51"/>
  <c r="G49" i="51" l="1"/>
  <c r="H49" i="51"/>
  <c r="F39" i="54"/>
  <c r="G39" i="54" s="1"/>
  <c r="H39" i="54" s="1"/>
  <c r="G32" i="54"/>
  <c r="H32" i="54" s="1"/>
  <c r="H54" i="51"/>
  <c r="G54" i="51"/>
  <c r="F69" i="51"/>
  <c r="F35" i="51"/>
  <c r="G69" i="51" l="1"/>
  <c r="H69" i="51"/>
  <c r="D26" i="51" l="1"/>
  <c r="D28" i="51"/>
  <c r="E28" i="51" s="1"/>
  <c r="G28" i="51" l="1"/>
  <c r="H28" i="51"/>
  <c r="E26" i="51"/>
  <c r="D24" i="51"/>
  <c r="D23" i="51" l="1"/>
  <c r="E24" i="51"/>
  <c r="G26" i="51"/>
  <c r="H26" i="51"/>
  <c r="H24" i="51" l="1"/>
  <c r="G24" i="51"/>
  <c r="D31" i="51"/>
  <c r="E23" i="51"/>
  <c r="D72" i="51"/>
  <c r="D35" i="51" l="1"/>
  <c r="E35" i="51" s="1"/>
  <c r="E31" i="51"/>
  <c r="G23" i="51"/>
  <c r="H23" i="51"/>
  <c r="E72" i="51"/>
  <c r="D73" i="51"/>
  <c r="H31" i="51" l="1"/>
  <c r="G31" i="51"/>
  <c r="G72" i="51"/>
  <c r="H72" i="51"/>
  <c r="G35" i="51"/>
  <c r="H35" i="51"/>
</calcChain>
</file>

<file path=xl/comments1.xml><?xml version="1.0" encoding="utf-8"?>
<comments xmlns="http://schemas.openxmlformats.org/spreadsheetml/2006/main">
  <authors>
    <author>Anne Altermann</author>
  </authors>
  <commentList>
    <comment ref="C262" authorId="0">
      <text>
        <r>
          <rPr>
            <b/>
            <sz val="9"/>
            <color indexed="81"/>
            <rFont val="Tahoma"/>
            <family val="2"/>
            <charset val="186"/>
          </rPr>
          <t>Anne Altermann:</t>
        </r>
        <r>
          <rPr>
            <sz val="9"/>
            <color indexed="81"/>
            <rFont val="Tahoma"/>
            <family val="2"/>
            <charset val="186"/>
          </rPr>
          <t xml:space="preserve">
30. juuni – 2. juuli 2017</t>
        </r>
      </text>
    </comment>
  </commentList>
</comments>
</file>

<file path=xl/comments2.xml><?xml version="1.0" encoding="utf-8"?>
<comments xmlns="http://schemas.openxmlformats.org/spreadsheetml/2006/main">
  <authors>
    <author>Krista Kibur</author>
    <author>Maarja Valler</author>
  </authors>
  <commentList>
    <comment ref="C35" authorId="0">
      <text>
        <r>
          <rPr>
            <b/>
            <sz val="9"/>
            <color indexed="81"/>
            <rFont val="Tahoma"/>
            <family val="2"/>
            <charset val="186"/>
          </rPr>
          <t>Krista Kibur:</t>
        </r>
        <r>
          <rPr>
            <sz val="9"/>
            <color indexed="81"/>
            <rFont val="Tahoma"/>
            <family val="2"/>
            <charset val="186"/>
          </rPr>
          <t xml:space="preserve">
</t>
        </r>
        <r>
          <rPr>
            <sz val="8"/>
            <color indexed="81"/>
            <rFont val="Tahoma"/>
            <family val="2"/>
            <charset val="186"/>
          </rPr>
          <t>PSA töökoormus on suurenenud ja tööspetsiifika laienenud tulenevalt isikute vaba liikumisega seotud erinevate staatuste erisustega (nt pagulased, varjupaigataotlejad), Tallinna elanike arvu kasvuga ning Euroopa Liidu määruse (EL) nr 1259/2010 (ROOMA III) jõustumisega.
Rooma III määrus rakendamine praktikas annab välismaise elemendi olemasolul õiguse valida kohaldatavat õigust, mistõttu perekonnaseisuasutuste pädevus abielu lahutamisel laieneb.</t>
        </r>
      </text>
    </comment>
    <comment ref="E68" authorId="1">
      <text>
        <r>
          <rPr>
            <b/>
            <sz val="9"/>
            <color indexed="81"/>
            <rFont val="Tahoma"/>
            <family val="2"/>
            <charset val="186"/>
          </rPr>
          <t>Maarja Valler:</t>
        </r>
        <r>
          <rPr>
            <sz val="9"/>
            <color indexed="81"/>
            <rFont val="Tahoma"/>
            <family val="2"/>
            <charset val="186"/>
          </rPr>
          <t xml:space="preserve">
Täpsustada</t>
        </r>
      </text>
    </comment>
  </commentList>
</comments>
</file>

<file path=xl/sharedStrings.xml><?xml version="1.0" encoding="utf-8"?>
<sst xmlns="http://schemas.openxmlformats.org/spreadsheetml/2006/main" count="3218" uniqueCount="1276">
  <si>
    <t>RE</t>
  </si>
  <si>
    <t>VR</t>
  </si>
  <si>
    <t>€</t>
  </si>
  <si>
    <t>Kokku</t>
  </si>
  <si>
    <t>Toetused kokku</t>
  </si>
  <si>
    <t>Kulud kokku</t>
  </si>
  <si>
    <t>SE</t>
  </si>
  <si>
    <t>Sotsiaal- ja Tervishoiuamet</t>
  </si>
  <si>
    <t>Kommunaalamet</t>
  </si>
  <si>
    <t>Reidi tee ehitus Tallinnas</t>
  </si>
  <si>
    <t>Gonsiori tänava rekonstrueerimine Tallinnas</t>
  </si>
  <si>
    <t>Vana-Tartu mnt kergliiklustee (Tartu mnt - linna piir)</t>
  </si>
  <si>
    <t>Haridusamet</t>
  </si>
  <si>
    <t>Spordi- ja Noorsooamet</t>
  </si>
  <si>
    <t>Ettevõtlusamet</t>
  </si>
  <si>
    <t>Linnavaraamet</t>
  </si>
  <si>
    <t>Transpordiamet</t>
  </si>
  <si>
    <t>Tallinna Linnakantselei</t>
  </si>
  <si>
    <t>Esialgne eelarve</t>
  </si>
  <si>
    <t>I lisaeelarve</t>
  </si>
  <si>
    <t>Täpsustatud eelarve</t>
  </si>
  <si>
    <t>%</t>
  </si>
  <si>
    <t>Riiklikud maksud</t>
  </si>
  <si>
    <t>Üksikisiku tulumaks</t>
  </si>
  <si>
    <t>Linnakassa</t>
  </si>
  <si>
    <t>Maamaks</t>
  </si>
  <si>
    <t>Kohalikud maksud</t>
  </si>
  <si>
    <t>Reklaamimaks</t>
  </si>
  <si>
    <t>Teede ja tänavate sulgemise maks</t>
  </si>
  <si>
    <t>Parkimistasu</t>
  </si>
  <si>
    <t>Lõivud</t>
  </si>
  <si>
    <t>Linnaarhiiv</t>
  </si>
  <si>
    <t>Linnaplaneerimise Amet</t>
  </si>
  <si>
    <t>Õiguste müük</t>
  </si>
  <si>
    <t>Hoonestusõiguse tasu</t>
  </si>
  <si>
    <t>Kasutusõiguse tasu</t>
  </si>
  <si>
    <t>Muud tulud</t>
  </si>
  <si>
    <t>Trahvid</t>
  </si>
  <si>
    <t>Munitsipaalpolitsei Amet</t>
  </si>
  <si>
    <t>Eespool nimetamata muud tulud</t>
  </si>
  <si>
    <t>Sunniraha</t>
  </si>
  <si>
    <t>Muud erakorralised tulud</t>
  </si>
  <si>
    <t>Finantstulu</t>
  </si>
  <si>
    <t>Tulu finantsvara investeerimisest</t>
  </si>
  <si>
    <t>Kasum vara müügist</t>
  </si>
  <si>
    <t>Tulu vara müügist</t>
  </si>
  <si>
    <t>Müüdud vara jääkmaksumus</t>
  </si>
  <si>
    <t>Vara müügi kulud</t>
  </si>
  <si>
    <t>Muud tulud varalt</t>
  </si>
  <si>
    <t>Loodusvarade kasutusõiguse tasu</t>
  </si>
  <si>
    <t>Võlalt arvestatud tulu</t>
  </si>
  <si>
    <t>Dividendid</t>
  </si>
  <si>
    <t>KOKKU</t>
  </si>
  <si>
    <t>Haridusameti haldusala</t>
  </si>
  <si>
    <t>Kultuuriameti haldusala</t>
  </si>
  <si>
    <t>Lasnamäe Linnaosa Valitsuse haldusala</t>
  </si>
  <si>
    <t>1. Linnavolikogu Kantselei</t>
  </si>
  <si>
    <t>Üür ja rent</t>
  </si>
  <si>
    <t>äriruumide üüritulu</t>
  </si>
  <si>
    <t>kommunaalteenused</t>
  </si>
  <si>
    <t xml:space="preserve">2. Linnakantselei </t>
  </si>
  <si>
    <t>Muu toodete ja teenuste müük</t>
  </si>
  <si>
    <t>finantsteenused</t>
  </si>
  <si>
    <t>muud eespoolnimetamata tulud majandustegevusest</t>
  </si>
  <si>
    <t>3. Linnaarhiiv</t>
  </si>
  <si>
    <t>Tulud tugiteenustest</t>
  </si>
  <si>
    <t>teenused</t>
  </si>
  <si>
    <t>4. Perekonnaseisuamet</t>
  </si>
  <si>
    <t>5. Haridusameti haldusala</t>
  </si>
  <si>
    <t>5.1. Haridusamet</t>
  </si>
  <si>
    <t xml:space="preserve">Tulud haridusalasest tegevusest </t>
  </si>
  <si>
    <t>teistelt kohalikelt omavalitsustelt koolide ja koolieelsete lasteasutuste tegevuskulude katteks</t>
  </si>
  <si>
    <t>Tulud kultuuri- ja kunstialasest tegevusest</t>
  </si>
  <si>
    <t>teistelt kohalikelt omavalitsustelt huvikoolide tegevuskulude katteks</t>
  </si>
  <si>
    <t>Tulud spordi- ja puhkealasest tegevusest</t>
  </si>
  <si>
    <t>5.2. Koolieelsed lasteasutused</t>
  </si>
  <si>
    <t>koolieelse lasteasutuse toitlustustasu</t>
  </si>
  <si>
    <t>koolieelse lasteasutuse kohatasu</t>
  </si>
  <si>
    <t>laste hoiu kohatasu</t>
  </si>
  <si>
    <t>laste hoiu toitlustustasu</t>
  </si>
  <si>
    <t>haridusasutuse ruumide kasutamine üritusteks</t>
  </si>
  <si>
    <t>muu vara üür ja rent</t>
  </si>
  <si>
    <t>5.3. Põhikoolid ja gümnaasiumid</t>
  </si>
  <si>
    <t>koolitoidutasu</t>
  </si>
  <si>
    <t>huviringi osalustasu</t>
  </si>
  <si>
    <t>õppetasu</t>
  </si>
  <si>
    <t>tehniliste vahendite ja inventari laenutamine</t>
  </si>
  <si>
    <t>muusikamaja ruumide kasutamine</t>
  </si>
  <si>
    <t>muusikamaja muud teenused</t>
  </si>
  <si>
    <t>5.4. Tallinna Kopli Ametikool</t>
  </si>
  <si>
    <t>ametikooli õppetasu</t>
  </si>
  <si>
    <t>5.5. Lasnamäe Lastekeskus</t>
  </si>
  <si>
    <t>5.6. Huvikoolid</t>
  </si>
  <si>
    <t>muud tasulised teenused</t>
  </si>
  <si>
    <t>huvikooli õppetasu</t>
  </si>
  <si>
    <t>piletitulu</t>
  </si>
  <si>
    <t xml:space="preserve">huviasutuse muud tulud </t>
  </si>
  <si>
    <t>noortekeskuse ruumide kasutamise teenus</t>
  </si>
  <si>
    <t>noortekeskuse muud tasulised teenused</t>
  </si>
  <si>
    <t>noortelaagri teenused</t>
  </si>
  <si>
    <t>5.7. Tallinna Õpetajate Maja</t>
  </si>
  <si>
    <t>6. Kultuuriameti haldusala</t>
  </si>
  <si>
    <t>6.1. Kultuuriamet</t>
  </si>
  <si>
    <t>ringitasu</t>
  </si>
  <si>
    <t>müügitulu</t>
  </si>
  <si>
    <t>reklaamitulu</t>
  </si>
  <si>
    <t>6.2. Tallinna Keskraamatukogu</t>
  </si>
  <si>
    <t>kultuuriasutuse ruumide kasutamine üritusteks</t>
  </si>
  <si>
    <t>kultuuriasutuse muu teenus</t>
  </si>
  <si>
    <t>6.3. Tallinna Pelgulinna Rahvamaja</t>
  </si>
  <si>
    <t>6.4. Tallinna Linnamuuseum</t>
  </si>
  <si>
    <t>6.5. Tallinna Loomaaed</t>
  </si>
  <si>
    <t>tulu parkimisest</t>
  </si>
  <si>
    <t>muu müügitulu</t>
  </si>
  <si>
    <t>6.6. Tallinna Linnateater</t>
  </si>
  <si>
    <t>6.7. Tallinna Filharmoonia</t>
  </si>
  <si>
    <t>6.8. Tallinna Rahvaülikool</t>
  </si>
  <si>
    <t>6.9. Vene Kultuurikeskus</t>
  </si>
  <si>
    <t>7. Spordi- ja Noorsooameti haldusala</t>
  </si>
  <si>
    <t>7.1. Tallinna Spordi- ja Noorsooamet</t>
  </si>
  <si>
    <t>7.2. Pirita Spordikeskus</t>
  </si>
  <si>
    <t>spordiasutuse tasulised teenused</t>
  </si>
  <si>
    <t>ruumide kasutamine üritusteks</t>
  </si>
  <si>
    <t>7.3. Tallinna Spordihall</t>
  </si>
  <si>
    <t>7.4. Kadrioru Staadion</t>
  </si>
  <si>
    <t>Elamu- ja kommunaaltegevuse tulud</t>
  </si>
  <si>
    <t>eluruumide üüritulu</t>
  </si>
  <si>
    <t>7.5. Kristiine Sport</t>
  </si>
  <si>
    <t>7.6. Nõmme Spordikeskus</t>
  </si>
  <si>
    <t>7.7. Tallinna Spordikool</t>
  </si>
  <si>
    <t>treeningu õppetasu</t>
  </si>
  <si>
    <t>võistluste osalustasu</t>
  </si>
  <si>
    <t>spordilaagri teenused</t>
  </si>
  <si>
    <t xml:space="preserve">äriruumide üüritulu </t>
  </si>
  <si>
    <t>7.8. Tondiraba Spordikeskus</t>
  </si>
  <si>
    <t>8. Sotsiaal- ja Tervishoiuameti haldusala</t>
  </si>
  <si>
    <t>8.1. Sotsiaal- ja Tervishoiuamet</t>
  </si>
  <si>
    <t>muu tulu majandustegevusest</t>
  </si>
  <si>
    <t>8.2. Päevakeskus Käo</t>
  </si>
  <si>
    <t>Tulud sotsiaalabialasest tegevusest</t>
  </si>
  <si>
    <t>hooldustasu</t>
  </si>
  <si>
    <t>toitlustustasu</t>
  </si>
  <si>
    <t>õppekulude tasu</t>
  </si>
  <si>
    <t>8.3. Tallinna Lastekodu</t>
  </si>
  <si>
    <t>8.4. Tallinna Vaimse Tervise Keskus</t>
  </si>
  <si>
    <t>majutusteenus</t>
  </si>
  <si>
    <t>8.5. Iru Hooldekodu</t>
  </si>
  <si>
    <t>8.6. Tallinna Tugikeskus Juks</t>
  </si>
  <si>
    <t>8.7. Tallinna Sotsiaaltöö Keskus</t>
  </si>
  <si>
    <t>pesupesemisteenus</t>
  </si>
  <si>
    <t>Tulud tervishoiualasest tegevusest</t>
  </si>
  <si>
    <t>9. Linnavaraamet</t>
  </si>
  <si>
    <t>sotsiaalmajutusüksuse kohatasu</t>
  </si>
  <si>
    <t>sotsiaalmajutusüksuse saunateenus</t>
  </si>
  <si>
    <t>10. Ettevõtlusameti haldusala</t>
  </si>
  <si>
    <t>10.1. Ettevõtlusamet</t>
  </si>
  <si>
    <t>linnarajatiste reklaamitulu</t>
  </si>
  <si>
    <t>10.2. Tallinna Turud</t>
  </si>
  <si>
    <t>tulu müügipiletite realiseerimisest</t>
  </si>
  <si>
    <t>Kasum/kahjum varude müügist</t>
  </si>
  <si>
    <t>kauba müük (km 20%, linnapoe kauba müük)</t>
  </si>
  <si>
    <t>11. Transpordiamet</t>
  </si>
  <si>
    <t>Tulud transporditeenustest</t>
  </si>
  <si>
    <t>piletimüügi teenustasu</t>
  </si>
  <si>
    <t>tulu koolibussi teenuse osutamisest teistele valdadele</t>
  </si>
  <si>
    <t>veetranspordi piletitulu</t>
  </si>
  <si>
    <t>12. Kommunaalameti haldusala</t>
  </si>
  <si>
    <t>12.1. Kommunaalamet</t>
  </si>
  <si>
    <t>veoseloa tasu</t>
  </si>
  <si>
    <t>kindlustushüvitised</t>
  </si>
  <si>
    <t>12.2. Kadrioru Park</t>
  </si>
  <si>
    <t>haljastusteenused</t>
  </si>
  <si>
    <t>13. Keskkonnaameti haldusala</t>
  </si>
  <si>
    <t>13.1. Keskkonnaamet</t>
  </si>
  <si>
    <t>Tulu keskkonnaalasest tegevusest</t>
  </si>
  <si>
    <t>tasu jäätmete vastuvõtmise eest jäätmejaamas</t>
  </si>
  <si>
    <t>13.2. Tallinna Kalmistud</t>
  </si>
  <si>
    <t>kalmistuteenused</t>
  </si>
  <si>
    <t>väikeloomade krematooriumiteenus</t>
  </si>
  <si>
    <t>väikeloomade transport</t>
  </si>
  <si>
    <t>13.3. Tallinna Botaanikaaed</t>
  </si>
  <si>
    <t>botaanikaaia piletitulu</t>
  </si>
  <si>
    <t>muud botaanikaaia tasulised teenused</t>
  </si>
  <si>
    <t>looduskooli tasu</t>
  </si>
  <si>
    <t>13.4. Tallinna Jäätmekeskus</t>
  </si>
  <si>
    <t>jäätmeveo teenustasu</t>
  </si>
  <si>
    <t>14. Linnaplaneerimise Amet</t>
  </si>
  <si>
    <t>15. Haabersti Linnaosa Valitsuse haldusala</t>
  </si>
  <si>
    <t>15.1. Haabersti Linnaosa Valitsus</t>
  </si>
  <si>
    <t>tulu kaubandustegevusest</t>
  </si>
  <si>
    <t>15.2. Haabersti Vaba Aja Keskus</t>
  </si>
  <si>
    <t>15.3. Haabersti Sotsiaalkeskus</t>
  </si>
  <si>
    <t>kliendi osalustasu koduteenuste osutamisel</t>
  </si>
  <si>
    <t>hoolekandeasutuse ruumide kasutamine üritusteks</t>
  </si>
  <si>
    <t>16. Tallinna Kesklinna Valitsuse haldusala</t>
  </si>
  <si>
    <t>16.1. Tallinna Kesklinna Valitsus</t>
  </si>
  <si>
    <t>16.2. Tallinna Kesklinna Sotsiaalkeskus</t>
  </si>
  <si>
    <t>dementsete vanurite päevahoiu tasu</t>
  </si>
  <si>
    <t>16.3. Raua Saun</t>
  </si>
  <si>
    <t>muud tulud</t>
  </si>
  <si>
    <t>16.4. Kesklinna Vaba Aja Keskus</t>
  </si>
  <si>
    <t>muud rahva- ja kultuurimaja tasulised teenused</t>
  </si>
  <si>
    <t>17. Kristiine Linnaosa Valitsuse haldusala</t>
  </si>
  <si>
    <t>17.1. Kristiine Linnaosa Valitsus</t>
  </si>
  <si>
    <t>muu reklaamitulu</t>
  </si>
  <si>
    <t>18. Lasnamäe Linnaosa Valitsuse haldusala</t>
  </si>
  <si>
    <t>18.1. Lasnamäe Linnaosa Valitsus</t>
  </si>
  <si>
    <t>18.2. Lasnamäe Spordikompleks</t>
  </si>
  <si>
    <t>18.3. Kultuurikeskus Lindakivi</t>
  </si>
  <si>
    <t>18.4. Lasnamäe Sotsiaalkeskus</t>
  </si>
  <si>
    <t>18.5. Lasnamäe Noortekeskus</t>
  </si>
  <si>
    <t>18.6. Lasnamäe Saun</t>
  </si>
  <si>
    <t>18.7. Lasnamäe Lastekeskus</t>
  </si>
  <si>
    <t>19. Mustamäe Linnaosa Valitsuse haldusala</t>
  </si>
  <si>
    <t>19.1. Mustamäe Linnaosa Valitsus</t>
  </si>
  <si>
    <t>19.2. Mustamäe Kultuurikeskus Kaja</t>
  </si>
  <si>
    <t>19.3. Mustamäe Päevakeskus</t>
  </si>
  <si>
    <t>20. Nõmme Linnaosa Valitsuse haldusala</t>
  </si>
  <si>
    <t>20.1. Nõmme Linnaosa Valitsus</t>
  </si>
  <si>
    <t>muuseumi piletitulu</t>
  </si>
  <si>
    <t>muuseumi muu teenus</t>
  </si>
  <si>
    <t>sauna piletitulu</t>
  </si>
  <si>
    <t>20.2. Nõmme Kultuurikeskus</t>
  </si>
  <si>
    <t>20.3. Nõmme Vaba Aja Keskus</t>
  </si>
  <si>
    <t>20.4. Nõmme Sotsiaalmaja</t>
  </si>
  <si>
    <t>koduteenuste tasu</t>
  </si>
  <si>
    <t>21. Pirita Linnaosa Valitsuse haldusala</t>
  </si>
  <si>
    <t>21.1. Pirita Linnaosa Valitsus</t>
  </si>
  <si>
    <t>21.2. Pirita Vaba Aja Keskus</t>
  </si>
  <si>
    <t>hoolekande muud teenused</t>
  </si>
  <si>
    <t>muud päevakeskuse teenused</t>
  </si>
  <si>
    <t>22. Põhja-Tallinna Valitsuse haldusala</t>
  </si>
  <si>
    <t>22.1. Põhja-Tallinna Valitsus</t>
  </si>
  <si>
    <t>22.2. Põhja-Tallinna Sotsiaalkeskus</t>
  </si>
  <si>
    <t>22.3. Paljassaare Sotsiaalmaja</t>
  </si>
  <si>
    <t>22.4. Salme Kultuurikeskus</t>
  </si>
  <si>
    <t>22.5. Põhja-Tallinna Noortekeskus</t>
  </si>
  <si>
    <t>KOKKU OMATULUD</t>
  </si>
  <si>
    <t>Toetused riigilt ja muudelt institutsioonidelt</t>
  </si>
  <si>
    <r>
      <t xml:space="preserve">sh </t>
    </r>
    <r>
      <rPr>
        <u/>
        <sz val="10"/>
        <rFont val="Arial"/>
        <family val="2"/>
        <charset val="186"/>
      </rPr>
      <t>tegevuskuludeks</t>
    </r>
  </si>
  <si>
    <t>investeeringuteks</t>
  </si>
  <si>
    <t>sh teede ja tänavate korrashoid</t>
  </si>
  <si>
    <t>Tallinna Keskraamatukogule teavikute soetamine</t>
  </si>
  <si>
    <t>Gustav Adolfi Gümnaasiumi võimlahoone tervikrenoveerimine ja sisustuse ost</t>
  </si>
  <si>
    <t>tehiselupaigad ohustatud taimeliikidele Tallinna Botaanikaaias</t>
  </si>
  <si>
    <t>Toetus välisprojektide kaasfinantseerimiseks</t>
  </si>
  <si>
    <t>Loomaaia liigikaitse labori naaritsaaedikute kompleksi ehitus ja DNA labori sisustus</t>
  </si>
  <si>
    <t>Reidi tee ehitamiseks Tallinnas</t>
  </si>
  <si>
    <t>Välisrahastus kokku</t>
  </si>
  <si>
    <t>Uuendusi Euroopa Liidu vananemissõbralikele keskkondadele</t>
  </si>
  <si>
    <t>Tallinna linna broneeringute süsteemi eelanalüüs</t>
  </si>
  <si>
    <t>Tallinna linna õigusaktide menetlemise süsteemi eelanalüüs</t>
  </si>
  <si>
    <t>Eriilmeliste lasteaiakohtade loomine Tallinna linna lasteasutustes</t>
  </si>
  <si>
    <t>Nutikad loomaaiad. Rahvusvaheline teenustepakett loovaks õppimiseks Kesk-Läänemere Regiooni loomaaedades (SmartZoos)</t>
  </si>
  <si>
    <t>Spordi- ja Noorsooameti haldusala</t>
  </si>
  <si>
    <t xml:space="preserve"> Tallinna linna ühiskaardi kasutusvõimaluste analüüs spordibaasides ja noortekeskustes</t>
  </si>
  <si>
    <t>Tallinna eakate kodujälgimisprojekt SmartCare</t>
  </si>
  <si>
    <t>Puuetega inimeste transpordi infosüsteemi lähteülesande koostamine</t>
  </si>
  <si>
    <t>Tallinna välireklaami- ja teabekandjate ning reklaamimaksu järelevalveliste menetluste andmekogu eelanalüüs</t>
  </si>
  <si>
    <t>CREATE - Liiklusummikute vähendamine Euroopas: transpordi efektiivsuse edendamine</t>
  </si>
  <si>
    <t>NSB CoRe - Läänemere-Balti transpordikoridor kui regiooni ühendaja</t>
  </si>
  <si>
    <t>FLOW</t>
  </si>
  <si>
    <t>Freigth Tails</t>
  </si>
  <si>
    <t>Baltic Flows - sademevee jälgimine ja juhtimine Läänemere piirkonna valgaladel</t>
  </si>
  <si>
    <t>Tallinna linna hooldus-, heakorra- ja haljastustööde infosüsteemi loomise eelanalüüsi läbiviimine</t>
  </si>
  <si>
    <t>Energia teekaardid - R4E</t>
  </si>
  <si>
    <t>BLASTIC - plastijäätmete teekond Läänemerre</t>
  </si>
  <si>
    <t>NATTOURS - jätkusuutlikud loodusrajad linnades, kasutades uusi IT-lahendusi</t>
  </si>
  <si>
    <t>INTHERWASTE – piirkondadevaheline jäätmemajanduse keskkonda integreerimine Euroopa kultuuripärandiga linnades</t>
  </si>
  <si>
    <t>Läänemere linnade uurimislabor (Baltic Urban Lab)</t>
  </si>
  <si>
    <t>Tallinna linnaplaneerimise valdkonna arhiivimaterjalide kättesaadavuse ja kasutatavuse parandamise analüüs</t>
  </si>
  <si>
    <t>L. Koidula tn 23 hoone rekonstrueerimine lasteaiaks</t>
  </si>
  <si>
    <t>Pihlaka tn 10 hoone rekonstrueerimine lasteaiaks</t>
  </si>
  <si>
    <t>Välisrahastusega teede ja tänavate rekonstrueerimine</t>
  </si>
  <si>
    <t>sh Haabersti ristmiku rekonstrueerimine</t>
  </si>
  <si>
    <t>Linnapiirkondade kergliiklusteede ehitamine</t>
  </si>
  <si>
    <t>sh kergliiklustee raudtee tammil (Ehitajate tee - Stroomi rand)</t>
  </si>
  <si>
    <t>Paldiski mnt kergliiklustee (Tähetorni tn - Järvekalda tee)</t>
  </si>
  <si>
    <t>Ülemiste järve liikumisrada (Tartu mnt lõigus Lennujaama tee – Vana-Tartu mnt)</t>
  </si>
  <si>
    <t>Kesklinna Valitsus</t>
  </si>
  <si>
    <t>Aegna päästepunkti rekonstrueerimine sadamahoones</t>
  </si>
  <si>
    <t>Linnakassa tulud</t>
  </si>
  <si>
    <t>Omatulud</t>
  </si>
  <si>
    <t>Toetused</t>
  </si>
  <si>
    <t>Linnavolikogu Kantselei</t>
  </si>
  <si>
    <t>ps amortisatsioon</t>
  </si>
  <si>
    <t xml:space="preserve">Katteallikad </t>
  </si>
  <si>
    <t>sh omatulud</t>
  </si>
  <si>
    <t>linnakassa</t>
  </si>
  <si>
    <t>LINNA TUGITEENUSED</t>
  </si>
  <si>
    <t xml:space="preserve">Linnavolikogu kantselei  </t>
  </si>
  <si>
    <t>sellest töötasu</t>
  </si>
  <si>
    <t>LINNA JUHTIMINE</t>
  </si>
  <si>
    <t xml:space="preserve">Linnavolikogu </t>
  </si>
  <si>
    <t>Visioonikonverents</t>
  </si>
  <si>
    <t>KULTUUR</t>
  </si>
  <si>
    <t>Kultuurilinnade koostöövõrgustik</t>
  </si>
  <si>
    <t xml:space="preserve">Linnakantselei </t>
  </si>
  <si>
    <t>välisrahastus</t>
  </si>
  <si>
    <t>IT teenused (ü)</t>
  </si>
  <si>
    <t>HARIDUS</t>
  </si>
  <si>
    <t>Haridusasutuste IKT keskkond</t>
  </si>
  <si>
    <t>Avalikud suhted</t>
  </si>
  <si>
    <t>Arendustegevus</t>
  </si>
  <si>
    <t>Personalijuhtimine</t>
  </si>
  <si>
    <t>Haldusteenused</t>
  </si>
  <si>
    <t>Finantsjuhtimine (ü)</t>
  </si>
  <si>
    <t>Linnavalitsus ja linnavalitsuse liikmete bürood</t>
  </si>
  <si>
    <t>Linnasekretäri büroo ja linna valdkondlike teenistuste isikkoosseis</t>
  </si>
  <si>
    <t>Juhtimistugi</t>
  </si>
  <si>
    <t>Liikmemaksud (a)</t>
  </si>
  <si>
    <t>Juriidilised teenused ja ühekordsed kohtuvaidlused</t>
  </si>
  <si>
    <t>Rahvaküsitlused</t>
  </si>
  <si>
    <t>Rahuliku kooselamise programm</t>
  </si>
  <si>
    <t>Vene Kultuurikeskusele eesti keele süvaõppe jätkamiseks venekeelsete koolide ja lasteaedade pedagoogidele</t>
  </si>
  <si>
    <t>Integreerumist soodustava üritustesarja jätkamine Mustamäe linnaosas</t>
  </si>
  <si>
    <t>Omavalitsusfoorumid ja koostöö arendamine</t>
  </si>
  <si>
    <t>AVALIK KORD</t>
  </si>
  <si>
    <t>Kesklinna videovalve</t>
  </si>
  <si>
    <t>Turvalisuse projektid</t>
  </si>
  <si>
    <t>Linna asutuste turvalisuse tõstmine</t>
  </si>
  <si>
    <t>Endiste linnapeade toetus (a)</t>
  </si>
  <si>
    <t>Toetus SA-le Tallinna Arengu- ja Koolituskeskus</t>
  </si>
  <si>
    <t>Stipendiumid</t>
  </si>
  <si>
    <r>
      <t xml:space="preserve">sh </t>
    </r>
    <r>
      <rPr>
        <sz val="8"/>
        <rFont val="Arial"/>
        <family val="2"/>
        <charset val="186"/>
      </rPr>
      <t>Jaan Poska stipendium (Tallinna Tehnikaülikool)</t>
    </r>
  </si>
  <si>
    <t>Tallinna linna stipendium (Tallinna Ülikool)</t>
  </si>
  <si>
    <t>Tallinna linna Peterburi stipendium (Eesti Kunstiakadeemia)</t>
  </si>
  <si>
    <t>Tallinna linna Johan Pitka stipendium (Tallinna Tehnikaülikooli Eesti Mereakadeemia)</t>
  </si>
  <si>
    <t>Tallinna linna infotehnoloogia stipendium (Eesti Infotehnoloogia Kolledž)</t>
  </si>
  <si>
    <t>Tallinna linna stipendium (Estonian Business School)</t>
  </si>
  <si>
    <t>Tallinna linna innovatsioonistipendium (Eesti Ettevõtluskõrgkool Mainor)</t>
  </si>
  <si>
    <t>Tallinna linna Anton Uessoni stipendium (Eesti Kunstiakadeemia)</t>
  </si>
  <si>
    <t>Koostöö arendamine partnerlinnade ja rahvusvaheliste organisatsioonidega</t>
  </si>
  <si>
    <t>Välisrahastusega projekt „Uuendusi Euroopa Liidu 
vananemissõbralikele keskkondadele” (ü)</t>
  </si>
  <si>
    <t>sellest välisrahastus</t>
  </si>
  <si>
    <t>Välisrahastusega projekt „Tallinna linna broneeringute süsteemi eelanalüüs” (ü)</t>
  </si>
  <si>
    <t>Välisrahastusega projekt „Tallinna linna õigusaktide menetlemise infosüsteemi eelanalüüs” (ü)</t>
  </si>
  <si>
    <t>välisrahastuse arvelt</t>
  </si>
  <si>
    <t>Tootegrupp: arhiiviteenused</t>
  </si>
  <si>
    <t>Tallinna ajaloo üldkäsitluse koostamine ja väljaandmine (ü)</t>
  </si>
  <si>
    <t>Perekonnaseisuamet</t>
  </si>
  <si>
    <t>Tootegrupp: perekonnaseisuteenused</t>
  </si>
  <si>
    <t>Tootevaldkond: haridus</t>
  </si>
  <si>
    <t>Tootegrupp: lastehoid ja alusharidus</t>
  </si>
  <si>
    <t>Tootegrupp: põhi- ja üldkeskharidus</t>
  </si>
  <si>
    <t>Tootegrupp: kutseharidus</t>
  </si>
  <si>
    <t>Tootegrupp: huviharidus</t>
  </si>
  <si>
    <t>Tootegrupp: hariduse tugiteenused</t>
  </si>
  <si>
    <t>Toode:</t>
  </si>
  <si>
    <t>Lasnamäe Lastekeskus</t>
  </si>
  <si>
    <t>Tallinna Õpetajate Maja</t>
  </si>
  <si>
    <t>Muud eelarvepositsioonid</t>
  </si>
  <si>
    <t xml:space="preserve">Haridusamet </t>
  </si>
  <si>
    <t>Haridusalased tugiteenused</t>
  </si>
  <si>
    <t>haridustöötajate tunnustamine</t>
  </si>
  <si>
    <t>IKT keskkond</t>
  </si>
  <si>
    <t>Toetus SA-le Tallinna Tehnika- ja Teaduskeskus</t>
  </si>
  <si>
    <t>Toetus SA-le Tallinna Vene Lütseum</t>
  </si>
  <si>
    <t>Välisrahastusega projekt "Eriilmeliste lasteaiakohtade loomine Tallinna linna lasteasutustes" (ü)</t>
  </si>
  <si>
    <t>Tootevaldkond: kultuur</t>
  </si>
  <si>
    <r>
      <t>Tootegrupp: raamatukogud</t>
    </r>
    <r>
      <rPr>
        <b/>
        <sz val="8"/>
        <rFont val="Arial"/>
        <family val="2"/>
        <charset val="186"/>
      </rPr>
      <t xml:space="preserve"> (Tallinna Keskraamatukogu)</t>
    </r>
  </si>
  <si>
    <r>
      <t>Tootegrupp: kultuuritegevus</t>
    </r>
    <r>
      <rPr>
        <b/>
        <sz val="8"/>
        <rFont val="Arial"/>
        <family val="2"/>
        <charset val="186"/>
      </rPr>
      <t xml:space="preserve"> (Vene Kultuurikeskus, Tallinna Pelgulinna Rahvamaja)</t>
    </r>
  </si>
  <si>
    <r>
      <t>Tootegrupp: muuseumid</t>
    </r>
    <r>
      <rPr>
        <b/>
        <sz val="8"/>
        <rFont val="Arial"/>
        <family val="2"/>
        <charset val="186"/>
      </rPr>
      <t xml:space="preserve"> (Tallinna Linnamuuseum)</t>
    </r>
  </si>
  <si>
    <r>
      <t>Tootegrupp: loomaaed</t>
    </r>
    <r>
      <rPr>
        <sz val="8"/>
        <rFont val="Arial"/>
        <family val="2"/>
        <charset val="186"/>
      </rPr>
      <t xml:space="preserve"> (Tallinna Loomaaed)</t>
    </r>
  </si>
  <si>
    <r>
      <t>Tootegrupp: teater</t>
    </r>
    <r>
      <rPr>
        <sz val="8"/>
        <rFont val="Arial"/>
        <family val="2"/>
        <charset val="186"/>
      </rPr>
      <t xml:space="preserve"> (Tallinna Linnateater)</t>
    </r>
  </si>
  <si>
    <r>
      <t>Tootegrupp: kontsertteenus</t>
    </r>
    <r>
      <rPr>
        <sz val="8"/>
        <rFont val="Arial"/>
        <family val="2"/>
        <charset val="186"/>
      </rPr>
      <t xml:space="preserve"> (Tallinna Filharmoonia)</t>
    </r>
  </si>
  <si>
    <r>
      <t>Tootegrupp: koolitusteenus</t>
    </r>
    <r>
      <rPr>
        <sz val="8"/>
        <rFont val="Arial"/>
        <family val="2"/>
        <charset val="186"/>
      </rPr>
      <t xml:space="preserve"> (Tallinna Rahvaülikool)</t>
    </r>
  </si>
  <si>
    <t>Tallinna Kultuuriamet</t>
  </si>
  <si>
    <t>Ülelinnalised kultuuriüritused ja -projektid*</t>
  </si>
  <si>
    <t>Olulisemad üritused:</t>
  </si>
  <si>
    <t>Hiina uusaasta</t>
  </si>
  <si>
    <t>Tallinna Linnateatri 50. juubeli ettevalmistus</t>
  </si>
  <si>
    <t>Tallinna päev</t>
  </si>
  <si>
    <t>Kristjan Raua kunstipreemia</t>
  </si>
  <si>
    <t>Tallinna Merepäevad</t>
  </si>
  <si>
    <t xml:space="preserve">sellest ajakirja „Paat” väljaandmise toetamine </t>
  </si>
  <si>
    <t>Birgitta festival</t>
  </si>
  <si>
    <t>Taasiseseisvumise aastapäev</t>
  </si>
  <si>
    <t>Kultuuriöö</t>
  </si>
  <si>
    <t>Rahvuskultuuride päev</t>
  </si>
  <si>
    <t>Tallinna kohtumised Peterburis</t>
  </si>
  <si>
    <t>Hingedepäeva kontsert</t>
  </si>
  <si>
    <t xml:space="preserve">Tallinna Kammerorkestri kontsertreis Hiina </t>
  </si>
  <si>
    <t>Jõulukontsert</t>
  </si>
  <si>
    <t>Talveöö unenägu</t>
  </si>
  <si>
    <t>* Eelarve täitmisel on linnavalitsusel õigus muuta summade jaotust ülelinnaliste kultuuriürituste üldsumma piires.</t>
  </si>
  <si>
    <t>Kultuuriprojektide ja -organisatsioonide toetamine</t>
  </si>
  <si>
    <r>
      <t>sellest</t>
    </r>
    <r>
      <rPr>
        <sz val="8"/>
        <rFont val="Arial"/>
        <family val="2"/>
        <charset val="186"/>
      </rPr>
      <t xml:space="preserve"> MTÜ Pimedate Ööde Filmifestival</t>
    </r>
  </si>
  <si>
    <t>sellest Tallinna Grand Prix ja publikupreemia</t>
  </si>
  <si>
    <t>Rahvusvaheline Rahvuskultuuride Ühenduste Liit Lüüra</t>
  </si>
  <si>
    <t>Haridusselts „Vene Kultuuri Rahvaülikool”</t>
  </si>
  <si>
    <t>Vana Baskini Teater OÜ</t>
  </si>
  <si>
    <t>ART - Fortius MTÜ (Kuldne Mask Eestis)</t>
  </si>
  <si>
    <t>SA ORTHODOX SINGERS</t>
  </si>
  <si>
    <t>Jazzkaare Sõprade Ühing</t>
  </si>
  <si>
    <t>Eesti Kooriühing</t>
  </si>
  <si>
    <t>MTÜ Kultuuritraditsioonid</t>
  </si>
  <si>
    <t>Laulu- ja Tantsupeo Slaavi pärg Korralduskomitee</t>
  </si>
  <si>
    <t>Eesti Noorte Purjeõppeselts „STA ESTONIA”</t>
  </si>
  <si>
    <t xml:space="preserve">Mittetulundusühing Mustonenfest   </t>
  </si>
  <si>
    <t>Sihtasutus Tallinna Kunstihoone Fond</t>
  </si>
  <si>
    <t>OÜ Eesti Nukukunsti Maja</t>
  </si>
  <si>
    <t>DX ART MTÜ</t>
  </si>
  <si>
    <t>Mittetulundusühing LOOMINGUKESKUS APLAUS</t>
  </si>
  <si>
    <t>Loomingukeskus Šanss</t>
  </si>
  <si>
    <t>Toetus SA-le Tallinna Kultuurikatel</t>
  </si>
  <si>
    <t>Toetus SA-le Tallinna Vene Muuseum</t>
  </si>
  <si>
    <t>Toetus Revali Raeapteegi Muuseumi Ühingule</t>
  </si>
  <si>
    <t>Linna kunstikogu haldamine</t>
  </si>
  <si>
    <t>Tallinna teeneka kultuuritegelase preemia</t>
  </si>
  <si>
    <t>Projekt „Tallinna Raamat”</t>
  </si>
  <si>
    <t>Välisrahastusega projekt „Nutikad loomaaiad. Rahvusvaheline teenustepakett loovaks õppimiseks Kesk-Läänemere Regiooni loomaaedades (SmartZoos)” (ü)</t>
  </si>
  <si>
    <t>SPORT JA VABA AEG</t>
  </si>
  <si>
    <t>Tootevaldkond: sport ja vaba aeg</t>
  </si>
  <si>
    <t>Tootegrupp: sportimisvõimaluste tagamine</t>
  </si>
  <si>
    <r>
      <t>Spordihallid ja -väljakud</t>
    </r>
    <r>
      <rPr>
        <sz val="8"/>
        <rFont val="Arial"/>
        <family val="2"/>
        <charset val="186"/>
      </rPr>
      <t xml:space="preserve"> (Tallinna Spordihall)</t>
    </r>
  </si>
  <si>
    <r>
      <t>Spordihooned ja -rajatised</t>
    </r>
    <r>
      <rPr>
        <sz val="8"/>
        <rFont val="Arial"/>
        <family val="2"/>
        <charset val="186"/>
      </rPr>
      <t xml:space="preserve"> (Pirita Spordikeskus, Tondiraba Spordikeskus, Kristiine Sport, Nõmme Spordikeskus)</t>
    </r>
  </si>
  <si>
    <r>
      <t>Ujulad</t>
    </r>
    <r>
      <rPr>
        <sz val="8"/>
        <rFont val="Arial"/>
        <family val="2"/>
        <charset val="186"/>
      </rPr>
      <t xml:space="preserve"> (Tallinna Spordihall)</t>
    </r>
  </si>
  <si>
    <r>
      <t>Staadionid</t>
    </r>
    <r>
      <rPr>
        <sz val="8"/>
        <rFont val="Arial"/>
        <family val="2"/>
        <charset val="186"/>
      </rPr>
      <t xml:space="preserve"> (Kadrioru Staadion, Spordi- ja Noorsooamet (Snelli Staadion), Nõmme Spordikeskus)</t>
    </r>
  </si>
  <si>
    <t>Tootegrupp: sporditegevuse toetamine</t>
  </si>
  <si>
    <t>Sporditegevuse toetamine (a)</t>
  </si>
  <si>
    <t>Tootegrupp: spordikoolid</t>
  </si>
  <si>
    <r>
      <t>Spordikoolid (</t>
    </r>
    <r>
      <rPr>
        <sz val="8"/>
        <rFont val="Arial"/>
        <family val="2"/>
        <charset val="186"/>
      </rPr>
      <t>Tallinna Spordikool</t>
    </r>
    <r>
      <rPr>
        <sz val="10"/>
        <rFont val="Arial"/>
        <family val="2"/>
        <charset val="186"/>
      </rPr>
      <t>)</t>
    </r>
  </si>
  <si>
    <t>NOORSOOTÖÖ</t>
  </si>
  <si>
    <t>Tootevaldkond: noorsootöö</t>
  </si>
  <si>
    <t>Tootegrupp: noorsootöö</t>
  </si>
  <si>
    <t>Noorte info- ja nõustamiskeskus</t>
  </si>
  <si>
    <t>Eraspordibaaside toetus</t>
  </si>
  <si>
    <r>
      <t>sh</t>
    </r>
    <r>
      <rPr>
        <sz val="8"/>
        <rFont val="Arial"/>
        <family val="2"/>
        <charset val="186"/>
      </rPr>
      <t xml:space="preserve"> jäähallid</t>
    </r>
  </si>
  <si>
    <t>Spordiprojektide toetus</t>
  </si>
  <si>
    <r>
      <t xml:space="preserve">sh </t>
    </r>
    <r>
      <rPr>
        <sz val="8"/>
        <rFont val="Arial"/>
        <family val="2"/>
        <charset val="186"/>
      </rPr>
      <t>Tallinna Spordiselts Kalev</t>
    </r>
  </si>
  <si>
    <t>Eesti Korvpalliliit</t>
  </si>
  <si>
    <t>Spordiklubi LiVal Sport</t>
  </si>
  <si>
    <t>Tallinna Spordiveteranid</t>
  </si>
  <si>
    <t>terviseliikumise programmüritused</t>
  </si>
  <si>
    <t>Tallinna meistrivõistlused</t>
  </si>
  <si>
    <t>Tallinna Maraton</t>
  </si>
  <si>
    <t>rahvusvahelised spordiüritused</t>
  </si>
  <si>
    <t>Tallinna noorsportlased</t>
  </si>
  <si>
    <t>talispordi toetamine</t>
  </si>
  <si>
    <t>saavutusspordi toetamine</t>
  </si>
  <si>
    <t>võitlusspordi toetamine</t>
  </si>
  <si>
    <t>Tallinna spordiaasta lõpetamine</t>
  </si>
  <si>
    <t>SPORDIKLUBI SINIMÄE</t>
  </si>
  <si>
    <t>muud spordiprojektid</t>
  </si>
  <si>
    <t>Noorsootööprogrammid ja -projektid</t>
  </si>
  <si>
    <t>arendustegevus</t>
  </si>
  <si>
    <t>laagriprojektid</t>
  </si>
  <si>
    <t>parima noorsootöötaja preemia</t>
  </si>
  <si>
    <t>programmilised tegevused ja üritused</t>
  </si>
  <si>
    <t>toetused</t>
  </si>
  <si>
    <r>
      <rPr>
        <i/>
        <sz val="8"/>
        <rFont val="Arial"/>
        <family val="2"/>
        <charset val="186"/>
      </rPr>
      <t>sh</t>
    </r>
    <r>
      <rPr>
        <sz val="8"/>
        <rFont val="Arial"/>
        <family val="2"/>
        <charset val="186"/>
      </rPr>
      <t xml:space="preserve"> SA Õpilasmalev</t>
    </r>
  </si>
  <si>
    <t>Tallinna linna noortevolikogu</t>
  </si>
  <si>
    <t>noorsootööprojektid</t>
  </si>
  <si>
    <t>noorteühingud</t>
  </si>
  <si>
    <t>Elamusspordikeskus Ühing</t>
  </si>
  <si>
    <t>Noorsootöö projektid</t>
  </si>
  <si>
    <t>Noorsportlaste terviseuuringud</t>
  </si>
  <si>
    <t>Välisrahastusega projekt „Tallinna linna ühiskaardi kasutusvõimaluste analüüs spordibaasides ja noortekeskustes” (ü)</t>
  </si>
  <si>
    <t>Sotsiaal- ja Tervishoiuameti haldusala</t>
  </si>
  <si>
    <t>toetused riigilt ja muudelt institutsioonidelt</t>
  </si>
  <si>
    <t>SOTSIAALHOOLEKANNE</t>
  </si>
  <si>
    <t>Tootevaldkond: sotsiaalhoolekanne</t>
  </si>
  <si>
    <t>Tootegrupp: puuetega isikute hoolekanne</t>
  </si>
  <si>
    <t>Viipekeeleteenus</t>
  </si>
  <si>
    <t>Isikliku abistaja teenused</t>
  </si>
  <si>
    <r>
      <t xml:space="preserve">Raske ja sügava puudega laste tugiisikuteenus </t>
    </r>
    <r>
      <rPr>
        <sz val="8"/>
        <rFont val="Arial"/>
        <family val="2"/>
        <charset val="186"/>
      </rPr>
      <t>(Tallinna Perekeskus)</t>
    </r>
  </si>
  <si>
    <t>Töö- ja rakenduskeskuse teenused</t>
  </si>
  <si>
    <t>Nõustamisteenused</t>
  </si>
  <si>
    <r>
      <t>Päevategevus ja -hoid</t>
    </r>
    <r>
      <rPr>
        <sz val="8"/>
        <rFont val="Arial"/>
        <family val="2"/>
        <charset val="186"/>
      </rPr>
      <t xml:space="preserve"> (Sotsiaal- ja Tervishoiuamet, Tallinna Tugikeskus Juks, Päevakeskus Käo)</t>
    </r>
  </si>
  <si>
    <t>Puudega inimese perekonda toetavad teenused</t>
  </si>
  <si>
    <r>
      <t>Teenused psüühiliste erivajadustega inimestele</t>
    </r>
    <r>
      <rPr>
        <sz val="8"/>
        <rFont val="Arial"/>
        <family val="2"/>
        <charset val="186"/>
      </rPr>
      <t xml:space="preserve"> (Tallinna Vaimse Tervise Keskus)</t>
    </r>
  </si>
  <si>
    <t>Tootegrupp: eakate hoolekanne</t>
  </si>
  <si>
    <r>
      <t>Üldhooldekodu teenused</t>
    </r>
    <r>
      <rPr>
        <sz val="8"/>
        <rFont val="Arial"/>
        <family val="2"/>
        <charset val="186"/>
      </rPr>
      <t xml:space="preserve"> (Sotsiaal- ja Tervishoiuamet, Iru Hooldekodu)</t>
    </r>
  </si>
  <si>
    <t>Eaka inimese perekonda toetavad teenused</t>
  </si>
  <si>
    <t>Sotsiaalvalve teenus</t>
  </si>
  <si>
    <t>Eakate päevakeskuste haldamine</t>
  </si>
  <si>
    <t>Omastehooldaja asendusteenus</t>
  </si>
  <si>
    <t>Tootegrupp: laste hoolekanne</t>
  </si>
  <si>
    <t>Psühholoogiline nõustamine</t>
  </si>
  <si>
    <r>
      <t>Perekeskuse teenused</t>
    </r>
    <r>
      <rPr>
        <sz val="8"/>
        <rFont val="Arial"/>
        <family val="2"/>
        <charset val="186"/>
      </rPr>
      <t xml:space="preserve"> (Tallinna Perekeskus)</t>
    </r>
  </si>
  <si>
    <r>
      <t>Noortekodu teenus</t>
    </r>
    <r>
      <rPr>
        <sz val="8"/>
        <rFont val="Arial"/>
        <family val="2"/>
        <charset val="186"/>
      </rPr>
      <t xml:space="preserve"> (Tallinna Lastekodu)</t>
    </r>
  </si>
  <si>
    <t>Perekonda toetavad teenused</t>
  </si>
  <si>
    <t>laste toitlustamine päevakeskustes</t>
  </si>
  <si>
    <r>
      <t xml:space="preserve">Laste ja emad lastega turvakoduteenused </t>
    </r>
    <r>
      <rPr>
        <sz val="8"/>
        <rFont val="Arial"/>
        <family val="2"/>
        <charset val="186"/>
      </rPr>
      <t>(Sotsiaal- ja Tervishoiuamet, Tallinna Lastekodu, Tallinna Laste Turvakeskus)</t>
    </r>
  </si>
  <si>
    <t>Hooldamine perekonnas</t>
  </si>
  <si>
    <r>
      <t>Hooldamine asenduskodus</t>
    </r>
    <r>
      <rPr>
        <sz val="8"/>
        <rFont val="Arial"/>
        <family val="2"/>
        <charset val="186"/>
      </rPr>
      <t xml:space="preserve"> (Tallinna Lastekodu)</t>
    </r>
  </si>
  <si>
    <r>
      <t>Käitumishäiretega laste rehabilitatsiooniteenus</t>
    </r>
    <r>
      <rPr>
        <sz val="8"/>
        <rFont val="Arial"/>
        <family val="2"/>
        <charset val="186"/>
      </rPr>
      <t xml:space="preserve"> (Tallinna Laste Turvakeskus)</t>
    </r>
  </si>
  <si>
    <t xml:space="preserve"> Imiku hoolduspakid (a)</t>
  </si>
  <si>
    <t>Tootegrupp: muude kriisirühmade hoolekanne</t>
  </si>
  <si>
    <t>Sotsiaalselt tundlike sihtgruppide rehabilitatsiooniteenused</t>
  </si>
  <si>
    <t>Kodutute öömaja- ja varjupaigateenused</t>
  </si>
  <si>
    <t>Supiköögiteenused</t>
  </si>
  <si>
    <t>Õigusalane nõustamine</t>
  </si>
  <si>
    <t>Toimetulekut soodustavad teenused</t>
  </si>
  <si>
    <t>sh Tšernobõli sotsiaalprogramm</t>
  </si>
  <si>
    <t>toiduabi</t>
  </si>
  <si>
    <t>Vältimatu sotsiaalabi</t>
  </si>
  <si>
    <t>Kriisiabi</t>
  </si>
  <si>
    <r>
      <t>Sotsiaalmajutusüksused</t>
    </r>
    <r>
      <rPr>
        <sz val="8"/>
        <rFont val="Arial"/>
        <family val="2"/>
        <charset val="186"/>
      </rPr>
      <t xml:space="preserve"> (Tallinna Sotsiaaltöö Keskus)</t>
    </r>
  </si>
  <si>
    <t>Tööharjutuskeskused</t>
  </si>
  <si>
    <r>
      <t>Sotsiaalhoolekanne</t>
    </r>
    <r>
      <rPr>
        <b/>
        <i/>
        <sz val="10"/>
        <color theme="0"/>
        <rFont val="Arial"/>
        <family val="2"/>
        <charset val="186"/>
      </rPr>
      <t>1</t>
    </r>
  </si>
  <si>
    <t>Puuetega inimeste hooldajatoetus (a)</t>
  </si>
  <si>
    <r>
      <t>Muud hoolekandeteenused</t>
    </r>
    <r>
      <rPr>
        <sz val="8"/>
        <rFont val="Arial"/>
        <family val="2"/>
        <charset val="186"/>
      </rPr>
      <t xml:space="preserve"> (Tallinna Sotsiaaltöö Keskus)</t>
    </r>
  </si>
  <si>
    <r>
      <t xml:space="preserve">Muud sotsiaaltoetused, </t>
    </r>
    <r>
      <rPr>
        <i/>
        <u/>
        <sz val="10"/>
        <rFont val="Arial"/>
        <family val="2"/>
        <charset val="186"/>
      </rPr>
      <t>sh</t>
    </r>
  </si>
  <si>
    <t>Toetused lastele ja peredele (a)</t>
  </si>
  <si>
    <t>toetused toimetulekuraskustes peredele</t>
  </si>
  <si>
    <t>esmakordselt kooli mineva lapse toetus</t>
  </si>
  <si>
    <t>sünnitoetus</t>
  </si>
  <si>
    <t>lapsehoiuteenuse hüvitis</t>
  </si>
  <si>
    <t>puudega lapse toetus</t>
  </si>
  <si>
    <t>ellusuunamise toetus</t>
  </si>
  <si>
    <t>eluruumi kohandamise hüvitis puudega inimesele (ü)</t>
  </si>
  <si>
    <t>Toetused eakatele</t>
  </si>
  <si>
    <t>pensionilisa*</t>
  </si>
  <si>
    <r>
      <t>sh</t>
    </r>
    <r>
      <rPr>
        <sz val="8"/>
        <rFont val="Arial"/>
        <family val="2"/>
        <charset val="186"/>
      </rPr>
      <t xml:space="preserve"> toetus (a)</t>
    </r>
  </si>
  <si>
    <t>teenustasu Eesti Postile</t>
  </si>
  <si>
    <r>
      <t xml:space="preserve">* </t>
    </r>
    <r>
      <rPr>
        <i/>
        <sz val="8"/>
        <rFont val="Arial"/>
        <family val="2"/>
        <charset val="186"/>
      </rPr>
      <t>Peale selle soodustused 5 007 148 €.</t>
    </r>
  </si>
  <si>
    <t>Mittetulundustegevuse toetamine</t>
  </si>
  <si>
    <r>
      <t xml:space="preserve">sh </t>
    </r>
    <r>
      <rPr>
        <sz val="8"/>
        <rFont val="Arial"/>
        <family val="2"/>
        <charset val="186"/>
      </rPr>
      <t>Tallinna Noorteklubi KODULINN</t>
    </r>
  </si>
  <si>
    <t>Põhja-Eesti Pimedate Ühingule kaitstud töökeskuse ruumide elektrisüsteemi renoveerimiseks</t>
  </si>
  <si>
    <t>muu mittetulundustegevuse toetamine</t>
  </si>
  <si>
    <t>Välisrahastusega projekt „Tallinna eakate kodujälgimisprojekt SmartCare” (ü)</t>
  </si>
  <si>
    <t>Välisrahastusega projekt "Puuetega inimeste transpordi infosüsteemi lähteülesande koostamine"</t>
  </si>
  <si>
    <t>TERVISHOID</t>
  </si>
  <si>
    <r>
      <t>Tervishoid</t>
    </r>
    <r>
      <rPr>
        <b/>
        <i/>
        <sz val="10"/>
        <color theme="0"/>
        <rFont val="Arial"/>
        <family val="2"/>
        <charset val="186"/>
      </rPr>
      <t>1</t>
    </r>
  </si>
  <si>
    <t>Tallinna Kiirabi</t>
  </si>
  <si>
    <t>Mitmesugused tervishoiukulud</t>
  </si>
  <si>
    <r>
      <t>sh</t>
    </r>
    <r>
      <rPr>
        <sz val="8"/>
        <rFont val="Arial"/>
        <family val="2"/>
        <charset val="186"/>
      </rPr>
      <t xml:space="preserve"> projektid ja programmid</t>
    </r>
  </si>
  <si>
    <t xml:space="preserve">õendusabi korraldamine </t>
  </si>
  <si>
    <t>Ravikindlustusega hõlmamata isikute ravikulud (a)</t>
  </si>
  <si>
    <t>Laste visiiditasust vabastamine</t>
  </si>
  <si>
    <t>Uimastiennetustegevus SA-s Tallinna Lastehaigla</t>
  </si>
  <si>
    <t>Kainestusmaja haldamine</t>
  </si>
  <si>
    <t>Noorte nõustamiskeskuste haldamine</t>
  </si>
  <si>
    <t>Toetus Tallinna Munitsipaalperearstikeskuse OÜ-le</t>
  </si>
  <si>
    <t>Tegevustoetus Sotsiaalrehabilitatsiooni Keskusele Loksa</t>
  </si>
  <si>
    <t>Toetus MTÜ-le AIDSi Tugikeskus uimastiennetustegevuseks</t>
  </si>
  <si>
    <t>LINNAMAJANDUS</t>
  </si>
  <si>
    <t>Tootevaldkond: linnamajandus</t>
  </si>
  <si>
    <t>Tootegrupp: elamumajandus</t>
  </si>
  <si>
    <t>Elamute majandamine</t>
  </si>
  <si>
    <t>Sotsiaalmajutusüksused</t>
  </si>
  <si>
    <r>
      <t>Linnavaraamet</t>
    </r>
    <r>
      <rPr>
        <sz val="10"/>
        <rFont val="Arial"/>
        <family val="2"/>
        <charset val="186"/>
      </rPr>
      <t xml:space="preserve"> </t>
    </r>
  </si>
  <si>
    <t>Tallinna kinnisvararegister</t>
  </si>
  <si>
    <t>Elamumajanduse muud kulud</t>
  </si>
  <si>
    <r>
      <t xml:space="preserve">sh </t>
    </r>
    <r>
      <rPr>
        <sz val="8"/>
        <rFont val="Arial"/>
        <family val="2"/>
        <charset val="186"/>
      </rPr>
      <t>eluruumide haldamine</t>
    </r>
  </si>
  <si>
    <t>Loopealse elurajooni üürimaksed</t>
  </si>
  <si>
    <t>Raadiku elurajooni üürimaksed</t>
  </si>
  <si>
    <t>ohtlike ja linnapilti risustavate hoonete lammutamine</t>
  </si>
  <si>
    <t>korteriühistute infopunkt</t>
  </si>
  <si>
    <t>elamumajandusprojektide toetamine</t>
  </si>
  <si>
    <t>korteriühistute toetus (a)</t>
  </si>
  <si>
    <t>toetus korteriühistutele energiamärgise taotlemiseks (a)</t>
  </si>
  <si>
    <t>korteriühistute toetus „Roheline õu”</t>
  </si>
  <si>
    <t>toetus Eesti Üürnike Liidule</t>
  </si>
  <si>
    <t>Äriruumide majandamine</t>
  </si>
  <si>
    <t>Toetus Tallinna Linnahalli AS-ile</t>
  </si>
  <si>
    <t>Ettevõtlusameti haldusala</t>
  </si>
  <si>
    <t>ETTEVÕTLUSKESKKOND</t>
  </si>
  <si>
    <t>Tootevaldkond: ettevõtluskeskkond</t>
  </si>
  <si>
    <t>Tootegrupp: ettevõtluse arendamine</t>
  </si>
  <si>
    <t>Väikeettevõtlus</t>
  </si>
  <si>
    <t>Ettevõtluskeskkonna turundus</t>
  </si>
  <si>
    <t>Tööhõive tagamine</t>
  </si>
  <si>
    <t>Kopli Arenduskeskus</t>
  </si>
  <si>
    <t>Tootegrupp: turismi arendamine</t>
  </si>
  <si>
    <t>Konverentsiturism</t>
  </si>
  <si>
    <t>Kultuuriturism</t>
  </si>
  <si>
    <t>Turismiturundus</t>
  </si>
  <si>
    <t>Turismiinfoteenused</t>
  </si>
  <si>
    <t>Turismiinfrastruktuuri ja teenuste kvaliteedi arendus</t>
  </si>
  <si>
    <t>Statistika ja uuringud</t>
  </si>
  <si>
    <t>Tootegrupp: tarbija- ja hinnapoliitika</t>
  </si>
  <si>
    <t>Tarbijakaitse</t>
  </si>
  <si>
    <t>Tootegrupp: kaubandus</t>
  </si>
  <si>
    <t>Tallinna Turud</t>
  </si>
  <si>
    <t>munitsipaalkauplus</t>
  </si>
  <si>
    <t>Ettevõtluse haldus</t>
  </si>
  <si>
    <r>
      <t xml:space="preserve">Väikeettevõtluse toetamine, </t>
    </r>
    <r>
      <rPr>
        <i/>
        <u/>
        <sz val="10"/>
        <rFont val="Arial"/>
        <family val="2"/>
        <charset val="186"/>
      </rPr>
      <t>sh</t>
    </r>
  </si>
  <si>
    <t>uute töökohtade loomise toetus</t>
  </si>
  <si>
    <t>praktikajuhendaja toetus</t>
  </si>
  <si>
    <t>messitoetus</t>
  </si>
  <si>
    <t>Sihtotstarbeline toetus sotsiaalsete töökohtade loomiseks</t>
  </si>
  <si>
    <t>Toetus SA-le Tallinna Ettevõtlusinkubaatorid</t>
  </si>
  <si>
    <t>Toetus SA-le Tallinna Lauluväljak</t>
  </si>
  <si>
    <t>Toetus SA-le Tallinna Televisioon</t>
  </si>
  <si>
    <t>Toetus MTÜ-le Eesti Konverentsibüroo</t>
  </si>
  <si>
    <t>Toetus MTÜ-le Tallinn Restaurant Week</t>
  </si>
  <si>
    <t>Toetus SA-le Tallinna Teaduspark TEHNOPOL</t>
  </si>
  <si>
    <t>Toetus MTÜ-le Prototron</t>
  </si>
  <si>
    <t>Toetus MTÜ-le Integratsiooni Ühiskondlik Algatuskeskus</t>
  </si>
  <si>
    <t>MUU MAJANDUS</t>
  </si>
  <si>
    <t>Toetus Sihtasutusele Tuleviku Tallinn</t>
  </si>
  <si>
    <t>Toetus Ühistupanga Asutamise SA-le</t>
  </si>
  <si>
    <t>Välisrahastusega projekt "Tallinna välireklaami- ja teabekandjate ning reklaamimaksu järelevalveliste menetluste andmekogu eelanalüüs"</t>
  </si>
  <si>
    <t>LINNATRANSPORT</t>
  </si>
  <si>
    <t>Tootevaldkond: linnatransport</t>
  </si>
  <si>
    <t>Tootegrupp: ühistransport</t>
  </si>
  <si>
    <t>Piletimajandus</t>
  </si>
  <si>
    <t>Liiniveo infosüsteemid</t>
  </si>
  <si>
    <t>Tootegrupp: liikluskorraldus*</t>
  </si>
  <si>
    <t>* Eelarve täitmisel on lubatud soetada fooriobjektide hooldusremondi teostamiseks vajalikku materiaalset ja/või immateriaalset põhivara.</t>
  </si>
  <si>
    <t>Tootegrupp: parkimiskorraldus</t>
  </si>
  <si>
    <r>
      <t>Transpordiamet</t>
    </r>
    <r>
      <rPr>
        <sz val="10"/>
        <rFont val="Arial"/>
        <family val="2"/>
        <charset val="186"/>
      </rPr>
      <t xml:space="preserve"> </t>
    </r>
  </si>
  <si>
    <t>Ühistranspordi infrastruktuuri haldamine</t>
  </si>
  <si>
    <r>
      <t xml:space="preserve">sh </t>
    </r>
    <r>
      <rPr>
        <sz val="8"/>
        <rFont val="Arial"/>
        <family val="2"/>
        <charset val="186"/>
      </rPr>
      <t>Viru autobussiterminal</t>
    </r>
  </si>
  <si>
    <t>ühistranspordi ootepaviljonide hooldus</t>
  </si>
  <si>
    <t>ühistranspordi peatuste info</t>
  </si>
  <si>
    <t>Muud linnatranspordi kulud</t>
  </si>
  <si>
    <r>
      <t xml:space="preserve">sh </t>
    </r>
    <r>
      <rPr>
        <sz val="8"/>
        <rFont val="Arial"/>
        <family val="2"/>
        <charset val="186"/>
      </rPr>
      <t>liinivedu laevaga</t>
    </r>
  </si>
  <si>
    <t>sadamate haldus</t>
  </si>
  <si>
    <t>Ühistranspordi uuringud ja projektid</t>
  </si>
  <si>
    <t>sh liikluskorralduse uuringud</t>
  </si>
  <si>
    <t>muud uuringud ja projektid</t>
  </si>
  <si>
    <t>projekt "Liinivõrgu optimeerimine" (ü)</t>
  </si>
  <si>
    <t>Välisrahastusega projekt „CREATE - Liiklusummikute vähendamine Euroopas: transpordi efektiivsuse edendamine” (ü)</t>
  </si>
  <si>
    <t>Välisrahastusega projekt "NSB CoRe - Läänemere-Balti transpordikoridor kui regiooni ühendaja" (ü)</t>
  </si>
  <si>
    <t>Välisrahastusega projekt "FLOW" (ü)</t>
  </si>
  <si>
    <t>Välisrahastusega projekt "Freigth Tails" (ü)</t>
  </si>
  <si>
    <t>Projekt „Koolibuss”</t>
  </si>
  <si>
    <t>Projekt „Pargi ja reisi”</t>
  </si>
  <si>
    <t>Kommunaalameti haldusala</t>
  </si>
  <si>
    <t>TEED JA TÄNAVAD</t>
  </si>
  <si>
    <t>Tootevaldkond: teed ja tänavad*</t>
  </si>
  <si>
    <t>Tootegrupp: teetööd</t>
  </si>
  <si>
    <t>Teerajatiste korrashoid</t>
  </si>
  <si>
    <t>Teerajatiste puhastamine</t>
  </si>
  <si>
    <t>Eelarvepositsioon</t>
  </si>
  <si>
    <t>Jalakäijate tunnelite hooldus</t>
  </si>
  <si>
    <t>Tootegrupp: tänavavalgustus</t>
  </si>
  <si>
    <t>* Eelarve täitmisel on linnavalitsusel õigus muuta summade jaotust tootevaldkonna üldsumma piires.</t>
  </si>
  <si>
    <t>HEAKORD</t>
  </si>
  <si>
    <t>Tootevaldkond: heakord</t>
  </si>
  <si>
    <t>Tootegrupp: haljastus</t>
  </si>
  <si>
    <r>
      <t>Haljastute hooldus</t>
    </r>
    <r>
      <rPr>
        <sz val="8"/>
        <rFont val="Arial"/>
        <family val="2"/>
        <charset val="186"/>
      </rPr>
      <t xml:space="preserve"> (Kadrioru Park)</t>
    </r>
  </si>
  <si>
    <t>MUUD KOMMUNAALKULUD</t>
  </si>
  <si>
    <t xml:space="preserve">Kommunaalamet </t>
  </si>
  <si>
    <t>TEHNOVÕRGUD</t>
  </si>
  <si>
    <t>Vesi ja kanalisatsioon*</t>
  </si>
  <si>
    <r>
      <t xml:space="preserve">sh </t>
    </r>
    <r>
      <rPr>
        <sz val="8"/>
        <rFont val="Arial"/>
        <family val="2"/>
        <charset val="186"/>
      </rPr>
      <t>sademevee puhastus (a)</t>
    </r>
  </si>
  <si>
    <t>tulekustutusvee tasud ja tuletõrjehüdrantide hoolduskulud</t>
  </si>
  <si>
    <t>Tallinna ühisveevärgi ja -kanalisatsiooni arendamise kava</t>
  </si>
  <si>
    <t>toetus Tallinna Vee-ettevõtjate Järelevalve SA-le</t>
  </si>
  <si>
    <t>* Eelarve täitmisel on linnavalitsusel õigus muuta summade jaotust eelarvepositsiooni üldsumma piires.</t>
  </si>
  <si>
    <t>Eraldised Häirekeskusele Tallinna abitelefoni 1345 töö korraldamiseks</t>
  </si>
  <si>
    <t>Vetelpääste avalikes supelrandades</t>
  </si>
  <si>
    <t>Eraldised Päästeliidule vabatahtlike kaasamiseks õnnetuste ennetamisel</t>
  </si>
  <si>
    <t>Teeregister</t>
  </si>
  <si>
    <t>Muud heakorrakulud</t>
  </si>
  <si>
    <t>jalgrattaparklad</t>
  </si>
  <si>
    <t>Harju tänava ja Nõmme teisaldatavad jääväljakud</t>
  </si>
  <si>
    <r>
      <t>Lillefestivali korraldamine</t>
    </r>
    <r>
      <rPr>
        <sz val="8"/>
        <rFont val="Arial"/>
        <family val="2"/>
        <charset val="186"/>
      </rPr>
      <t xml:space="preserve"> (Kadrioru Park)</t>
    </r>
  </si>
  <si>
    <r>
      <t>Laste ja noorte lillepidu</t>
    </r>
    <r>
      <rPr>
        <sz val="10"/>
        <rFont val="Arial"/>
        <family val="2"/>
        <charset val="186"/>
      </rPr>
      <t xml:space="preserve"> </t>
    </r>
    <r>
      <rPr>
        <sz val="8"/>
        <rFont val="Arial"/>
        <family val="2"/>
        <charset val="186"/>
      </rPr>
      <t>(Kadrioru Park)</t>
    </r>
  </si>
  <si>
    <t>Toetused korteriühistutele, sh*</t>
  </si>
  <si>
    <t>toetus korteriühistutele õuealade heakorrastamiseks (ü)</t>
  </si>
  <si>
    <t>toetus korteriühistutele fassaadide korrastamiseks (ü)</t>
  </si>
  <si>
    <t>* Eelarve täitmisel on linnavalitsusel õigus muuta summade jaotust toetuste üldsumma piires.</t>
  </si>
  <si>
    <t>Välisrahastusega projekt „Baltic Flows - sademevee jälgimine ja juhtimine Läänemere piirkonna valgaladel” (ü)</t>
  </si>
  <si>
    <t>Välisrahastusega projekt "Tallinna linna hooldus-, heakorra- ja haljastustööde infosüsteemi loomise eelanalüüsi läbiviimine“ (ü)</t>
  </si>
  <si>
    <t>Välisrahastusega projekt "Tehnovõrkude tervikliku andmehõive innovaatiline lahendus"</t>
  </si>
  <si>
    <t>Välisrahastusega projektide ettevalmistamise kulud</t>
  </si>
  <si>
    <t>Keskkonnaameti haldusala</t>
  </si>
  <si>
    <t>Haljastute hooldus</t>
  </si>
  <si>
    <t>Haljastute hooldusremont</t>
  </si>
  <si>
    <t xml:space="preserve">Laste ja noorte lillepidu </t>
  </si>
  <si>
    <t>Tootegrupp: kalmistud</t>
  </si>
  <si>
    <r>
      <t>Kalmistuteenused</t>
    </r>
    <r>
      <rPr>
        <sz val="8"/>
        <rFont val="Arial"/>
        <family val="2"/>
        <charset val="186"/>
      </rPr>
      <t xml:space="preserve"> (Tallinna Kalmistud)</t>
    </r>
  </si>
  <si>
    <t>Tootegrupp: loomakaitse</t>
  </si>
  <si>
    <t>Tootegrupp: jäätmemajandus</t>
  </si>
  <si>
    <r>
      <t>Korraldatud jäätmevedu</t>
    </r>
    <r>
      <rPr>
        <sz val="8"/>
        <rFont val="Arial"/>
        <family val="2"/>
        <charset val="186"/>
      </rPr>
      <t xml:space="preserve"> (Tallinna Jäätmekeskus)</t>
    </r>
  </si>
  <si>
    <t>Taaskasutatavate ja ohtlike jäätmete käitlus</t>
  </si>
  <si>
    <t>Tootevaldkond: muud kommunaalkulud</t>
  </si>
  <si>
    <t>Tootegrupp: spetsiifilised matuseteenused</t>
  </si>
  <si>
    <r>
      <t>Tootegrupp: botaanikaaed</t>
    </r>
    <r>
      <rPr>
        <sz val="8"/>
        <rFont val="Arial"/>
        <family val="2"/>
        <charset val="186"/>
      </rPr>
      <t xml:space="preserve"> (Tallinna Botaanikaaed)</t>
    </r>
  </si>
  <si>
    <t>KESKKONNAKAITSE</t>
  </si>
  <si>
    <t xml:space="preserve">Keskkonnaamet </t>
  </si>
  <si>
    <t>Tallinna Energiaagentuur</t>
  </si>
  <si>
    <t>Keskkonnaprogrammid (ü)</t>
  </si>
  <si>
    <t>Pääsküla prügila monitooring</t>
  </si>
  <si>
    <t>lastemänguväljakute hooldus</t>
  </si>
  <si>
    <t>heakorrakuu</t>
  </si>
  <si>
    <t>grafiti eemaldamine</t>
  </si>
  <si>
    <t>Aegna saare loodusmaja haldamine</t>
  </si>
  <si>
    <t>Õppekava toetav loodusõpe Tallinna Botaanikaaias</t>
  </si>
  <si>
    <t>Välisrahastusega projekt „Energia teekaardid - R4E” (ü)</t>
  </si>
  <si>
    <t>Välisrahastusega projekt „BLASTIC - plastijäätmete teekond Läänemerre” (ü)</t>
  </si>
  <si>
    <t>Välisrahastusega projekt „NATTOURS - jätkusuutlikud loodusrajad linnades kasutades uusi IT lahendusi” (ü)</t>
  </si>
  <si>
    <t>Välisrahastusega projekt „INTHERWASTE – piirkondadevaheline jäätmemajanduse keskkonda integreerimine Euroopa kultuuripärandiga linnades”(ü)</t>
  </si>
  <si>
    <t>LINNAPLANEERIMINE</t>
  </si>
  <si>
    <r>
      <t>Linnaplaneerimise Amet</t>
    </r>
    <r>
      <rPr>
        <sz val="10"/>
        <rFont val="Arial"/>
        <family val="2"/>
        <charset val="186"/>
      </rPr>
      <t xml:space="preserve"> </t>
    </r>
  </si>
  <si>
    <t>Geomaatika</t>
  </si>
  <si>
    <t>Planeeringud ja arhitektuurikonkursid</t>
  </si>
  <si>
    <t>Muinsus- ja miljööalade kaitse</t>
  </si>
  <si>
    <t>Kultuuriväärtuslike objektide täiendav tähistamine ja tutvustavate tekstide lisamine</t>
  </si>
  <si>
    <t>Välisrahastusega projekt „Läänemere linnade uurimislabor (Baltic Urban Lab)” (ü)</t>
  </si>
  <si>
    <t>Välisrahastusega projekt "Tallinna linnaplaneerimise valdkonna arhiivi-materjalide kättesaadavuse ja kasutatavuse parandamise analüüs" (ü)</t>
  </si>
  <si>
    <t>sh linnakassa</t>
  </si>
  <si>
    <r>
      <t>Munitsipaalpolitsei Amet</t>
    </r>
    <r>
      <rPr>
        <sz val="10"/>
        <rFont val="Arial"/>
        <family val="2"/>
        <charset val="186"/>
      </rPr>
      <t xml:space="preserve"> </t>
    </r>
  </si>
  <si>
    <t>Haabersti Linnaosa Valitsuse haldusala</t>
  </si>
  <si>
    <r>
      <t>Tootegrupp: kultuuritegevus</t>
    </r>
    <r>
      <rPr>
        <sz val="8"/>
        <rFont val="Arial"/>
        <family val="2"/>
        <charset val="186"/>
      </rPr>
      <t xml:space="preserve"> (Haabersti Vaba Aja Keskus)</t>
    </r>
  </si>
  <si>
    <r>
      <t xml:space="preserve">Noortekeskus </t>
    </r>
    <r>
      <rPr>
        <sz val="8"/>
        <rFont val="Arial"/>
        <family val="2"/>
        <charset val="186"/>
      </rPr>
      <t>(Haabersti Vaba Aja Keskus)</t>
    </r>
  </si>
  <si>
    <t>Tootegrupp: toimetulekuraskustes isikute hoolekanne</t>
  </si>
  <si>
    <r>
      <t>Päevakeskuse teenused</t>
    </r>
    <r>
      <rPr>
        <sz val="8"/>
        <rFont val="Arial"/>
        <family val="2"/>
        <charset val="186"/>
      </rPr>
      <t xml:space="preserve"> (Haabersti Sotsiaalkeskus)</t>
    </r>
  </si>
  <si>
    <r>
      <t xml:space="preserve">Koduteenused </t>
    </r>
    <r>
      <rPr>
        <sz val="8"/>
        <rFont val="Arial"/>
        <family val="2"/>
        <charset val="186"/>
      </rPr>
      <t>(Haabersti Sotsiaalkeskus)</t>
    </r>
  </si>
  <si>
    <t>Linnaosa valitsus</t>
  </si>
  <si>
    <t>Piirkondlikud sündmused, projektid ja mittetulundustegevuse toetamine</t>
  </si>
  <si>
    <t>Sotsiaaltoetused</t>
  </si>
  <si>
    <t>Randade hooldus</t>
  </si>
  <si>
    <t>Üksikkorterite majandamine</t>
  </si>
  <si>
    <t>LINNAOSADE RESERVFONDID</t>
  </si>
  <si>
    <t>Linnaosa valitsuse reservfond</t>
  </si>
  <si>
    <t>Tallinna Kesklinna Valitsuse haldusala</t>
  </si>
  <si>
    <r>
      <t>Tootegrupp: kultuuritegevus</t>
    </r>
    <r>
      <rPr>
        <sz val="8"/>
        <rFont val="Arial"/>
        <family val="2"/>
        <charset val="186"/>
      </rPr>
      <t xml:space="preserve"> (Kesklinna Vaba Aja Keskus)</t>
    </r>
  </si>
  <si>
    <r>
      <t>Noortekeskus</t>
    </r>
    <r>
      <rPr>
        <sz val="8"/>
        <rFont val="Arial"/>
        <family val="2"/>
        <charset val="186"/>
      </rPr>
      <t xml:space="preserve"> (Kesklinna Vaba Aja Keskus)</t>
    </r>
  </si>
  <si>
    <r>
      <t>Päevakeskuse teenused</t>
    </r>
    <r>
      <rPr>
        <sz val="8"/>
        <rFont val="Arial"/>
        <family val="2"/>
        <charset val="186"/>
      </rPr>
      <t xml:space="preserve"> (Tallinna Kesklinna Sotsiaalkeskus)</t>
    </r>
  </si>
  <si>
    <r>
      <t>Koduteenused</t>
    </r>
    <r>
      <rPr>
        <sz val="8"/>
        <rFont val="Arial"/>
        <family val="2"/>
        <charset val="186"/>
      </rPr>
      <t xml:space="preserve"> (Tallinna Kesklinna Sotsiaalkeskus)</t>
    </r>
  </si>
  <si>
    <t>Vanalinna päevad</t>
  </si>
  <si>
    <t>Sotsiaalabi osutamine juhtumikorralduse põhimõttel</t>
  </si>
  <si>
    <r>
      <t>Saunateenuse korraldamine</t>
    </r>
    <r>
      <rPr>
        <sz val="8"/>
        <rFont val="Arial"/>
        <family val="2"/>
        <charset val="186"/>
      </rPr>
      <t xml:space="preserve"> (Raua Saun)</t>
    </r>
  </si>
  <si>
    <t>Rahvarinde muuseum</t>
  </si>
  <si>
    <t>Kristiine Linnaosa Valitsuse haldusala</t>
  </si>
  <si>
    <r>
      <t>Tootegrupp: kultuuritegevus</t>
    </r>
    <r>
      <rPr>
        <sz val="8"/>
        <rFont val="Arial"/>
        <family val="2"/>
        <charset val="186"/>
      </rPr>
      <t xml:space="preserve"> (Kultuurikeskus Lindakivi)</t>
    </r>
  </si>
  <si>
    <r>
      <t>Noortekeskus</t>
    </r>
    <r>
      <rPr>
        <sz val="8"/>
        <rFont val="Arial"/>
        <family val="2"/>
        <charset val="186"/>
      </rPr>
      <t xml:space="preserve"> (Lasnamäe Noortekeskus)</t>
    </r>
  </si>
  <si>
    <r>
      <t>Spordihooned ja -rajatised</t>
    </r>
    <r>
      <rPr>
        <sz val="8"/>
        <rFont val="Arial"/>
        <family val="2"/>
        <charset val="186"/>
      </rPr>
      <t xml:space="preserve"> (Lasnamäe Spordikompleks)</t>
    </r>
  </si>
  <si>
    <r>
      <t>Laste päevakeskuse teenused</t>
    </r>
    <r>
      <rPr>
        <sz val="8"/>
        <rFont val="Arial"/>
        <family val="2"/>
        <charset val="186"/>
      </rPr>
      <t xml:space="preserve"> (Lasnamäe Lastekeskus)</t>
    </r>
  </si>
  <si>
    <r>
      <t>Päevakeskuse teenused</t>
    </r>
    <r>
      <rPr>
        <sz val="8"/>
        <rFont val="Arial"/>
        <family val="2"/>
        <charset val="186"/>
      </rPr>
      <t xml:space="preserve"> (Lasnamäe Sotsiaalkeskus)</t>
    </r>
  </si>
  <si>
    <r>
      <t>Koduteenused</t>
    </r>
    <r>
      <rPr>
        <sz val="8"/>
        <rFont val="Arial"/>
        <family val="2"/>
        <charset val="186"/>
      </rPr>
      <t xml:space="preserve"> (Lasnamäe Sotsiaalkeskus)</t>
    </r>
  </si>
  <si>
    <r>
      <t>Saunateenuse korraldamine</t>
    </r>
    <r>
      <rPr>
        <sz val="8"/>
        <rFont val="Arial"/>
        <family val="2"/>
        <charset val="186"/>
      </rPr>
      <t xml:space="preserve"> (Lasnamäe Saun)</t>
    </r>
  </si>
  <si>
    <t>Mustamäe Linnaosa Valitsuse haldusala</t>
  </si>
  <si>
    <r>
      <t>Tootegrupp: kultuuritegevus</t>
    </r>
    <r>
      <rPr>
        <sz val="8"/>
        <rFont val="Arial"/>
        <family val="2"/>
        <charset val="186"/>
      </rPr>
      <t xml:space="preserve"> (Mustamäe Kultuurikeskus „Kaja”)</t>
    </r>
  </si>
  <si>
    <r>
      <t>Noortekeskus</t>
    </r>
    <r>
      <rPr>
        <sz val="8"/>
        <rFont val="Arial"/>
        <family val="2"/>
        <charset val="186"/>
      </rPr>
      <t xml:space="preserve"> (Mustamäe Kultuurikeskus „Kaja”)</t>
    </r>
  </si>
  <si>
    <r>
      <t>Päevakeskuse teenused</t>
    </r>
    <r>
      <rPr>
        <sz val="8"/>
        <rFont val="Arial"/>
        <family val="2"/>
        <charset val="186"/>
      </rPr>
      <t xml:space="preserve"> (Mustamäe Päevakeskus)</t>
    </r>
  </si>
  <si>
    <r>
      <t>Koduteenused</t>
    </r>
    <r>
      <rPr>
        <sz val="8"/>
        <rFont val="Arial"/>
        <family val="2"/>
        <charset val="186"/>
      </rPr>
      <t xml:space="preserve"> (Mustamäe Päevakeskus)</t>
    </r>
  </si>
  <si>
    <t>Toetus Mustamäe kiriku rajamiseks</t>
  </si>
  <si>
    <t>Nõmme Linnaosa Valitsuse haldusala</t>
  </si>
  <si>
    <r>
      <t>Tootegrupp: kultuuritegevus</t>
    </r>
    <r>
      <rPr>
        <sz val="8"/>
        <rFont val="Arial"/>
        <family val="2"/>
        <charset val="186"/>
      </rPr>
      <t xml:space="preserve"> (Nõmme Kultuurikeskus)</t>
    </r>
  </si>
  <si>
    <r>
      <t>Noortekeskus</t>
    </r>
    <r>
      <rPr>
        <sz val="8"/>
        <rFont val="Arial"/>
        <family val="2"/>
        <charset val="186"/>
      </rPr>
      <t xml:space="preserve"> (Nõmme Vaba Aja Keskus)</t>
    </r>
  </si>
  <si>
    <r>
      <t>Üldhooldekoduteenused</t>
    </r>
    <r>
      <rPr>
        <sz val="8"/>
        <rFont val="Arial"/>
        <family val="2"/>
        <charset val="186"/>
      </rPr>
      <t xml:space="preserve"> (Nõmme Sotsiaalmaja)</t>
    </r>
  </si>
  <si>
    <r>
      <t>Laste päevakeskuse teenused</t>
    </r>
    <r>
      <rPr>
        <sz val="8"/>
        <rFont val="Arial"/>
        <family val="2"/>
        <charset val="186"/>
      </rPr>
      <t xml:space="preserve"> (Nõmme Vaba Aja Keskus)</t>
    </r>
  </si>
  <si>
    <r>
      <t>Päevakeskuse teenused</t>
    </r>
    <r>
      <rPr>
        <sz val="8"/>
        <rFont val="Arial"/>
        <family val="2"/>
        <charset val="186"/>
      </rPr>
      <t xml:space="preserve"> (Nõmme Vaba Aja Keskus)</t>
    </r>
  </si>
  <si>
    <r>
      <t>Koduteenused</t>
    </r>
    <r>
      <rPr>
        <sz val="8"/>
        <rFont val="Arial"/>
        <family val="2"/>
        <charset val="186"/>
      </rPr>
      <t xml:space="preserve"> (Nõmme Sotsiaalmaja)</t>
    </r>
  </si>
  <si>
    <r>
      <t>Toetatud elamine</t>
    </r>
    <r>
      <rPr>
        <sz val="8"/>
        <rFont val="Arial"/>
        <family val="2"/>
        <charset val="186"/>
      </rPr>
      <t xml:space="preserve"> (Nõmme Sotsiaalmaja)</t>
    </r>
  </si>
  <si>
    <t>Saunateenuse korraldamine</t>
  </si>
  <si>
    <t>Pirita Linnaosa Valitsuse haldusala</t>
  </si>
  <si>
    <r>
      <t>Tootegrupp: kultuuritegevus</t>
    </r>
    <r>
      <rPr>
        <sz val="8"/>
        <rFont val="Arial"/>
        <family val="2"/>
        <charset val="186"/>
      </rPr>
      <t xml:space="preserve"> (Pirita Vaba Aja Keskus)</t>
    </r>
  </si>
  <si>
    <r>
      <t>Noortekeskus</t>
    </r>
    <r>
      <rPr>
        <sz val="8"/>
        <rFont val="Arial"/>
        <family val="2"/>
        <charset val="186"/>
      </rPr>
      <t xml:space="preserve"> (Pirita Vaba Aja Keskus)</t>
    </r>
  </si>
  <si>
    <r>
      <t>Päevakeskuse teenused</t>
    </r>
    <r>
      <rPr>
        <sz val="8"/>
        <rFont val="Arial"/>
        <family val="2"/>
        <charset val="186"/>
      </rPr>
      <t xml:space="preserve"> (Pirita Vaba Aja Keskus)</t>
    </r>
  </si>
  <si>
    <t>Koduteenused</t>
  </si>
  <si>
    <t>Põhja-Tallinna Valitsuse haldusala</t>
  </si>
  <si>
    <r>
      <t>Tootegrupp: kultuuritegevus</t>
    </r>
    <r>
      <rPr>
        <sz val="8"/>
        <rFont val="Arial"/>
        <family val="2"/>
        <charset val="186"/>
      </rPr>
      <t xml:space="preserve"> (Salme Kultuurikeskus)</t>
    </r>
  </si>
  <si>
    <r>
      <t>Noortekeskus</t>
    </r>
    <r>
      <rPr>
        <sz val="8"/>
        <rFont val="Arial"/>
        <family val="2"/>
        <charset val="186"/>
      </rPr>
      <t xml:space="preserve"> (Põhja-Tallinna Noortekeskus)</t>
    </r>
  </si>
  <si>
    <r>
      <t>Päevakeskuse teenused</t>
    </r>
    <r>
      <rPr>
        <sz val="8"/>
        <rFont val="Arial"/>
        <family val="2"/>
        <charset val="186"/>
      </rPr>
      <t xml:space="preserve"> (Põhja-Tallinna Sotsiaalkeskus)</t>
    </r>
  </si>
  <si>
    <r>
      <t>Koduteenused</t>
    </r>
    <r>
      <rPr>
        <sz val="8"/>
        <rFont val="Arial"/>
        <family val="2"/>
        <charset val="186"/>
      </rPr>
      <t xml:space="preserve"> (Paljassaare Sotsiaalmaja)</t>
    </r>
  </si>
  <si>
    <t>Linna üldkulud</t>
  </si>
  <si>
    <t>FINANTSKULUD</t>
  </si>
  <si>
    <t>Linna rahahaldusega seotud finantskulud (a)</t>
  </si>
  <si>
    <t>Reservfond*, sh</t>
  </si>
  <si>
    <t>LINNAVALITSUSE RESERVFOND</t>
  </si>
  <si>
    <t>linnavalitsuse reservfond</t>
  </si>
  <si>
    <t>MUUD RESERVID</t>
  </si>
  <si>
    <t>reservid, sh</t>
  </si>
  <si>
    <t>kohtuvaidluste ja muude õiguslike vaidlustega seotud nõuete reserv</t>
  </si>
  <si>
    <t>linna vara ja kohustustega seonduvate toimingute reserv</t>
  </si>
  <si>
    <t>oma- ja kaasfinantseerimise ja välisprojektide ettevalmistamise reserv</t>
  </si>
  <si>
    <t>* Eelarve täitmisel on linnavalitsusel õigus muuta linnavalitsuse reservfondi ja reservide jaotust ettenähtud üldsumma piires.</t>
  </si>
  <si>
    <t>Riigi ja muude institutsioonide toetuste arvelt tehtavad kulud</t>
  </si>
  <si>
    <t>Riigi ja muude institutsioonide toetuste arvelt tehtavad kulud (a; ü)</t>
  </si>
  <si>
    <t>Kulud valdkondade lõikes</t>
  </si>
  <si>
    <t>Linna juhtimine</t>
  </si>
  <si>
    <t>Linna tugiteenused</t>
  </si>
  <si>
    <t>Haridus</t>
  </si>
  <si>
    <t>Kultuur</t>
  </si>
  <si>
    <t>Sport ja vaba aeg</t>
  </si>
  <si>
    <t>Noorsootöö</t>
  </si>
  <si>
    <t>Sotsiaalhoolekanne</t>
  </si>
  <si>
    <t>Tervishoid</t>
  </si>
  <si>
    <t>Linnamajandus</t>
  </si>
  <si>
    <t>Muu majandus</t>
  </si>
  <si>
    <t>Ettevõtluskeskkond</t>
  </si>
  <si>
    <t>Linnatransport</t>
  </si>
  <si>
    <t>Teed ja tänavad</t>
  </si>
  <si>
    <t>Heakord</t>
  </si>
  <si>
    <t>Tehnovõrgud</t>
  </si>
  <si>
    <t>Muud kommunaalkulud</t>
  </si>
  <si>
    <t>Keskkonnakaitse</t>
  </si>
  <si>
    <t>Linnaplaneerimine</t>
  </si>
  <si>
    <t>Avalik kord</t>
  </si>
  <si>
    <t>Valdkonnad kokku</t>
  </si>
  <si>
    <t>Finantskulud</t>
  </si>
  <si>
    <t>Reservfond (linnavalitsus ja linnaosad)</t>
  </si>
  <si>
    <t>Kohtuvaidluste ja muude õiguslike vaidlustega seotud nõuete reserv</t>
  </si>
  <si>
    <t>Linna vara ja kohustustega seonduvate toimingute reserv</t>
  </si>
  <si>
    <t>Oma- ja kaasfinantseerimise ja välisprojektide ettevalmistamise reserv</t>
  </si>
  <si>
    <t>Tegevuskulud, v.a riigieelarve ja muude eraldiste arvelt</t>
  </si>
  <si>
    <t>sh omatulude arvelt</t>
  </si>
  <si>
    <t>toetus välisprojektide kaasfinantseerimiseks</t>
  </si>
  <si>
    <t>linnakassa arvelt</t>
  </si>
  <si>
    <t>Kulud ametiasutuste haldusalade lõikes</t>
  </si>
  <si>
    <t>Ametiasutuste haldusalad kokku</t>
  </si>
  <si>
    <t>Linnavalitsuse reservfond</t>
  </si>
  <si>
    <t>Kulud linnakassa arvelt</t>
  </si>
  <si>
    <t>Transpordiameti haldusala</t>
  </si>
  <si>
    <t>muud</t>
  </si>
  <si>
    <t>SISSETULEKUD</t>
  </si>
  <si>
    <t>Nõuete vähenemine</t>
  </si>
  <si>
    <t>Laenude võtmine</t>
  </si>
  <si>
    <t>Hoiuste vähenemine</t>
  </si>
  <si>
    <t>VÄLJAMINEKUD</t>
  </si>
  <si>
    <t>Laenu tagasimakse</t>
  </si>
  <si>
    <t>Kohustuste vähenemine</t>
  </si>
  <si>
    <t>Hoiuste suurenemine</t>
  </si>
  <si>
    <t>PPP</t>
  </si>
  <si>
    <t>Linnakantselei</t>
  </si>
  <si>
    <t>Võlalt arvestatud intressitulu</t>
  </si>
  <si>
    <t>2016 I LEA</t>
  </si>
  <si>
    <t>PÕHITEGEVUS</t>
  </si>
  <si>
    <t>2016. AASTA 
EELARVE</t>
  </si>
  <si>
    <t>2016. AASTA TÄPSUSTATUD EELARVE</t>
  </si>
  <si>
    <t>2017 AASTA STRATEEGIA</t>
  </si>
  <si>
    <t>SISSETULEKUD 1</t>
  </si>
  <si>
    <t>Toetused tegevuskuludeks</t>
  </si>
  <si>
    <t>VÄLJAMINEKUD 1</t>
  </si>
  <si>
    <r>
      <t>Tegevuskulud, v.a PPP (põhitaotlus</t>
    </r>
    <r>
      <rPr>
        <sz val="10"/>
        <rFont val="Arial"/>
        <family val="2"/>
        <charset val="186"/>
      </rPr>
      <t>)</t>
    </r>
  </si>
  <si>
    <t>LK</t>
  </si>
  <si>
    <t>OT</t>
  </si>
  <si>
    <t>Muud</t>
  </si>
  <si>
    <t>VAHE 1 (LE)</t>
  </si>
  <si>
    <t>VÄLJAMINEKUD 2</t>
  </si>
  <si>
    <t>Tegevuskulud - PPP</t>
  </si>
  <si>
    <t xml:space="preserve"> </t>
  </si>
  <si>
    <t>ÜVK</t>
  </si>
  <si>
    <t>Elamumajandus</t>
  </si>
  <si>
    <t>Finantseerimistehingud - PPP</t>
  </si>
  <si>
    <t>VAHE 2 (LE)</t>
  </si>
  <si>
    <t>FINANTSEERIMISTEGEVUS</t>
  </si>
  <si>
    <t>SISSETULEKUD 3</t>
  </si>
  <si>
    <t>Laen</t>
  </si>
  <si>
    <t>VÄLJAMINEKUD 3</t>
  </si>
  <si>
    <t>VAHE 3 (LE)</t>
  </si>
  <si>
    <t>VÄLISRAHASTUSEGA INVESTEERIMISPROJEKTID</t>
  </si>
  <si>
    <t>SISSETULEKUD 4</t>
  </si>
  <si>
    <t>Toetused investeeringuteks, sh</t>
  </si>
  <si>
    <t>VÄLJAMINEKUD 4</t>
  </si>
  <si>
    <t>Investeeringud (VR, SE ja RE projektid)</t>
  </si>
  <si>
    <t>VAHE 4 (LE)</t>
  </si>
  <si>
    <t>Muud objektid</t>
  </si>
  <si>
    <t>Antav sihtfinantseerimine investeerimistegevuseks</t>
  </si>
  <si>
    <t>Ülekantavad kulutused</t>
  </si>
  <si>
    <t>Sissemakse aktsia/osakapitali</t>
  </si>
  <si>
    <t>PUUDUJÄÄK</t>
  </si>
  <si>
    <t>SISSETULEKUD KOKKU</t>
  </si>
  <si>
    <t>VÄLJAMINEKUD KOKKU</t>
  </si>
  <si>
    <t>VAHE (katteta kulutused)</t>
  </si>
  <si>
    <t>Tegevuskulu</t>
  </si>
  <si>
    <t>Investeerimisprojektid kokku</t>
  </si>
  <si>
    <t>Investeeringud koos toetustega</t>
  </si>
  <si>
    <t>Kokku väljaminekud</t>
  </si>
  <si>
    <t>Ametiasutus</t>
  </si>
  <si>
    <t>Lisataotluse nr</t>
  </si>
  <si>
    <t>Selgitus</t>
  </si>
  <si>
    <t>Summa (€)</t>
  </si>
  <si>
    <r>
      <t>FT ettepanek (</t>
    </r>
    <r>
      <rPr>
        <b/>
        <sz val="10"/>
        <color rgb="FFFF0000"/>
        <rFont val="Calibri"/>
        <family val="2"/>
        <charset val="186"/>
        <scheme val="minor"/>
      </rPr>
      <t>kriitilised)</t>
    </r>
  </si>
  <si>
    <t>FT selgitused</t>
  </si>
  <si>
    <t>1.1</t>
  </si>
  <si>
    <t>1.2</t>
  </si>
  <si>
    <t>1.3</t>
  </si>
  <si>
    <t>2.1</t>
  </si>
  <si>
    <t>2.2</t>
  </si>
  <si>
    <t>2017. aasta eelarve projekt - lisataotlused</t>
  </si>
  <si>
    <t>Kultuuriamet</t>
  </si>
  <si>
    <t>2017 PROJEKT</t>
  </si>
  <si>
    <t>Vanemlusprogrammi "Imelised aastad" koolitused</t>
  </si>
  <si>
    <t>Ligipääsetavuse arengusuundade elluviimine</t>
  </si>
  <si>
    <t>Toetus MTÜ Eesti Kulinaaria Instituudile</t>
  </si>
  <si>
    <r>
      <t xml:space="preserve">Tarbijakaitse </t>
    </r>
    <r>
      <rPr>
        <sz val="10"/>
        <color theme="1"/>
        <rFont val="Calibri"/>
        <family val="2"/>
        <charset val="186"/>
        <scheme val="minor"/>
      </rPr>
      <t>(Seoses uue korteriomandi- ja korteriühistuseaduse kehtima hakkamisega alates 1.01.2018 vastavasisuliste koolituste ja infotundide läbiviimiseks nii korteriühistu kui nende juhatuse liikmetele)</t>
    </r>
  </si>
  <si>
    <r>
      <t xml:space="preserve">Tallinna Turud - haldus </t>
    </r>
    <r>
      <rPr>
        <sz val="10"/>
        <color theme="1"/>
        <rFont val="Calibri"/>
        <family val="2"/>
        <charset val="186"/>
        <scheme val="minor"/>
      </rPr>
      <t>(Arvestades tööturul valitsevat olukorda soovitakse tõsta direktori töötasu 2500 € kuus (praegu 2000 €) ja direktori asetäitja töötasu 2200 kuus (praegu 1800 €)</t>
    </r>
  </si>
  <si>
    <r>
      <t xml:space="preserve">Toetus SA-le Tallinna Ettevõtlusinkubaatorid </t>
    </r>
    <r>
      <rPr>
        <sz val="10"/>
        <rFont val="Calibri"/>
        <family val="2"/>
        <charset val="186"/>
        <scheme val="minor"/>
      </rPr>
      <t>(Suurkonverentsi MELT 2017 korralduskulude katteks, foorumi keskmes on loomeinimeste ja ettevõtjate koostöö parandamine)</t>
    </r>
  </si>
  <si>
    <r>
      <t xml:space="preserve">Toetus SA-le Tallinna Lauluväljak </t>
    </r>
    <r>
      <rPr>
        <sz val="10"/>
        <color theme="1"/>
        <rFont val="Calibri"/>
        <family val="2"/>
        <charset val="186"/>
        <scheme val="minor"/>
      </rPr>
      <t>(Lauluväljaku kui pargi hooldustaseme tõstmiseks 50 000€, kommunikatsiooni ja partnersuhete valdkonna kulude suurendamiseks 30 000 € ja iga-aastaste hooldusremontide täiendavateks kuludeks 20 000 €)</t>
    </r>
  </si>
  <si>
    <r>
      <t xml:space="preserve">Toetus SA-le Tallinna Televisioon </t>
    </r>
    <r>
      <rPr>
        <sz val="10"/>
        <rFont val="Calibri"/>
        <family val="2"/>
        <charset val="186"/>
        <scheme val="minor"/>
      </rPr>
      <t>(Täiendavad vahendid on vajalikud veebikeskkonna moderniseerimiseks, TTV-le 2014.a mais eraldatud tegevusloas määratud tingimuste täitmiseks, üleeestilise korrespondentide võrgu rajamiseks ning arvamus-, uudiste- ja poliitikaprogrammi laiendamiseks)</t>
    </r>
  </si>
  <si>
    <r>
      <t xml:space="preserve">Toetus MTÜle Tallinn Restaurant Week </t>
    </r>
    <r>
      <rPr>
        <sz val="10"/>
        <rFont val="Calibri"/>
        <family val="2"/>
        <charset val="186"/>
        <scheme val="minor"/>
      </rPr>
      <t>(MTÜ soovib alates 2017.aastast korraldada Tallinna Restoranide Nädalat 2 korda aastas (1-7. märts ja 1-7. november) (täiendav eelarve 14000 €). Lisaks on idee korraldada koos linnavalitsusega tänulõuna neile Tallinna kodanikele, kes on oma panusega oluliselt mõjutanud linna arengut ja heaolu (eelarve 10 000 €)</t>
    </r>
  </si>
  <si>
    <r>
      <t xml:space="preserve">Toetus SA-le Tallinna Teaduspark TEHNOPOL </t>
    </r>
    <r>
      <rPr>
        <sz val="10"/>
        <rFont val="Calibri"/>
        <family val="2"/>
        <charset val="186"/>
        <scheme val="minor"/>
      </rPr>
      <t>(Eesti on alates 1.09.2015 Euroopa Kosmoseagentuuri täisliige ja riiklikul tasandil on võetud eesmärgiks ettevõtluse eesmärgil luua Eestisse alates 2017.aastast Euroopa Kosmoseagentuuri äriinkubaator. Lisavahendid suunatakse kosmosevaldkonna ettevõtetele (2 ettevõtet aastas) toodete ja teenuste prototüüpimiseks)</t>
    </r>
  </si>
  <si>
    <r>
      <t xml:space="preserve">Perekonda toetavad teenused </t>
    </r>
    <r>
      <rPr>
        <sz val="10"/>
        <rFont val="Calibri"/>
        <family val="2"/>
        <charset val="186"/>
        <scheme val="minor"/>
      </rPr>
      <t>(MTÜ-delt soovitakse osta sisse teenuseid senisest suuremas mahus (EELK Perekeskusele perelepitamise teenuse ostuks 2000€ ja MTÜle Caritas Eesti lastele tegevusvahendite ostuks 380€).</t>
    </r>
  </si>
  <si>
    <r>
      <t xml:space="preserve">Käitumishäiretega laste rehabilitatsiooniteenus </t>
    </r>
    <r>
      <rPr>
        <b/>
        <sz val="8"/>
        <rFont val="Calibri"/>
        <family val="2"/>
        <charset val="186"/>
        <scheme val="minor"/>
      </rPr>
      <t xml:space="preserve">(Tallinna Laste Turvakeskus) </t>
    </r>
    <r>
      <rPr>
        <sz val="10"/>
        <rFont val="Calibri"/>
        <family val="2"/>
        <charset val="186"/>
        <scheme val="minor"/>
      </rPr>
      <t>(Laste Turvakeskuses on viimastel aastatel toimunud oluline teenuste mahu laienemine, mistõttu on vaja luua 0,5 finantsisti ametikohta).</t>
    </r>
  </si>
  <si>
    <r>
      <t xml:space="preserve">Kriisiabi </t>
    </r>
    <r>
      <rPr>
        <sz val="10"/>
        <rFont val="Calibri"/>
        <family val="2"/>
        <charset val="186"/>
        <scheme val="minor"/>
      </rPr>
      <t>(2017 soovitakse laiendada kriisis olevate ja nõustamist vajavate isikute sihtgruppi ning hakata osutama psühholoogilist nõustamist rahvastikuregistri andmetel Tallinnas elavatele esmakordselt õigusorganite poolt tuvastatud uimastitarbijatele).</t>
    </r>
  </si>
  <si>
    <r>
      <t xml:space="preserve">Ligipääsetavuse arengusuundade elluviimine </t>
    </r>
    <r>
      <rPr>
        <sz val="10"/>
        <rFont val="Calibri"/>
        <family val="2"/>
        <charset val="186"/>
        <scheme val="minor"/>
      </rPr>
      <t>(Ligipääsetavuse arengusuundade plaanipäraseks ja süstemaatiliseks elluviimiseks ning Tallinna linna hallatavates asutustes ligipääsetavuse parandamiseks on STA juurde plaanis luua ligipääsetavuse fond 100 000€, kust linna allasutused saaksid projektipõhiselt taotleda ühekordset toetust. Lisaks on vaja 7500 € ligipääsetavuse portaali loomiseks (RIA eelanalüüsi ja lähteülesande koostamise toetusmeetme projektis osalemine. Ligipääsetavuse teemaga tegelemiseks vaja luua 0,5 spetsialisti ametikohta, kulu kokku 8998€).</t>
    </r>
  </si>
  <si>
    <r>
      <t>Muud sotsiaaltoetused, sh sünnitoetus (</t>
    </r>
    <r>
      <rPr>
        <sz val="10"/>
        <rFont val="Calibri"/>
        <family val="2"/>
        <charset val="186"/>
        <scheme val="minor"/>
      </rPr>
      <t>Sündide arv on kasvutendentsis ning lähtudes 2015 ja 2016 II poolaasta näitajatest, prognoositakse toetuse maksmise vajadust 4200le lapsele (eelarves olemas vahendid 3800le lapsele toetuse maksmiseks).</t>
    </r>
  </si>
  <si>
    <r>
      <t xml:space="preserve">Mitmesugused tervishoiukulud, sh projektid ja programmid (tervisefond) </t>
    </r>
    <r>
      <rPr>
        <sz val="10"/>
        <rFont val="Calibri"/>
        <family val="2"/>
        <charset val="186"/>
        <scheme val="minor"/>
      </rPr>
      <t>(1.Ameti haldusala üheks arengueesmärgiks on vähemalt ühes koolis igas linnaosas vaimse tervise õe kaasamine õpilaste võimalike vaimse arengu häirete avastamiseks ja nende suunamiseks ravile ja rehabilitatsioonile, mille eelarveline kulu 1 õe kohta oleks 16200€ aastas. Taotletakse õde 2 kooli - 32 400€. 2.Ülekaaluliste õpilaste projekt SA-s Tallinna Lastehaigla- 25 000€).</t>
    </r>
  </si>
  <si>
    <r>
      <t xml:space="preserve">Projekti "Tallinna Haigla" töörühma moodustamine </t>
    </r>
    <r>
      <rPr>
        <sz val="10"/>
        <rFont val="Calibri"/>
        <family val="2"/>
        <charset val="186"/>
        <scheme val="minor"/>
      </rPr>
      <t>(Tallinna Haigla projekti planeerimise faasi lõppemise järgselt on 2017.a kavandatud haigla funktsionaalse arengukava ja eskiisprojekti koostamine. Edaspidise tegevuse juhtimiseks planeeritakse projektijuhtimiseks erialaspetsialistide meeskonnaga 60 000€ ja haigla arhitektuurilise tegevusplaani koos lähteülesandega insenertehnilise ehitusplaani koostamiseks 500 000€).</t>
    </r>
  </si>
  <si>
    <r>
      <t>Perekeskuse teenused</t>
    </r>
    <r>
      <rPr>
        <b/>
        <sz val="8"/>
        <rFont val="Calibri"/>
        <family val="2"/>
        <charset val="186"/>
        <scheme val="minor"/>
      </rPr>
      <t xml:space="preserve"> (Tallinna Perekeskus) </t>
    </r>
    <r>
      <rPr>
        <sz val="10"/>
        <rFont val="Calibri"/>
        <family val="2"/>
        <charset val="186"/>
        <scheme val="minor"/>
      </rPr>
      <t>(1.Psühholoogiline nõustamine - seoses suure teenuse vajadusega vajalik luua täiendav psühholoogi töökoht - 20 539€; 2.Finantsisti töökoha moodustamine (0,5 kohta) - 11 197€).</t>
    </r>
  </si>
  <si>
    <r>
      <t>Toetus Tallinna Munitsipaalperearstikeskus OÜ-le</t>
    </r>
    <r>
      <rPr>
        <sz val="10"/>
        <rFont val="Calibri"/>
        <family val="2"/>
        <charset val="186"/>
        <scheme val="minor"/>
      </rPr>
      <t xml:space="preserve"> (Lasnamäe keskuses 1,5 klienditeenindaja, perearsti, pereõe ja registratuuri töötaja töökohtade loomiseks koos nende sisustamisega. 2017.a lõpus Mustamäe Tervisekeskuses 4 nimistuga perearsti, 8 pereõe ja registratuuri töötaja töökohtade loomiseks ja aparatuuri soetamiseks ning lisaks on 2017.a perearstikeskuses kavas rakendada sotsiaaltöötaja ametikoht koostööks perearst-pereõde- linnaosade sotsiaaltöötaja).</t>
    </r>
  </si>
  <si>
    <t>FinEst Link – Soome-Eesti Transpordiühendus</t>
  </si>
  <si>
    <t>FinEstSmartMobility – Helsingi Läänesadama - Tallinna Vanasadama vahelise liikuvuse parandamine nutikate lahenduste abil</t>
  </si>
  <si>
    <t>GoFEnvEd - Läänemere keskkonnahariduse võrgustik</t>
  </si>
  <si>
    <t>Pelguranna tn 31 tugikodu ehitamine</t>
  </si>
  <si>
    <t>Viljandi mnt kergliiklustee</t>
  </si>
  <si>
    <t>Vana-Kalamaja tänava rekonstrueerimine</t>
  </si>
  <si>
    <t>Välisrahastusega projekt "FinEst Link – Soome-Eesti Transpordiühendus" (ü)</t>
  </si>
  <si>
    <t>Välisrahastusega projekt "FinEstSmartMobility – Helsingi Läänesadama - Tallinna Vanasadama vahelise liikuvuse parandamine nutikate lahenduste abil" (ü)</t>
  </si>
  <si>
    <t>Supergraafilised seinapildid korterelamutele</t>
  </si>
  <si>
    <t>Välisrahastusega projekt "GoFEnvEd - Läänemere keskkonnahariduse võrgustik”(ü)</t>
  </si>
  <si>
    <t>Liinivedu</t>
  </si>
  <si>
    <t xml:space="preserve">Liiniläbisõidu suurenemine 3%. </t>
  </si>
  <si>
    <t>Liinivõrku ja sõidugraafikuid tuleb optimeerida. Ei ole põhjendatud pidevalt liiniläbisõitu suurendada.</t>
  </si>
  <si>
    <t>TLT tööjõukulude suurenemine 2,4 mln €. 2016. aasta aprillis sõlmitud kollektiivlepingust tulenevad töötasu tõusud (2016. aasta 1. juulist 4% ja 2017 aasta 1. aprillist 6%). Keskmine palgatõus 2017 võrreldes 2016 on 6,5%. Samuti avaldab tööjõukulude kasvule mõju 1. jaanuarist tõusev miinimumpalk (470 €). Ettevõttes on 140 miinimumpalka saavat abitöölist (sh veeremikoristajad, parklavalvurid jne);</t>
  </si>
  <si>
    <t>Sõlmitud kollektiivlepingut tuleb täita.</t>
  </si>
  <si>
    <t>Kütusekulude suurenemine. Kütusekulu kasvule avaldab mõju nii busside läbisõidu kasv 5,4% kui ka 2017. aasta 1. jaanuarist lisanduv kütuseaktsiisi tõus 10%. Kütuse hinna aluseks on võetud 2016. aasta juuni kolme dekaadi keskmine hind, millele on juurde lisatud aktsiisi tõus 10%.</t>
  </si>
  <si>
    <t>Aktsiisi tõus lisab kütusekulule ca 600 000 €.</t>
  </si>
  <si>
    <t xml:space="preserve">TLT finants- ja kapitalikulude suurenemine. 2017. aastal jätkub uute busside soetamine, vanade trammide uuendamine ja trammide infrastruktuuri rekonstrueerimine ning ehitamine, mis kõik suurendavad finants- ja kapitalikulu veotariifis. 2017. aastal on kavas soetada kapitalirendiga 20 uut hübriidbussi, 20 uut normaalbussi, 10 uut liigendbussi, 10 kasutatud bussi, sh 5 normaalbussi ja 5 liigendbussi. </t>
  </si>
  <si>
    <t xml:space="preserve">TLT 2017. a hankeplaanid ei ole veel kinnitatud. TLT-l tuleb analüüsida uute busside soetamise kulusid võrrelduna kasutatud busside soetusega või busside remondiga. Uue veeremi soetamine suurendab väga kiiresti TLT võlakoormust ja finantskulusid. </t>
  </si>
  <si>
    <t xml:space="preserve">Lume väljavedu </t>
  </si>
  <si>
    <t>2017. a lumekoguseid ei ole teada.</t>
  </si>
  <si>
    <t xml:space="preserve">Lepingu tasu kasv THI (2,5%) võrra </t>
  </si>
  <si>
    <t>2016 a THI, mille alusel 2017 hinna korrigeerimisel lähtutakse, jääb 0% lähedale.</t>
  </si>
  <si>
    <t>2.3</t>
  </si>
  <si>
    <t>Linnaosade taotlused (Haabersti 1740 €, Lasnamäe 86 707 € ja Nõmme 6000 €) ja puude-põõsaste hooldamine 30 000 €.</t>
  </si>
  <si>
    <t>Linnaosade vajadus on suurem, kui Kommunaalamet neile eraldab. Samuti tuleb suuremat rõhku pöörata teeäärse haljastuse hooldusele.</t>
  </si>
  <si>
    <t xml:space="preserve">Tegelik kulu on ettenägematute tööde (vandalism jm) tõttu kavandatust suurem, kuid amet on kulud planeerinud liiga suure varuga. </t>
  </si>
  <si>
    <r>
      <t xml:space="preserve">Tänavavalgustus
</t>
    </r>
    <r>
      <rPr>
        <sz val="10"/>
        <color theme="1"/>
        <rFont val="Calibri"/>
        <family val="2"/>
        <charset val="186"/>
        <scheme val="minor"/>
      </rPr>
      <t>Avariiliste valgustusmastide (ca 200 tk) vahetamine.</t>
    </r>
  </si>
  <si>
    <t>Tuleb tagada valgustusmastide ohutus.</t>
  </si>
  <si>
    <r>
      <t xml:space="preserve">Tallinna ühisveevärgi ja -kanalisatsiooni arendamise kava
</t>
    </r>
    <r>
      <rPr>
        <sz val="10"/>
        <color theme="1"/>
        <rFont val="Calibri"/>
        <family val="2"/>
        <charset val="186"/>
        <scheme val="minor"/>
      </rPr>
      <t>Kava uuendamine ning kavast üleujutuste ennetamiseks ning sademevee käitluse optimeerimiseks tulenevate skeemide ja uurimistööde koostamine.</t>
    </r>
  </si>
  <si>
    <t xml:space="preserve">Vastavalt ühisveevärgi ja kanalisatsiooni seadusele koostatakse ühisveevärgi ja -kanalisatsiooni arendamise kava vähemalt 12 aastaks ning see vaadatakse üle vähemalt kord nelja aasta tagant ja vajaduse korral seda korrigeeritakse. Hetkel kehtiv arengukava (koostatud 2010) vajab ülevaatamist ja täpsustamist sademevee ning kinnistuid läbivate torustike osas. </t>
  </si>
  <si>
    <r>
      <t xml:space="preserve">Toetus Tallinna Vee-ettevõtjate Järelevalve SA-le
</t>
    </r>
    <r>
      <rPr>
        <sz val="10"/>
        <color theme="1"/>
        <rFont val="Calibri"/>
        <family val="2"/>
        <charset val="186"/>
        <scheme val="minor"/>
      </rPr>
      <t>2017. aasta eelarve koostamisel on lähtutud kahe töötaja, kaasatavate ekspertide ja sihtasutuse nõukogu tööjõukuludest, millele lisanduvad majanduskulud (tööjõukulu 115 032 € ja majanduskulu 28 968 €)</t>
    </r>
  </si>
  <si>
    <r>
      <t xml:space="preserve">Vetelpääste avalikes supelrandades
</t>
    </r>
    <r>
      <rPr>
        <sz val="10"/>
        <color theme="1"/>
        <rFont val="Calibri"/>
        <family val="2"/>
        <charset val="186"/>
        <scheme val="minor"/>
      </rPr>
      <t>2016. aastal läbiviidud riigihanked näitasid, et kõikidel kordadel ületasid esitatud pakkumised ameti poolt etteantud piirmäära.</t>
    </r>
  </si>
  <si>
    <t>Tuleb tagada rannakülastajate ohutus.</t>
  </si>
  <si>
    <r>
      <t xml:space="preserve">Eraldised Päästeliidule vabatahtlike kaasamiseks õnnetuste ennetamisel
</t>
    </r>
    <r>
      <rPr>
        <sz val="10"/>
        <color theme="1"/>
        <rFont val="Calibri"/>
        <family val="2"/>
        <charset val="186"/>
        <scheme val="minor"/>
      </rPr>
      <t xml:space="preserve">Taotlus Päästeliidu vabatahtlike kaasamiseks õnnetuste ennetamisel on esitatud arvestades töömahu ja kulude kasvu. </t>
    </r>
  </si>
  <si>
    <t>Tegemist on linna poolse toetusega, mida eraldatakse hea tahte alusel. Päästeliit peab otsima ka muid rahastamisallikaid.</t>
  </si>
  <si>
    <r>
      <t xml:space="preserve">Harju tänava ja Nõmme teisaldatavad jääväljakud
</t>
    </r>
    <r>
      <rPr>
        <sz val="10"/>
        <color theme="1"/>
        <rFont val="Calibri"/>
        <family val="2"/>
        <charset val="186"/>
        <scheme val="minor"/>
      </rPr>
      <t xml:space="preserve">Kulud kasvavad, kuna 2017. a pakutakse esmakordselt Nõmme jääväljaku teenust täismahus (4 kuu jooksul). </t>
    </r>
  </si>
  <si>
    <t>Teadmata on, kui palju kulud kasvavad, kuna riigihange operaatorteenuse osutamiseks alles käib.</t>
  </si>
  <si>
    <r>
      <t xml:space="preserve">Muud heakorrakulud
</t>
    </r>
    <r>
      <rPr>
        <sz val="10"/>
        <color theme="1"/>
        <rFont val="Calibri"/>
        <family val="2"/>
        <charset val="186"/>
        <scheme val="minor"/>
      </rPr>
      <t>Tallinna Kommunaalameti mälestusteraamatu 1940‑2016 kujundamine ja trükkimine.</t>
    </r>
  </si>
  <si>
    <t>Kommunaalameti tegevusest on ilmunud Robert Nermani ja Küllike Kaplinski raamat “Tallinna Kommunaalmajandus 1940 – 2011“. Raamatute kirjastamine ei ole ameti põhitegevus. Kulude kokkuhoiu eesmärgil võiks raamatu välja anda e-raamatuna.</t>
  </si>
  <si>
    <t>2016. a eelarves tehti 3 seinapilti eelarvepositsiooni "toetus korteriühistutele fassaadide korrastamiseks" vahenditest (I LEAga oli lisatud ilma kulusummata alamrida "sellest supergraafilised seinapildid korterelamutele"). Seega on vastav kulu juba ameti kulubaasis sees ja lisataotlus on põhjendamatu.</t>
  </si>
  <si>
    <t>Nõmme laululava kiviktaimla rekonstrueerimine ja rododendroniala rajamine.</t>
  </si>
  <si>
    <t xml:space="preserve">Tegemist on vähekülastatava haljasalaga, mistõttu sellele suurte kulutuste tegemine on ebaotstarbekas. </t>
  </si>
  <si>
    <t>Lasteaia „Nõmmekannike Lasteaed“ hooviala, kui lasteasutuste näidishaljastuse juhtprojekti elluviimine.</t>
  </si>
  <si>
    <t>Tegemist ei ole tüüplasteaiaga, mistõttu ei ole arusaadav, kas sama lahendus sobib teistele (tüüp)lasteaedadele. Ühtlasi jääb arusaamatuks, kuidas kavatsetakse rahastada enamate lasteaedade haljastust.</t>
  </si>
  <si>
    <t>Linnaruumi kaunistamine Eesti Vabariik 100 tähistamiseks 2018. aasta kevadel ja selleks lillesibulate ostmine ning istutamine.</t>
  </si>
  <si>
    <t>Vabariigi aastapäeva ürituste korraldamise kulud peaks kandma riik.</t>
  </si>
  <si>
    <t>1.4</t>
  </si>
  <si>
    <t>Puude seisundi uurimine</t>
  </si>
  <si>
    <t xml:space="preserve">Tormituulte tõttu on puude ja nende okste murdumise oht parkides ja haljasaladel suur. Hoidmaks ära ohtu inimestele ja nende varale, tuleb linnas esmajärjekorras uurida pargiteede, mänguväljakute ning kõnniteede ääres kasvavaid vanemaid puid. </t>
  </si>
  <si>
    <t>1.5</t>
  </si>
  <si>
    <t xml:space="preserve">Puude istutamine. Keskkonnaametil on kohustus korraldada linna omanduses või kasutusse antud ehitise ehitamisel raieloa kõrvaltingimuse täitmine, s.t istutada linna uusi puid. </t>
  </si>
  <si>
    <t>Tegemist on linna kohustusega, mille täitmiseks ei ole piisavalt vahendeid.</t>
  </si>
  <si>
    <t>1.6</t>
  </si>
  <si>
    <t>Lepistiku pargi korrastamine ja hooldus</t>
  </si>
  <si>
    <t>Tegemist ei ole hädavajaliku kulutusega.</t>
  </si>
  <si>
    <t>1.7</t>
  </si>
  <si>
    <t>Haljastut tutvustava teekonna Tour de Parc välja töötamine ja ellu viimine. Vajalik on luua Tallinna parkide nn kaubamärk ja sinna juurde erinevaid tutvustavaid materjale (trükised, infotahvlid jms).</t>
  </si>
  <si>
    <t>1.8</t>
  </si>
  <si>
    <t>Vanalinna haljastuse inventeerimine, mille käigus selgitatakse välja vanalinna puittaimestiku väärtus ning olulised vaated vanalinna ja seda ümbritseva bastionaalparkide vahel. Uuringu tulemusel on võimalik välja töötada hoolduskava vajalike haljastustööde elluviimiseks.</t>
  </si>
  <si>
    <t>1.9</t>
  </si>
  <si>
    <t>Analüüsi koostamine haljastu koordineerimise optimeerimiseks.</t>
  </si>
  <si>
    <t>Vajalik on haljastu kavakindel koordineerimine, et hooldus oleks korraldatud linnas ühtselt ja kulude andmed oleksid võrreldavad ning ühtselt arusaadavad. Analüüsi koostamise vajalikkust on rõhutatud ka linna sisekontrolöri teenistuse 2015. aasta auditi „Haljastute hoolduse ja heakorratööde korraldamine“ lõpparuandes.</t>
  </si>
  <si>
    <t>1.10</t>
  </si>
  <si>
    <t>Linnametsade hooldus</t>
  </si>
  <si>
    <t>1.11</t>
  </si>
  <si>
    <t>Taimehaiguse "Jalaka surm" leviku takistamine</t>
  </si>
  <si>
    <t>Tegemist on ilmselt üleriigilise probleemiga, millel tuleks taotleda riiklikku finantseerimist (KIK vms).</t>
  </si>
  <si>
    <t>1.12</t>
  </si>
  <si>
    <t>Katuse- ja vertikaalhaljastuse näidisprojektide koostamine ja elluviimine.</t>
  </si>
  <si>
    <t>Projektide rahastamine peaks toimuma kinnistuomanike, asumiseltside jms kulul. Põhimõtteliselt oleks neid projekte võimalik rahastada ka Kommunaalametile ette nähtud eelarvepositsiooni "toetus korteriühistutele õuealade heakorrastamiseks" arvelt.</t>
  </si>
  <si>
    <r>
      <t xml:space="preserve">Laste ja noorte lillepidu
</t>
    </r>
    <r>
      <rPr>
        <sz val="10"/>
        <color theme="1"/>
        <rFont val="Calibri"/>
        <family val="2"/>
        <charset val="186"/>
        <scheme val="minor"/>
      </rPr>
      <t>2017. aastal on plaanis jätkata projekti ja rajada uued istutusalad Laagna tee liiklussaarele maksumusega 412 000 € (sh 4120 m² istutusala rajamine, lillepeo korraldamine, teavitustöö koolides ca 1000-le õpilasele, istutustööd koos hooldusega kuni vegetatsiooniperioodi lõpuni, istutusalale sibullillede istutamine) ja 13 900 m² muru rajamine maksumusega 55 000 €.</t>
    </r>
  </si>
  <si>
    <t>Tegemist ei ole linnaeelarve vahendite otstarbeka kasutamisega. Samas kui linn suudab nõuetekohaselt hooldada alla 30% haljastust, ei ole põhjendatud kõrge hooldusvajadusega suurte istutusalade loomine.</t>
  </si>
  <si>
    <t>Tootegrupp: botaanikaaed (Tallinna Botaanikaaed)</t>
  </si>
  <si>
    <t>3.1</t>
  </si>
  <si>
    <t>Hooajatööliste (14 in) tööjõukulud.</t>
  </si>
  <si>
    <t>Hooajatööliste vajadust põhjendatakse sellega, et viimastel aastatel on vähenenud sotsiaalsete töökohtade arv (Ettevõtlusameti eraldatav toetus). Samas on arusaamatu, kuidas suudeti hakkama saada enne sotsiaalsete töökohtade programmi käivitumist.</t>
  </si>
  <si>
    <t>3.2</t>
  </si>
  <si>
    <t xml:space="preserve">Kuna olemasoleva, osaliselt veel nõukogude ajast pärit ja praeguseks amortiseerunud tehnika remondikulud on ebamõistlikult suured, siis oleks õigem see asendada kaasaegse ja vajadusi arvestava tehnikaga. </t>
  </si>
  <si>
    <t>3.3</t>
  </si>
  <si>
    <t>3.4</t>
  </si>
  <si>
    <t>Tegemist ei ole hädavajaliku kulutusega. Kulude kokkuhoiu eesmärgil võiks raamatu välja anda e-raamatuna.</t>
  </si>
  <si>
    <r>
      <t xml:space="preserve">Keskkonnaamet
</t>
    </r>
    <r>
      <rPr>
        <sz val="10"/>
        <color theme="1"/>
        <rFont val="Calibri"/>
        <family val="2"/>
        <charset val="186"/>
        <scheme val="minor"/>
      </rPr>
      <t>Kahe uue töökoha loomine: heakorra ja jäätmehoolde osakonna järelevalve peaspetsialisti ametikoht (kuutasu 1500 €) ja keskkonnakorralduse sektoris juhtivspetsialisti ametikoht (kuutasu 1500 €).</t>
    </r>
  </si>
  <si>
    <t xml:space="preserve">Vajadus täiendava juhtivspetsialisti ametikoha järele tuleneb kooskõlastatavate projektide ja planeeringute mahu kasvust ning ehitusseaduse ja planeerimisseaduse muudatusest, millega lühendati ehitusprojektide ja planeeringute kooskõlastamise tähtaeg. </t>
  </si>
  <si>
    <t>5.1</t>
  </si>
  <si>
    <t>Uue töökoha (analüütiku, kuutasu 1550 €) tööjõukulud analüüsi koostamiseks linnale kuuluvate asutuste hoonete energiatarbimise kohta.</t>
  </si>
  <si>
    <t>Energiatarbimise analüüsi koostamine on pigem ühekordne tegevus, milleks uue töökoha loomine ei ole otstarbekas. Energiaagentuur peaks tegema rohkem koostööd Linnakantseleiga ja Linnavaraametiga, kellel on linnas suurimad kogemused hoonete haldamisel. Mitmete Linnavaraameti poolt läbi viidud renoveerimis- ja ehitusprojektide eesmärgiks on hoonete energiatõhususe suurendamine. Kulude tegemine võiks toimuda projektipõhiselt, ostes sisse vastavat teavet või makstes vajadusel mõnele töötajale lisatasu.</t>
  </si>
  <si>
    <t>5.2</t>
  </si>
  <si>
    <t>Linna energiapäeva korraldamine.</t>
  </si>
  <si>
    <t>Varasematel aastatel on energiapäeva korraldatud Energiaagentuuri ja Keskkonnaameti tegevuskuludest, mistõttu lisataotlus ei ole põhjendatud.</t>
  </si>
  <si>
    <t>5.3</t>
  </si>
  <si>
    <t xml:space="preserve"> Tegevuskava aastani 2050 ja strateegia koostamine.</t>
  </si>
  <si>
    <t>Arengudokumentide koostamisel tuleks kasutada linnaeelarve vahendeid säästlikumalt ja mitte tellima kogu dokumendi mõnest konsultatsioonifirmast, vaid tegema põhitöö oma jõududega, kaasates vajadusel eksperte.</t>
  </si>
  <si>
    <r>
      <t xml:space="preserve">Linnaplaneerimise Amet
</t>
    </r>
    <r>
      <rPr>
        <sz val="10"/>
        <color theme="1"/>
        <rFont val="Calibri"/>
        <family val="2"/>
        <charset val="186"/>
        <scheme val="minor"/>
      </rPr>
      <t>Kolme uue ametikoha loomine: ehitusosakonna ehitusprojektide peaspetsialist (kuupalk 1400 €), ehitusprojektide menetleja ( kuupalk 1400 €) ning ehituskontrolli ja kasutuslubade juhtivspetsialist (kuupalk 1600 €). Lisaks üks uus lepinguline töötaja (VÕS, kuutasu 1100 €).</t>
    </r>
  </si>
  <si>
    <r>
      <t xml:space="preserve">Planeeringud ja arhitektuurikonkursid
</t>
    </r>
    <r>
      <rPr>
        <sz val="10"/>
        <color theme="1"/>
        <rFont val="Calibri"/>
        <family val="2"/>
        <charset val="186"/>
        <scheme val="minor"/>
      </rPr>
      <t>Kloostrimetsa tee 46,52 ja 56 kruntide detailplaneering (DP) 75 000 €, Narva mnt 129 ja 129a kinnistute ja lähiala DP 25 000 €, Vana-Kalamaja tn arhitektuurivõistlus 20 000 € ja hea linnaruumi trükis 5000 €.</t>
    </r>
  </si>
  <si>
    <t xml:space="preserve">Tegemist on linnale oluliste planeeringutega, nagu Botaanikaaia ja lähiala planeering. TBA planeeringut ei jõuta tõenäoliselt lõplikult menetleda 2017. a jooksul, mistõttu on selle kulu 2017. aastal 75 000 € asemel ca 35 000 €. </t>
  </si>
  <si>
    <r>
      <t xml:space="preserve">Muinsus- ja miljööalade kaitse
</t>
    </r>
    <r>
      <rPr>
        <sz val="10"/>
        <color theme="1"/>
        <rFont val="Calibri"/>
        <family val="2"/>
        <charset val="186"/>
        <scheme val="minor"/>
      </rPr>
      <t>Ülevaateraamatu koostamine muinsuskaitse osakonna tegevusest viimasel aastakümnel.</t>
    </r>
  </si>
  <si>
    <t xml:space="preserve">Munitsipaalpolitsei Amet </t>
  </si>
  <si>
    <t xml:space="preserve">Tallinna Munitsipaalpolitsei Ameti uue ametivormi välja töötamine ja kasutusele võtmine.
</t>
  </si>
  <si>
    <t>Munitsipaalpolitsei vorm on aegunud. Uus vormiriietus tõstab MuPO prestiiži nii oma töötajate kui ka avalikkuse silmis.</t>
  </si>
  <si>
    <t xml:space="preserve">Ametipalkade suurendamine keskmiselt 11%. </t>
  </si>
  <si>
    <t>Palgatõus üle 5% ei ole otstarbekas. Kaaluda võiks palkade suurendamiseks vahendite leidmiseks viia ametis läbi funktsioonide optimeerimine ja osaline koondamine. MuPOs on 2016. a olnud pidevalt 4-16 vakantset teenistuskohta.</t>
  </si>
  <si>
    <t xml:space="preserve">Seoses KOKS-i § 6 täiendamisega lõikega 2¹ MUPO arendus- ja haldusosakonna juurde kriisreguleerimissektori loomine, mille koosseisu on kavandatud 3 töötajast: juhtivinspektor (kuutasu 1500 €) ja 2 peainspektorit (kuutasu 1359 €), sh üks koht Kommunaalameti inseneriosakonna arvelt (kuutasu 1305 €) ning kaks uut ametikohta. 3 koha kulu kokku 73 972 €, sellest töötasu 55 020 €. </t>
  </si>
  <si>
    <t>Sektori võiks luua olemasolevate ametikohtade arvelt: sh üks koht Kommunaalametist ja 2 kohta MuPO vakantsete ametikohtade koondamise arvelt. MuPOs on 2016. a olnud pidevalt 4-16 vakantset teenistuskohta.</t>
  </si>
  <si>
    <t>Kriisireguleerimise sektori ruumide majandamiskulud.</t>
  </si>
  <si>
    <t>Kuna teenistuskohtade arvu suurenemine ei ole põhjendatud, puudub ka vajadus lisaruumide järele.</t>
  </si>
  <si>
    <t>Töömasinate kasutusrent.</t>
  </si>
  <si>
    <t xml:space="preserve">
Kasvuhoonetes täielik üleminek bioloogilisele kahjuritõrjele töötajate ja külastajate tervise kaitseks.</t>
  </si>
  <si>
    <t>TBA trükise väljaandmine.</t>
  </si>
  <si>
    <t>Sotsiaaltöötajate premeerimine</t>
  </si>
  <si>
    <t>Tervishoiutöötajate premeerimine</t>
  </si>
  <si>
    <t>Välisrahastusega projekt "Haldusvõimekuse tõstmine ettevõtluse innovaatilisemas arenduses"</t>
  </si>
  <si>
    <t>Tulud muudelt majandusaladelt</t>
  </si>
  <si>
    <t>tööpraktika juhendamine</t>
  </si>
  <si>
    <t>8.8. Tallinna Laste Turvakeskus</t>
  </si>
  <si>
    <t>8.9. Tallinna Kiirabi</t>
  </si>
  <si>
    <t>Haldusvõimekuse tõstmine ettevõtluse innovaatilisemas arenduses</t>
  </si>
  <si>
    <r>
      <t xml:space="preserve">Mitmesugused tervishoiukulud, sh õendusabi korraldamine) </t>
    </r>
    <r>
      <rPr>
        <sz val="10"/>
        <rFont val="Calibri"/>
        <family val="2"/>
        <charset val="186"/>
        <scheme val="minor"/>
      </rPr>
      <t>(Suurenenud patsientide hulk (Iru Hooldekodus peab 1 õde hetkel teenindama 75 abivajajat päevas ja teenust ei ole enam võimalik osutada vajalikus mahus). Vajadus on 2 päevase õe ametikoha järele (palgamääraga a' 1094€).</t>
    </r>
  </si>
  <si>
    <t>tulu müügipiletitest</t>
  </si>
  <si>
    <t>17.2. Kristiine Tegevuskeskus</t>
  </si>
  <si>
    <t>huviringide osalustasu</t>
  </si>
  <si>
    <t>kontserdid Tallinna linnaosades ja linna üldhariduskoolides</t>
  </si>
  <si>
    <t>Peterburi kohtumised Tallinnas</t>
  </si>
  <si>
    <t>XII noorte laulu- ja tantsupidu "Mina jään"</t>
  </si>
  <si>
    <t>Eesti Vabariik 100</t>
  </si>
  <si>
    <t>sellest EUROPA CANTAT 2018 ettevalmistamiseks</t>
  </si>
  <si>
    <t>sellest Tallinn Ships Races 2017</t>
  </si>
  <si>
    <t>Raamatukogud</t>
  </si>
  <si>
    <t>Teater</t>
  </si>
  <si>
    <t>4.2.</t>
  </si>
  <si>
    <t>Majandamiskulude puudujääk, sh
* etenduse- ja kontserttegevuse kulude puudujääk 76 258 € (seoses töömahu kasvuga suurenevad nii lavastuste väljatoomise kui ka etenduste andmise kulud, samuti autoritasudeks makstavad summad. 2017 toob teater välja Soome lavastaja käe all välja uuslavastuse Põrgulaval, mille väljatoomise kulud on tavapärasest suuremad. Uue lavastuse väljatoomine Salme kultuurikeskuse suurele lavale. Suvelavastuse „Suveöö unenägu“ mängimise jätkamine Lavaaugus ja selleks vajaliku lavaruumi, telgi, rent.);
* halduskulud 42 500 € (Lisaks seadustest tulenevad kohustused sõlmida hoolduslepingud tehnovõrkude haldamiseks. Samuti on teatri kasutuses ca 4 000 m2 pinda, mis vajab pidevalt hooldust);
* materiaalne põhivara 9 740 € (väljavahetamist vajavad mitmed teatri töökodades kasutusel olevad, kuid vananenud seadmed). jt</t>
  </si>
  <si>
    <t>7.</t>
  </si>
  <si>
    <t>Ülelinnalised kultuuriüritused ja -projektid</t>
  </si>
  <si>
    <t>7.1.</t>
  </si>
  <si>
    <t>EUROCITIES kultuurifoorum Tallinnas
 EUROCITIESe kultuurifoorumi korraldamine Tallinnas märtsis 2017, millega soovitakse oluliselt laiendada kultuurivaldkonna rahvusvahelist koostööd ja tutvustatakse linna kultuuriarengut. 
Tallinna linn on 2017. aasta kevadise EUROCITIES’e kultuurifoorumi korraldaja. EUROCITIES kultuurifoorum toimub Tallinnas 29. märtsist kuni 1. aprillini 2017 ning siia on oodata ca 100 delegaati võrgustiku linnadest. Kultuurifoorumi raames toimuvad juhtrühma koosolekud, plenaaristung, nelja töörühma koosolekud ja õppevisiidid. Korraldajalinna kanda on foorumil osalejate toitlustamine, ruumide korraldamine seminaride ja koosolekute läbiviimiseks, õppevisiitide läbiviimine, linna tutvustavate ekskursioonide korraldamine.</t>
  </si>
  <si>
    <t>8.1.</t>
  </si>
  <si>
    <t xml:space="preserve">Laulu- ja Tantsupeo Slaavi pärg Korralduskomitee
2017. aastal, mai lõpus korraldatav XV Rahvusvaheline Laulu-ja Tantsupidu "Slaavi Pärg" on pühendatud esimese üleriigilise vene laulupeo Eestis 80. juubeli aastapäevale.
Tegevuste läbiviimise maht ja planeeritud aeg nõuab rohkem ressurssi meistriklasside ja seminaride  läbiviimiseks. Samuti on täpsustunud programmi koostamisel suuremad vajadused osavõtvatele kollektiividele nii Tallinnas kui ka vabariigi piires ülevaatuste läbiviimiseks. </t>
  </si>
  <si>
    <t>8.2.</t>
  </si>
  <si>
    <t xml:space="preserve">Eesti Noorte Purjeõppeselts „STA ESTONIA”
2017. aastal antakse kümnele 15-25-aastasele noorele 500 eurosed stipendiumid osalemiseks The Tall Ships Races 2017 regati etappidel, valmistatakse trükkimiseks ette ja toodetakse Cruise-in-Company 2017 manuaalid. Samuti valmistatakse ette Tallinnas toimuva Cruise-in-Company programm kaptenitele ning meeskondadele ning Tallinna lahe Cruise-in-Company merekaardid purjekatele. 
</t>
  </si>
  <si>
    <t>8.3.</t>
  </si>
  <si>
    <t>Mittetulundusühing Mustonenfest
2014. aastal toimus Mustonenfest esimest korda lisaks Eestile ka Iisraelis. Et säilitada 2016. aastal saavutatud festivali kunstiline tase, taotletakse Mittetulundusühingule Mustonenfest rahvusvahelise festivali „Mustonenfest Tallinn-Tel Aviv“ 2017. aastal korralduskulude katteks täiendavaid vahendeid.</t>
  </si>
  <si>
    <t xml:space="preserve">2016. aastal eraldati LV reservfondist ürituse korraldamise kulude katteks täiendavalt 15 000 €. 2016. aasta toetus kokku oli 65 000 €. </t>
  </si>
  <si>
    <t>2016 II LEA</t>
  </si>
  <si>
    <t>Teisel ringil targaks Tallinna Vanalinna Täiskasvanute Gümnaasiumis</t>
  </si>
  <si>
    <t>Teisel ringil targaks Tallinna Täiskasvanute Gümnaasiumis</t>
  </si>
  <si>
    <t>II lisaeelarve</t>
  </si>
  <si>
    <t>Välisrahastusega projekt "Teisel ringil targaks Tallinna Vanalinna Täiskasvanute Gümnaasiumis" (ü)</t>
  </si>
  <si>
    <t>Välisrahastusega projekt "Teisel ringil targaks Tallinna Täiskasvanute Gümnaasiumis" (ü)</t>
  </si>
  <si>
    <t>tasu asutuse sõiduki kasutamise eest</t>
  </si>
  <si>
    <t>Valimised</t>
  </si>
  <si>
    <t>toetused riigilt</t>
  </si>
  <si>
    <r>
      <t>Tolli 8  hoone keldriruumide ümberehitamine arhiivihoidlateks. 
Arhivaalide juurdekasvu tulemusena aastail 2010–2015 on linnaarhiivi hoidlapinnast tänaseks täidetud 93,5%. Arvestades arhivaalide keskmist juurdekasvu 36 jooksvat meetrit aastas, tagab täiendav hoidlapind põrandapind (+216,2 m</t>
    </r>
    <r>
      <rPr>
        <vertAlign val="superscript"/>
        <sz val="8"/>
        <rFont val="Arial"/>
        <family val="2"/>
        <charset val="186"/>
      </rPr>
      <t>2</t>
    </r>
    <r>
      <rPr>
        <sz val="8"/>
        <rFont val="Arial"/>
        <family val="2"/>
        <charset val="186"/>
      </rPr>
      <t>, riiulipind +552m</t>
    </r>
    <r>
      <rPr>
        <vertAlign val="superscript"/>
        <sz val="8"/>
        <rFont val="Arial"/>
        <family val="2"/>
        <charset val="186"/>
      </rPr>
      <t>2</t>
    </r>
    <r>
      <rPr>
        <sz val="8"/>
        <rFont val="Arial"/>
        <family val="2"/>
        <charset val="186"/>
      </rPr>
      <t xml:space="preserve">) arhivaalide juurdekasvuks ruumi järgnevaks 15 aastaks.  
</t>
    </r>
  </si>
  <si>
    <t>Ei ole kriitiline vajadus.</t>
  </si>
  <si>
    <t>NB! STA 9st hallatavast asutusest 6s on olemas finantsistid, lisaks taotletakse veel 2 hallatavale finantsisti. STA isikkoosseisus on analüütiku ja 3 eelarvestaja töökohad.(Võrdlusena Spordiametil on 7 hallatavat asutust, kus ei ole ühtegi finantsisti ja ameti isikkoosseisus on 3  eelarvestajat). Ettepanek - STA ühe eelarvestaja koht kataks 0,5 Tallinna Perekeskuse finantsisti ja 0,5 Tallinna Laste Turvakeskuse finantsisti vajaduse.</t>
  </si>
  <si>
    <t>Milline on Katrini seisukoht ligipääsetavuse fondi osas?</t>
  </si>
  <si>
    <r>
      <t xml:space="preserve">Teha analüüs 2016 põhjal! Tundub liiga suur! </t>
    </r>
    <r>
      <rPr>
        <sz val="8"/>
        <rFont val="Arial"/>
        <family val="2"/>
        <charset val="186"/>
      </rPr>
      <t xml:space="preserve">Tänase seisuga tundub, et sünnitoetuse ülekulu on võimalik katta esmakordselt kooli mineva lapse toetuse arvelt, sest seal väheneb esimesse klassi astujate arv (mitte ei suurene). </t>
    </r>
  </si>
  <si>
    <t>See ei ole kriitiline vajadus</t>
  </si>
  <si>
    <r>
      <t xml:space="preserve">Iru Hooldekodu 350 kliendist vajab õendusabi teenust ligi 270 klienti. Õendusabi osutatakse 7 päeva nädalas ja öövalves on 1 õde kogu maja kohta. </t>
    </r>
    <r>
      <rPr>
        <sz val="8"/>
        <color rgb="FFC00000"/>
        <rFont val="Arial"/>
        <family val="2"/>
        <charset val="186"/>
      </rPr>
      <t>NB! Vaata uuesti üle - STA on põhitaotluses juba päris palju suurendanud ja nüüd veel 2 kohta?!?</t>
    </r>
  </si>
  <si>
    <t>See kohustus on juba võetud.</t>
  </si>
  <si>
    <t>Töid teostatakse vastavalt eelarve võimalustele. 2016. a II LEAga suurendatakse kulu 1 mln € võrra, mille eesmärk on vähendada tänavate remondivajadust 2017. a.</t>
  </si>
  <si>
    <t>SA-le tuleb eraldada vahendid palkade kasvuks juhatajale (toimus 2015. a lõpus) ja nõukogule (seotud miinimumpalgaga).</t>
  </si>
  <si>
    <t>Põhi- ja üldkeskharidus</t>
  </si>
  <si>
    <r>
      <rPr>
        <b/>
        <sz val="10"/>
        <rFont val="Calibri"/>
        <family val="2"/>
        <charset val="186"/>
        <scheme val="minor"/>
      </rPr>
      <t>Õpikodade projekti käivitamine.</t>
    </r>
    <r>
      <rPr>
        <sz val="10"/>
        <rFont val="Calibri"/>
        <family val="2"/>
        <charset val="186"/>
        <scheme val="minor"/>
      </rPr>
      <t xml:space="preserve">
Programmi eesmärk: loodus-, täppisteaduse ja tehnoloogiaalase kirjaoskuse arendamine (lõimituna) õpikodades praktiliste tegevustena.
Sihtrühm: Tallinna koolide põhikooli II ja III kooliastme õpilased. Õpikojad toimuvad 2 korda kuus. Ühes õpikojas saab tegutseda kuni 20 õpilast. Õpikojas toimuvat õpet viib läbi korraga kaks õpetajat. Õpikodade programmis osalemine on nii koolidele kui ka õpilastele tasuta.</t>
    </r>
  </si>
  <si>
    <t>2.4</t>
  </si>
  <si>
    <r>
      <rPr>
        <b/>
        <sz val="10"/>
        <rFont val="Calibri"/>
        <family val="2"/>
        <charset val="186"/>
        <scheme val="minor"/>
      </rPr>
      <t>Tallinna õppenõustamiskeskuse</t>
    </r>
    <r>
      <rPr>
        <sz val="10"/>
        <rFont val="Calibri"/>
        <family val="2"/>
        <charset val="186"/>
        <scheme val="minor"/>
      </rPr>
      <t xml:space="preserve"> (TÕNK) teenuse osutamise jätkamine ja laiendamine al. 01.09.2017 (4 kuud), sh
täiendavalt 4 logopeedi ametikohta loomine (20 500 €);
eestikeelse psühholoogi ja venekeelse eripedagoogi ametikoha loomine (5130 €);
TÕNK spetsialisti palgatõusuks 15 200 €.</t>
    </r>
  </si>
  <si>
    <t>2.5</t>
  </si>
  <si>
    <r>
      <rPr>
        <b/>
        <sz val="10"/>
        <rFont val="Calibri"/>
        <family val="2"/>
        <charset val="186"/>
        <scheme val="minor"/>
      </rPr>
      <t>Tallinna õpilaste muuseumipäev.</t>
    </r>
    <r>
      <rPr>
        <sz val="10"/>
        <rFont val="Calibri"/>
        <family val="2"/>
        <charset val="186"/>
        <scheme val="minor"/>
      </rPr>
      <t xml:space="preserve">
Põhikooli loodusainete, õppekava täitmiseks sealhulgas õuesõppe korraldamiseks võiks Tallinn, nagu ka Helsingi, võimaldada kõikidele õpilastele põhikoolis tasuta õppekäike linna muuseumidesse, botaanikaaeda ja loomaaeda. 
Teeme ettepaneku rahastada kõiki põhikooli õpilasi õppekäike, kokku 34 448 õpilast.</t>
    </r>
  </si>
  <si>
    <t>2.6</t>
  </si>
  <si>
    <r>
      <rPr>
        <b/>
        <sz val="10"/>
        <rFont val="Calibri"/>
        <family val="2"/>
        <charset val="186"/>
        <scheme val="minor"/>
      </rPr>
      <t>Kaasjuhendamise projekti rakendamine koostöös TLÜ-ga.</t>
    </r>
    <r>
      <rPr>
        <sz val="10"/>
        <rFont val="Calibri"/>
        <family val="2"/>
        <charset val="186"/>
        <scheme val="minor"/>
      </rPr>
      <t xml:space="preserve">
Õpilaste uurimistööde kaasjuhendamise pilootprojekt on kutsutud ellu eesmärgiga toetada üldhariduskooli õpetajate uurimistööde juhendamisalaste pädevuste kujunemist läbi õpilastööde kaasjuhendamise Tallinna Ülikooli magistrantide poolt ning õpetajate täiendkoolituse. Pilootprojektis osalevad 7 kooli. Projekti ellukutsuja Tallinna Haridusamet, partnerid: Tallinna Ülikooli  haridusteaduste instituut, digitehnoloogiate instituut. </t>
    </r>
  </si>
  <si>
    <t>2.7</t>
  </si>
  <si>
    <r>
      <rPr>
        <b/>
        <sz val="10"/>
        <rFont val="Calibri"/>
        <family val="2"/>
        <charset val="186"/>
        <scheme val="minor"/>
      </rPr>
      <t>Haridusasutuste juhtide arendamine</t>
    </r>
    <r>
      <rPr>
        <sz val="10"/>
        <rFont val="Calibri"/>
        <family val="2"/>
        <charset val="186"/>
        <scheme val="minor"/>
      </rPr>
      <t xml:space="preserve">
2016. aastal OECD poolt läbi viidud eesti haridussüsteemi ressursikasutuse analüüsis viidatakse vajadusele planeerida muudatusi koolijuhi ametis. Soovitatakse üle vaadata süsteem, mis annab tagasisidet erialase arengu ja oskuste kohta. Teise probleemina viidatakse vajadusele kindlustada uute haridusjuhtide järelkasv, kuna Eesti haridusjuhid on üsna eakad. Juhtide arengu, karjääri ja järelkasvu toetamiseks on Tallinna linnas rakendatud coachingu ja mentoriprogramm.
2017. aastal on kavas coachingu koolitus 20-le juhile (20 000 €) ning 240 tundi juhtimiskoolitust 20-le juhile (20 000 €). Kokku kulud 40 000 €. </t>
    </r>
  </si>
  <si>
    <t>2.8</t>
  </si>
  <si>
    <r>
      <rPr>
        <b/>
        <sz val="10"/>
        <rFont val="Calibri"/>
        <family val="2"/>
        <charset val="186"/>
        <scheme val="minor"/>
      </rPr>
      <t>Haridustehnoloogi ametikoha rakendamine koolides.</t>
    </r>
    <r>
      <rPr>
        <sz val="10"/>
        <rFont val="Calibri"/>
        <family val="2"/>
        <charset val="186"/>
        <scheme val="minor"/>
      </rPr>
      <t xml:space="preserve">
Iga päevaga suureneb vajadust kasutada koolis õppetöös digivahendeid.
Haridustehnoloog on haridusasutuse töötaja, kes omab kaasaegse õpikäsituse ning digitehnoloogia-alast kompetentsi. Haridustehnoloogi ülesandeks on koordineerida digiõppe alast tegevust, leides uusi innovaatilisi lahendusi, arendades, nõustades ja toetades kooli personali ning õppijaskonda digiajastu vahendite ja võimaluste kasutamisel õppeprotsessis. Professionaalne haridustehnoloog tegutseb  digipädevusi järgides, toetudes oma töös kaasaegse pedagoogika-alastele teadmistele ning oskab välja pakkuda, arendada ja juurutada innovaatilisi lahendusi õppeasutuse digivõimekuse tõstmiseks.
Arvestades haridustehnoloogi palgaks 1100 € kuus ning koolide arvuks 59 on täiendavaks vajaduseks 1 042 000 €, sh töötasu 778 800 €.</t>
    </r>
  </si>
  <si>
    <t>2.9</t>
  </si>
  <si>
    <r>
      <rPr>
        <b/>
        <sz val="10"/>
        <rFont val="Calibri"/>
        <family val="2"/>
        <charset val="186"/>
        <scheme val="minor"/>
      </rPr>
      <t>Riikliku õppekava täitmine, suusa- ja uisutundide läbiviimine.</t>
    </r>
    <r>
      <rPr>
        <sz val="10"/>
        <rFont val="Calibri"/>
        <family val="2"/>
        <charset val="186"/>
        <scheme val="minor"/>
      </rPr>
      <t xml:space="preserve">
Põhikooli ja gümnaasiumiseadus sätestab, et riikliku õppekava täitmine peab õpilasele olema tasuta. Kuigi suusa- ja/või uisutundide läbiviimine on riikliku õppekava osa, on seni suusatundide läbiviimise kulud katnud vanemad. Amet teeb ettepaneku toetada suusa- ja uisutundide läbiviimist vähemalt kolmandas kooliastmes (7-9 klass).</t>
    </r>
  </si>
  <si>
    <t>2.10</t>
  </si>
  <si>
    <t xml:space="preserve">Gümnasistide tasuta koolilõuna </t>
  </si>
  <si>
    <t>2.11</t>
  </si>
  <si>
    <r>
      <t xml:space="preserve">Üldhariduskoolide tugiteenuste osutamine
</t>
    </r>
    <r>
      <rPr>
        <sz val="10"/>
        <rFont val="Calibri"/>
        <family val="2"/>
        <charset val="186"/>
        <scheme val="minor"/>
      </rPr>
      <t xml:space="preserve">Tegemist on olulise teemaga, sest 2016. aastal läbiviidud uuringu tulemusel kinnitab ca 30% õpilastest on tundnud koolikiusamist, sõltumata vanusest ja klassiastmest. 
Kuigi koolides on tugispetsialiste rakendatud minimaalses mahus, on tegelik vajadus suurem. Amet taotleb igale koolile (59 kooli) täiendava tugispetsialisti ametikoha rahastamist. </t>
    </r>
  </si>
  <si>
    <t>2.12</t>
  </si>
  <si>
    <r>
      <t xml:space="preserve">Laulu- ja tantsupeol esinevate kollektiividele esinemiskostüümide soetamine
</t>
    </r>
    <r>
      <rPr>
        <sz val="10"/>
        <rFont val="Calibri"/>
        <family val="2"/>
        <charset val="186"/>
        <scheme val="minor"/>
      </rPr>
      <t xml:space="preserve">XII noorte laulu-ja tantsupidi toimub 30.06-02.07.2017
Amet taotleb Tallinna linna esindavate üldhariduskoolide ja huvikoolide kollektiivide esinemiskostüümide soetamise toetamiseks kokku 218 925 €, sh laulupeol osalejatele 20 € osaleja kohta (5610 registreerunud osalejat) ja tantsupeol osalejatele 75 € (1423 registreerunud osalejat). </t>
    </r>
  </si>
  <si>
    <t>2.13</t>
  </si>
  <si>
    <r>
      <t xml:space="preserve">Sport koolis pilootprojekt
</t>
    </r>
    <r>
      <rPr>
        <sz val="10"/>
        <rFont val="Calibri"/>
        <family val="2"/>
        <charset val="186"/>
        <scheme val="minor"/>
      </rPr>
      <t>Kavas on alustada pilootprojektiga, mille eesmärgiks on liikumisharrastuse populaarsuse suurendamine läbi erinevate spordialade harrastamise. Kavas on viia pilootprojekt läbi üheksas koolis, kokku neli korda nädalas. Kokku 2 õpetaja ametikoht</t>
    </r>
  </si>
  <si>
    <t>3</t>
  </si>
  <si>
    <t>4</t>
  </si>
  <si>
    <t>sh tegevuskuludeks</t>
  </si>
  <si>
    <t>Merirahu kaugkütte võrgupiirkonna soojusmajanduse arengukava koostamine</t>
  </si>
  <si>
    <t>Välisrahastusega projekt "Merirahu kaugkütte võrgupiirkonna soojusmajanduse arengukava koostamine" (ü)</t>
  </si>
  <si>
    <t>välisprojektide kaasfinantseerimise toetuse arvelt</t>
  </si>
  <si>
    <t xml:space="preserve"> Vana-Viru 12 hoone ventilatsiooni- ja jahutusseadmete osaliseks väljavahetamiseks;</t>
  </si>
  <si>
    <t>Vana-Viru 12 hoone ventilatsiooni- ja jahutusseadmete osaliseks väljavahetamiseks</t>
  </si>
  <si>
    <t>2017. a valitavale volikogu koosseisule IT-seadmete hankimiseks.</t>
  </si>
  <si>
    <t>Mobiilirakendusega taksoveoteenuse tellimise süsteemi loomiseks Transpordiametile.</t>
  </si>
  <si>
    <t>2</t>
  </si>
  <si>
    <t>Haridusasutuste IKT keskkond(ü)</t>
  </si>
  <si>
    <t>haridusasutuste töökohatarkvara (Microsoft Windows ja Office) teise aasta makse;</t>
  </si>
  <si>
    <t>haridusasutuste IT haldusteenuse kallinemine;</t>
  </si>
  <si>
    <t>koolidele 750 projektori rentimine;</t>
  </si>
  <si>
    <t>Hariduse Infotehnoloogia SA „Koolide digitaristu“ toetusmeetme omafinantseering ;</t>
  </si>
  <si>
    <t>lasteaedadele 300 arvuti rent;</t>
  </si>
  <si>
    <t>tsentraalse printimise pilootprojekt;</t>
  </si>
  <si>
    <t>õpilaste ja õpetajate kasutajakontode projekti eelanalüüs;</t>
  </si>
  <si>
    <t>haridusasutuste andmesidevõrkude arendamine.</t>
  </si>
  <si>
    <r>
      <t xml:space="preserve">Linnavalitsus ja linnavalitsuse liikmete bürood
</t>
    </r>
    <r>
      <rPr>
        <u/>
        <sz val="10"/>
        <rFont val="Calibri"/>
        <family val="2"/>
        <charset val="186"/>
        <scheme val="minor"/>
      </rPr>
      <t xml:space="preserve">LV liikmete büroo </t>
    </r>
    <r>
      <rPr>
        <sz val="10"/>
        <rFont val="Calibri"/>
        <family val="2"/>
        <charset val="186"/>
        <scheme val="minor"/>
      </rPr>
      <t xml:space="preserve">teenistujate tööjõukulude kasvuks seoses  põhipalkade kavandatava 5% tõusuga. </t>
    </r>
  </si>
  <si>
    <t>5</t>
  </si>
  <si>
    <t>4 uue töökohta tööjõukuludeks;</t>
  </si>
  <si>
    <t>Teenistujate tööjõukulude kasvuks seoses  põhipalkade kavandatava 5% tõusuga.</t>
  </si>
  <si>
    <t>6</t>
  </si>
  <si>
    <t>1</t>
  </si>
  <si>
    <t>Seoses lisanduvate tööülesannetega (vt comment) vajab PSA arhiivi ja rahvastikutoimingute osakonna koosseisu ühte täiendavat spetsialisti ametikohta, põhipalgaga 1225 €. millest 945 € e 77% (kokku töötasu+maksud 16 503 €)kaetakse seoses haldusülesannete täitmisega RE toetuste arvelt ja 280 € e 23% (kokku töötasu+maksud 4 890 €) osas esitatakse lisataotlus.</t>
  </si>
  <si>
    <r>
      <t xml:space="preserve">Spordihooned ja -rajatised
</t>
    </r>
    <r>
      <rPr>
        <sz val="10"/>
        <rFont val="Calibri"/>
        <family val="2"/>
        <charset val="186"/>
        <scheme val="minor"/>
      </rPr>
      <t>Pirita terviseraja suusaraja valmistamis- ja ülalpidamiskuludeks ning jõulinnaku remondikuludeks, kuna antud objektid on linnarahvale tasuta kasutamiseks ja asutuse filiaalide poolt teenitava omatulude arvelt ei ole võimalik nimetatud kulusid katta.</t>
    </r>
  </si>
  <si>
    <r>
      <t>Staadionid</t>
    </r>
    <r>
      <rPr>
        <sz val="10"/>
        <rFont val="Calibri"/>
        <family val="2"/>
        <charset val="186"/>
        <scheme val="minor"/>
      </rPr>
      <t xml:space="preserve">
Kadrioru Staadioni kahe töökoha töötasu alammääraga tõusu katteks (22*40*12=960 +33,3%=1280). </t>
    </r>
  </si>
  <si>
    <r>
      <t xml:space="preserve">Noorsootööprogrammid ja -projektid
</t>
    </r>
    <r>
      <rPr>
        <b/>
        <sz val="10"/>
        <rFont val="Calibri"/>
        <family val="2"/>
        <charset val="186"/>
        <scheme val="minor"/>
      </rPr>
      <t xml:space="preserve">laagriprojektid
</t>
    </r>
    <r>
      <rPr>
        <sz val="10"/>
        <rFont val="Calibri"/>
        <family val="2"/>
        <charset val="186"/>
        <scheme val="minor"/>
      </rPr>
      <t>Laagriprojektide eelarve suurendamine annaks võimaluse pakkuda laagritoetust täiendavalt 1600 Tallinna noorele. 
Arvestuse aluseks on toetuse suurus 3 € (2016. 2.80 €) ühe lapse kohta päevas ja keskmine laagripäevade arv 8.</t>
    </r>
    <r>
      <rPr>
        <b/>
        <sz val="10"/>
        <rFont val="Calibri"/>
        <family val="2"/>
        <charset val="186"/>
        <scheme val="minor"/>
      </rPr>
      <t xml:space="preserve">
</t>
    </r>
  </si>
  <si>
    <r>
      <rPr>
        <b/>
        <sz val="10"/>
        <color theme="1"/>
        <rFont val="Calibri"/>
        <family val="2"/>
        <charset val="186"/>
        <scheme val="minor"/>
      </rPr>
      <t>Päevakeskuse teenused</t>
    </r>
    <r>
      <rPr>
        <sz val="10"/>
        <color theme="1"/>
        <rFont val="Calibri"/>
        <family val="2"/>
        <charset val="186"/>
        <scheme val="minor"/>
      </rPr>
      <t xml:space="preserve">
UUTE KOHTADE LOOMINE - sotsiaaltöötaja palgamääraga 870€ ja peretöötaja palgamääraga 653€. 
Põhjus: tööjõuressursi vähesus ning katmata töölõigud. Haabersti Sotsiaalkeskuse kitsaskohaks on erivajadustega inimestele suunatud teenuste puudumine, mistõttu jääb nimetatud sihtrühm suuresti keskuse klientuurist välja.</t>
    </r>
  </si>
  <si>
    <t>Linnaosa valitsus
UUE KOHA LOOMINE - spordi- ja noorsootöö peaspetsialist palgamääraga 1240€.
Põhjus: Haabersti on suurenenud vajadus koordineerida ja korraldada koostööd noorsoo ning spordiorganisatsioonidega.</t>
  </si>
  <si>
    <r>
      <t xml:space="preserve">Muud heakorrakulud
</t>
    </r>
    <r>
      <rPr>
        <sz val="10"/>
        <color theme="1"/>
        <rFont val="Calibri"/>
        <family val="2"/>
        <charset val="186"/>
        <scheme val="minor"/>
      </rPr>
      <t>Jõuluvalgustus suurtel magistraalteedel, s.h. Laagna teel, Smuuli teel, Punasel tänaval, Narva mnt ja Pae tänaval.</t>
    </r>
  </si>
  <si>
    <r>
      <rPr>
        <b/>
        <sz val="10"/>
        <color theme="1"/>
        <rFont val="Calibri"/>
        <family val="2"/>
        <charset val="186"/>
        <scheme val="minor"/>
      </rPr>
      <t>Koduteenused</t>
    </r>
    <r>
      <rPr>
        <sz val="10"/>
        <color theme="1"/>
        <rFont val="Calibri"/>
        <family val="2"/>
        <charset val="186"/>
        <scheme val="minor"/>
      </rPr>
      <t xml:space="preserve">
1. UUTE KOHTADE LOOMINE - 2 hooldustöötajat, palgamääraga 657€. 
2. palgamäärade kasv - 2 hooldusjuhi palgamäära kasv a´ 50€ kuus (2kohta*50€=100€).</t>
    </r>
  </si>
  <si>
    <r>
      <t xml:space="preserve">haljastus
</t>
    </r>
    <r>
      <rPr>
        <sz val="10"/>
        <color theme="1"/>
        <rFont val="Calibri"/>
        <family val="2"/>
        <charset val="186"/>
        <scheme val="minor"/>
      </rPr>
      <t>Vahendeid soovitakse:
1. PRÜGIKASTID JA TÜHJENDAMINE 64 700€ - 
prügikastide, sh koerte ekskremendikastide soetamiseks kokku 21 040€ ning kastide tühjendamise kulu 43 660€. 
2. PUUDE, PÕÕSASTE hooldus, niitmine 45 300€.</t>
    </r>
  </si>
  <si>
    <r>
      <rPr>
        <b/>
        <sz val="10"/>
        <color theme="1"/>
        <rFont val="Calibri"/>
        <family val="2"/>
        <charset val="186"/>
        <scheme val="minor"/>
      </rPr>
      <t>Linnaosa valitsus</t>
    </r>
    <r>
      <rPr>
        <sz val="10"/>
        <color theme="1"/>
        <rFont val="Calibri"/>
        <family val="2"/>
        <charset val="186"/>
        <scheme val="minor"/>
      </rPr>
      <t xml:space="preserve">
Tööjõukulu. VÕS lepinguline koht palgamääraga 800€ (800€*12kuud=9600€).
Põhjus: haldab veebilehel venekeelset osa ja koostab, edastab venekeelsele meediale Mustamäe uudiseid, pressiteateid ning artikleid. </t>
    </r>
  </si>
  <si>
    <t xml:space="preserve">
</t>
  </si>
  <si>
    <r>
      <rPr>
        <b/>
        <sz val="10"/>
        <color theme="1"/>
        <rFont val="Calibri"/>
        <family val="2"/>
        <charset val="186"/>
        <scheme val="minor"/>
      </rPr>
      <t>Piirkondlikud sündmused, projektid ja mittetulundustegevuse toetamine</t>
    </r>
    <r>
      <rPr>
        <sz val="10"/>
        <color theme="1"/>
        <rFont val="Calibri"/>
        <family val="2"/>
        <charset val="186"/>
        <scheme val="minor"/>
      </rPr>
      <t xml:space="preserve">
Mustamäe 55. juubeliürituste kulude katteks. Ettevalmistamiskuludeks 2000€, Fotoalbumi väljaandmise kulude katteks 8000€. 
</t>
    </r>
  </si>
  <si>
    <r>
      <rPr>
        <b/>
        <sz val="10"/>
        <color theme="1"/>
        <rFont val="Calibri"/>
        <family val="2"/>
        <charset val="186"/>
        <scheme val="minor"/>
      </rPr>
      <t>Piirkondlikud sündmused, projektid ja mittetulundustegevuse toetamine</t>
    </r>
    <r>
      <rPr>
        <sz val="10"/>
        <color theme="1"/>
        <rFont val="Calibri"/>
        <family val="2"/>
        <charset val="186"/>
        <scheme val="minor"/>
      </rPr>
      <t xml:space="preserve">
Merepäevade korraldamine.</t>
    </r>
  </si>
  <si>
    <r>
      <rPr>
        <b/>
        <sz val="10"/>
        <color theme="1"/>
        <rFont val="Calibri"/>
        <family val="2"/>
        <charset val="186"/>
        <scheme val="minor"/>
      </rPr>
      <t>Linnaosa valitsus</t>
    </r>
    <r>
      <rPr>
        <sz val="10"/>
        <color theme="1"/>
        <rFont val="Calibri"/>
        <family val="2"/>
        <charset val="186"/>
        <scheme val="minor"/>
      </rPr>
      <t xml:space="preserve">
Digimeedia - loodud Põhja-Tallinna linnaosa facebook. Põhja-Tallinna uudised internetis.  
25 000€ planeeritakse digitaalmeedia haldamiskulude katteks ja 5300€  ajalehe "Põhja-Tallinna sõnumid" kahe lisaväljaande kulude katteks.
Digimeedia võimaldab korraldada erinevaid küsitlusi ning kaasata linnaosa elanikke erinevatesse teemadesse.
Viimati viidi läbi küsitlus teemal "heakord või üritused" ehk linnaosavalitsuse soov on vähendada kulutusi üritustele ja suunata selle arvelt 60 tuhat eurot heakorrale, kuid eelnevalt küsitakse elanike arvamust.</t>
    </r>
  </si>
  <si>
    <r>
      <t xml:space="preserve">Pensionäride ja vähekindlustatud elanike toitlustamine
</t>
    </r>
    <r>
      <rPr>
        <sz val="10"/>
        <color theme="1"/>
        <rFont val="Calibri"/>
        <family val="2"/>
        <charset val="186"/>
        <scheme val="minor"/>
      </rPr>
      <t>Pensionäride ja vähekindlustatud inimeste soodushinnaga toitlustamine. Planeeritakse 100-110 inimese toitlustamine.</t>
    </r>
  </si>
  <si>
    <t>Kõigepealt on vaja kalkulatsioon taotluste lõikes korda saada, sest ei saa arvestusest aru! 1. Seoses kohamaksude tõusuga max 60 000 € (arvestusega 470 kohta x 273€ x 12 kuud = 1539 720€; piirnumbris olemas 1389 730€, Iru hk arvelt tuleb katta vähemalt 70 000€ sest seal suureneb täistasuliste kohtade arv; 2. abivajajate toimetamiseks väljaspool Tallinna 2000€; 3. omasteta isikute matustekuludeks 10 000€.</t>
  </si>
  <si>
    <r>
      <t>Arendustegevus
Uurimustööd -</t>
    </r>
    <r>
      <rPr>
        <sz val="10"/>
        <rFont val="Calibri"/>
        <family val="2"/>
        <charset val="186"/>
        <scheme val="minor"/>
      </rPr>
      <t xml:space="preserve"> Lisataotlus esitatakse seoses uuringuturul  küsitluste hinna tõusuga ja seoses valimiste aastaga, prognoositakse ka „ad hoc Tallinna teemaliste lühiküsitluste“ arvu kasvu.</t>
    </r>
  </si>
  <si>
    <r>
      <t xml:space="preserve">Sporditegevuse toetamine (a)
</t>
    </r>
    <r>
      <rPr>
        <sz val="10"/>
        <rFont val="Calibri"/>
        <family val="2"/>
        <charset val="186"/>
        <scheme val="minor"/>
      </rPr>
      <t>Eesmärk tõsta toetuse baassumma 170-lt 200-le.
Selle tagamiseks + 100 000 PT ja 700 520 LT. Toetuse arvutamismetoodikas kasutatakse lisaks andmebaasile ka erinevaid koefitsiente. Arvestusbaas muutub 2017.: harrastajaid -2400 (4-6 aastased); treenereid (5-7 tase) -37; toetatavaid sp.organisatsioone -1.</t>
    </r>
  </si>
  <si>
    <r>
      <t xml:space="preserve">Üldhooldekodu teenused (Sotsiaal- ja Tervishoiuamet) </t>
    </r>
    <r>
      <rPr>
        <sz val="10"/>
        <rFont val="Calibri"/>
        <family val="2"/>
        <charset val="186"/>
        <scheme val="minor"/>
      </rPr>
      <t>(1.Seoses kohamaksude tõusuga hooldekodudes väljaspool Tallinna, planeeritakse 490 teenusel olija kohamaksumuste katteks - 284 945; 2.Riigi rahastatava erihoolekandeteenuste kohtade arv ei kata vajadust ja noorte inimeste puhul on ka linn toetanud nende teenuse kulude katmist, täiendav vajadus 24 645 €; 3.Abivajajate toimetamiseks hooldekodudesse väljaspool Tallinna - 3500€; 4.Omasteta isikute matusekulude katteks (see osa, mida riik ei kata) - 16000 €).</t>
    </r>
  </si>
  <si>
    <t>MUUD INVESTEERIMISPROJEKTID JA KULUDE LISATAOTLUSED</t>
  </si>
  <si>
    <t>Kulude lisataotlused</t>
  </si>
  <si>
    <t>2017. AASTA EELARVE PROJEKT - lühiülevaade</t>
  </si>
  <si>
    <r>
      <t>Toetus SA-le Tallinna Arengu- ja Koolituskeskus
L</t>
    </r>
    <r>
      <rPr>
        <sz val="10"/>
        <rFont val="Calibri"/>
        <family val="2"/>
        <charset val="186"/>
        <scheme val="minor"/>
      </rPr>
      <t xml:space="preserve">T -st </t>
    </r>
    <r>
      <rPr>
        <u/>
        <sz val="10"/>
        <rFont val="Calibri"/>
        <family val="2"/>
        <charset val="186"/>
        <scheme val="minor"/>
      </rPr>
      <t>10 900 € on tööjõukulud</t>
    </r>
    <r>
      <rPr>
        <sz val="10"/>
        <rFont val="Calibri"/>
        <family val="2"/>
        <charset val="186"/>
        <scheme val="minor"/>
      </rPr>
      <t xml:space="preserve">, sellest töötasud 8 224 € ja maj.kulud 7 950 €.
Töötasust:
1 920 € nõukogu esimehe (40 €*12) ja liikmete (4*30*12) tasu tõus  seoses miinimumpalga tõusuga;
394 € VÕS töötasu tõus alates 2017 (IT hooldus, mis tõuseb 84 € -lt 117 € -le kuus)
3 870 € uus nõuk.liige alates juunist 2016  (322,50*12), kelle 2016. 6 kuu tasu kaetakse maj.kuludest;
2 040 € palgalise liikme (+115 €) ja nõuniku (+55 €) töötasu tõus alates märtsist 2016 , mis 2016.kaetakse (115+55*10 kuud =17 00 €) maj.kuludest;
</t>
    </r>
    <r>
      <rPr>
        <u/>
        <sz val="10"/>
        <rFont val="Calibri"/>
        <family val="2"/>
        <charset val="186"/>
        <scheme val="minor"/>
      </rPr>
      <t>7 950 € maj.kulude</t>
    </r>
    <r>
      <rPr>
        <sz val="10"/>
        <rFont val="Calibri"/>
        <family val="2"/>
        <charset val="186"/>
        <scheme val="minor"/>
      </rPr>
      <t xml:space="preserve"> katte planeeritav puudujääk tekib seoses sellega, et lisaks linna toetusele planeeritav koolitustegevusega teenitav kasum jääb osaliselt saamata kuna Venemaa Rahvamajanduse ja Riigiteenistuse Akadeemia Loode piirkonna Instituudile (Sankt-Peterburg)  ning Leningradi oblasti Kohalike Omavalitsuste üksuste esindajatele korraldatav koolitus jääb (seoses koostööpartneri prof.i Boris Peril´i surmaga) ära, samas suurenevad meedia-ja kommunikatsiooni nõuniku A. Turay tegevusega seotud kulud Brüsseli ja teiste Euroopa linnade esindajate ja vastavate meediaväljaannete esindajatega, Tallinna saavutuste tutvustamiseks.</t>
    </r>
  </si>
  <si>
    <t>2016.a avati RIA poolt rahastus linna ametiasutuste 8-le IT süsteemide eelanalüüsi projektile. Neist kolme arenduskulud on  kavandatud põhieelarvesse:
1) Linna õigusaktide menetlemine infosüsteem;
2) Linna broneeringute süsteem (linna kõikide asutuste poolt üürile antavate ruumide kasutusse andmise menetlus);
3) Ettevõtlusameti hallatava välireklaami- ja teabekandjate ning reklaamimaksu järelevalveliste menetluste andmekogu. 
Ülejäänud viie projekti arenduskulud on põhieelarvega katmata ja esitatakse lisataotlusena: 
1) Tallinna linna Ühiskaardi spordibaasides  ja noorte-keskustes kasutusele võtmine (230 380 €);
2) Tallinna linnaplaneerimise valdkonna arhiivi-materjalide kättesaadavuse ja kasutatavuse parandamine (144 900 €);
3) Tallinna linna hooldus-, heakorra- ja haljastustööde infosüsteem (160 000 €);
4) Puuetega inimeste transpordi infosüsteem (200 000 €); 
5)Tallinna linnatranspordi korraldamise  infosüsteem (200 000 €).</t>
  </si>
  <si>
    <t>1,0 psühholoogi ja 0,5 finantsisti ametikohta. NB! STA 9st hallatavast asutusest 6s on olemas finantsistid, lisaks taotletakse veel 2 hallatavale finantsisti. STA isikkoosseisus on analüütiku ja 3 eelarvestaja töökohad.(Võrdlusena Spordiametil on 7 hallatavat asutust, kus ei ole ühtegi finantsisti ja ameti isikkoosseisus on 3  eelarvestajat). Ettepanek - STA 1 eelarvestaja koht kataks 0,5 Tallinna Perekeskuse finantsisti ja 0,5 Tallinna Laste Turvakeskuse finantsisti vajaduse.</t>
  </si>
  <si>
    <t>I LEA teema</t>
  </si>
  <si>
    <t>See ei ole kriitiline vajadus. Pigem toetada SA-d Koolitervishoid</t>
  </si>
  <si>
    <t>NB! STA haldusala 2017.a eelarve piirsummas oli Munitsipaalperearstikeskus OÜ-le 2016.a tasemel 78 000€, kuid amet on ise planeerinud OÜ-le ainult 20 350€ ja muu laiali jaotanud! Seega põhjendamatu taotlus! KOKKU 39 000 €.</t>
  </si>
  <si>
    <t>Ei ole kriitiline vajadus. Ettepanek taotleda toetust EAS-lt.</t>
  </si>
  <si>
    <t>Ettepanek: Katta põhitaotluse ümberpaigutusest tootelt Väikeettevõtlus. Linnavaraameti kuludes toetus korteriühistute infopunktile 9600 €.</t>
  </si>
  <si>
    <t>Jookvaid kulusid ei suurenda, ette nähtud toetus investeeringuteks.</t>
  </si>
  <si>
    <t>Esitada detailne jaotus.</t>
  </si>
  <si>
    <t>Ettepanek: taotlus Kultuuriametile projekti alusel MTÜ toetuse saamiseks.</t>
  </si>
  <si>
    <t xml:space="preserve">Hoonete halduskuludeks ja etendus- ja kontserttegevuseks.
Suurendada piletitulu 50 000 €, kui Hobuveski remonti, siis 25 000 €.
Suurendada reklaamitulu 40 000 €. </t>
  </si>
  <si>
    <t>NB! Pirita LOV taotleb 25000 € Merepäevade korraldamiseks.</t>
  </si>
  <si>
    <t>II LEA teema.</t>
  </si>
  <si>
    <t>Sotsiaaltöötajate vajaduse osas on valminud/valmimas sotsiaal- ja tervishoiuameti tellitud uuring ning tulemuste alusel on tõenäoliselt võimalik objektiivselt määratleda sotsiaaltöötajate vajadus linnaosade lõikes.
Kaaluda sostiaalhoolekande valdkonnas uute kohtade loomist alates 2017. a II poolaastast.</t>
  </si>
  <si>
    <t>50. juubeliürituste korraldamiseks eraldati linna reservist 8300€.
Ettepanek: lugeda vaid 0-ga lõppevad juubeliaastad juubeliaastaks.</t>
  </si>
  <si>
    <t>LEAd?</t>
  </si>
  <si>
    <t>Merepäevade korraldamisega tegeleb Kultuuriamet. 2016. a oli mereaasta, seetõttu nähti Piritale ette  30 000 €.</t>
  </si>
  <si>
    <t>Mitte toetada, kuna Tallinn näeb ette: 1. pensionilisa, 2. supiköögi kasutamise võimaluse, 3. tasuta transpordi linnapoodi, 4. toetuse toidupangale</t>
  </si>
  <si>
    <t>Tingimus: peab olema koolidega läbi arutatud ja õpetajate tööplaani planeeritud. Võimalik alates 2017 sügisest.</t>
  </si>
  <si>
    <t>Kaaluda rendipindadel asuvate raamatukogu filiaalide sulgemist. Linna eesmärk ei ole doteerida korteriühistute tegevust.</t>
  </si>
  <si>
    <t>9</t>
  </si>
  <si>
    <t>Kultuuritöötajate palgavahendite kasv 4% 12 kuud ca 450 000 €.</t>
  </si>
  <si>
    <t>ilutulestik</t>
  </si>
  <si>
    <r>
      <rPr>
        <b/>
        <sz val="10"/>
        <color theme="1"/>
        <rFont val="Calibri"/>
        <family val="2"/>
        <charset val="186"/>
        <scheme val="minor"/>
      </rPr>
      <t xml:space="preserve"> kultuuritegevus</t>
    </r>
    <r>
      <rPr>
        <sz val="10"/>
        <color theme="1"/>
        <rFont val="Calibri"/>
        <family val="2"/>
        <charset val="186"/>
        <scheme val="minor"/>
      </rPr>
      <t xml:space="preserve"> 
Lasteteater tegevuskuludeks 170 000€.</t>
    </r>
  </si>
  <si>
    <r>
      <rPr>
        <b/>
        <sz val="10"/>
        <color theme="1"/>
        <rFont val="Calibri"/>
        <family val="2"/>
        <charset val="186"/>
        <scheme val="minor"/>
      </rPr>
      <t>Noortekeskus</t>
    </r>
    <r>
      <rPr>
        <sz val="10"/>
        <color theme="1"/>
        <rFont val="Calibri"/>
        <family val="2"/>
        <charset val="186"/>
        <scheme val="minor"/>
      </rPr>
      <t xml:space="preserve">
korrashoiukuludeks 3 000€.</t>
    </r>
  </si>
  <si>
    <r>
      <rPr>
        <b/>
        <sz val="10"/>
        <color theme="1"/>
        <rFont val="Calibri"/>
        <family val="2"/>
        <charset val="186"/>
        <scheme val="minor"/>
      </rPr>
      <t>kultuuritegevus</t>
    </r>
    <r>
      <rPr>
        <sz val="10"/>
        <color theme="1"/>
        <rFont val="Calibri"/>
        <family val="2"/>
        <charset val="186"/>
        <scheme val="minor"/>
      </rPr>
      <t xml:space="preserve">
 jooksvateks remonttöödeks 3 000€.</t>
    </r>
  </si>
  <si>
    <r>
      <rPr>
        <b/>
        <sz val="10"/>
        <color theme="1"/>
        <rFont val="Calibri"/>
        <family val="2"/>
        <charset val="186"/>
        <scheme val="minor"/>
      </rPr>
      <t>Päevakeskuse teenused</t>
    </r>
    <r>
      <rPr>
        <sz val="10"/>
        <color theme="1"/>
        <rFont val="Calibri"/>
        <family val="2"/>
        <charset val="186"/>
        <scheme val="minor"/>
      </rPr>
      <t xml:space="preserve">
UUTE KOHTADE LOOMINE 23 600€.
- kooseisu pedagoog palgamääraga 900€ ja huvijuht palgamääraga 900€. (2 kohta *900€ * 12 kuud =21 600€).
- VÕS lepingutega 2 000€. 01.01.2017 planeeritakse avada 8 uut huviringi.
</t>
    </r>
  </si>
  <si>
    <t>Vahendid kõikide linnaosade jaoks näha ette Kommunaalametile.</t>
  </si>
  <si>
    <t>Prügikastide taotlus Keskkonnaametile.
2017 a. riigihanke lepingutest tulenevad kohustused ca 80 000€. 
Keskkonnaamet Vajalik on haljastu kavakindel koordineerimine, et hooldus oleks korraldatud linnas ühtselt ja kulude andmed oleksid võrreldavad ning ühtselt arusaadavad</t>
  </si>
  <si>
    <t>KOKKU LOV kulud on kokku 1641000 €, sellest on täiendavalt LK arvelt eraldatud 9818 €.</t>
  </si>
  <si>
    <r>
      <t>Teenused psüühiliste erivajadustega inimestele</t>
    </r>
    <r>
      <rPr>
        <b/>
        <sz val="8"/>
        <rFont val="Calibri"/>
        <family val="2"/>
        <charset val="186"/>
        <scheme val="minor"/>
      </rPr>
      <t xml:space="preserve"> (Tallinna Vaimse Tervise Keskus) </t>
    </r>
    <r>
      <rPr>
        <sz val="10"/>
        <rFont val="Calibri"/>
        <family val="2"/>
        <charset val="186"/>
        <scheme val="minor"/>
      </rPr>
      <t xml:space="preserve">1.Amet soovib Tallinnas välja arendada psüühikahäirega isikute tugiisiku teenuse isikutele, kellel puudub võimalus kasutada erihoolekandeteenuseid (häire võimalikult varajaseks avastamiseks (riik hakkab rahastama psüühikahäirega isikute teenust alles siis kui ametlikult on isikule häire omistatud) - 43 190€; </t>
    </r>
  </si>
  <si>
    <t>Miinimumvariant on 2 tegevusjuhendajat palgamääraga 900 € kuus. 
STA peab prioriteediks nr 1!</t>
  </si>
  <si>
    <t>Sotsiaalhoolekandetöötajate (sh LOVid) palgatõus 4% alates 01.05.2017 ca 270 000 €.</t>
  </si>
  <si>
    <t>Amet: tegemist on end õigustanud projektiga.</t>
  </si>
  <si>
    <r>
      <t xml:space="preserve">Perekonda toetavad teenused </t>
    </r>
    <r>
      <rPr>
        <sz val="10"/>
        <rFont val="Calibri"/>
        <family val="2"/>
        <charset val="186"/>
        <scheme val="minor"/>
      </rPr>
      <t xml:space="preserve">360 vähekindlustatud perede lapse transpordi kulud sõiduks suvelaagrisseLastekaitse Liit korraldab 2017. aasta suvel Remniku lastelaagris Tallinna vähekindlustatud perede lastele suvelaagriprogrammi “Suvi 2017“ raames 8 päevase suvelaagri. </t>
    </r>
  </si>
  <si>
    <t>Sotsiaaltransporditeenus (a)</t>
  </si>
  <si>
    <t>eakate ja puuetega inimeste ürituste korraldamiseks</t>
  </si>
  <si>
    <t>Toetus MTÜ-le Tallinna Erivajadustega Laste ja Noorte Tugiühing</t>
  </si>
  <si>
    <t>Linnaosade valitsuste sotsiaal- ja lastekaitsetöötajate tööprotsesside kaardistamine ja töökorralduse analüüs</t>
  </si>
  <si>
    <t xml:space="preserve">Toetus MTÜ-le VENE HARIDUS- JA HEATEGEVUSÜHINGUTE LIIT EESTIS </t>
  </si>
  <si>
    <t>KOONDEELARVE</t>
  </si>
  <si>
    <t>TULEMI PROGNOOS</t>
  </si>
  <si>
    <t>TULUD  KOKKU</t>
  </si>
  <si>
    <t>Kaupade ja teenuste müük</t>
  </si>
  <si>
    <t>Vara müük</t>
  </si>
  <si>
    <t>Müüdava vara jääkmaksumus</t>
  </si>
  <si>
    <t>Välisrahastus</t>
  </si>
  <si>
    <t>KULUD  KOKKU</t>
  </si>
  <si>
    <t>Põhitegevuse kulud, sh</t>
  </si>
  <si>
    <t>tegevuskulud riigi ja muude institutsioonide toetuste arvelt</t>
  </si>
  <si>
    <t>tegevuskulud välisrahastuse arvelt</t>
  </si>
  <si>
    <t>tegevuskulud välisprojektide kaasfinantseerimise arvelt</t>
  </si>
  <si>
    <t>muud tegevuskulud</t>
  </si>
  <si>
    <t>Investeeringuprojektide kulud</t>
  </si>
  <si>
    <t>EELARVE TEGEVUSTULEM</t>
  </si>
  <si>
    <t>Amortisatsioon</t>
  </si>
  <si>
    <t>EELARVE AASTA TULEM KOKKU</t>
  </si>
  <si>
    <t>MUUTUSED BILANSIS</t>
  </si>
  <si>
    <t>MUUTUSED VARADES</t>
  </si>
  <si>
    <t>MUUTUS MITTEFINANTSVARADES</t>
  </si>
  <si>
    <t>Põhivara soetus ja renoveerimine</t>
  </si>
  <si>
    <t>Müüdava vara jääkväärtus</t>
  </si>
  <si>
    <t>MUUTUS MITTEFINANTSVARADES KOKKU</t>
  </si>
  <si>
    <t>MUUTUS RAHAS</t>
  </si>
  <si>
    <t>Hoiuste muutus</t>
  </si>
  <si>
    <t>MUUTUS FINANTSVARADES (V.A RAHAS)</t>
  </si>
  <si>
    <t>Sissemakse aktsia- ja osakapitali</t>
  </si>
  <si>
    <t>MUUTUS FINANTSVARADES KOKKU</t>
  </si>
  <si>
    <t>MUUTUS NÕUETES KOKKU</t>
  </si>
  <si>
    <t>MUUTUSED KOHUSTUSTES</t>
  </si>
  <si>
    <t>MUUTUS LAENUKOHUSTUSTES KOKKU</t>
  </si>
  <si>
    <t>Laenude tagasimaksed</t>
  </si>
  <si>
    <t>Maksed teenuste kontsessioonilepingu raames</t>
  </si>
  <si>
    <t>MUUTUS MUUDES KOHUSTUSTES KOKKU</t>
  </si>
  <si>
    <t>MUUTUS NETOVARAS</t>
  </si>
  <si>
    <t>EELARVE KOHALIKU OMAVALITSUSE ÜKSUSE FINANTSJUHTIMISE SEADUSE JÄRGI</t>
  </si>
  <si>
    <t>Põhitegevuse tulud (+)</t>
  </si>
  <si>
    <t>Maksutulud</t>
  </si>
  <si>
    <t>Tulud kaupade ja teenuste müügist</t>
  </si>
  <si>
    <t>Saadavad toetused tegevuskuludeks</t>
  </si>
  <si>
    <t>Muud tegevustulud</t>
  </si>
  <si>
    <t>Põhitegevuse kulud (-)</t>
  </si>
  <si>
    <t>Antavad toetused tegevuskuludeks</t>
  </si>
  <si>
    <t>Muud tegevuskulud</t>
  </si>
  <si>
    <t>Reservid</t>
  </si>
  <si>
    <t>PÕHITEGEVUSE TULEM</t>
  </si>
  <si>
    <t>Investeerimistegevus</t>
  </si>
  <si>
    <t>Põhivara müük (+)</t>
  </si>
  <si>
    <t>Põhivara soetus (-)</t>
  </si>
  <si>
    <t>Saadav sihtfinantseerimine (+)</t>
  </si>
  <si>
    <t>Antav sihtfinantseerimine (-)</t>
  </si>
  <si>
    <t>Sissemakse aktsia- ja osakapitali (-)</t>
  </si>
  <si>
    <t>Finantstulud (+)</t>
  </si>
  <si>
    <t>Finantskulud (-)</t>
  </si>
  <si>
    <t>EELARVE TULEM</t>
  </si>
  <si>
    <t>Finantseerimistegevus</t>
  </si>
  <si>
    <t>Kohustuste võtmine (+)</t>
  </si>
  <si>
    <t>Kohustuste tasumine (-)</t>
  </si>
  <si>
    <t>Likviidsete varade muutus</t>
  </si>
  <si>
    <t>Nõuete ja kohustuste saldode muutus</t>
  </si>
  <si>
    <t>Eelarve eelnõu</t>
  </si>
  <si>
    <t>Muutus (2017 vs 2016 täpsustatud eelarve)</t>
  </si>
  <si>
    <t>Projekt „Tallinna Haigla”</t>
  </si>
  <si>
    <t>FINANTSEERIMISTEGEVUSE EELARVE</t>
  </si>
  <si>
    <t>Laenukohustuse suurenemine</t>
  </si>
  <si>
    <t>Laenukohustuse vähenemine</t>
  </si>
  <si>
    <t>Teenuste kontsessioonilepingu raames renoveeritavad koolid</t>
  </si>
  <si>
    <t>INVESTEERIMISTEGEVUSE EELARVE</t>
  </si>
  <si>
    <t>Valdkond</t>
  </si>
  <si>
    <t>Sport- ja vaba aeg</t>
  </si>
  <si>
    <t>Sotsiaalhooldus ja tervishoid</t>
  </si>
  <si>
    <t>TULUDE EELARVE</t>
  </si>
  <si>
    <t>Tululiik</t>
  </si>
  <si>
    <t>Maksutulud kokku</t>
  </si>
  <si>
    <t>Tulud majandustegevusest</t>
  </si>
  <si>
    <t>Tulud kokku (v.a toetused)</t>
  </si>
  <si>
    <t>sh riigilt jm institutsioonidelt</t>
  </si>
  <si>
    <t>välisprojektide kaasfinantseerimine</t>
  </si>
  <si>
    <t>Eelarve kokku</t>
  </si>
  <si>
    <t>Saastetasu</t>
  </si>
  <si>
    <t>Kesklinna Valitsuse haldusala</t>
  </si>
  <si>
    <t>LINNAKASSA TULUD</t>
  </si>
  <si>
    <t>TOETUSED</t>
  </si>
  <si>
    <t>Veerise tn 1 lasteaia enitamiseks</t>
  </si>
  <si>
    <t>Tallinna Loomaaia polaariumi jääkarude ekspositsiooni rajamine</t>
  </si>
  <si>
    <t>Värvi tn ja Paljassaare tee5 jäätmejaamade ehitamiseks</t>
  </si>
  <si>
    <t>EELK Tallinna Toompea Kaarli Kogudus (Kaarli kirik)</t>
  </si>
  <si>
    <t>MPEÕ Kiriku Tallinna Jumalaema Sündimise (Kaasani) Kogudus (Tallinna Kaasani kirik)</t>
  </si>
  <si>
    <t>Toetused kirikute restaureerimiseks</t>
  </si>
  <si>
    <t xml:space="preserve">EELK Nõmme Rahu Kogudus (Nõmme Rahu Kirik) </t>
  </si>
  <si>
    <t>Toetused erivajadustega inimestele</t>
  </si>
  <si>
    <t>nägemisfunktsiooni piiranguga isiku juhtkoera pidamise toetus</t>
  </si>
  <si>
    <t>projekt "Sport Kooli"</t>
  </si>
  <si>
    <t>supergraafilised seinapildid korterelamutele (ü)</t>
  </si>
  <si>
    <r>
      <t>Noortekeskus</t>
    </r>
    <r>
      <rPr>
        <sz val="8"/>
        <rFont val="Arial"/>
        <family val="2"/>
        <charset val="186"/>
      </rPr>
      <t xml:space="preserve"> (Kristiine Tegevuskeskus)</t>
    </r>
  </si>
  <si>
    <r>
      <t>Päevakeskuse teenused</t>
    </r>
    <r>
      <rPr>
        <sz val="8"/>
        <rFont val="Arial"/>
        <family val="2"/>
        <charset val="186"/>
      </rPr>
      <t xml:space="preserve"> (Kristiine Tegevuskeskus)</t>
    </r>
  </si>
  <si>
    <r>
      <t>Koduteenused</t>
    </r>
    <r>
      <rPr>
        <sz val="8"/>
        <rFont val="Arial"/>
        <family val="2"/>
        <charset val="186"/>
      </rPr>
      <t xml:space="preserve"> (Kristiine Tegevuskeskus)</t>
    </r>
  </si>
  <si>
    <r>
      <t>sh</t>
    </r>
    <r>
      <rPr>
        <sz val="8"/>
        <rFont val="Arial"/>
        <family val="2"/>
        <charset val="186"/>
      </rPr>
      <t xml:space="preserve"> koerte jalutusväljakute ja ujutamiskohtade hooldus</t>
    </r>
  </si>
  <si>
    <r>
      <t xml:space="preserve">sh </t>
    </r>
    <r>
      <rPr>
        <sz val="8"/>
        <rFont val="Arial"/>
        <family val="2"/>
        <charset val="186"/>
      </rPr>
      <t>ajutised välikäimlad</t>
    </r>
  </si>
  <si>
    <t>OMATULUD</t>
  </si>
  <si>
    <t xml:space="preserve">Muutus (2017 vs 2016 täpsustatud eelarve) </t>
  </si>
  <si>
    <t> Esialgne</t>
  </si>
  <si>
    <t xml:space="preserve"> I lisaeelarve </t>
  </si>
  <si>
    <t xml:space="preserve"> II lisaeelarve </t>
  </si>
  <si>
    <t>Täpsustatud</t>
  </si>
  <si>
    <t xml:space="preserve">€ </t>
  </si>
  <si>
    <t xml:space="preserve"> % </t>
  </si>
  <si>
    <t xml:space="preserve">eelarve </t>
  </si>
  <si>
    <t>Heakord ja keskkonnakaitse</t>
  </si>
  <si>
    <t>Linna tugiteenused ja avalik kord</t>
  </si>
  <si>
    <t>KULUDE EELARVE</t>
  </si>
  <si>
    <t>IT-teenused (ü)</t>
  </si>
  <si>
    <t>Linna sotsiaalhoolekandeasutuste töötajate palgavahendite ühtlustamine alates 01.04.2017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</si>
</sst>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kr&quot;_-;\-* #,##0.00\ &quot;kr&quot;_-;_-* &quot;-&quot;??\ &quot;kr&quot;_-;_-@_-"/>
    <numFmt numFmtId="43" formatCode="_-* #,##0.00\ _k_r_-;\-* #,##0.00\ _k_r_-;_-* &quot;-&quot;??\ _k_r_-;_-@_-"/>
    <numFmt numFmtId="164" formatCode="_-* #,##0.00\ _k_r_-;\-* #,##0.00\ _k_r_-;_-* \-??\ _k_r_-;_-@_-"/>
    <numFmt numFmtId="165" formatCode="#,##0.0"/>
    <numFmt numFmtId="166" formatCode="#,##0.000"/>
    <numFmt numFmtId="167" formatCode="0.0%"/>
    <numFmt numFmtId="168" formatCode="[$-425]General"/>
  </numFmts>
  <fonts count="113">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name val="Arial"/>
      <family val="2"/>
      <charset val="186"/>
    </font>
    <font>
      <sz val="10"/>
      <name val="Arial"/>
      <family val="2"/>
    </font>
    <font>
      <sz val="10"/>
      <name val="Arial"/>
      <family val="2"/>
      <charset val="186"/>
    </font>
    <font>
      <b/>
      <sz val="10"/>
      <name val="Arial"/>
      <family val="2"/>
    </font>
    <font>
      <i/>
      <sz val="10"/>
      <name val="Arial"/>
      <family val="2"/>
    </font>
    <font>
      <b/>
      <sz val="10"/>
      <name val="Arial"/>
      <family val="2"/>
      <charset val="186"/>
    </font>
    <font>
      <sz val="8"/>
      <name val="Arial"/>
      <family val="2"/>
      <charset val="186"/>
    </font>
    <font>
      <b/>
      <u/>
      <sz val="10"/>
      <name val="Arial"/>
      <family val="2"/>
      <charset val="186"/>
    </font>
    <font>
      <sz val="8"/>
      <name val="Arial"/>
      <family val="2"/>
    </font>
    <font>
      <b/>
      <sz val="8"/>
      <name val="Arial"/>
      <family val="2"/>
      <charset val="186"/>
    </font>
    <font>
      <b/>
      <i/>
      <sz val="10"/>
      <name val="Arial"/>
      <family val="2"/>
      <charset val="186"/>
    </font>
    <font>
      <sz val="9"/>
      <name val="Arial"/>
      <family val="2"/>
      <charset val="186"/>
    </font>
    <font>
      <u/>
      <sz val="8"/>
      <name val="Arial"/>
      <family val="2"/>
      <charset val="186"/>
    </font>
    <font>
      <u/>
      <sz val="10"/>
      <name val="Arial"/>
      <family val="2"/>
      <charset val="186"/>
    </font>
    <font>
      <i/>
      <sz val="10"/>
      <name val="Arial"/>
      <family val="2"/>
      <charset val="186"/>
    </font>
    <font>
      <i/>
      <sz val="8"/>
      <name val="Arial"/>
      <family val="2"/>
      <charset val="186"/>
    </font>
    <font>
      <sz val="10"/>
      <color rgb="FFFF0000"/>
      <name val="Arial"/>
      <family val="2"/>
      <charset val="186"/>
    </font>
    <font>
      <b/>
      <sz val="11"/>
      <name val="Arial"/>
      <family val="2"/>
      <charset val="186"/>
    </font>
    <font>
      <b/>
      <sz val="10"/>
      <name val="Times New Roman"/>
      <family val="1"/>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sz val="10"/>
      <name val="Mangal"/>
      <family val="2"/>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u/>
      <sz val="10"/>
      <color indexed="12"/>
      <name val="Arial"/>
      <family val="2"/>
      <charset val="186"/>
    </font>
    <font>
      <u/>
      <sz val="8.5"/>
      <color indexed="12"/>
      <name val="Arial"/>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b/>
      <sz val="11"/>
      <name val="Arial"/>
      <family val="2"/>
    </font>
    <font>
      <i/>
      <u/>
      <sz val="10"/>
      <name val="Arial"/>
      <family val="2"/>
    </font>
    <font>
      <i/>
      <sz val="9"/>
      <name val="Arial"/>
      <family val="2"/>
    </font>
    <font>
      <b/>
      <i/>
      <sz val="11"/>
      <name val="Arial"/>
      <family val="2"/>
      <charset val="186"/>
    </font>
    <font>
      <sz val="9"/>
      <color theme="5" tint="-0.249977111117893"/>
      <name val="Arial"/>
      <family val="2"/>
      <charset val="186"/>
    </font>
    <font>
      <sz val="10"/>
      <name val="Courier"/>
      <family val="3"/>
    </font>
    <font>
      <i/>
      <sz val="9"/>
      <name val="Arial"/>
      <family val="2"/>
      <charset val="186"/>
    </font>
    <font>
      <b/>
      <sz val="12"/>
      <name val="Arial"/>
      <family val="2"/>
      <charset val="186"/>
    </font>
    <font>
      <sz val="10"/>
      <name val="Courier"/>
      <family val="1"/>
      <charset val="186"/>
    </font>
    <font>
      <u/>
      <sz val="10"/>
      <color theme="1"/>
      <name val="Arial"/>
      <family val="2"/>
      <charset val="186"/>
    </font>
    <font>
      <i/>
      <sz val="8"/>
      <color rgb="FF00B050"/>
      <name val="Arial"/>
      <family val="2"/>
      <charset val="186"/>
    </font>
    <font>
      <b/>
      <i/>
      <sz val="10"/>
      <color theme="0"/>
      <name val="Arial"/>
      <family val="2"/>
      <charset val="186"/>
    </font>
    <font>
      <i/>
      <u/>
      <sz val="10"/>
      <name val="Arial"/>
      <family val="2"/>
      <charset val="186"/>
    </font>
    <font>
      <u/>
      <sz val="9"/>
      <name val="Arial"/>
      <family val="2"/>
      <charset val="186"/>
    </font>
    <font>
      <sz val="9"/>
      <color theme="3" tint="0.39997558519241921"/>
      <name val="Arial"/>
      <family val="2"/>
      <charset val="186"/>
    </font>
    <font>
      <sz val="8"/>
      <color theme="3" tint="0.39997558519241921"/>
      <name val="Arial"/>
      <family val="2"/>
      <charset val="186"/>
    </font>
    <font>
      <sz val="10"/>
      <name val="Times New Roman"/>
      <family val="1"/>
      <charset val="186"/>
    </font>
    <font>
      <sz val="10"/>
      <color theme="1"/>
      <name val="Arial"/>
      <family val="2"/>
      <charset val="186"/>
    </font>
    <font>
      <b/>
      <sz val="10"/>
      <color rgb="FFFF0000"/>
      <name val="Arial"/>
      <family val="2"/>
      <charset val="186"/>
    </font>
    <font>
      <b/>
      <i/>
      <sz val="9"/>
      <name val="Arial"/>
      <family val="2"/>
      <charset val="186"/>
    </font>
    <font>
      <b/>
      <u/>
      <sz val="10"/>
      <color indexed="10"/>
      <name val="Arial"/>
      <family val="2"/>
      <charset val="186"/>
    </font>
    <font>
      <b/>
      <sz val="10"/>
      <color indexed="10"/>
      <name val="Arial"/>
      <family val="2"/>
      <charset val="186"/>
    </font>
    <font>
      <sz val="10"/>
      <color theme="1"/>
      <name val="Arial1"/>
      <charset val="186"/>
    </font>
    <font>
      <b/>
      <sz val="11"/>
      <color theme="1"/>
      <name val="Calibri"/>
      <family val="2"/>
      <charset val="186"/>
      <scheme val="minor"/>
    </font>
    <font>
      <sz val="10"/>
      <color theme="1"/>
      <name val="Calibri"/>
      <family val="2"/>
      <charset val="186"/>
      <scheme val="minor"/>
    </font>
    <font>
      <sz val="10"/>
      <name val="Calibri"/>
      <family val="2"/>
      <charset val="186"/>
      <scheme val="minor"/>
    </font>
    <font>
      <b/>
      <sz val="10"/>
      <color theme="1"/>
      <name val="Calibri"/>
      <family val="2"/>
      <charset val="186"/>
      <scheme val="minor"/>
    </font>
    <font>
      <b/>
      <sz val="10"/>
      <color rgb="FFFF0000"/>
      <name val="Calibri"/>
      <family val="2"/>
      <charset val="186"/>
      <scheme val="minor"/>
    </font>
    <font>
      <b/>
      <i/>
      <sz val="12"/>
      <color theme="1"/>
      <name val="Calibri"/>
      <family val="2"/>
      <charset val="186"/>
      <scheme val="minor"/>
    </font>
    <font>
      <sz val="11"/>
      <name val="Calibri"/>
      <family val="2"/>
      <charset val="186"/>
      <scheme val="minor"/>
    </font>
    <font>
      <b/>
      <u/>
      <sz val="10"/>
      <color theme="1"/>
      <name val="Calibri"/>
      <family val="2"/>
      <charset val="186"/>
      <scheme val="minor"/>
    </font>
    <font>
      <sz val="8"/>
      <color indexed="81"/>
      <name val="Tahoma"/>
      <family val="2"/>
      <charset val="186"/>
    </font>
    <font>
      <sz val="8"/>
      <color rgb="FFFF0000"/>
      <name val="Arial"/>
      <family val="2"/>
      <charset val="186"/>
    </font>
    <font>
      <b/>
      <i/>
      <sz val="11"/>
      <color theme="1"/>
      <name val="Calibri"/>
      <family val="2"/>
      <charset val="186"/>
      <scheme val="minor"/>
    </font>
    <font>
      <b/>
      <sz val="12"/>
      <color theme="1"/>
      <name val="Calibri"/>
      <family val="2"/>
      <charset val="186"/>
      <scheme val="minor"/>
    </font>
    <font>
      <b/>
      <sz val="9"/>
      <color theme="1"/>
      <name val="Calibri"/>
      <family val="2"/>
      <charset val="186"/>
      <scheme val="minor"/>
    </font>
    <font>
      <b/>
      <sz val="10"/>
      <name val="Calibri"/>
      <family val="2"/>
      <charset val="186"/>
      <scheme val="minor"/>
    </font>
    <font>
      <b/>
      <sz val="8"/>
      <name val="Calibri"/>
      <family val="2"/>
      <charset val="186"/>
      <scheme val="minor"/>
    </font>
    <font>
      <sz val="9"/>
      <color indexed="81"/>
      <name val="Tahoma"/>
      <family val="2"/>
      <charset val="186"/>
    </font>
    <font>
      <b/>
      <sz val="9"/>
      <color indexed="81"/>
      <name val="Tahoma"/>
      <family val="2"/>
      <charset val="186"/>
    </font>
    <font>
      <sz val="10"/>
      <color rgb="FFFF0000"/>
      <name val="Calibri"/>
      <family val="2"/>
      <charset val="186"/>
      <scheme val="minor"/>
    </font>
    <font>
      <i/>
      <sz val="10"/>
      <color rgb="FFFF0000"/>
      <name val="Arial"/>
      <family val="2"/>
    </font>
    <font>
      <i/>
      <sz val="10"/>
      <color rgb="FF0070C0"/>
      <name val="Arial"/>
      <family val="2"/>
      <charset val="186"/>
    </font>
    <font>
      <i/>
      <sz val="8"/>
      <color rgb="FF0070C0"/>
      <name val="Arial"/>
      <family val="2"/>
      <charset val="186"/>
    </font>
    <font>
      <sz val="12"/>
      <color theme="1"/>
      <name val="Calibri"/>
      <family val="2"/>
      <charset val="186"/>
      <scheme val="minor"/>
    </font>
    <font>
      <sz val="12"/>
      <name val="Calibri"/>
      <family val="2"/>
      <charset val="186"/>
      <scheme val="minor"/>
    </font>
    <font>
      <b/>
      <sz val="12"/>
      <name val="Calibri"/>
      <family val="2"/>
      <charset val="186"/>
      <scheme val="minor"/>
    </font>
    <font>
      <i/>
      <sz val="9"/>
      <name val="Calibri"/>
      <family val="2"/>
      <charset val="186"/>
      <scheme val="minor"/>
    </font>
    <font>
      <sz val="9"/>
      <color rgb="FF202020"/>
      <name val="Inherit"/>
    </font>
    <font>
      <sz val="9"/>
      <color rgb="FFFF0000"/>
      <name val="Inherit"/>
    </font>
    <font>
      <sz val="9"/>
      <color rgb="FFFF0000"/>
      <name val="Arial"/>
      <family val="2"/>
      <charset val="186"/>
    </font>
    <font>
      <b/>
      <sz val="10"/>
      <color rgb="FF00B050"/>
      <name val="Arial"/>
      <family val="2"/>
      <charset val="186"/>
    </font>
    <font>
      <i/>
      <sz val="10"/>
      <color rgb="FF00B050"/>
      <name val="Arial"/>
      <family val="2"/>
      <charset val="186"/>
    </font>
    <font>
      <sz val="10"/>
      <color rgb="FF00B050"/>
      <name val="Arial"/>
      <family val="2"/>
      <charset val="186"/>
    </font>
    <font>
      <i/>
      <sz val="9"/>
      <color rgb="FF00B050"/>
      <name val="Arial"/>
      <family val="2"/>
      <charset val="186"/>
    </font>
    <font>
      <vertAlign val="superscript"/>
      <sz val="8"/>
      <name val="Arial"/>
      <family val="2"/>
      <charset val="186"/>
    </font>
    <font>
      <sz val="8"/>
      <name val="Calibri"/>
      <family val="2"/>
      <charset val="186"/>
      <scheme val="minor"/>
    </font>
    <font>
      <sz val="8"/>
      <color rgb="FFFF0000"/>
      <name val="Calibri"/>
      <family val="2"/>
      <charset val="186"/>
      <scheme val="minor"/>
    </font>
    <font>
      <b/>
      <i/>
      <sz val="8"/>
      <name val="Arial"/>
      <family val="2"/>
      <charset val="186"/>
    </font>
    <font>
      <sz val="8"/>
      <color rgb="FFC00000"/>
      <name val="Arial"/>
      <family val="2"/>
      <charset val="186"/>
    </font>
    <font>
      <b/>
      <u/>
      <sz val="10"/>
      <name val="Calibri"/>
      <family val="2"/>
      <charset val="186"/>
      <scheme val="minor"/>
    </font>
    <font>
      <b/>
      <u/>
      <sz val="10"/>
      <name val="Times New Roman"/>
      <family val="1"/>
      <charset val="186"/>
    </font>
    <font>
      <u/>
      <sz val="10"/>
      <name val="Calibri"/>
      <family val="2"/>
      <charset val="186"/>
      <scheme val="minor"/>
    </font>
    <font>
      <sz val="10"/>
      <name val="Arial"/>
      <family val="2"/>
      <charset val="186"/>
    </font>
    <font>
      <u/>
      <sz val="10"/>
      <name val="Arial"/>
      <family val="2"/>
    </font>
    <font>
      <b/>
      <sz val="8"/>
      <name val="Times New Roman"/>
      <family val="1"/>
      <charset val="186"/>
    </font>
    <font>
      <b/>
      <u/>
      <sz val="11"/>
      <color rgb="FFFF0000"/>
      <name val="Calibri"/>
      <family val="2"/>
      <charset val="186"/>
      <scheme val="minor"/>
    </font>
    <font>
      <b/>
      <sz val="11"/>
      <color rgb="FF000000"/>
      <name val="Calibri"/>
      <family val="2"/>
      <charset val="186"/>
      <scheme val="minor"/>
    </font>
    <font>
      <sz val="11"/>
      <color rgb="FF000000"/>
      <name val="Calibri"/>
      <family val="2"/>
      <charset val="186"/>
      <scheme val="minor"/>
    </font>
    <font>
      <b/>
      <sz val="10"/>
      <color theme="1"/>
      <name val="Arial"/>
      <family val="2"/>
      <charset val="186"/>
    </font>
  </fonts>
  <fills count="46">
    <fill>
      <patternFill patternType="none"/>
    </fill>
    <fill>
      <patternFill patternType="gray125"/>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2"/>
        <bgColor indexed="26"/>
      </patternFill>
    </fill>
    <fill>
      <patternFill patternType="solid">
        <fgColor indexed="43"/>
      </patternFill>
    </fill>
    <fill>
      <patternFill patternType="solid">
        <fgColor indexed="26"/>
      </patternFill>
    </fill>
    <fill>
      <patternFill patternType="solid">
        <fgColor indexed="49"/>
        <bgColor indexed="40"/>
      </patternFill>
    </fill>
    <fill>
      <patternFill patternType="solid">
        <fgColor indexed="53"/>
        <bgColor indexed="52"/>
      </patternFill>
    </fill>
    <fill>
      <patternFill patternType="solid">
        <fgColor theme="4" tint="0.79998168889431442"/>
        <bgColor indexed="65"/>
      </patternFill>
    </fill>
    <fill>
      <patternFill patternType="solid">
        <fgColor theme="6"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CC"/>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3"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right/>
      <top/>
      <bottom style="double">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bottom/>
      <diagonal/>
    </border>
  </borders>
  <cellStyleXfs count="156">
    <xf numFmtId="0" fontId="0" fillId="0" borderId="0"/>
    <xf numFmtId="0" fontId="6" fillId="0" borderId="0"/>
    <xf numFmtId="0" fontId="6" fillId="0" borderId="0"/>
    <xf numFmtId="0" fontId="6" fillId="0" borderId="0"/>
    <xf numFmtId="0" fontId="6" fillId="0" borderId="0"/>
    <xf numFmtId="0" fontId="4" fillId="0" borderId="0"/>
    <xf numFmtId="44" fontId="6" fillId="0" borderId="0" applyFont="0" applyFill="0" applyBorder="0" applyAlignment="0" applyProtection="0"/>
    <xf numFmtId="9" fontId="6" fillId="0" borderId="0" applyFont="0" applyFill="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20" borderId="0" applyNumberFormat="0" applyBorder="0" applyAlignment="0" applyProtection="0"/>
    <xf numFmtId="0" fontId="25" fillId="4" borderId="0" applyNumberFormat="0" applyBorder="0" applyAlignment="0" applyProtection="0"/>
    <xf numFmtId="0" fontId="26" fillId="21" borderId="10" applyNumberFormat="0" applyAlignment="0" applyProtection="0"/>
    <xf numFmtId="0" fontId="27" fillId="22" borderId="11"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28"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9" fillId="0" borderId="0" applyNumberFormat="0" applyFill="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23" borderId="0" applyNumberFormat="0" applyBorder="0" applyAlignment="0" applyProtection="0"/>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8" borderId="10" applyNumberFormat="0" applyAlignment="0" applyProtection="0"/>
    <xf numFmtId="0" fontId="37" fillId="0" borderId="15" applyNumberFormat="0" applyFill="0" applyAlignment="0" applyProtection="0"/>
    <xf numFmtId="0" fontId="38" fillId="24" borderId="0" applyNumberFormat="0" applyBorder="0" applyAlignment="0" applyProtection="0"/>
    <xf numFmtId="0" fontId="6" fillId="0" borderId="0"/>
    <xf numFmtId="0" fontId="6" fillId="0" borderId="0"/>
    <xf numFmtId="0" fontId="3" fillId="0" borderId="0"/>
    <xf numFmtId="0" fontId="3" fillId="0" borderId="0"/>
    <xf numFmtId="0" fontId="3" fillId="0" borderId="0"/>
    <xf numFmtId="0" fontId="6" fillId="0" borderId="0"/>
    <xf numFmtId="0" fontId="6" fillId="0" borderId="0"/>
    <xf numFmtId="0" fontId="3" fillId="0" borderId="0"/>
    <xf numFmtId="0" fontId="3"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2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6" fillId="0" borderId="0"/>
    <xf numFmtId="0" fontId="4" fillId="0" borderId="0"/>
    <xf numFmtId="0" fontId="23" fillId="25" borderId="16" applyNumberFormat="0" applyFont="0" applyAlignment="0" applyProtection="0"/>
    <xf numFmtId="0" fontId="6" fillId="25" borderId="16" applyNumberFormat="0" applyFont="0" applyAlignment="0" applyProtection="0"/>
    <xf numFmtId="0" fontId="6" fillId="25" borderId="16" applyNumberFormat="0" applyFont="0" applyAlignment="0" applyProtection="0"/>
    <xf numFmtId="0" fontId="39" fillId="21" borderId="17" applyNumberFormat="0" applyAlignment="0" applyProtection="0"/>
    <xf numFmtId="9" fontId="6" fillId="0" borderId="0" applyFont="0" applyFill="0" applyBorder="0" applyAlignment="0" applyProtection="0"/>
    <xf numFmtId="0" fontId="24" fillId="15" borderId="0" applyNumberFormat="0" applyBorder="0" applyAlignment="0" applyProtection="0"/>
    <xf numFmtId="0" fontId="24" fillId="26" borderId="0" applyNumberFormat="0" applyBorder="0" applyAlignment="0" applyProtection="0"/>
    <xf numFmtId="0" fontId="24" fillId="20" borderId="0" applyNumberFormat="0" applyBorder="0" applyAlignment="0" applyProtection="0"/>
    <xf numFmtId="0" fontId="24" fillId="27" borderId="0" applyNumberFormat="0" applyBorder="0" applyAlignment="0" applyProtection="0"/>
    <xf numFmtId="0" fontId="40" fillId="0" borderId="0" applyNumberFormat="0" applyFill="0" applyBorder="0" applyAlignment="0" applyProtection="0"/>
    <xf numFmtId="0" fontId="41" fillId="0" borderId="18" applyNumberFormat="0" applyFill="0" applyAlignment="0" applyProtection="0"/>
    <xf numFmtId="0" fontId="42" fillId="0" borderId="0" applyNumberFormat="0" applyFill="0" applyBorder="0" applyAlignment="0" applyProtection="0"/>
    <xf numFmtId="0" fontId="6" fillId="0" borderId="0"/>
    <xf numFmtId="0" fontId="42" fillId="0" borderId="0" applyNumberFormat="0" applyFill="0" applyBorder="0" applyAlignment="0" applyProtection="0"/>
    <xf numFmtId="0" fontId="3" fillId="0" borderId="0"/>
    <xf numFmtId="0" fontId="3" fillId="0" borderId="0"/>
    <xf numFmtId="0" fontId="6" fillId="0" borderId="0"/>
    <xf numFmtId="0" fontId="3" fillId="0" borderId="0"/>
    <xf numFmtId="0" fontId="48" fillId="0" borderId="0"/>
    <xf numFmtId="0" fontId="51" fillId="0" borderId="0"/>
    <xf numFmtId="0" fontId="34" fillId="0" borderId="0" applyNumberFormat="0" applyFill="0" applyBorder="0" applyAlignment="0" applyProtection="0">
      <alignment vertical="top"/>
      <protection locked="0"/>
    </xf>
    <xf numFmtId="0" fontId="51" fillId="0" borderId="0"/>
    <xf numFmtId="168" fontId="65" fillId="0" borderId="0"/>
    <xf numFmtId="0" fontId="6" fillId="0" borderId="0"/>
    <xf numFmtId="0" fontId="6" fillId="0" borderId="0"/>
    <xf numFmtId="9" fontId="106" fillId="0" borderId="0" applyFont="0" applyFill="0" applyBorder="0" applyAlignment="0" applyProtection="0"/>
    <xf numFmtId="0" fontId="1" fillId="0" borderId="0"/>
    <xf numFmtId="9" fontId="1" fillId="0" borderId="0" applyFont="0" applyFill="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4" fillId="0" borderId="0" applyNumberFormat="0" applyFill="0" applyBorder="0" applyAlignment="0" applyProtection="0">
      <alignment vertical="top"/>
      <protection locked="0"/>
    </xf>
    <xf numFmtId="0" fontId="1" fillId="0" borderId="0"/>
    <xf numFmtId="0" fontId="1" fillId="33" borderId="20" applyNumberFormat="0" applyFont="0" applyAlignment="0" applyProtection="0"/>
    <xf numFmtId="9" fontId="6" fillId="0" borderId="0" applyFont="0" applyFill="0" applyBorder="0" applyAlignment="0" applyProtection="0"/>
  </cellStyleXfs>
  <cellXfs count="911">
    <xf numFmtId="0" fontId="0" fillId="0" borderId="0" xfId="0"/>
    <xf numFmtId="0" fontId="7" fillId="0" borderId="0" xfId="0" applyFont="1" applyAlignment="1">
      <alignment horizontal="right"/>
    </xf>
    <xf numFmtId="0" fontId="6" fillId="0" borderId="0" xfId="2"/>
    <xf numFmtId="0" fontId="6" fillId="0" borderId="0" xfId="2" applyBorder="1"/>
    <xf numFmtId="0" fontId="9" fillId="0" borderId="0" xfId="2" applyFont="1" applyFill="1" applyBorder="1"/>
    <xf numFmtId="0" fontId="10" fillId="0" borderId="0" xfId="2" applyFont="1" applyBorder="1"/>
    <xf numFmtId="0" fontId="0" fillId="0" borderId="0" xfId="0" applyBorder="1"/>
    <xf numFmtId="0" fontId="21" fillId="0" borderId="0" xfId="0" applyFont="1" applyFill="1" applyBorder="1"/>
    <xf numFmtId="14" fontId="9" fillId="0" borderId="0" xfId="0" applyNumberFormat="1" applyFont="1" applyFill="1" applyBorder="1" applyAlignment="1">
      <alignment horizontal="left"/>
    </xf>
    <xf numFmtId="0" fontId="6" fillId="0" borderId="0" xfId="0" applyFont="1" applyFill="1" applyBorder="1"/>
    <xf numFmtId="0" fontId="7" fillId="0" borderId="0" xfId="0" applyFont="1" applyFill="1" applyBorder="1"/>
    <xf numFmtId="3" fontId="7" fillId="0" borderId="0" xfId="0" applyNumberFormat="1" applyFont="1" applyFill="1" applyBorder="1"/>
    <xf numFmtId="9" fontId="7" fillId="0" borderId="0" xfId="7" applyFont="1" applyFill="1" applyBorder="1"/>
    <xf numFmtId="3" fontId="6" fillId="0" borderId="0" xfId="0" applyNumberFormat="1" applyFont="1" applyFill="1" applyBorder="1"/>
    <xf numFmtId="9" fontId="6" fillId="0" borderId="0" xfId="7" applyFont="1" applyFill="1" applyBorder="1"/>
    <xf numFmtId="2" fontId="18" fillId="0" borderId="0" xfId="0" applyNumberFormat="1" applyFont="1" applyFill="1" applyBorder="1" applyAlignment="1">
      <alignment horizontal="left" indent="2"/>
    </xf>
    <xf numFmtId="3" fontId="18" fillId="0" borderId="0" xfId="0" applyNumberFormat="1" applyFont="1" applyFill="1" applyBorder="1"/>
    <xf numFmtId="9" fontId="18" fillId="0" borderId="0" xfId="7" applyFont="1" applyFill="1" applyBorder="1"/>
    <xf numFmtId="0" fontId="0" fillId="0" borderId="0" xfId="0" applyFill="1" applyBorder="1"/>
    <xf numFmtId="9" fontId="0" fillId="0" borderId="0" xfId="7" applyFont="1" applyFill="1" applyBorder="1"/>
    <xf numFmtId="0" fontId="5" fillId="0" borderId="0" xfId="0" applyFont="1" applyFill="1" applyBorder="1"/>
    <xf numFmtId="3" fontId="5" fillId="0" borderId="0" xfId="0" applyNumberFormat="1" applyFont="1" applyFill="1" applyBorder="1"/>
    <xf numFmtId="9" fontId="5" fillId="0" borderId="0" xfId="7" applyFont="1" applyFill="1" applyBorder="1"/>
    <xf numFmtId="2" fontId="8" fillId="0" borderId="0" xfId="0" applyNumberFormat="1" applyFont="1" applyFill="1" applyBorder="1" applyAlignment="1">
      <alignment horizontal="left" indent="2"/>
    </xf>
    <xf numFmtId="3" fontId="8" fillId="0" borderId="0" xfId="0" applyNumberFormat="1" applyFont="1" applyFill="1" applyBorder="1"/>
    <xf numFmtId="9" fontId="8" fillId="0" borderId="0" xfId="7" applyFont="1" applyFill="1" applyBorder="1"/>
    <xf numFmtId="0" fontId="8" fillId="0" borderId="0" xfId="0" applyFont="1" applyFill="1" applyBorder="1" applyAlignment="1">
      <alignment horizontal="left" indent="2"/>
    </xf>
    <xf numFmtId="0" fontId="9" fillId="0" borderId="0" xfId="0" applyFont="1" applyFill="1" applyBorder="1" applyAlignment="1">
      <alignment horizontal="left"/>
    </xf>
    <xf numFmtId="3" fontId="9" fillId="0" borderId="0" xfId="0" applyNumberFormat="1" applyFont="1" applyFill="1" applyBorder="1"/>
    <xf numFmtId="9" fontId="9" fillId="0" borderId="0" xfId="7" applyFont="1" applyFill="1" applyBorder="1"/>
    <xf numFmtId="0" fontId="6" fillId="0" borderId="0" xfId="0" applyFont="1" applyFill="1" applyBorder="1" applyAlignment="1">
      <alignment horizontal="left" indent="1"/>
    </xf>
    <xf numFmtId="3" fontId="0" fillId="0" borderId="0" xfId="0" applyNumberFormat="1" applyFill="1" applyBorder="1"/>
    <xf numFmtId="0" fontId="5" fillId="0" borderId="0" xfId="0" applyFont="1" applyFill="1" applyBorder="1" applyAlignment="1">
      <alignment horizontal="left" indent="1"/>
    </xf>
    <xf numFmtId="3" fontId="0" fillId="0" borderId="0" xfId="0" applyNumberFormat="1" applyBorder="1"/>
    <xf numFmtId="0" fontId="6" fillId="0" borderId="0" xfId="0" applyFont="1" applyFill="1" applyBorder="1" applyAlignment="1">
      <alignment horizontal="right"/>
    </xf>
    <xf numFmtId="9" fontId="18" fillId="0" borderId="0" xfId="7" applyFont="1" applyFill="1" applyBorder="1" applyAlignment="1">
      <alignment horizontal="left" indent="2"/>
    </xf>
    <xf numFmtId="9" fontId="0" fillId="0" borderId="0" xfId="7" applyFont="1" applyBorder="1"/>
    <xf numFmtId="3" fontId="43" fillId="0" borderId="0" xfId="2" applyNumberFormat="1" applyFont="1" applyFill="1" applyBorder="1" applyAlignment="1"/>
    <xf numFmtId="0" fontId="5" fillId="0" borderId="0" xfId="2" applyFont="1" applyFill="1"/>
    <xf numFmtId="0" fontId="5" fillId="0" borderId="0" xfId="2" applyFont="1" applyFill="1" applyBorder="1"/>
    <xf numFmtId="0" fontId="7" fillId="0" borderId="0" xfId="2" applyFont="1" applyFill="1" applyBorder="1" applyAlignment="1">
      <alignment horizontal="left" vertical="top"/>
    </xf>
    <xf numFmtId="3" fontId="7" fillId="0" borderId="0" xfId="2" applyNumberFormat="1" applyFont="1" applyFill="1" applyBorder="1" applyAlignment="1">
      <alignment vertical="top"/>
    </xf>
    <xf numFmtId="0" fontId="7" fillId="0" borderId="0" xfId="2" applyFont="1" applyFill="1"/>
    <xf numFmtId="9" fontId="7" fillId="0" borderId="0" xfId="7" applyFont="1" applyFill="1" applyBorder="1" applyAlignment="1">
      <alignment vertical="top"/>
    </xf>
    <xf numFmtId="0" fontId="5" fillId="0" borderId="0" xfId="2" applyFont="1" applyFill="1" applyBorder="1" applyAlignment="1">
      <alignment horizontal="left" vertical="top"/>
    </xf>
    <xf numFmtId="3" fontId="5" fillId="0" borderId="0" xfId="2" applyNumberFormat="1" applyFont="1" applyFill="1" applyBorder="1" applyAlignment="1">
      <alignment vertical="top"/>
    </xf>
    <xf numFmtId="0" fontId="8" fillId="0" borderId="0" xfId="2" applyFont="1" applyFill="1"/>
    <xf numFmtId="9" fontId="5" fillId="0" borderId="0" xfId="7" applyFont="1" applyFill="1" applyBorder="1" applyAlignment="1">
      <alignment vertical="top"/>
    </xf>
    <xf numFmtId="0" fontId="8" fillId="0" borderId="0" xfId="2" applyFont="1" applyFill="1" applyBorder="1" applyAlignment="1">
      <alignment horizontal="left" vertical="top" indent="3"/>
    </xf>
    <xf numFmtId="3" fontId="8" fillId="0" borderId="0" xfId="2" applyNumberFormat="1" applyFont="1" applyFill="1" applyBorder="1" applyAlignment="1">
      <alignment vertical="top"/>
    </xf>
    <xf numFmtId="9" fontId="8" fillId="0" borderId="0" xfId="7" applyFont="1" applyFill="1" applyBorder="1" applyAlignment="1">
      <alignment vertical="top"/>
    </xf>
    <xf numFmtId="0" fontId="8" fillId="0" borderId="0" xfId="2" applyFont="1" applyFill="1" applyBorder="1" applyAlignment="1">
      <alignment horizontal="left" vertical="top" wrapText="1" indent="3"/>
    </xf>
    <xf numFmtId="3" fontId="8" fillId="0" borderId="0" xfId="2" applyNumberFormat="1" applyFont="1" applyFill="1" applyBorder="1" applyAlignment="1">
      <alignment vertical="top" wrapText="1"/>
    </xf>
    <xf numFmtId="9" fontId="8" fillId="0" borderId="0" xfId="7" applyFont="1" applyFill="1" applyBorder="1" applyAlignment="1">
      <alignment vertical="top" wrapText="1"/>
    </xf>
    <xf numFmtId="0" fontId="44" fillId="0" borderId="0" xfId="2" applyFont="1" applyFill="1" applyBorder="1" applyAlignment="1">
      <alignment horizontal="left" vertical="top"/>
    </xf>
    <xf numFmtId="3" fontId="44" fillId="0" borderId="0" xfId="2" applyNumberFormat="1" applyFont="1" applyFill="1" applyBorder="1" applyAlignment="1">
      <alignment vertical="top"/>
    </xf>
    <xf numFmtId="9" fontId="44" fillId="0" borderId="0" xfId="7" applyFont="1" applyFill="1" applyBorder="1" applyAlignment="1">
      <alignment vertical="top"/>
    </xf>
    <xf numFmtId="0" fontId="8" fillId="0" borderId="0" xfId="2" applyFont="1" applyFill="1" applyAlignment="1">
      <alignment horizontal="left" vertical="top" indent="3"/>
    </xf>
    <xf numFmtId="3" fontId="8" fillId="0" borderId="0" xfId="2" applyNumberFormat="1" applyFont="1" applyFill="1" applyAlignment="1">
      <alignment vertical="top"/>
    </xf>
    <xf numFmtId="9" fontId="8" fillId="0" borderId="0" xfId="7" applyFont="1" applyFill="1" applyAlignment="1">
      <alignment vertical="top"/>
    </xf>
    <xf numFmtId="0" fontId="8" fillId="0" borderId="0" xfId="2" applyFont="1" applyFill="1" applyAlignment="1">
      <alignment horizontal="left" indent="3"/>
    </xf>
    <xf numFmtId="0" fontId="8" fillId="0" borderId="0" xfId="2" applyFont="1" applyFill="1" applyAlignment="1">
      <alignment horizontal="left" vertical="center" indent="3"/>
    </xf>
    <xf numFmtId="0" fontId="5" fillId="0" borderId="0" xfId="2" applyFont="1" applyFill="1" applyBorder="1" applyAlignment="1">
      <alignment horizontal="left" vertical="top" wrapText="1"/>
    </xf>
    <xf numFmtId="3" fontId="5" fillId="0" borderId="0" xfId="2" applyNumberFormat="1" applyFont="1" applyFill="1" applyBorder="1" applyAlignment="1">
      <alignment vertical="top" wrapText="1"/>
    </xf>
    <xf numFmtId="9" fontId="5" fillId="0" borderId="0" xfId="7" applyFont="1" applyFill="1" applyBorder="1" applyAlignment="1">
      <alignment vertical="top" wrapText="1"/>
    </xf>
    <xf numFmtId="3" fontId="5" fillId="0" borderId="0" xfId="2" applyNumberFormat="1" applyFont="1" applyFill="1" applyAlignment="1">
      <alignment vertical="top"/>
    </xf>
    <xf numFmtId="9" fontId="5" fillId="0" borderId="0" xfId="7" applyFont="1" applyFill="1" applyAlignment="1">
      <alignment vertical="top"/>
    </xf>
    <xf numFmtId="0" fontId="5" fillId="0" borderId="0" xfId="2" applyFont="1" applyFill="1" applyAlignment="1">
      <alignment horizontal="left"/>
    </xf>
    <xf numFmtId="2" fontId="5" fillId="0" borderId="0" xfId="2" applyNumberFormat="1" applyFont="1" applyFill="1" applyBorder="1" applyAlignment="1">
      <alignment horizontal="left" vertical="top"/>
    </xf>
    <xf numFmtId="0" fontId="45" fillId="0" borderId="0" xfId="2" applyFont="1" applyFill="1" applyBorder="1" applyAlignment="1">
      <alignment horizontal="left" vertical="top" indent="3"/>
    </xf>
    <xf numFmtId="3" fontId="45" fillId="0" borderId="0" xfId="2" applyNumberFormat="1" applyFont="1" applyFill="1" applyBorder="1" applyAlignment="1">
      <alignment vertical="top"/>
    </xf>
    <xf numFmtId="9" fontId="45" fillId="0" borderId="0" xfId="7" applyFont="1" applyFill="1" applyBorder="1" applyAlignment="1">
      <alignment vertical="top"/>
    </xf>
    <xf numFmtId="0" fontId="8" fillId="0" borderId="0" xfId="3" applyFont="1" applyFill="1" applyBorder="1" applyAlignment="1">
      <alignment horizontal="left" vertical="top" indent="3"/>
    </xf>
    <xf numFmtId="3" fontId="8" fillId="0" borderId="0" xfId="3" applyNumberFormat="1" applyFont="1" applyFill="1" applyBorder="1" applyAlignment="1">
      <alignment vertical="top"/>
    </xf>
    <xf numFmtId="0" fontId="5" fillId="0" borderId="0" xfId="2" applyFont="1" applyFill="1" applyAlignment="1">
      <alignment horizontal="left" vertical="top"/>
    </xf>
    <xf numFmtId="0" fontId="44" fillId="0" borderId="0" xfId="2" applyFont="1" applyFill="1" applyBorder="1" applyAlignment="1">
      <alignment horizontal="left" vertical="top" wrapText="1"/>
    </xf>
    <xf numFmtId="3" fontId="44" fillId="0" borderId="0" xfId="2" applyNumberFormat="1" applyFont="1" applyFill="1" applyBorder="1" applyAlignment="1">
      <alignment vertical="top" wrapText="1"/>
    </xf>
    <xf numFmtId="9" fontId="44" fillId="0" borderId="0" xfId="7" applyFont="1" applyFill="1" applyBorder="1" applyAlignment="1">
      <alignment vertical="top" wrapText="1"/>
    </xf>
    <xf numFmtId="2" fontId="8" fillId="0" borderId="0" xfId="2" applyNumberFormat="1" applyFont="1" applyFill="1" applyBorder="1" applyAlignment="1">
      <alignment horizontal="left" vertical="top" wrapText="1" indent="3"/>
    </xf>
    <xf numFmtId="16" fontId="5" fillId="0" borderId="0" xfId="2" applyNumberFormat="1" applyFont="1" applyFill="1" applyBorder="1" applyAlignment="1">
      <alignment horizontal="left" vertical="top"/>
    </xf>
    <xf numFmtId="0" fontId="12" fillId="0" borderId="0" xfId="2" applyFont="1" applyFill="1" applyBorder="1" applyAlignment="1">
      <alignment horizontal="right"/>
    </xf>
    <xf numFmtId="3" fontId="12" fillId="0" borderId="0" xfId="2" applyNumberFormat="1" applyFont="1" applyFill="1" applyBorder="1" applyAlignment="1">
      <alignment vertical="top"/>
    </xf>
    <xf numFmtId="9" fontId="12" fillId="0" borderId="0" xfId="7" applyFont="1" applyFill="1" applyBorder="1" applyAlignment="1">
      <alignment vertical="top"/>
    </xf>
    <xf numFmtId="3" fontId="5" fillId="0" borderId="0" xfId="2" applyNumberFormat="1" applyFont="1" applyFill="1" applyBorder="1" applyAlignment="1"/>
    <xf numFmtId="0" fontId="46" fillId="0" borderId="0" xfId="2" applyFont="1" applyFill="1" applyBorder="1"/>
    <xf numFmtId="3" fontId="9" fillId="0" borderId="0" xfId="2" applyNumberFormat="1" applyFont="1" applyFill="1" applyBorder="1"/>
    <xf numFmtId="3" fontId="9" fillId="0" borderId="0" xfId="2" applyNumberFormat="1" applyFont="1" applyFill="1" applyBorder="1" applyAlignment="1"/>
    <xf numFmtId="0" fontId="6" fillId="0" borderId="0" xfId="2" applyFont="1" applyBorder="1" applyAlignment="1">
      <alignment horizontal="left" indent="1"/>
    </xf>
    <xf numFmtId="3" fontId="17" fillId="0" borderId="0" xfId="2" applyNumberFormat="1" applyFont="1" applyBorder="1" applyAlignment="1"/>
    <xf numFmtId="3" fontId="6" fillId="0" borderId="0" xfId="2" applyNumberFormat="1" applyFont="1" applyBorder="1" applyAlignment="1"/>
    <xf numFmtId="9" fontId="17" fillId="0" borderId="0" xfId="7" applyFont="1" applyBorder="1" applyAlignment="1"/>
    <xf numFmtId="0" fontId="17" fillId="0" borderId="0" xfId="2" applyFont="1" applyBorder="1" applyAlignment="1">
      <alignment horizontal="left" indent="2"/>
    </xf>
    <xf numFmtId="0" fontId="15" fillId="0" borderId="0" xfId="2" applyFont="1" applyBorder="1" applyAlignment="1">
      <alignment horizontal="left" indent="3"/>
    </xf>
    <xf numFmtId="3" fontId="15" fillId="0" borderId="0" xfId="2" applyNumberFormat="1" applyFont="1" applyBorder="1" applyAlignment="1"/>
    <xf numFmtId="9" fontId="15" fillId="0" borderId="0" xfId="7" applyFont="1" applyBorder="1" applyAlignment="1"/>
    <xf numFmtId="0" fontId="15" fillId="0" borderId="0" xfId="2" applyFont="1" applyBorder="1" applyAlignment="1">
      <alignment horizontal="left" indent="4"/>
    </xf>
    <xf numFmtId="0" fontId="15" fillId="0" borderId="0" xfId="2" applyFont="1" applyBorder="1" applyAlignment="1">
      <alignment horizontal="left" wrapText="1" indent="4"/>
    </xf>
    <xf numFmtId="3" fontId="15" fillId="0" borderId="0" xfId="2" applyNumberFormat="1" applyFont="1" applyBorder="1" applyAlignment="1">
      <alignment wrapText="1"/>
    </xf>
    <xf numFmtId="0" fontId="15" fillId="0" borderId="0" xfId="2" applyFont="1" applyFill="1" applyBorder="1" applyAlignment="1">
      <alignment horizontal="left" vertical="top" wrapText="1" indent="4"/>
    </xf>
    <xf numFmtId="3" fontId="15" fillId="0" borderId="0" xfId="2" applyNumberFormat="1" applyFont="1" applyFill="1" applyBorder="1" applyAlignment="1">
      <alignment vertical="top" wrapText="1"/>
    </xf>
    <xf numFmtId="9" fontId="15" fillId="0" borderId="0" xfId="7" applyFont="1" applyFill="1" applyBorder="1" applyAlignment="1">
      <alignment vertical="top" wrapText="1"/>
    </xf>
    <xf numFmtId="0" fontId="6" fillId="0" borderId="0" xfId="2" applyFont="1" applyFill="1" applyBorder="1"/>
    <xf numFmtId="3" fontId="6" fillId="0" borderId="0" xfId="2" applyNumberFormat="1" applyFont="1" applyFill="1" applyBorder="1" applyAlignment="1"/>
    <xf numFmtId="9" fontId="6" fillId="0" borderId="0" xfId="7" applyFont="1" applyBorder="1" applyAlignment="1"/>
    <xf numFmtId="9" fontId="9" fillId="0" borderId="0" xfId="7" applyFont="1" applyFill="1" applyBorder="1" applyAlignment="1"/>
    <xf numFmtId="0" fontId="17" fillId="0" borderId="0" xfId="2" applyFont="1" applyFill="1" applyBorder="1" applyAlignment="1">
      <alignment horizontal="left" indent="2"/>
    </xf>
    <xf numFmtId="3" fontId="17" fillId="0" borderId="0" xfId="2" applyNumberFormat="1" applyFont="1" applyFill="1" applyBorder="1" applyAlignment="1"/>
    <xf numFmtId="9" fontId="17" fillId="0" borderId="0" xfId="7" applyFont="1" applyFill="1" applyBorder="1" applyAlignment="1"/>
    <xf numFmtId="0" fontId="6" fillId="0" borderId="0" xfId="2" applyFont="1" applyFill="1" applyBorder="1" applyAlignment="1">
      <alignment horizontal="left" wrapText="1" indent="3"/>
    </xf>
    <xf numFmtId="3" fontId="6" fillId="0" borderId="0" xfId="67" applyNumberFormat="1" applyFont="1" applyFill="1" applyBorder="1" applyAlignment="1"/>
    <xf numFmtId="3" fontId="6" fillId="0" borderId="0" xfId="2" applyNumberFormat="1" applyFont="1" applyFill="1" applyBorder="1" applyAlignment="1">
      <alignment wrapText="1"/>
    </xf>
    <xf numFmtId="9" fontId="6" fillId="0" borderId="0" xfId="7" applyFont="1" applyFill="1" applyBorder="1" applyAlignment="1"/>
    <xf numFmtId="0" fontId="15" fillId="0" borderId="0" xfId="2" applyFont="1" applyFill="1" applyBorder="1" applyAlignment="1" applyProtection="1">
      <alignment horizontal="left" vertical="top" wrapText="1"/>
      <protection locked="0"/>
    </xf>
    <xf numFmtId="3" fontId="15" fillId="0" borderId="0" xfId="67" applyNumberFormat="1" applyFont="1" applyFill="1" applyBorder="1" applyAlignment="1"/>
    <xf numFmtId="3" fontId="15" fillId="0" borderId="0" xfId="2" applyNumberFormat="1" applyFont="1" applyFill="1" applyBorder="1" applyAlignment="1" applyProtection="1">
      <alignment vertical="top" wrapText="1"/>
      <protection locked="0"/>
    </xf>
    <xf numFmtId="9" fontId="15" fillId="0" borderId="0" xfId="7" applyFont="1" applyFill="1" applyBorder="1" applyAlignment="1"/>
    <xf numFmtId="3" fontId="9" fillId="0" borderId="0" xfId="2" applyNumberFormat="1" applyFont="1" applyBorder="1" applyAlignment="1"/>
    <xf numFmtId="9" fontId="9" fillId="0" borderId="0" xfId="7" applyFont="1" applyBorder="1" applyAlignment="1"/>
    <xf numFmtId="0" fontId="15" fillId="0" borderId="0" xfId="2" applyFont="1" applyBorder="1"/>
    <xf numFmtId="0" fontId="6" fillId="0" borderId="0" xfId="67" applyFont="1" applyFill="1" applyBorder="1" applyAlignment="1" applyProtection="1">
      <alignment horizontal="left" vertical="top" wrapText="1" indent="4"/>
      <protection locked="0"/>
    </xf>
    <xf numFmtId="3" fontId="6" fillId="0" borderId="0" xfId="67" applyNumberFormat="1" applyFont="1" applyBorder="1" applyAlignment="1"/>
    <xf numFmtId="3" fontId="6" fillId="0" borderId="0" xfId="67" applyNumberFormat="1" applyFont="1" applyFill="1" applyBorder="1" applyAlignment="1" applyProtection="1">
      <alignment vertical="top" wrapText="1"/>
      <protection locked="0"/>
    </xf>
    <xf numFmtId="0" fontId="15" fillId="0" borderId="0" xfId="67" applyFont="1" applyBorder="1" applyAlignment="1">
      <alignment wrapText="1"/>
    </xf>
    <xf numFmtId="3" fontId="15" fillId="0" borderId="0" xfId="67" applyNumberFormat="1" applyFont="1" applyBorder="1" applyAlignment="1">
      <alignment wrapText="1"/>
    </xf>
    <xf numFmtId="9" fontId="15" fillId="0" borderId="0" xfId="7" applyFont="1" applyBorder="1" applyAlignment="1">
      <alignment wrapText="1"/>
    </xf>
    <xf numFmtId="0" fontId="6" fillId="0" borderId="0" xfId="67" applyFont="1" applyBorder="1" applyAlignment="1">
      <alignment wrapText="1"/>
    </xf>
    <xf numFmtId="3" fontId="9" fillId="0" borderId="0" xfId="67" applyNumberFormat="1" applyFont="1" applyFill="1" applyBorder="1"/>
    <xf numFmtId="3" fontId="6" fillId="0" borderId="0" xfId="67" applyNumberFormat="1" applyFont="1" applyBorder="1" applyAlignment="1">
      <alignment wrapText="1"/>
    </xf>
    <xf numFmtId="9" fontId="6" fillId="0" borderId="0" xfId="7" applyFont="1" applyFill="1" applyBorder="1" applyAlignment="1" applyProtection="1">
      <alignment vertical="top" wrapText="1"/>
      <protection locked="0"/>
    </xf>
    <xf numFmtId="0" fontId="15" fillId="0" borderId="0" xfId="67" applyFont="1" applyBorder="1" applyAlignment="1"/>
    <xf numFmtId="3" fontId="15" fillId="0" borderId="0" xfId="67" applyNumberFormat="1" applyFont="1" applyBorder="1" applyAlignment="1"/>
    <xf numFmtId="0" fontId="47" fillId="0" borderId="0" xfId="2" applyFont="1" applyBorder="1" applyAlignment="1">
      <alignment horizontal="left" wrapText="1"/>
    </xf>
    <xf numFmtId="3" fontId="47" fillId="0" borderId="0" xfId="2" applyNumberFormat="1" applyFont="1" applyBorder="1" applyAlignment="1">
      <alignment wrapText="1"/>
    </xf>
    <xf numFmtId="9" fontId="47" fillId="0" borderId="0" xfId="7" applyFont="1" applyBorder="1" applyAlignment="1">
      <alignment wrapText="1"/>
    </xf>
    <xf numFmtId="0" fontId="6" fillId="0" borderId="0" xfId="2" applyFont="1" applyFill="1" applyBorder="1" applyAlignment="1" applyProtection="1">
      <alignment horizontal="left" vertical="top" wrapText="1" indent="4"/>
      <protection locked="0"/>
    </xf>
    <xf numFmtId="3" fontId="6" fillId="0" borderId="0" xfId="2" applyNumberFormat="1" applyFont="1" applyFill="1" applyBorder="1" applyAlignment="1" applyProtection="1">
      <alignment vertical="top" wrapText="1"/>
      <protection locked="0"/>
    </xf>
    <xf numFmtId="3" fontId="15" fillId="0" borderId="0" xfId="2" applyNumberFormat="1" applyFont="1" applyBorder="1" applyAlignment="1">
      <alignment vertical="top"/>
    </xf>
    <xf numFmtId="9" fontId="15" fillId="0" borderId="0" xfId="7" applyFont="1" applyBorder="1" applyAlignment="1">
      <alignment vertical="top"/>
    </xf>
    <xf numFmtId="9" fontId="6" fillId="0" borderId="0" xfId="7" applyFont="1" applyFill="1" applyBorder="1" applyAlignment="1" applyProtection="1">
      <alignment horizontal="left" vertical="top" wrapText="1" indent="4"/>
      <protection locked="0"/>
    </xf>
    <xf numFmtId="3" fontId="47" fillId="0" borderId="0" xfId="2" applyNumberFormat="1" applyFont="1" applyBorder="1" applyAlignment="1"/>
    <xf numFmtId="9" fontId="47" fillId="0" borderId="0" xfId="7" applyFont="1" applyBorder="1" applyAlignment="1"/>
    <xf numFmtId="0" fontId="15" fillId="0" borderId="0" xfId="2" applyFont="1" applyBorder="1" applyAlignment="1">
      <alignment wrapText="1"/>
    </xf>
    <xf numFmtId="0" fontId="6" fillId="0" borderId="0" xfId="99" applyNumberFormat="1" applyFont="1" applyFill="1" applyBorder="1" applyAlignment="1">
      <alignment horizontal="left" vertical="top" wrapText="1"/>
    </xf>
    <xf numFmtId="3" fontId="6" fillId="0" borderId="0" xfId="99" applyNumberFormat="1" applyFont="1" applyFill="1" applyBorder="1" applyAlignment="1">
      <alignment vertical="top" wrapText="1"/>
    </xf>
    <xf numFmtId="9" fontId="6" fillId="0" borderId="0" xfId="7" applyFont="1" applyFill="1" applyBorder="1" applyAlignment="1">
      <alignment horizontal="left" vertical="top" wrapText="1"/>
    </xf>
    <xf numFmtId="49" fontId="15" fillId="0" borderId="0" xfId="2" applyNumberFormat="1" applyFont="1" applyBorder="1" applyAlignment="1">
      <alignment wrapText="1"/>
    </xf>
    <xf numFmtId="0" fontId="10" fillId="0" borderId="0" xfId="2" applyFont="1" applyFill="1" applyBorder="1" applyAlignment="1" applyProtection="1">
      <alignment horizontal="left" vertical="top" wrapText="1"/>
      <protection locked="0"/>
    </xf>
    <xf numFmtId="3" fontId="10" fillId="0" borderId="0" xfId="2" applyNumberFormat="1" applyFont="1" applyFill="1" applyBorder="1" applyAlignment="1" applyProtection="1">
      <alignment vertical="top" wrapText="1"/>
      <protection locked="0"/>
    </xf>
    <xf numFmtId="0" fontId="15" fillId="0" borderId="0" xfId="2" applyFont="1" applyFill="1" applyBorder="1" applyAlignment="1">
      <alignment wrapText="1"/>
    </xf>
    <xf numFmtId="3" fontId="15" fillId="0" borderId="0" xfId="2" applyNumberFormat="1" applyFont="1" applyFill="1" applyBorder="1" applyAlignment="1">
      <alignment wrapText="1"/>
    </xf>
    <xf numFmtId="9" fontId="15" fillId="0" borderId="0" xfId="7" applyFont="1" applyFill="1" applyBorder="1" applyAlignment="1">
      <alignment wrapText="1"/>
    </xf>
    <xf numFmtId="0" fontId="15" fillId="0" borderId="0" xfId="2" applyFont="1" applyAlignment="1">
      <alignment horizontal="justify" vertical="center"/>
    </xf>
    <xf numFmtId="3" fontId="15" fillId="0" borderId="0" xfId="2" applyNumberFormat="1" applyFont="1" applyAlignment="1">
      <alignment vertical="center"/>
    </xf>
    <xf numFmtId="9" fontId="15" fillId="0" borderId="0" xfId="7" applyFont="1" applyAlignment="1">
      <alignment horizontal="justify" vertical="center"/>
    </xf>
    <xf numFmtId="0" fontId="17" fillId="0" borderId="0" xfId="2" applyFont="1" applyBorder="1"/>
    <xf numFmtId="0" fontId="15" fillId="0" borderId="0" xfId="2" applyFont="1" applyBorder="1" applyAlignment="1">
      <alignment horizontal="left" wrapText="1"/>
    </xf>
    <xf numFmtId="3" fontId="6" fillId="0" borderId="0" xfId="2" applyNumberFormat="1" applyBorder="1" applyAlignment="1"/>
    <xf numFmtId="0" fontId="10" fillId="0" borderId="0" xfId="2" applyFont="1" applyBorder="1" applyAlignment="1">
      <alignment horizontal="left" wrapText="1" indent="1"/>
    </xf>
    <xf numFmtId="3" fontId="10" fillId="0" borderId="0" xfId="2" applyNumberFormat="1" applyFont="1" applyBorder="1"/>
    <xf numFmtId="3" fontId="10" fillId="0" borderId="0" xfId="2" applyNumberFormat="1" applyFont="1" applyBorder="1" applyAlignment="1">
      <alignment wrapText="1"/>
    </xf>
    <xf numFmtId="9" fontId="10" fillId="0" borderId="0" xfId="7" applyFont="1" applyBorder="1"/>
    <xf numFmtId="0" fontId="10" fillId="0" borderId="0" xfId="2" applyFont="1" applyBorder="1" applyAlignment="1">
      <alignment horizontal="left" wrapText="1" indent="2"/>
    </xf>
    <xf numFmtId="3" fontId="15" fillId="0" borderId="0" xfId="2" applyNumberFormat="1" applyFont="1" applyBorder="1"/>
    <xf numFmtId="9" fontId="15" fillId="0" borderId="0" xfId="7" applyFont="1" applyBorder="1"/>
    <xf numFmtId="9" fontId="10" fillId="0" borderId="0" xfId="7" applyFont="1" applyBorder="1" applyAlignment="1">
      <alignment horizontal="left" wrapText="1" indent="2"/>
    </xf>
    <xf numFmtId="3" fontId="10" fillId="0" borderId="0" xfId="2" applyNumberFormat="1" applyFont="1" applyBorder="1" applyAlignment="1"/>
    <xf numFmtId="0" fontId="9" fillId="0" borderId="0" xfId="2" applyFont="1" applyBorder="1"/>
    <xf numFmtId="3" fontId="6" fillId="0" borderId="0" xfId="2" applyNumberFormat="1"/>
    <xf numFmtId="0" fontId="43" fillId="0" borderId="0" xfId="5" applyFont="1" applyAlignment="1">
      <alignment horizontal="left" wrapText="1"/>
    </xf>
    <xf numFmtId="0" fontId="6" fillId="0" borderId="0" xfId="2" applyFont="1" applyFill="1"/>
    <xf numFmtId="165" fontId="21" fillId="0" borderId="0" xfId="118" applyNumberFormat="1" applyFont="1" applyFill="1" applyBorder="1" applyAlignment="1">
      <alignment horizontal="left" wrapText="1"/>
    </xf>
    <xf numFmtId="0" fontId="49" fillId="0" borderId="0" xfId="2" applyFont="1" applyFill="1" applyBorder="1"/>
    <xf numFmtId="0" fontId="6" fillId="0" borderId="0" xfId="2" applyFont="1" applyFill="1" applyBorder="1" applyAlignment="1">
      <alignment horizontal="left" vertical="top"/>
    </xf>
    <xf numFmtId="0" fontId="50" fillId="0" borderId="0" xfId="118" applyFont="1" applyFill="1" applyBorder="1" applyAlignment="1" applyProtection="1">
      <alignment horizontal="left" vertical="top"/>
    </xf>
    <xf numFmtId="166" fontId="6" fillId="0" borderId="0" xfId="2" applyNumberFormat="1" applyFont="1" applyFill="1"/>
    <xf numFmtId="0" fontId="9" fillId="0" borderId="0" xfId="118" applyFont="1" applyFill="1" applyBorder="1" applyAlignment="1" applyProtection="1">
      <alignment horizontal="left" vertical="top"/>
    </xf>
    <xf numFmtId="3" fontId="9" fillId="0" borderId="0" xfId="2" applyNumberFormat="1" applyFont="1" applyFill="1" applyAlignment="1">
      <alignment horizontal="right" vertical="top"/>
    </xf>
    <xf numFmtId="0" fontId="18" fillId="0" borderId="0" xfId="118" applyFont="1" applyFill="1" applyBorder="1" applyAlignment="1" applyProtection="1">
      <alignment horizontal="left" vertical="top" indent="1"/>
    </xf>
    <xf numFmtId="3" fontId="18" fillId="0" borderId="0" xfId="2" applyNumberFormat="1" applyFont="1" applyFill="1" applyAlignment="1">
      <alignment horizontal="right" vertical="top"/>
    </xf>
    <xf numFmtId="3" fontId="6" fillId="0" borderId="0" xfId="2" applyNumberFormat="1" applyFont="1" applyFill="1"/>
    <xf numFmtId="0" fontId="9" fillId="0" borderId="0" xfId="118" applyFont="1" applyFill="1" applyBorder="1" applyAlignment="1">
      <alignment horizontal="left" vertical="top"/>
    </xf>
    <xf numFmtId="0" fontId="18" fillId="0" borderId="0" xfId="118" applyFont="1" applyFill="1" applyBorder="1" applyAlignment="1" applyProtection="1">
      <alignment horizontal="left" vertical="top" indent="2"/>
    </xf>
    <xf numFmtId="0" fontId="19" fillId="0" borderId="0" xfId="2" applyFont="1" applyFill="1"/>
    <xf numFmtId="0" fontId="19" fillId="0" borderId="0" xfId="118" applyFont="1" applyFill="1" applyBorder="1" applyAlignment="1" applyProtection="1">
      <alignment horizontal="right" vertical="top"/>
    </xf>
    <xf numFmtId="3" fontId="19" fillId="0" borderId="0" xfId="2" applyNumberFormat="1" applyFont="1" applyFill="1" applyAlignment="1">
      <alignment horizontal="right" vertical="top"/>
    </xf>
    <xf numFmtId="3" fontId="6" fillId="0" borderId="0" xfId="2" applyNumberFormat="1" applyFont="1" applyFill="1" applyAlignment="1">
      <alignment horizontal="right" vertical="top"/>
    </xf>
    <xf numFmtId="0" fontId="17" fillId="0" borderId="0" xfId="118" applyFont="1" applyFill="1" applyBorder="1" applyAlignment="1" applyProtection="1">
      <alignment horizontal="left" vertical="top"/>
    </xf>
    <xf numFmtId="3" fontId="6" fillId="0" borderId="0" xfId="99" applyNumberFormat="1" applyFont="1" applyFill="1" applyBorder="1" applyAlignment="1">
      <alignment horizontal="right" vertical="top"/>
    </xf>
    <xf numFmtId="0" fontId="49" fillId="0" borderId="0" xfId="118" applyFont="1" applyFill="1" applyBorder="1" applyAlignment="1" applyProtection="1">
      <alignment horizontal="left" vertical="top" indent="1"/>
    </xf>
    <xf numFmtId="3" fontId="49" fillId="0" borderId="0" xfId="2" applyNumberFormat="1" applyFont="1" applyFill="1" applyAlignment="1">
      <alignment horizontal="right" vertical="top"/>
    </xf>
    <xf numFmtId="0" fontId="18" fillId="0" borderId="0" xfId="118" applyFont="1" applyFill="1" applyBorder="1" applyAlignment="1" applyProtection="1">
      <alignment horizontal="left" vertical="top"/>
    </xf>
    <xf numFmtId="0" fontId="6" fillId="0" borderId="0" xfId="2" applyFont="1" applyFill="1" applyAlignment="1">
      <alignment horizontal="left" vertical="top"/>
    </xf>
    <xf numFmtId="0" fontId="17" fillId="0" borderId="0" xfId="99" applyFont="1" applyFill="1" applyBorder="1" applyAlignment="1">
      <alignment horizontal="left" vertical="top"/>
    </xf>
    <xf numFmtId="49" fontId="50" fillId="0" borderId="0" xfId="118" applyNumberFormat="1" applyFont="1" applyFill="1" applyBorder="1" applyAlignment="1">
      <alignment horizontal="left" vertical="top"/>
    </xf>
    <xf numFmtId="0" fontId="17" fillId="0" borderId="0" xfId="2" applyNumberFormat="1" applyFont="1" applyFill="1" applyAlignment="1">
      <alignment horizontal="left" vertical="top"/>
    </xf>
    <xf numFmtId="0" fontId="17" fillId="0" borderId="0" xfId="99" applyNumberFormat="1" applyFont="1" applyFill="1" applyBorder="1" applyAlignment="1">
      <alignment horizontal="left" vertical="top"/>
    </xf>
    <xf numFmtId="0" fontId="49" fillId="0" borderId="0" xfId="118" applyNumberFormat="1" applyFont="1" applyFill="1" applyBorder="1" applyAlignment="1" applyProtection="1">
      <alignment horizontal="left" vertical="top" indent="1"/>
    </xf>
    <xf numFmtId="9" fontId="6" fillId="0" borderId="0" xfId="7" applyFont="1" applyFill="1"/>
    <xf numFmtId="0" fontId="9" fillId="0" borderId="0" xfId="99" applyNumberFormat="1" applyFont="1" applyFill="1" applyBorder="1" applyAlignment="1">
      <alignment horizontal="left" vertical="top"/>
    </xf>
    <xf numFmtId="0" fontId="6" fillId="0" borderId="0" xfId="2" applyNumberFormat="1" applyFont="1" applyFill="1" applyBorder="1" applyAlignment="1">
      <alignment horizontal="left" vertical="top" indent="1"/>
    </xf>
    <xf numFmtId="0" fontId="17" fillId="0" borderId="0" xfId="99" applyNumberFormat="1" applyFont="1" applyFill="1" applyBorder="1" applyAlignment="1">
      <alignment horizontal="left" vertical="top" wrapText="1"/>
    </xf>
    <xf numFmtId="0" fontId="6" fillId="0" borderId="0" xfId="2" applyNumberFormat="1" applyFont="1" applyFill="1" applyAlignment="1">
      <alignment horizontal="left" vertical="top"/>
    </xf>
    <xf numFmtId="0" fontId="49" fillId="0" borderId="0" xfId="118" applyNumberFormat="1" applyFont="1" applyFill="1" applyBorder="1" applyAlignment="1" applyProtection="1">
      <alignment horizontal="left" vertical="top" indent="2"/>
    </xf>
    <xf numFmtId="0" fontId="6" fillId="0" borderId="0" xfId="2" applyNumberFormat="1" applyFont="1" applyFill="1" applyBorder="1" applyAlignment="1">
      <alignment horizontal="left" vertical="top"/>
    </xf>
    <xf numFmtId="0" fontId="6" fillId="0" borderId="0" xfId="99" applyNumberFormat="1" applyFont="1" applyFill="1" applyBorder="1" applyAlignment="1">
      <alignment horizontal="left" vertical="top" wrapText="1" indent="2"/>
    </xf>
    <xf numFmtId="49" fontId="6" fillId="0" borderId="0" xfId="2" applyNumberFormat="1" applyFont="1" applyFill="1" applyAlignment="1">
      <alignment horizontal="left" vertical="top"/>
    </xf>
    <xf numFmtId="0" fontId="17" fillId="0" borderId="0" xfId="118" applyNumberFormat="1" applyFont="1" applyFill="1" applyBorder="1" applyAlignment="1" applyProtection="1">
      <alignment horizontal="left" vertical="top"/>
    </xf>
    <xf numFmtId="0" fontId="49" fillId="0" borderId="0" xfId="118" applyNumberFormat="1" applyFont="1" applyFill="1" applyBorder="1" applyAlignment="1" applyProtection="1">
      <alignment horizontal="left" vertical="top" wrapText="1" indent="1"/>
    </xf>
    <xf numFmtId="0" fontId="49" fillId="0" borderId="0" xfId="118" applyNumberFormat="1" applyFont="1" applyFill="1" applyBorder="1" applyAlignment="1" applyProtection="1">
      <alignment horizontal="left" vertical="top" indent="3"/>
    </xf>
    <xf numFmtId="3" fontId="6" fillId="0" borderId="0" xfId="118" applyNumberFormat="1" applyFont="1" applyFill="1" applyAlignment="1">
      <alignment horizontal="right" vertical="top"/>
    </xf>
    <xf numFmtId="0" fontId="19" fillId="0" borderId="0" xfId="118" applyNumberFormat="1" applyFont="1" applyFill="1" applyBorder="1" applyAlignment="1" applyProtection="1">
      <alignment horizontal="left" vertical="top" indent="1"/>
    </xf>
    <xf numFmtId="3" fontId="10" fillId="0" borderId="0" xfId="118" applyNumberFormat="1" applyFont="1" applyFill="1" applyAlignment="1">
      <alignment horizontal="right" vertical="top"/>
    </xf>
    <xf numFmtId="0" fontId="10" fillId="0" borderId="0" xfId="118" applyNumberFormat="1" applyFont="1" applyFill="1" applyBorder="1" applyAlignment="1" applyProtection="1">
      <alignment horizontal="left" vertical="top" indent="2"/>
    </xf>
    <xf numFmtId="0" fontId="17" fillId="0" borderId="0" xfId="118" applyNumberFormat="1" applyFont="1" applyFill="1" applyBorder="1" applyAlignment="1" applyProtection="1">
      <alignment horizontal="left" vertical="top" wrapText="1"/>
    </xf>
    <xf numFmtId="3" fontId="49" fillId="0" borderId="0" xfId="2" applyNumberFormat="1" applyFont="1" applyFill="1" applyBorder="1" applyAlignment="1">
      <alignment vertical="top"/>
    </xf>
    <xf numFmtId="0" fontId="6" fillId="0" borderId="0" xfId="2" applyFont="1" applyFill="1" applyBorder="1" applyAlignment="1"/>
    <xf numFmtId="3" fontId="49" fillId="0" borderId="0" xfId="118" applyNumberFormat="1" applyFont="1" applyFill="1" applyBorder="1" applyAlignment="1" applyProtection="1">
      <alignment horizontal="right" vertical="top"/>
    </xf>
    <xf numFmtId="0" fontId="49" fillId="0" borderId="0" xfId="118" applyNumberFormat="1" applyFont="1" applyFill="1" applyBorder="1" applyAlignment="1" applyProtection="1">
      <alignment horizontal="left" vertical="top" wrapText="1" indent="2"/>
    </xf>
    <xf numFmtId="0" fontId="50" fillId="0" borderId="0" xfId="118" applyNumberFormat="1" applyFont="1" applyFill="1" applyBorder="1" applyAlignment="1">
      <alignment horizontal="left" vertical="top"/>
    </xf>
    <xf numFmtId="0" fontId="9" fillId="0" borderId="0" xfId="118" applyNumberFormat="1" applyFont="1" applyFill="1" applyBorder="1" applyAlignment="1" applyProtection="1">
      <alignment horizontal="left" vertical="top"/>
    </xf>
    <xf numFmtId="0" fontId="9" fillId="0" borderId="0" xfId="118" applyNumberFormat="1" applyFont="1" applyFill="1" applyBorder="1" applyAlignment="1">
      <alignment horizontal="left" vertical="top"/>
    </xf>
    <xf numFmtId="0" fontId="18" fillId="0" borderId="0" xfId="118" applyNumberFormat="1" applyFont="1" applyFill="1" applyBorder="1" applyAlignment="1" applyProtection="1">
      <alignment horizontal="left" vertical="top" indent="1"/>
    </xf>
    <xf numFmtId="0" fontId="18" fillId="0" borderId="0" xfId="118" applyNumberFormat="1" applyFont="1" applyFill="1" applyBorder="1" applyAlignment="1" applyProtection="1">
      <alignment horizontal="left" vertical="top" indent="2"/>
    </xf>
    <xf numFmtId="0" fontId="11" fillId="0" borderId="0" xfId="2" applyNumberFormat="1" applyFont="1" applyFill="1" applyAlignment="1">
      <alignment horizontal="left" vertical="top" indent="1"/>
    </xf>
    <xf numFmtId="0" fontId="19" fillId="0" borderId="0" xfId="2" applyFont="1" applyFill="1" applyAlignment="1">
      <alignment horizontal="left" indent="1"/>
    </xf>
    <xf numFmtId="0" fontId="50" fillId="0" borderId="0" xfId="118" applyNumberFormat="1" applyFont="1" applyFill="1" applyBorder="1" applyAlignment="1" applyProtection="1">
      <alignment horizontal="left" vertical="top"/>
    </xf>
    <xf numFmtId="3" fontId="9" fillId="0" borderId="0" xfId="118" applyNumberFormat="1" applyFont="1" applyFill="1" applyBorder="1" applyAlignment="1">
      <alignment horizontal="right" vertical="top"/>
    </xf>
    <xf numFmtId="0" fontId="18" fillId="0" borderId="0" xfId="118" applyNumberFormat="1" applyFont="1" applyFill="1" applyBorder="1" applyAlignment="1" applyProtection="1">
      <alignment horizontal="left" vertical="top" indent="3"/>
    </xf>
    <xf numFmtId="0" fontId="21" fillId="0" borderId="0" xfId="2" applyNumberFormat="1" applyFont="1" applyFill="1" applyAlignment="1">
      <alignment horizontal="left" vertical="top"/>
    </xf>
    <xf numFmtId="3" fontId="21" fillId="0" borderId="0" xfId="118" applyNumberFormat="1" applyFont="1" applyFill="1" applyBorder="1" applyAlignment="1">
      <alignment horizontal="right" vertical="top"/>
    </xf>
    <xf numFmtId="3" fontId="49" fillId="0" borderId="0" xfId="2" applyNumberFormat="1" applyFont="1" applyFill="1"/>
    <xf numFmtId="3" fontId="9" fillId="0" borderId="0" xfId="2" applyNumberFormat="1" applyFont="1" applyFill="1"/>
    <xf numFmtId="9" fontId="9" fillId="0" borderId="0" xfId="7" applyFont="1" applyFill="1"/>
    <xf numFmtId="0" fontId="49" fillId="0" borderId="0" xfId="119" applyFont="1" applyFill="1" applyBorder="1" applyAlignment="1" applyProtection="1">
      <alignment horizontal="left" indent="4"/>
    </xf>
    <xf numFmtId="3" fontId="19" fillId="0" borderId="0" xfId="118" applyNumberFormat="1" applyFont="1" applyFill="1" applyBorder="1" applyAlignment="1" applyProtection="1">
      <alignment horizontal="right" vertical="top"/>
    </xf>
    <xf numFmtId="0" fontId="9" fillId="0" borderId="0" xfId="2" applyNumberFormat="1" applyFont="1" applyFill="1" applyAlignment="1">
      <alignment horizontal="left" vertical="top" indent="2"/>
    </xf>
    <xf numFmtId="0" fontId="6" fillId="0" borderId="0" xfId="120" applyNumberFormat="1" applyFont="1" applyFill="1" applyBorder="1" applyAlignment="1" applyProtection="1">
      <alignment horizontal="left" vertical="top" wrapText="1" indent="2"/>
    </xf>
    <xf numFmtId="3" fontId="6" fillId="0" borderId="0" xfId="2" applyNumberFormat="1" applyFont="1" applyFill="1" applyAlignment="1">
      <alignment vertical="top"/>
    </xf>
    <xf numFmtId="3" fontId="49" fillId="0" borderId="0" xfId="2" applyNumberFormat="1" applyFont="1" applyFill="1" applyAlignment="1">
      <alignment vertical="top"/>
    </xf>
    <xf numFmtId="49" fontId="19" fillId="0" borderId="0" xfId="99" applyNumberFormat="1" applyFont="1" applyFill="1" applyBorder="1" applyAlignment="1">
      <alignment horizontal="left" wrapText="1" indent="1"/>
    </xf>
    <xf numFmtId="0" fontId="19" fillId="0" borderId="0" xfId="99" applyNumberFormat="1" applyFont="1" applyFill="1" applyBorder="1" applyAlignment="1">
      <alignment horizontal="left" vertical="top" wrapText="1"/>
    </xf>
    <xf numFmtId="3" fontId="19" fillId="0" borderId="0" xfId="2" applyNumberFormat="1" applyFont="1" applyFill="1" applyAlignment="1">
      <alignment horizontal="right" vertical="top" wrapText="1"/>
    </xf>
    <xf numFmtId="3" fontId="18" fillId="0" borderId="0" xfId="118" applyNumberFormat="1" applyFont="1" applyFill="1" applyBorder="1" applyAlignment="1">
      <alignment horizontal="right" vertical="top"/>
    </xf>
    <xf numFmtId="0" fontId="6" fillId="0" borderId="0" xfId="99" applyNumberFormat="1" applyFont="1" applyFill="1" applyBorder="1" applyAlignment="1">
      <alignment horizontal="left" vertical="top" indent="3"/>
    </xf>
    <xf numFmtId="0" fontId="17" fillId="0" borderId="0" xfId="2" applyFont="1" applyFill="1" applyAlignment="1">
      <alignment vertical="top" wrapText="1"/>
    </xf>
    <xf numFmtId="3" fontId="6" fillId="0" borderId="0" xfId="118" applyNumberFormat="1" applyFont="1" applyFill="1" applyBorder="1" applyAlignment="1">
      <alignment horizontal="right" vertical="top"/>
    </xf>
    <xf numFmtId="3" fontId="49" fillId="0" borderId="0" xfId="118" applyNumberFormat="1" applyFont="1" applyFill="1" applyBorder="1" applyAlignment="1">
      <alignment horizontal="right" vertical="top"/>
    </xf>
    <xf numFmtId="0" fontId="9" fillId="0" borderId="0" xfId="2" applyFont="1" applyFill="1" applyAlignment="1">
      <alignment wrapText="1"/>
    </xf>
    <xf numFmtId="3" fontId="18" fillId="0" borderId="0" xfId="2" applyNumberFormat="1" applyFont="1" applyFill="1" applyAlignment="1">
      <alignment vertical="top"/>
    </xf>
    <xf numFmtId="0" fontId="49" fillId="0" borderId="0" xfId="121" applyFont="1" applyFill="1" applyBorder="1" applyAlignment="1" applyProtection="1">
      <alignment horizontal="left" indent="1"/>
    </xf>
    <xf numFmtId="3" fontId="18" fillId="0" borderId="0" xfId="118" applyNumberFormat="1" applyFont="1" applyFill="1" applyAlignment="1">
      <alignment horizontal="right" vertical="top"/>
    </xf>
    <xf numFmtId="0" fontId="21" fillId="0" borderId="0" xfId="118" applyNumberFormat="1" applyFont="1" applyFill="1" applyBorder="1" applyAlignment="1" applyProtection="1">
      <alignment horizontal="left" vertical="top"/>
    </xf>
    <xf numFmtId="3" fontId="9" fillId="0" borderId="0" xfId="118" applyNumberFormat="1" applyFont="1" applyFill="1" applyAlignment="1">
      <alignment horizontal="right" vertical="top"/>
    </xf>
    <xf numFmtId="0" fontId="9" fillId="0" borderId="0" xfId="2" applyFont="1" applyFill="1"/>
    <xf numFmtId="0" fontId="11" fillId="0" borderId="0" xfId="2" applyNumberFormat="1" applyFont="1" applyFill="1" applyAlignment="1">
      <alignment horizontal="left" vertical="top" wrapText="1" indent="1"/>
    </xf>
    <xf numFmtId="3" fontId="10" fillId="0" borderId="0" xfId="118" applyNumberFormat="1" applyFont="1" applyFill="1" applyBorder="1" applyAlignment="1">
      <alignment horizontal="right" vertical="top"/>
    </xf>
    <xf numFmtId="0" fontId="10" fillId="0" borderId="0" xfId="118" applyNumberFormat="1" applyFont="1" applyFill="1" applyBorder="1" applyAlignment="1" applyProtection="1">
      <alignment horizontal="left" vertical="top" indent="4"/>
    </xf>
    <xf numFmtId="0" fontId="10" fillId="0" borderId="0" xfId="118" applyNumberFormat="1" applyFont="1" applyFill="1" applyBorder="1" applyAlignment="1" applyProtection="1">
      <alignment horizontal="left" vertical="top" wrapText="1"/>
    </xf>
    <xf numFmtId="0" fontId="18" fillId="0" borderId="0" xfId="118" applyNumberFormat="1" applyFont="1" applyFill="1" applyBorder="1" applyAlignment="1" applyProtection="1">
      <alignment horizontal="left"/>
    </xf>
    <xf numFmtId="3" fontId="18" fillId="0" borderId="0" xfId="118" applyNumberFormat="1" applyFont="1" applyFill="1" applyBorder="1" applyAlignment="1">
      <alignment horizontal="right"/>
    </xf>
    <xf numFmtId="0" fontId="19" fillId="0" borderId="0" xfId="118" applyNumberFormat="1" applyFont="1" applyFill="1" applyBorder="1" applyAlignment="1" applyProtection="1">
      <alignment horizontal="left" vertical="top" indent="2"/>
    </xf>
    <xf numFmtId="0" fontId="10" fillId="0" borderId="0" xfId="118" applyNumberFormat="1" applyFont="1" applyFill="1" applyBorder="1" applyAlignment="1" applyProtection="1">
      <alignment horizontal="left" vertical="top" indent="3"/>
    </xf>
    <xf numFmtId="0" fontId="17" fillId="0" borderId="0" xfId="5" applyNumberFormat="1" applyFont="1" applyFill="1" applyBorder="1" applyAlignment="1">
      <alignment horizontal="left" vertical="top"/>
    </xf>
    <xf numFmtId="0" fontId="52" fillId="0" borderId="0" xfId="2" applyFont="1" applyFill="1" applyAlignment="1">
      <alignment vertical="top" wrapText="1"/>
    </xf>
    <xf numFmtId="0" fontId="19" fillId="0" borderId="0" xfId="2" quotePrefix="1" applyNumberFormat="1" applyFont="1" applyFill="1" applyAlignment="1">
      <alignment horizontal="left" wrapText="1" indent="1"/>
    </xf>
    <xf numFmtId="0" fontId="6" fillId="0" borderId="0" xfId="2" applyFont="1" applyFill="1" applyAlignment="1"/>
    <xf numFmtId="0" fontId="9" fillId="0" borderId="0" xfId="2" applyNumberFormat="1" applyFont="1" applyFill="1" applyAlignment="1">
      <alignment horizontal="left" vertical="top"/>
    </xf>
    <xf numFmtId="0" fontId="19" fillId="0" borderId="0" xfId="2" applyNumberFormat="1" applyFont="1" applyFill="1" applyAlignment="1">
      <alignment horizontal="left" vertical="top" indent="1"/>
    </xf>
    <xf numFmtId="3" fontId="10" fillId="0" borderId="0" xfId="2" applyNumberFormat="1" applyFont="1" applyFill="1" applyAlignment="1">
      <alignment horizontal="right" vertical="top"/>
    </xf>
    <xf numFmtId="0" fontId="10" fillId="0" borderId="0" xfId="2" applyNumberFormat="1" applyFont="1" applyFill="1" applyAlignment="1">
      <alignment horizontal="left" vertical="top" wrapText="1" indent="2"/>
    </xf>
    <xf numFmtId="0" fontId="10" fillId="0" borderId="0" xfId="2" applyNumberFormat="1" applyFont="1" applyFill="1" applyAlignment="1">
      <alignment horizontal="left" vertical="top" indent="2"/>
    </xf>
    <xf numFmtId="0" fontId="49" fillId="0" borderId="0" xfId="118" applyNumberFormat="1" applyFont="1" applyFill="1" applyBorder="1" applyAlignment="1" applyProtection="1">
      <alignment horizontal="left" vertical="top" wrapText="1" indent="3"/>
    </xf>
    <xf numFmtId="0" fontId="10" fillId="0" borderId="0" xfId="118" applyNumberFormat="1" applyFont="1" applyFill="1" applyBorder="1" applyAlignment="1" applyProtection="1">
      <alignment horizontal="left" vertical="top" wrapText="1" indent="4"/>
    </xf>
    <xf numFmtId="3" fontId="6" fillId="0" borderId="0" xfId="118" applyNumberFormat="1" applyFont="1" applyFill="1" applyBorder="1" applyAlignment="1" applyProtection="1">
      <alignment horizontal="right" vertical="top" wrapText="1"/>
    </xf>
    <xf numFmtId="3" fontId="21" fillId="0" borderId="0" xfId="118" applyNumberFormat="1" applyFont="1" applyFill="1" applyBorder="1" applyAlignment="1">
      <alignment horizontal="right" vertical="top" wrapText="1"/>
    </xf>
    <xf numFmtId="0" fontId="6" fillId="0" borderId="0" xfId="118" applyNumberFormat="1" applyFont="1" applyFill="1" applyBorder="1" applyAlignment="1">
      <alignment horizontal="left" vertical="top"/>
    </xf>
    <xf numFmtId="3" fontId="9" fillId="0" borderId="0" xfId="118" applyNumberFormat="1" applyFont="1" applyFill="1" applyBorder="1" applyAlignment="1" applyProtection="1">
      <alignment horizontal="right" vertical="top"/>
    </xf>
    <xf numFmtId="3" fontId="18" fillId="0" borderId="0" xfId="118" applyNumberFormat="1" applyFont="1" applyFill="1" applyBorder="1" applyAlignment="1" applyProtection="1">
      <alignment horizontal="right" vertical="top"/>
    </xf>
    <xf numFmtId="3" fontId="18" fillId="0" borderId="0" xfId="2" applyNumberFormat="1" applyFont="1" applyFill="1"/>
    <xf numFmtId="3" fontId="6" fillId="0" borderId="0" xfId="118" applyNumberFormat="1" applyFont="1" applyFill="1" applyBorder="1" applyAlignment="1" applyProtection="1">
      <alignment horizontal="right" vertical="top"/>
    </xf>
    <xf numFmtId="3" fontId="21" fillId="0" borderId="0" xfId="2" applyNumberFormat="1" applyFont="1" applyFill="1" applyAlignment="1">
      <alignment horizontal="right" vertical="top"/>
    </xf>
    <xf numFmtId="0" fontId="6" fillId="0" borderId="0" xfId="120" applyNumberFormat="1" applyFont="1" applyFill="1" applyBorder="1" applyAlignment="1" applyProtection="1">
      <alignment horizontal="left" vertical="top" wrapText="1"/>
    </xf>
    <xf numFmtId="0" fontId="53" fillId="0" borderId="0" xfId="120" quotePrefix="1" applyNumberFormat="1" applyFont="1" applyFill="1" applyBorder="1" applyAlignment="1" applyProtection="1">
      <alignment horizontal="left" vertical="top" wrapText="1" indent="1"/>
    </xf>
    <xf numFmtId="49" fontId="19" fillId="0" borderId="0" xfId="120" quotePrefix="1" applyNumberFormat="1" applyFont="1" applyFill="1" applyBorder="1" applyAlignment="1" applyProtection="1">
      <alignment horizontal="left" vertical="top" wrapText="1" indent="1"/>
    </xf>
    <xf numFmtId="0" fontId="19" fillId="0" borderId="0" xfId="2" applyNumberFormat="1" applyFont="1" applyFill="1" applyAlignment="1">
      <alignment horizontal="left" wrapText="1" indent="3"/>
    </xf>
    <xf numFmtId="0" fontId="19" fillId="0" borderId="0" xfId="120" quotePrefix="1" applyNumberFormat="1" applyFont="1" applyFill="1" applyBorder="1" applyAlignment="1" applyProtection="1">
      <alignment horizontal="left" vertical="top" wrapText="1" indent="1"/>
    </xf>
    <xf numFmtId="0" fontId="19" fillId="0" borderId="0" xfId="120" applyNumberFormat="1" applyFont="1" applyFill="1" applyBorder="1" applyAlignment="1" applyProtection="1">
      <alignment horizontal="left" vertical="top" wrapText="1"/>
    </xf>
    <xf numFmtId="0" fontId="49" fillId="0" borderId="0" xfId="118" applyNumberFormat="1" applyFont="1" applyFill="1" applyBorder="1" applyAlignment="1" applyProtection="1">
      <alignment horizontal="left" vertical="top" indent="4"/>
    </xf>
    <xf numFmtId="0" fontId="10" fillId="0" borderId="0" xfId="120" applyNumberFormat="1" applyFont="1" applyFill="1" applyBorder="1" applyAlignment="1" applyProtection="1">
      <alignment horizontal="left" vertical="top" wrapText="1" indent="3"/>
    </xf>
    <xf numFmtId="3" fontId="10" fillId="0" borderId="0" xfId="2" applyNumberFormat="1" applyFont="1" applyFill="1" applyAlignment="1">
      <alignment vertical="top"/>
    </xf>
    <xf numFmtId="0" fontId="6" fillId="0" borderId="0" xfId="120" applyNumberFormat="1" applyFont="1" applyFill="1" applyBorder="1" applyAlignment="1" applyProtection="1">
      <alignment horizontal="left" vertical="top" indent="2"/>
    </xf>
    <xf numFmtId="0" fontId="6" fillId="0" borderId="0" xfId="2" applyNumberFormat="1" applyFont="1" applyFill="1" applyAlignment="1">
      <alignment horizontal="left" vertical="top" wrapText="1"/>
    </xf>
    <xf numFmtId="49" fontId="10" fillId="0" borderId="0" xfId="2" applyNumberFormat="1" applyFont="1" applyFill="1" applyAlignment="1">
      <alignment horizontal="left" vertical="top" indent="3"/>
    </xf>
    <xf numFmtId="3" fontId="10" fillId="0" borderId="0" xfId="2" applyNumberFormat="1" applyFont="1" applyFill="1"/>
    <xf numFmtId="49" fontId="10" fillId="0" borderId="0" xfId="2" applyNumberFormat="1" applyFont="1" applyFill="1" applyAlignment="1">
      <alignment horizontal="left" vertical="top" indent="4"/>
    </xf>
    <xf numFmtId="0" fontId="19" fillId="0" borderId="0" xfId="118" quotePrefix="1" applyNumberFormat="1" applyFont="1" applyFill="1" applyBorder="1" applyAlignment="1" applyProtection="1">
      <alignment horizontal="left" indent="1"/>
    </xf>
    <xf numFmtId="3" fontId="9" fillId="0" borderId="0" xfId="99" applyNumberFormat="1" applyFont="1" applyFill="1" applyBorder="1" applyAlignment="1">
      <alignment horizontal="right" vertical="top"/>
    </xf>
    <xf numFmtId="0" fontId="14" fillId="0" borderId="0" xfId="2" applyNumberFormat="1" applyFont="1" applyFill="1" applyAlignment="1">
      <alignment horizontal="left" vertical="top"/>
    </xf>
    <xf numFmtId="3" fontId="14" fillId="0" borderId="0" xfId="2" applyNumberFormat="1" applyFont="1" applyFill="1" applyAlignment="1">
      <alignment horizontal="right" vertical="top"/>
    </xf>
    <xf numFmtId="0" fontId="6" fillId="0" borderId="0" xfId="118" applyNumberFormat="1" applyFont="1" applyFill="1" applyBorder="1" applyAlignment="1" applyProtection="1">
      <alignment horizontal="left" vertical="top" indent="1"/>
    </xf>
    <xf numFmtId="0" fontId="18" fillId="0" borderId="0" xfId="2" applyNumberFormat="1" applyFont="1" applyFill="1" applyAlignment="1">
      <alignment horizontal="left" vertical="top"/>
    </xf>
    <xf numFmtId="0" fontId="19" fillId="0" borderId="0" xfId="118" applyNumberFormat="1" applyFont="1" applyFill="1" applyBorder="1" applyAlignment="1" applyProtection="1">
      <alignment horizontal="left" vertical="top" indent="3"/>
    </xf>
    <xf numFmtId="0" fontId="19" fillId="0" borderId="0" xfId="118" applyNumberFormat="1" applyFont="1" applyFill="1" applyBorder="1" applyAlignment="1" applyProtection="1">
      <alignment horizontal="left" vertical="top" wrapText="1" indent="1"/>
    </xf>
    <xf numFmtId="0" fontId="10" fillId="0" borderId="0" xfId="118" applyNumberFormat="1" applyFont="1" applyFill="1" applyBorder="1" applyAlignment="1" applyProtection="1">
      <alignment horizontal="left" vertical="top" wrapText="1" indent="2"/>
    </xf>
    <xf numFmtId="0" fontId="17" fillId="0" borderId="0" xfId="118" applyNumberFormat="1" applyFont="1" applyFill="1" applyBorder="1" applyAlignment="1" applyProtection="1">
      <alignment vertical="top" wrapText="1"/>
    </xf>
    <xf numFmtId="0" fontId="17" fillId="0" borderId="0" xfId="119" applyNumberFormat="1" applyFont="1" applyFill="1" applyBorder="1" applyAlignment="1" applyProtection="1">
      <alignment horizontal="left" vertical="top" wrapText="1"/>
    </xf>
    <xf numFmtId="0" fontId="56" fillId="0" borderId="0" xfId="118" applyNumberFormat="1" applyFont="1" applyFill="1" applyBorder="1" applyAlignment="1" applyProtection="1">
      <alignment vertical="top" wrapText="1"/>
    </xf>
    <xf numFmtId="0" fontId="14" fillId="0" borderId="0" xfId="118" applyNumberFormat="1" applyFont="1" applyFill="1" applyBorder="1" applyAlignment="1" applyProtection="1">
      <alignment horizontal="left" vertical="top"/>
    </xf>
    <xf numFmtId="3" fontId="9" fillId="0" borderId="0" xfId="2" applyNumberFormat="1" applyFont="1" applyFill="1" applyBorder="1" applyAlignment="1">
      <alignment vertical="top"/>
    </xf>
    <xf numFmtId="9" fontId="9" fillId="0" borderId="0" xfId="7" applyFont="1" applyFill="1" applyBorder="1" applyAlignment="1">
      <alignment vertical="top"/>
    </xf>
    <xf numFmtId="0" fontId="10" fillId="0" borderId="0" xfId="118" applyNumberFormat="1" applyFont="1" applyFill="1" applyBorder="1" applyAlignment="1" applyProtection="1">
      <alignment horizontal="left" vertical="top" indent="1"/>
    </xf>
    <xf numFmtId="0" fontId="17" fillId="0" borderId="0" xfId="118" applyFont="1" applyFill="1" applyBorder="1" applyAlignment="1" applyProtection="1">
      <alignment horizontal="left" vertical="top" wrapText="1"/>
    </xf>
    <xf numFmtId="0" fontId="50" fillId="0" borderId="0" xfId="118" applyNumberFormat="1" applyFont="1" applyFill="1" applyBorder="1" applyAlignment="1" applyProtection="1">
      <alignment horizontal="left" vertical="top" wrapText="1"/>
    </xf>
    <xf numFmtId="0" fontId="9" fillId="0" borderId="0" xfId="118" applyNumberFormat="1" applyFont="1" applyFill="1" applyBorder="1" applyAlignment="1" applyProtection="1">
      <alignment horizontal="left" vertical="top" wrapText="1"/>
    </xf>
    <xf numFmtId="3" fontId="9" fillId="0" borderId="0" xfId="118" applyNumberFormat="1" applyFont="1" applyFill="1" applyBorder="1" applyAlignment="1"/>
    <xf numFmtId="0" fontId="18" fillId="0" borderId="0" xfId="118" applyFont="1" applyFill="1" applyBorder="1" applyAlignment="1" applyProtection="1">
      <alignment horizontal="left" vertical="top" wrapText="1" indent="1"/>
    </xf>
    <xf numFmtId="3" fontId="18" fillId="0" borderId="0" xfId="118" applyNumberFormat="1" applyFont="1" applyFill="1" applyBorder="1" applyAlignment="1">
      <alignment vertical="top"/>
    </xf>
    <xf numFmtId="0" fontId="9" fillId="0" borderId="0" xfId="118" applyNumberFormat="1" applyFont="1" applyFill="1" applyBorder="1" applyAlignment="1">
      <alignment horizontal="left" vertical="top" wrapText="1"/>
    </xf>
    <xf numFmtId="0" fontId="18" fillId="0" borderId="0" xfId="118" applyNumberFormat="1" applyFont="1" applyFill="1" applyBorder="1" applyAlignment="1" applyProtection="1">
      <alignment horizontal="left" vertical="top" wrapText="1" indent="1"/>
    </xf>
    <xf numFmtId="3" fontId="18" fillId="0" borderId="0" xfId="118" applyNumberFormat="1" applyFont="1" applyFill="1" applyBorder="1" applyAlignment="1"/>
    <xf numFmtId="0" fontId="18" fillId="0" borderId="0" xfId="118" applyNumberFormat="1" applyFont="1" applyFill="1" applyBorder="1" applyAlignment="1" applyProtection="1">
      <alignment horizontal="left" vertical="top" wrapText="1" indent="2"/>
    </xf>
    <xf numFmtId="0" fontId="18" fillId="0" borderId="0" xfId="118" applyNumberFormat="1" applyFont="1" applyFill="1" applyBorder="1" applyAlignment="1" applyProtection="1">
      <alignment horizontal="left" vertical="top" wrapText="1" indent="3"/>
    </xf>
    <xf numFmtId="3" fontId="16" fillId="0" borderId="0" xfId="118" applyNumberFormat="1" applyFont="1" applyFill="1" applyBorder="1" applyAlignment="1"/>
    <xf numFmtId="0" fontId="21" fillId="0" borderId="0" xfId="2" applyNumberFormat="1" applyFont="1" applyFill="1" applyBorder="1" applyAlignment="1">
      <alignment horizontal="left" vertical="top" wrapText="1"/>
    </xf>
    <xf numFmtId="3" fontId="21" fillId="0" borderId="0" xfId="118" applyNumberFormat="1" applyFont="1" applyFill="1" applyBorder="1" applyAlignment="1"/>
    <xf numFmtId="0" fontId="11" fillId="0" borderId="0" xfId="2" applyNumberFormat="1" applyFont="1" applyFill="1" applyBorder="1" applyAlignment="1">
      <alignment horizontal="left" vertical="top" wrapText="1" indent="1"/>
    </xf>
    <xf numFmtId="0" fontId="9" fillId="0" borderId="0" xfId="2" applyNumberFormat="1" applyFont="1" applyFill="1" applyBorder="1" applyAlignment="1">
      <alignment horizontal="left" vertical="top" wrapText="1" indent="2"/>
    </xf>
    <xf numFmtId="3" fontId="6" fillId="0" borderId="0" xfId="99" applyNumberFormat="1" applyFont="1" applyFill="1" applyBorder="1" applyAlignment="1"/>
    <xf numFmtId="0" fontId="10" fillId="0" borderId="0" xfId="2" applyFont="1" applyFill="1"/>
    <xf numFmtId="3" fontId="19" fillId="0" borderId="0" xfId="99" applyNumberFormat="1" applyFont="1" applyFill="1" applyBorder="1" applyAlignment="1">
      <alignment horizontal="left" wrapText="1"/>
    </xf>
    <xf numFmtId="3" fontId="19" fillId="0" borderId="0" xfId="2" applyNumberFormat="1" applyFont="1" applyFill="1" applyBorder="1" applyAlignment="1">
      <alignment wrapText="1"/>
    </xf>
    <xf numFmtId="0" fontId="19" fillId="0" borderId="0" xfId="99" applyNumberFormat="1" applyFont="1" applyFill="1" applyBorder="1" applyAlignment="1">
      <alignment horizontal="left" wrapText="1"/>
    </xf>
    <xf numFmtId="3" fontId="6" fillId="0" borderId="0" xfId="2" applyNumberFormat="1" applyFont="1" applyFill="1" applyAlignment="1"/>
    <xf numFmtId="3" fontId="6" fillId="0" borderId="0" xfId="118" applyNumberFormat="1" applyFont="1" applyFill="1" applyBorder="1" applyAlignment="1">
      <alignment vertical="top"/>
    </xf>
    <xf numFmtId="3" fontId="10" fillId="0" borderId="0" xfId="118" applyNumberFormat="1" applyFont="1" applyFill="1" applyBorder="1" applyAlignment="1">
      <alignment vertical="top"/>
    </xf>
    <xf numFmtId="0" fontId="10" fillId="0" borderId="0" xfId="118" applyNumberFormat="1" applyFont="1" applyFill="1" applyBorder="1" applyAlignment="1">
      <alignment horizontal="left" vertical="top" wrapText="1" indent="2"/>
    </xf>
    <xf numFmtId="0" fontId="9" fillId="0" borderId="0" xfId="99" applyNumberFormat="1" applyFont="1" applyFill="1" applyBorder="1" applyAlignment="1">
      <alignment horizontal="left" vertical="top" wrapText="1"/>
    </xf>
    <xf numFmtId="3" fontId="6" fillId="0" borderId="0" xfId="2" applyNumberFormat="1" applyFont="1" applyFill="1" applyBorder="1" applyAlignment="1">
      <alignment vertical="top"/>
    </xf>
    <xf numFmtId="0" fontId="11" fillId="0" borderId="0" xfId="118" applyNumberFormat="1" applyFont="1" applyFill="1" applyBorder="1" applyAlignment="1" applyProtection="1">
      <alignment horizontal="left" vertical="top" indent="1"/>
    </xf>
    <xf numFmtId="49" fontId="19" fillId="0" borderId="0" xfId="2" quotePrefix="1" applyNumberFormat="1" applyFont="1" applyFill="1" applyAlignment="1">
      <alignment horizontal="left" indent="1"/>
    </xf>
    <xf numFmtId="0" fontId="10" fillId="0" borderId="0" xfId="99" applyNumberFormat="1" applyFont="1" applyFill="1" applyBorder="1" applyAlignment="1">
      <alignment horizontal="left" vertical="top" indent="1"/>
    </xf>
    <xf numFmtId="0" fontId="18" fillId="0" borderId="0" xfId="118" applyNumberFormat="1" applyFont="1" applyFill="1" applyBorder="1" applyAlignment="1" applyProtection="1">
      <alignment horizontal="left" vertical="top"/>
    </xf>
    <xf numFmtId="3" fontId="6" fillId="0" borderId="0" xfId="2" applyNumberFormat="1" applyFont="1" applyFill="1" applyBorder="1" applyAlignment="1">
      <alignment horizontal="right" vertical="top"/>
    </xf>
    <xf numFmtId="3" fontId="9" fillId="0" borderId="0" xfId="118" applyNumberFormat="1" applyFont="1" applyFill="1" applyBorder="1" applyAlignment="1">
      <alignment horizontal="right"/>
    </xf>
    <xf numFmtId="3" fontId="21" fillId="0" borderId="0" xfId="118" applyNumberFormat="1" applyFont="1" applyFill="1" applyBorder="1" applyAlignment="1">
      <alignment horizontal="right"/>
    </xf>
    <xf numFmtId="3" fontId="6" fillId="0" borderId="0" xfId="99" applyNumberFormat="1" applyFont="1" applyFill="1" applyBorder="1" applyAlignment="1">
      <alignment horizontal="right"/>
    </xf>
    <xf numFmtId="0" fontId="19" fillId="0" borderId="0" xfId="99" quotePrefix="1" applyNumberFormat="1" applyFont="1" applyFill="1" applyBorder="1" applyAlignment="1">
      <alignment horizontal="left" vertical="top" wrapText="1" indent="1"/>
    </xf>
    <xf numFmtId="3" fontId="19" fillId="0" borderId="0" xfId="2" applyNumberFormat="1" applyFont="1" applyFill="1" applyAlignment="1">
      <alignment horizontal="left" wrapText="1"/>
    </xf>
    <xf numFmtId="0" fontId="11" fillId="0" borderId="0" xfId="99" applyNumberFormat="1" applyFont="1" applyFill="1" applyBorder="1" applyAlignment="1">
      <alignment horizontal="left" vertical="top"/>
    </xf>
    <xf numFmtId="0" fontId="19" fillId="0" borderId="0" xfId="120" applyNumberFormat="1" applyFont="1" applyFill="1" applyBorder="1" applyAlignment="1" applyProtection="1">
      <alignment horizontal="left" vertical="top" wrapText="1" indent="1"/>
    </xf>
    <xf numFmtId="3" fontId="6" fillId="0" borderId="0" xfId="118" applyNumberFormat="1" applyFont="1" applyFill="1" applyBorder="1" applyAlignment="1">
      <alignment horizontal="right"/>
    </xf>
    <xf numFmtId="0" fontId="6" fillId="0" borderId="0" xfId="120" applyNumberFormat="1" applyFont="1" applyFill="1" applyBorder="1" applyAlignment="1" applyProtection="1">
      <alignment horizontal="left" vertical="top" wrapText="1" indent="3"/>
    </xf>
    <xf numFmtId="0" fontId="10" fillId="0" borderId="0" xfId="118" applyNumberFormat="1" applyFont="1" applyFill="1" applyAlignment="1">
      <alignment horizontal="left" vertical="top" wrapText="1" indent="2"/>
    </xf>
    <xf numFmtId="0" fontId="10" fillId="0" borderId="0" xfId="118" applyNumberFormat="1" applyFont="1" applyFill="1" applyAlignment="1">
      <alignment horizontal="left" vertical="top" indent="2"/>
    </xf>
    <xf numFmtId="3" fontId="49" fillId="0" borderId="0" xfId="118" applyNumberFormat="1" applyFont="1" applyFill="1" applyAlignment="1">
      <alignment horizontal="right" vertical="top"/>
    </xf>
    <xf numFmtId="0" fontId="19" fillId="0" borderId="0" xfId="118" applyNumberFormat="1" applyFont="1" applyFill="1" applyBorder="1" applyAlignment="1" applyProtection="1">
      <alignment horizontal="left" vertical="top" wrapText="1" indent="2"/>
    </xf>
    <xf numFmtId="0" fontId="10" fillId="0" borderId="0" xfId="118" applyNumberFormat="1" applyFont="1" applyFill="1" applyAlignment="1">
      <alignment horizontal="left" vertical="top" wrapText="1" indent="4"/>
    </xf>
    <xf numFmtId="0" fontId="6" fillId="0" borderId="0" xfId="2" applyFont="1" applyFill="1" applyAlignment="1">
      <alignment vertical="top"/>
    </xf>
    <xf numFmtId="3" fontId="6" fillId="0" borderId="0" xfId="2" applyNumberFormat="1" applyFont="1" applyFill="1" applyAlignment="1">
      <alignment horizontal="right"/>
    </xf>
    <xf numFmtId="3" fontId="19" fillId="0" borderId="0" xfId="2" applyNumberFormat="1" applyFont="1" applyFill="1" applyAlignment="1">
      <alignment horizontal="left"/>
    </xf>
    <xf numFmtId="3" fontId="6" fillId="0" borderId="0" xfId="118" applyNumberFormat="1" applyFont="1" applyFill="1" applyAlignment="1">
      <alignment horizontal="right"/>
    </xf>
    <xf numFmtId="0" fontId="19" fillId="0" borderId="0" xfId="99" quotePrefix="1" applyNumberFormat="1" applyFont="1" applyFill="1" applyBorder="1" applyAlignment="1">
      <alignment horizontal="left" wrapText="1" indent="1"/>
    </xf>
    <xf numFmtId="3" fontId="18" fillId="0" borderId="0" xfId="118" applyNumberFormat="1" applyFont="1" applyFill="1" applyAlignment="1">
      <alignment horizontal="right"/>
    </xf>
    <xf numFmtId="3" fontId="10" fillId="0" borderId="0" xfId="118" applyNumberFormat="1" applyFont="1" applyFill="1" applyAlignment="1">
      <alignment horizontal="right"/>
    </xf>
    <xf numFmtId="0" fontId="21" fillId="0" borderId="0" xfId="118" applyNumberFormat="1" applyFont="1" applyFill="1" applyBorder="1" applyAlignment="1">
      <alignment horizontal="left" vertical="top"/>
    </xf>
    <xf numFmtId="3" fontId="49" fillId="0" borderId="0" xfId="118" applyNumberFormat="1" applyFont="1" applyFill="1" applyBorder="1" applyAlignment="1">
      <alignment horizontal="right"/>
    </xf>
    <xf numFmtId="3" fontId="49" fillId="0" borderId="0" xfId="2" applyNumberFormat="1" applyFont="1" applyFill="1" applyBorder="1" applyAlignment="1"/>
    <xf numFmtId="0" fontId="19" fillId="0" borderId="0" xfId="118" applyNumberFormat="1" applyFont="1" applyFill="1" applyBorder="1" applyAlignment="1" applyProtection="1">
      <alignment horizontal="left" vertical="top" indent="5"/>
    </xf>
    <xf numFmtId="3" fontId="19" fillId="0" borderId="0" xfId="118" applyNumberFormat="1" applyFont="1" applyFill="1" applyBorder="1" applyAlignment="1">
      <alignment horizontal="right"/>
    </xf>
    <xf numFmtId="3" fontId="49" fillId="0" borderId="0" xfId="2" applyNumberFormat="1" applyFont="1" applyFill="1" applyAlignment="1">
      <alignment horizontal="right"/>
    </xf>
    <xf numFmtId="0" fontId="6" fillId="0" borderId="0" xfId="2" applyFill="1"/>
    <xf numFmtId="3" fontId="18" fillId="0" borderId="0" xfId="2" applyNumberFormat="1" applyFont="1" applyFill="1" applyBorder="1" applyAlignment="1">
      <alignment horizontal="right" vertical="top"/>
    </xf>
    <xf numFmtId="0" fontId="21" fillId="0" borderId="0" xfId="99" applyNumberFormat="1" applyFont="1" applyFill="1" applyBorder="1" applyAlignment="1">
      <alignment horizontal="left" vertical="top"/>
    </xf>
    <xf numFmtId="0" fontId="10" fillId="0" borderId="0" xfId="119" applyNumberFormat="1" applyFont="1" applyFill="1" applyBorder="1" applyAlignment="1" applyProtection="1">
      <alignment horizontal="left" vertical="top" wrapText="1" indent="4"/>
    </xf>
    <xf numFmtId="0" fontId="9" fillId="0" borderId="0" xfId="2" applyNumberFormat="1" applyFont="1" applyFill="1" applyAlignment="1">
      <alignment horizontal="left" vertical="top" wrapText="1" indent="2"/>
    </xf>
    <xf numFmtId="0" fontId="11" fillId="0" borderId="0" xfId="118" applyNumberFormat="1" applyFont="1" applyFill="1" applyBorder="1" applyAlignment="1" applyProtection="1">
      <alignment horizontal="left" vertical="top" wrapText="1" indent="1"/>
    </xf>
    <xf numFmtId="0" fontId="9" fillId="0" borderId="0" xfId="118" applyNumberFormat="1" applyFont="1" applyFill="1" applyBorder="1" applyAlignment="1" applyProtection="1">
      <alignment horizontal="left" vertical="top" indent="2"/>
    </xf>
    <xf numFmtId="0" fontId="6" fillId="0" borderId="0" xfId="118" applyNumberFormat="1" applyFont="1" applyFill="1" applyBorder="1" applyAlignment="1" applyProtection="1">
      <alignment horizontal="left" vertical="top" indent="2"/>
    </xf>
    <xf numFmtId="0" fontId="17" fillId="0" borderId="0" xfId="118" applyNumberFormat="1" applyFont="1" applyFill="1" applyBorder="1" applyAlignment="1">
      <alignment horizontal="left" vertical="top" wrapText="1"/>
    </xf>
    <xf numFmtId="0" fontId="10" fillId="0" borderId="0" xfId="99" applyFont="1" applyFill="1" applyBorder="1" applyAlignment="1">
      <alignment horizontal="left" vertical="top" wrapText="1" indent="3"/>
    </xf>
    <xf numFmtId="0" fontId="10" fillId="0" borderId="0" xfId="118" applyNumberFormat="1" applyFont="1" applyFill="1" applyBorder="1" applyAlignment="1" applyProtection="1">
      <alignment horizontal="left" vertical="top" wrapText="1" indent="3"/>
    </xf>
    <xf numFmtId="0" fontId="19" fillId="0" borderId="0" xfId="118" applyNumberFormat="1" applyFont="1" applyFill="1" applyBorder="1" applyAlignment="1" applyProtection="1">
      <alignment horizontal="left" vertical="top" wrapText="1" indent="4"/>
    </xf>
    <xf numFmtId="0" fontId="21" fillId="0" borderId="0" xfId="2" applyNumberFormat="1" applyFont="1" applyFill="1" applyAlignment="1">
      <alignment horizontal="left" vertical="top" wrapText="1"/>
    </xf>
    <xf numFmtId="0" fontId="10" fillId="0" borderId="0" xfId="118" applyNumberFormat="1" applyFont="1" applyFill="1" applyBorder="1" applyAlignment="1" applyProtection="1">
      <alignment horizontal="left" vertical="top"/>
    </xf>
    <xf numFmtId="0" fontId="9" fillId="0" borderId="0" xfId="99" applyFont="1" applyFill="1" applyBorder="1" applyAlignment="1">
      <alignment horizontal="left" vertical="top"/>
    </xf>
    <xf numFmtId="3" fontId="18" fillId="0" borderId="0" xfId="99" applyNumberFormat="1" applyFont="1" applyFill="1" applyBorder="1" applyAlignment="1">
      <alignment horizontal="right" vertical="top"/>
    </xf>
    <xf numFmtId="0" fontId="19" fillId="0" borderId="0" xfId="118" applyFont="1" applyFill="1" applyBorder="1" applyAlignment="1" applyProtection="1">
      <alignment horizontal="left" vertical="top" indent="1"/>
    </xf>
    <xf numFmtId="0" fontId="19" fillId="0" borderId="0" xfId="120" quotePrefix="1" applyNumberFormat="1" applyFont="1" applyFill="1" applyBorder="1" applyAlignment="1" applyProtection="1">
      <alignment horizontal="left" vertical="top" wrapText="1"/>
    </xf>
    <xf numFmtId="0" fontId="10" fillId="0" borderId="0" xfId="119" applyNumberFormat="1" applyFont="1" applyFill="1" applyBorder="1" applyAlignment="1" applyProtection="1">
      <alignment horizontal="left" vertical="top"/>
    </xf>
    <xf numFmtId="0" fontId="6" fillId="0" borderId="0" xfId="118" applyNumberFormat="1" applyFont="1" applyFill="1" applyBorder="1" applyAlignment="1" applyProtection="1">
      <alignment horizontal="left" vertical="top" wrapText="1" indent="2"/>
    </xf>
    <xf numFmtId="3" fontId="19" fillId="0" borderId="0" xfId="2" applyNumberFormat="1" applyFont="1" applyFill="1" applyAlignment="1">
      <alignment horizontal="left" vertical="top" wrapText="1" indent="1"/>
    </xf>
    <xf numFmtId="0" fontId="19" fillId="0" borderId="0" xfId="99" applyNumberFormat="1" applyFont="1" applyFill="1" applyBorder="1" applyAlignment="1">
      <alignment horizontal="left" vertical="top" wrapText="1" indent="1"/>
    </xf>
    <xf numFmtId="0" fontId="49" fillId="0" borderId="0" xfId="2" applyFont="1" applyFill="1"/>
    <xf numFmtId="0" fontId="9" fillId="0" borderId="0" xfId="99" applyNumberFormat="1" applyFont="1" applyFill="1" applyBorder="1" applyAlignment="1">
      <alignment horizontal="left" vertical="top" indent="2"/>
    </xf>
    <xf numFmtId="0" fontId="6" fillId="0" borderId="0" xfId="99" applyNumberFormat="1" applyFont="1" applyFill="1" applyBorder="1" applyAlignment="1">
      <alignment horizontal="left" vertical="top" indent="4"/>
    </xf>
    <xf numFmtId="0" fontId="6" fillId="0" borderId="0" xfId="99" applyNumberFormat="1" applyFont="1" applyFill="1" applyBorder="1" applyAlignment="1">
      <alignment horizontal="left" vertical="top" wrapText="1" indent="4"/>
    </xf>
    <xf numFmtId="0" fontId="6" fillId="0" borderId="0" xfId="2" applyNumberFormat="1" applyFont="1" applyFill="1" applyAlignment="1">
      <alignment horizontal="left" vertical="top" wrapText="1" indent="4"/>
    </xf>
    <xf numFmtId="0" fontId="18" fillId="0" borderId="0" xfId="2" applyNumberFormat="1" applyFont="1" applyFill="1" applyAlignment="1">
      <alignment horizontal="left" vertical="top" indent="3"/>
    </xf>
    <xf numFmtId="0" fontId="14" fillId="0" borderId="0" xfId="118" applyFont="1" applyFill="1" applyBorder="1" applyAlignment="1" applyProtection="1">
      <alignment horizontal="left" vertical="top" indent="1"/>
    </xf>
    <xf numFmtId="3" fontId="14" fillId="0" borderId="0" xfId="2" applyNumberFormat="1" applyFont="1" applyFill="1" applyAlignment="1">
      <alignment vertical="top"/>
    </xf>
    <xf numFmtId="0" fontId="18" fillId="0" borderId="0" xfId="118" applyNumberFormat="1" applyFont="1" applyFill="1" applyBorder="1" applyAlignment="1" applyProtection="1">
      <alignment horizontal="left" indent="1"/>
    </xf>
    <xf numFmtId="0" fontId="18" fillId="0" borderId="0" xfId="118" applyNumberFormat="1" applyFont="1" applyFill="1" applyBorder="1" applyAlignment="1" applyProtection="1">
      <alignment horizontal="left" indent="2"/>
    </xf>
    <xf numFmtId="0" fontId="14" fillId="0" borderId="0" xfId="2" applyFont="1" applyFill="1" applyBorder="1" applyAlignment="1">
      <alignment horizontal="left" vertical="top"/>
    </xf>
    <xf numFmtId="165" fontId="22" fillId="0" borderId="0" xfId="119" applyNumberFormat="1" applyFont="1" applyFill="1" applyBorder="1" applyAlignment="1">
      <alignment horizontal="left" vertical="top"/>
    </xf>
    <xf numFmtId="0" fontId="9" fillId="0" borderId="0" xfId="2" applyFont="1" applyFill="1" applyBorder="1" applyAlignment="1">
      <alignment horizontal="left" vertical="top"/>
    </xf>
    <xf numFmtId="0" fontId="6" fillId="0" borderId="0" xfId="5" applyNumberFormat="1" applyFont="1" applyFill="1" applyBorder="1" applyAlignment="1">
      <alignment horizontal="left" vertical="top"/>
    </xf>
    <xf numFmtId="0" fontId="18" fillId="0" borderId="0" xfId="2" applyFont="1" applyFill="1" applyBorder="1" applyAlignment="1">
      <alignment horizontal="left" vertical="top" indent="3"/>
    </xf>
    <xf numFmtId="0" fontId="49" fillId="0" borderId="0" xfId="2" applyFont="1" applyFill="1" applyBorder="1" applyAlignment="1">
      <alignment vertical="top"/>
    </xf>
    <xf numFmtId="3" fontId="18" fillId="0" borderId="0" xfId="2" applyNumberFormat="1" applyFont="1" applyFill="1" applyBorder="1"/>
    <xf numFmtId="0" fontId="6" fillId="0" borderId="0" xfId="0" applyFont="1" applyFill="1"/>
    <xf numFmtId="0" fontId="57" fillId="0" borderId="0" xfId="118" applyFont="1" applyFill="1" applyBorder="1" applyAlignment="1" applyProtection="1">
      <alignment horizontal="left" vertical="top" indent="2"/>
    </xf>
    <xf numFmtId="3" fontId="58" fillId="0" borderId="0" xfId="0" applyNumberFormat="1" applyFont="1" applyFill="1" applyAlignment="1">
      <alignment horizontal="right" vertical="top"/>
    </xf>
    <xf numFmtId="3" fontId="57" fillId="0" borderId="0" xfId="0" applyNumberFormat="1" applyFont="1" applyFill="1"/>
    <xf numFmtId="0" fontId="58" fillId="0" borderId="0" xfId="0" applyFont="1" applyFill="1"/>
    <xf numFmtId="3" fontId="58" fillId="0" borderId="0" xfId="0" applyNumberFormat="1" applyFont="1" applyFill="1"/>
    <xf numFmtId="0" fontId="57" fillId="0" borderId="0" xfId="0" applyFont="1" applyFill="1"/>
    <xf numFmtId="3" fontId="57" fillId="0" borderId="0" xfId="99" applyNumberFormat="1" applyFont="1" applyFill="1" applyBorder="1" applyAlignment="1">
      <alignment horizontal="right" vertical="top"/>
    </xf>
    <xf numFmtId="0" fontId="57" fillId="0" borderId="0" xfId="51" applyNumberFormat="1" applyFont="1" applyFill="1" applyBorder="1" applyAlignment="1" applyProtection="1">
      <alignment horizontal="left" vertical="top" wrapText="1" indent="4"/>
    </xf>
    <xf numFmtId="0" fontId="0" fillId="0" borderId="0" xfId="0" applyBorder="1" applyAlignment="1">
      <alignment horizontal="right"/>
    </xf>
    <xf numFmtId="0" fontId="6" fillId="0" borderId="0" xfId="0" applyFont="1" applyBorder="1" applyAlignment="1">
      <alignment horizontal="right"/>
    </xf>
    <xf numFmtId="0" fontId="9" fillId="0" borderId="0" xfId="0" applyFont="1" applyFill="1"/>
    <xf numFmtId="3" fontId="6" fillId="0" borderId="0" xfId="0" applyNumberFormat="1" applyFont="1"/>
    <xf numFmtId="3" fontId="6" fillId="0" borderId="0" xfId="0" applyNumberFormat="1" applyFont="1" applyFill="1"/>
    <xf numFmtId="0" fontId="6" fillId="0" borderId="0" xfId="2" applyFill="1" applyAlignment="1">
      <alignment vertical="top"/>
    </xf>
    <xf numFmtId="0" fontId="9" fillId="0" borderId="0" xfId="2" applyFont="1" applyAlignment="1">
      <alignment vertical="top"/>
    </xf>
    <xf numFmtId="0" fontId="6" fillId="0" borderId="0" xfId="2" applyAlignment="1">
      <alignment vertical="top"/>
    </xf>
    <xf numFmtId="14" fontId="14" fillId="0" borderId="0" xfId="2" applyNumberFormat="1" applyFont="1" applyFill="1" applyAlignment="1">
      <alignment horizontal="left" vertical="top"/>
    </xf>
    <xf numFmtId="0" fontId="6" fillId="0" borderId="0" xfId="2" applyFill="1" applyBorder="1" applyAlignment="1">
      <alignment vertical="top"/>
    </xf>
    <xf numFmtId="0" fontId="9" fillId="0" borderId="0" xfId="2" applyFont="1" applyFill="1" applyBorder="1" applyAlignment="1">
      <alignment vertical="top" wrapText="1"/>
    </xf>
    <xf numFmtId="0" fontId="14" fillId="0" borderId="9" xfId="2" applyFont="1" applyFill="1" applyBorder="1" applyAlignment="1">
      <alignment vertical="top" wrapText="1"/>
    </xf>
    <xf numFmtId="0" fontId="62" fillId="0" borderId="9" xfId="2" applyFont="1" applyFill="1" applyBorder="1" applyAlignment="1">
      <alignment vertical="top" wrapText="1"/>
    </xf>
    <xf numFmtId="0" fontId="9" fillId="0" borderId="0" xfId="2" applyFont="1" applyFill="1" applyBorder="1" applyAlignment="1">
      <alignment horizontal="left" vertical="top" wrapText="1"/>
    </xf>
    <xf numFmtId="0" fontId="9" fillId="0" borderId="0" xfId="2" applyFont="1" applyFill="1" applyBorder="1" applyAlignment="1">
      <alignment vertical="top"/>
    </xf>
    <xf numFmtId="3" fontId="14" fillId="0" borderId="0" xfId="2" applyNumberFormat="1" applyFont="1" applyFill="1" applyBorder="1" applyAlignment="1">
      <alignment vertical="top"/>
    </xf>
    <xf numFmtId="3" fontId="9" fillId="0" borderId="0" xfId="2" applyNumberFormat="1" applyFont="1" applyFill="1" applyAlignment="1">
      <alignment vertical="top"/>
    </xf>
    <xf numFmtId="0" fontId="9" fillId="0" borderId="0" xfId="2" applyFont="1" applyFill="1" applyAlignment="1">
      <alignment vertical="top"/>
    </xf>
    <xf numFmtId="0" fontId="6" fillId="0" borderId="0" xfId="2" applyFill="1" applyBorder="1" applyAlignment="1">
      <alignment horizontal="left" vertical="top"/>
    </xf>
    <xf numFmtId="3" fontId="6" fillId="0" borderId="0" xfId="2" applyNumberFormat="1" applyFill="1" applyBorder="1" applyAlignment="1">
      <alignment vertical="top"/>
    </xf>
    <xf numFmtId="3" fontId="6" fillId="0" borderId="0" xfId="2" applyNumberFormat="1" applyFill="1" applyAlignment="1">
      <alignment vertical="top"/>
    </xf>
    <xf numFmtId="0" fontId="6" fillId="0" borderId="0" xfId="2" applyFont="1" applyFill="1" applyBorder="1" applyAlignment="1">
      <alignment horizontal="left" vertical="top" wrapText="1"/>
    </xf>
    <xf numFmtId="0" fontId="6" fillId="0" borderId="0" xfId="2" applyFont="1" applyFill="1" applyBorder="1" applyAlignment="1">
      <alignment horizontal="left" vertical="top" wrapText="1" indent="4"/>
    </xf>
    <xf numFmtId="3" fontId="20" fillId="0" borderId="0" xfId="2" applyNumberFormat="1" applyFont="1" applyFill="1" applyAlignment="1">
      <alignment vertical="top"/>
    </xf>
    <xf numFmtId="0" fontId="6" fillId="0" borderId="0" xfId="2" applyFont="1" applyFill="1" applyBorder="1" applyAlignment="1">
      <alignment horizontal="left" vertical="top" wrapText="1" indent="7"/>
    </xf>
    <xf numFmtId="0" fontId="63" fillId="0" borderId="0" xfId="2" applyFont="1" applyFill="1" applyBorder="1" applyAlignment="1">
      <alignment vertical="top"/>
    </xf>
    <xf numFmtId="3" fontId="63" fillId="0" borderId="0" xfId="2" applyNumberFormat="1" applyFont="1" applyFill="1" applyBorder="1" applyAlignment="1">
      <alignment vertical="top"/>
    </xf>
    <xf numFmtId="0" fontId="64" fillId="0" borderId="0" xfId="2" applyFont="1" applyFill="1" applyBorder="1" applyAlignment="1">
      <alignment vertical="top"/>
    </xf>
    <xf numFmtId="3" fontId="64" fillId="0" borderId="0" xfId="2" applyNumberFormat="1" applyFont="1" applyFill="1" applyBorder="1" applyAlignment="1">
      <alignment vertical="top"/>
    </xf>
    <xf numFmtId="0" fontId="14" fillId="0" borderId="9" xfId="2" applyFont="1" applyFill="1" applyBorder="1" applyAlignment="1">
      <alignment vertical="top"/>
    </xf>
    <xf numFmtId="0" fontId="9" fillId="0" borderId="9" xfId="2" applyFont="1" applyFill="1" applyBorder="1" applyAlignment="1">
      <alignment vertical="top" wrapText="1"/>
    </xf>
    <xf numFmtId="0" fontId="14" fillId="0" borderId="0" xfId="2" applyFont="1" applyFill="1" applyBorder="1" applyAlignment="1">
      <alignment vertical="top"/>
    </xf>
    <xf numFmtId="0" fontId="10" fillId="0" borderId="0" xfId="2" applyFont="1" applyFill="1" applyAlignment="1">
      <alignment vertical="top"/>
    </xf>
    <xf numFmtId="0" fontId="10" fillId="0" borderId="0" xfId="2" applyFont="1" applyFill="1" applyBorder="1" applyAlignment="1">
      <alignment horizontal="left" vertical="top" indent="3"/>
    </xf>
    <xf numFmtId="3" fontId="10" fillId="0" borderId="0" xfId="2" applyNumberFormat="1" applyFont="1" applyFill="1" applyBorder="1" applyAlignment="1">
      <alignment vertical="top"/>
    </xf>
    <xf numFmtId="0" fontId="10" fillId="0" borderId="0" xfId="2" applyFont="1" applyAlignment="1">
      <alignment vertical="top"/>
    </xf>
    <xf numFmtId="0" fontId="6" fillId="0" borderId="0" xfId="2" applyFont="1" applyFill="1" applyBorder="1" applyAlignment="1">
      <alignment vertical="top"/>
    </xf>
    <xf numFmtId="0" fontId="6" fillId="0" borderId="0" xfId="2" applyFill="1" applyBorder="1" applyAlignment="1">
      <alignment horizontal="left" vertical="top" indent="2"/>
    </xf>
    <xf numFmtId="0" fontId="6" fillId="0" borderId="0" xfId="2" applyFont="1" applyFill="1" applyBorder="1" applyAlignment="1">
      <alignment horizontal="left" vertical="top" indent="2"/>
    </xf>
    <xf numFmtId="3" fontId="9" fillId="0" borderId="0" xfId="2" applyNumberFormat="1" applyFont="1" applyFill="1" applyBorder="1" applyAlignment="1">
      <alignment vertical="top" wrapText="1"/>
    </xf>
    <xf numFmtId="3" fontId="6" fillId="0" borderId="0" xfId="2" applyNumberFormat="1" applyFont="1" applyFill="1" applyBorder="1" applyAlignment="1">
      <alignment vertical="top" wrapText="1"/>
    </xf>
    <xf numFmtId="0" fontId="6" fillId="0" borderId="0" xfId="2" applyFont="1" applyAlignment="1">
      <alignment vertical="top"/>
    </xf>
    <xf numFmtId="0" fontId="9" fillId="2" borderId="0" xfId="2" applyFont="1" applyFill="1" applyAlignment="1">
      <alignment vertical="top"/>
    </xf>
    <xf numFmtId="3" fontId="9" fillId="2" borderId="0" xfId="2" applyNumberFormat="1" applyFont="1" applyFill="1" applyBorder="1" applyAlignment="1">
      <alignment vertical="top"/>
    </xf>
    <xf numFmtId="3" fontId="6" fillId="0" borderId="0" xfId="2" applyNumberFormat="1" applyAlignment="1">
      <alignment vertical="top"/>
    </xf>
    <xf numFmtId="0" fontId="66" fillId="0" borderId="0" xfId="2" applyFont="1"/>
    <xf numFmtId="0" fontId="66" fillId="0" borderId="0" xfId="2" applyFont="1" applyAlignment="1">
      <alignment horizontal="right" vertical="top"/>
    </xf>
    <xf numFmtId="0" fontId="67" fillId="0" borderId="0" xfId="2" applyFont="1" applyAlignment="1">
      <alignment vertical="top"/>
    </xf>
    <xf numFmtId="3" fontId="68" fillId="0" borderId="0" xfId="2" applyNumberFormat="1" applyFont="1" applyAlignment="1">
      <alignment vertical="top"/>
    </xf>
    <xf numFmtId="14" fontId="68" fillId="0" borderId="0" xfId="2" applyNumberFormat="1" applyFont="1"/>
    <xf numFmtId="14" fontId="68" fillId="0" borderId="0" xfId="2" applyNumberFormat="1" applyFont="1" applyAlignment="1">
      <alignment horizontal="right" vertical="top"/>
    </xf>
    <xf numFmtId="0" fontId="66" fillId="0" borderId="0" xfId="2" applyFont="1" applyAlignment="1">
      <alignment vertical="top"/>
    </xf>
    <xf numFmtId="0" fontId="69" fillId="0" borderId="0" xfId="2" applyFont="1" applyAlignment="1">
      <alignment horizontal="right" vertical="top" wrapText="1"/>
    </xf>
    <xf numFmtId="0" fontId="69" fillId="0" borderId="0" xfId="2" applyFont="1" applyAlignment="1">
      <alignment vertical="top"/>
    </xf>
    <xf numFmtId="0" fontId="69" fillId="29" borderId="0" xfId="2" applyFont="1" applyFill="1" applyAlignment="1">
      <alignment vertical="top" wrapText="1"/>
    </xf>
    <xf numFmtId="0" fontId="69" fillId="29" borderId="0" xfId="2" applyFont="1" applyFill="1" applyAlignment="1">
      <alignment vertical="top"/>
    </xf>
    <xf numFmtId="3" fontId="66" fillId="0" borderId="0" xfId="2" applyNumberFormat="1" applyFont="1" applyAlignment="1">
      <alignment vertical="top"/>
    </xf>
    <xf numFmtId="3" fontId="69" fillId="0" borderId="0" xfId="2" applyNumberFormat="1" applyFont="1" applyAlignment="1">
      <alignment vertical="top"/>
    </xf>
    <xf numFmtId="0" fontId="71" fillId="0" borderId="0" xfId="2" applyFont="1" applyAlignment="1">
      <alignment vertical="top"/>
    </xf>
    <xf numFmtId="0" fontId="68" fillId="0" borderId="0" xfId="2" applyFont="1" applyAlignment="1">
      <alignment horizontal="right" vertical="top"/>
    </xf>
    <xf numFmtId="0" fontId="68" fillId="0" borderId="0" xfId="2" applyFont="1" applyAlignment="1">
      <alignment vertical="top"/>
    </xf>
    <xf numFmtId="49" fontId="67" fillId="0" borderId="0" xfId="2" applyNumberFormat="1" applyFont="1" applyAlignment="1">
      <alignment horizontal="right" vertical="top"/>
    </xf>
    <xf numFmtId="3" fontId="67" fillId="0" borderId="0" xfId="2" applyNumberFormat="1" applyFont="1" applyAlignment="1">
      <alignment vertical="top"/>
    </xf>
    <xf numFmtId="3" fontId="68" fillId="0" borderId="0" xfId="2" applyNumberFormat="1" applyFont="1" applyFill="1" applyAlignment="1">
      <alignment vertical="top"/>
    </xf>
    <xf numFmtId="0" fontId="68" fillId="0" borderId="0" xfId="2" applyFont="1" applyFill="1" applyAlignment="1">
      <alignment horizontal="right" vertical="top"/>
    </xf>
    <xf numFmtId="0" fontId="68" fillId="0" borderId="0" xfId="2" applyFont="1" applyFill="1" applyAlignment="1">
      <alignment vertical="top"/>
    </xf>
    <xf numFmtId="0" fontId="73" fillId="0" borderId="0" xfId="2" applyFont="1" applyAlignment="1">
      <alignment vertical="top"/>
    </xf>
    <xf numFmtId="3" fontId="68" fillId="0" borderId="0" xfId="0" applyNumberFormat="1" applyFont="1" applyFill="1" applyAlignment="1">
      <alignment horizontal="left" vertical="top" wrapText="1"/>
    </xf>
    <xf numFmtId="3" fontId="68" fillId="0" borderId="0" xfId="0" applyNumberFormat="1" applyFont="1" applyFill="1" applyAlignment="1">
      <alignment horizontal="right" vertical="top"/>
    </xf>
    <xf numFmtId="0" fontId="67" fillId="0" borderId="0" xfId="2" applyFont="1" applyAlignment="1">
      <alignment vertical="top" wrapText="1"/>
    </xf>
    <xf numFmtId="3" fontId="5" fillId="0" borderId="0" xfId="2" applyNumberFormat="1" applyFont="1" applyFill="1"/>
    <xf numFmtId="3" fontId="57" fillId="0" borderId="0" xfId="0" applyNumberFormat="1" applyFont="1" applyFill="1" applyAlignment="1">
      <alignment vertical="top"/>
    </xf>
    <xf numFmtId="0" fontId="76" fillId="0" borderId="0" xfId="2" applyFont="1" applyAlignment="1">
      <alignment vertical="top"/>
    </xf>
    <xf numFmtId="0" fontId="67" fillId="0" borderId="0" xfId="2" applyFont="1" applyFill="1" applyAlignment="1">
      <alignment vertical="top" wrapText="1"/>
    </xf>
    <xf numFmtId="3" fontId="77" fillId="0" borderId="0" xfId="2" applyNumberFormat="1" applyFont="1" applyFill="1" applyAlignment="1">
      <alignment vertical="top"/>
    </xf>
    <xf numFmtId="0" fontId="78" fillId="0" borderId="0" xfId="2" applyFont="1" applyAlignment="1">
      <alignment vertical="top" wrapText="1"/>
    </xf>
    <xf numFmtId="0" fontId="69" fillId="0" borderId="0" xfId="2" applyFont="1" applyAlignment="1">
      <alignment vertical="top" wrapText="1"/>
    </xf>
    <xf numFmtId="3" fontId="72" fillId="0" borderId="0" xfId="2" applyNumberFormat="1" applyFont="1" applyFill="1" applyAlignment="1">
      <alignment vertical="top"/>
    </xf>
    <xf numFmtId="0" fontId="69" fillId="0" borderId="0" xfId="2" applyFont="1" applyFill="1" applyAlignment="1">
      <alignment vertical="top" wrapText="1"/>
    </xf>
    <xf numFmtId="3" fontId="79" fillId="0" borderId="0" xfId="0" applyNumberFormat="1" applyFont="1" applyFill="1" applyAlignment="1">
      <alignment horizontal="left" vertical="top" wrapText="1"/>
    </xf>
    <xf numFmtId="3" fontId="72" fillId="0" borderId="0" xfId="0" applyNumberFormat="1" applyFont="1" applyFill="1" applyAlignment="1">
      <alignment vertical="top"/>
    </xf>
    <xf numFmtId="3" fontId="79" fillId="0" borderId="0" xfId="2" applyNumberFormat="1" applyFont="1" applyFill="1" applyAlignment="1">
      <alignment horizontal="left" vertical="top" wrapText="1"/>
    </xf>
    <xf numFmtId="0" fontId="76" fillId="0" borderId="0" xfId="2" applyFont="1" applyFill="1" applyAlignment="1">
      <alignment horizontal="right" vertical="top"/>
    </xf>
    <xf numFmtId="0" fontId="69" fillId="0" borderId="0" xfId="2" applyFont="1" applyFill="1" applyAlignment="1">
      <alignment vertical="top"/>
    </xf>
    <xf numFmtId="3" fontId="66" fillId="0" borderId="0" xfId="2" applyNumberFormat="1" applyFont="1" applyFill="1" applyAlignment="1">
      <alignment vertical="top"/>
    </xf>
    <xf numFmtId="0" fontId="79" fillId="0" borderId="0" xfId="2" applyFont="1" applyFill="1" applyAlignment="1">
      <alignment horizontal="right" vertical="top"/>
    </xf>
    <xf numFmtId="49" fontId="67" fillId="0" borderId="0" xfId="2" applyNumberFormat="1" applyFont="1" applyFill="1" applyAlignment="1">
      <alignment horizontal="right" vertical="top"/>
    </xf>
    <xf numFmtId="3" fontId="67" fillId="0" borderId="0" xfId="2" applyNumberFormat="1" applyFont="1" applyFill="1" applyAlignment="1">
      <alignment vertical="top"/>
    </xf>
    <xf numFmtId="0" fontId="79" fillId="0" borderId="0" xfId="120" applyNumberFormat="1" applyFont="1" applyFill="1" applyBorder="1" applyAlignment="1" applyProtection="1">
      <alignment horizontal="left" vertical="top" wrapText="1"/>
    </xf>
    <xf numFmtId="0" fontId="15" fillId="0" borderId="0" xfId="0" applyFont="1" applyBorder="1" applyAlignment="1">
      <alignment wrapText="1"/>
    </xf>
    <xf numFmtId="9" fontId="15" fillId="0" borderId="0" xfId="7" applyFont="1" applyAlignment="1">
      <alignment horizontal="right" vertical="center"/>
    </xf>
    <xf numFmtId="0" fontId="10" fillId="0" borderId="0" xfId="2" applyFont="1" applyFill="1" applyAlignment="1">
      <alignment vertical="top" wrapText="1"/>
    </xf>
    <xf numFmtId="0" fontId="73" fillId="0" borderId="0" xfId="2" applyFont="1" applyAlignment="1">
      <alignment vertical="top" wrapText="1"/>
    </xf>
    <xf numFmtId="0" fontId="68" fillId="0" borderId="0" xfId="2" applyFont="1" applyAlignment="1">
      <alignment vertical="top" wrapText="1"/>
    </xf>
    <xf numFmtId="0" fontId="17" fillId="0" borderId="0" xfId="118" applyNumberFormat="1" applyFont="1" applyFill="1" applyBorder="1" applyAlignment="1" applyProtection="1">
      <alignment vertical="top"/>
    </xf>
    <xf numFmtId="0" fontId="5" fillId="0" borderId="0" xfId="0" applyFont="1" applyFill="1" applyBorder="1" applyAlignment="1">
      <alignment horizontal="left" vertical="top" wrapText="1"/>
    </xf>
    <xf numFmtId="0" fontId="8" fillId="0" borderId="0" xfId="0" applyFont="1" applyFill="1" applyBorder="1" applyAlignment="1">
      <alignment horizontal="left" vertical="top" wrapText="1" indent="3"/>
    </xf>
    <xf numFmtId="0" fontId="5" fillId="0" borderId="0" xfId="0" applyFont="1" applyFill="1" applyBorder="1" applyAlignment="1">
      <alignment horizontal="left" vertical="top"/>
    </xf>
    <xf numFmtId="0" fontId="8" fillId="0" borderId="0" xfId="0" applyFont="1" applyFill="1" applyBorder="1" applyAlignment="1">
      <alignment horizontal="left" vertical="top" indent="3"/>
    </xf>
    <xf numFmtId="3" fontId="84" fillId="0" borderId="0" xfId="2" applyNumberFormat="1" applyFont="1" applyFill="1" applyBorder="1" applyAlignment="1">
      <alignment vertical="top"/>
    </xf>
    <xf numFmtId="0" fontId="18" fillId="0" borderId="0" xfId="2" applyFont="1" applyFill="1"/>
    <xf numFmtId="0" fontId="19" fillId="0" borderId="0" xfId="118" applyNumberFormat="1" applyFont="1" applyFill="1" applyBorder="1" applyAlignment="1" applyProtection="1">
      <alignment horizontal="left" vertical="top" indent="4"/>
    </xf>
    <xf numFmtId="3" fontId="19" fillId="0" borderId="0" xfId="118" applyNumberFormat="1" applyFont="1" applyFill="1" applyBorder="1" applyAlignment="1">
      <alignment horizontal="right" vertical="top"/>
    </xf>
    <xf numFmtId="0" fontId="85" fillId="0" borderId="0" xfId="2" applyFont="1" applyFill="1"/>
    <xf numFmtId="3" fontId="86" fillId="0" borderId="0" xfId="118" applyNumberFormat="1" applyFont="1" applyFill="1" applyBorder="1" applyAlignment="1">
      <alignment horizontal="right" vertical="top"/>
    </xf>
    <xf numFmtId="9" fontId="86" fillId="0" borderId="0" xfId="7" applyFont="1" applyFill="1" applyBorder="1" applyAlignment="1">
      <alignment horizontal="right" vertical="top"/>
    </xf>
    <xf numFmtId="49" fontId="87" fillId="0" borderId="0" xfId="2" applyNumberFormat="1" applyFont="1" applyAlignment="1">
      <alignment horizontal="right" vertical="top"/>
    </xf>
    <xf numFmtId="3" fontId="88" fillId="0" borderId="0" xfId="0" applyNumberFormat="1" applyFont="1" applyFill="1" applyAlignment="1">
      <alignment horizontal="left" vertical="top" wrapText="1"/>
    </xf>
    <xf numFmtId="3" fontId="89" fillId="0" borderId="0" xfId="0" applyNumberFormat="1" applyFont="1" applyFill="1" applyAlignment="1">
      <alignment horizontal="right" vertical="top"/>
    </xf>
    <xf numFmtId="3" fontId="87" fillId="0" borderId="0" xfId="2" applyNumberFormat="1" applyFont="1" applyAlignment="1">
      <alignment vertical="top" wrapText="1"/>
    </xf>
    <xf numFmtId="0" fontId="68" fillId="0" borderId="0" xfId="2" applyFont="1"/>
    <xf numFmtId="3" fontId="68" fillId="0" borderId="0" xfId="2" applyNumberFormat="1" applyFont="1" applyFill="1"/>
    <xf numFmtId="3" fontId="68" fillId="0" borderId="0" xfId="2" applyNumberFormat="1" applyFont="1"/>
    <xf numFmtId="0" fontId="88" fillId="0" borderId="0" xfId="2" applyFont="1"/>
    <xf numFmtId="0" fontId="68" fillId="0" borderId="0" xfId="2" applyFont="1" applyFill="1"/>
    <xf numFmtId="3" fontId="68" fillId="0" borderId="0" xfId="99" applyNumberFormat="1" applyFont="1" applyFill="1" applyBorder="1" applyAlignment="1">
      <alignment horizontal="right" vertical="top"/>
    </xf>
    <xf numFmtId="3" fontId="68" fillId="0" borderId="0" xfId="0" applyNumberFormat="1" applyFont="1" applyFill="1" applyAlignment="1">
      <alignment vertical="top"/>
    </xf>
    <xf numFmtId="0" fontId="90" fillId="0" borderId="0" xfId="118" applyNumberFormat="1" applyFont="1" applyFill="1" applyBorder="1" applyAlignment="1" applyProtection="1">
      <alignment horizontal="left" vertical="top" indent="1"/>
    </xf>
    <xf numFmtId="3" fontId="90" fillId="0" borderId="0" xfId="2" applyNumberFormat="1" applyFont="1" applyFill="1" applyAlignment="1">
      <alignment horizontal="right" vertical="top"/>
    </xf>
    <xf numFmtId="3" fontId="90" fillId="0" borderId="0" xfId="118" applyNumberFormat="1" applyFont="1" applyFill="1" applyBorder="1" applyAlignment="1">
      <alignment horizontal="right"/>
    </xf>
    <xf numFmtId="3" fontId="90" fillId="0" borderId="0" xfId="2" applyNumberFormat="1" applyFont="1" applyFill="1" applyBorder="1" applyAlignment="1"/>
    <xf numFmtId="0" fontId="69" fillId="0" borderId="0" xfId="2" applyFont="1" applyAlignment="1">
      <alignment horizontal="right" vertical="top"/>
    </xf>
    <xf numFmtId="0" fontId="68" fillId="0" borderId="0" xfId="0" applyFont="1" applyFill="1" applyAlignment="1">
      <alignment vertical="top" wrapText="1"/>
    </xf>
    <xf numFmtId="0" fontId="68" fillId="0" borderId="0" xfId="2" applyFont="1" applyFill="1" applyAlignment="1">
      <alignment vertical="top" wrapText="1"/>
    </xf>
    <xf numFmtId="3" fontId="68" fillId="0" borderId="0" xfId="118" applyNumberFormat="1" applyFont="1" applyFill="1" applyBorder="1" applyAlignment="1">
      <alignment horizontal="right" vertical="top"/>
    </xf>
    <xf numFmtId="0" fontId="18" fillId="0" borderId="0" xfId="0" applyFont="1" applyFill="1" applyBorder="1"/>
    <xf numFmtId="3" fontId="21" fillId="0" borderId="0" xfId="2" applyNumberFormat="1" applyFont="1" applyFill="1" applyAlignment="1">
      <alignment horizontal="right" vertical="top" wrapText="1"/>
    </xf>
    <xf numFmtId="3" fontId="9" fillId="0" borderId="0" xfId="2" applyNumberFormat="1" applyFont="1" applyFill="1" applyAlignment="1">
      <alignment horizontal="right" vertical="top" wrapText="1"/>
    </xf>
    <xf numFmtId="3" fontId="5" fillId="0" borderId="0" xfId="0" applyNumberFormat="1" applyFont="1" applyFill="1" applyBorder="1" applyAlignment="1">
      <alignment horizontal="right" vertical="top"/>
    </xf>
    <xf numFmtId="3" fontId="8" fillId="0" borderId="0" xfId="0" applyNumberFormat="1" applyFont="1" applyFill="1" applyBorder="1" applyAlignment="1">
      <alignment horizontal="right" vertical="top" wrapText="1"/>
    </xf>
    <xf numFmtId="3" fontId="8" fillId="0" borderId="0" xfId="0" applyNumberFormat="1" applyFont="1" applyFill="1" applyAlignment="1">
      <alignment horizontal="right"/>
    </xf>
    <xf numFmtId="3" fontId="8" fillId="0" borderId="0" xfId="0" applyNumberFormat="1" applyFont="1" applyFill="1" applyAlignment="1">
      <alignment horizontal="right" vertical="center"/>
    </xf>
    <xf numFmtId="3" fontId="8" fillId="0" borderId="0" xfId="0" applyNumberFormat="1" applyFont="1" applyFill="1" applyBorder="1" applyAlignment="1">
      <alignment horizontal="right" vertical="top"/>
    </xf>
    <xf numFmtId="3" fontId="5" fillId="0" borderId="0" xfId="0" applyNumberFormat="1" applyFont="1" applyFill="1" applyBorder="1" applyAlignment="1">
      <alignment horizontal="right" vertical="top" wrapText="1"/>
    </xf>
    <xf numFmtId="3" fontId="5" fillId="0" borderId="0" xfId="0" applyNumberFormat="1" applyFont="1" applyFill="1" applyAlignment="1">
      <alignment horizontal="right"/>
    </xf>
    <xf numFmtId="0" fontId="91" fillId="0" borderId="0" xfId="0" applyFont="1" applyFill="1" applyAlignment="1">
      <alignment wrapText="1"/>
    </xf>
    <xf numFmtId="3" fontId="92" fillId="0" borderId="0" xfId="123" applyNumberFormat="1" applyFont="1" applyFill="1" applyAlignment="1">
      <alignment horizontal="right" wrapText="1"/>
    </xf>
    <xf numFmtId="0" fontId="15" fillId="0" borderId="0" xfId="67" applyFont="1" applyFill="1" applyBorder="1" applyAlignment="1"/>
    <xf numFmtId="3" fontId="93" fillId="0" borderId="0" xfId="67" applyNumberFormat="1" applyFont="1" applyFill="1" applyBorder="1" applyAlignment="1">
      <alignment horizontal="right"/>
    </xf>
    <xf numFmtId="3" fontId="5" fillId="0" borderId="0" xfId="0" applyNumberFormat="1" applyFont="1" applyFill="1"/>
    <xf numFmtId="3" fontId="8" fillId="0" borderId="0" xfId="0" applyNumberFormat="1" applyFont="1" applyFill="1" applyBorder="1" applyAlignment="1">
      <alignment vertical="top" wrapText="1"/>
    </xf>
    <xf numFmtId="3" fontId="8" fillId="0" borderId="0" xfId="0" applyNumberFormat="1" applyFont="1" applyFill="1" applyBorder="1" applyAlignment="1">
      <alignment vertical="top"/>
    </xf>
    <xf numFmtId="3" fontId="5" fillId="0" borderId="0" xfId="0" applyNumberFormat="1" applyFont="1" applyFill="1" applyBorder="1" applyAlignment="1">
      <alignment vertical="top" wrapText="1"/>
    </xf>
    <xf numFmtId="3" fontId="5" fillId="0" borderId="0" xfId="0" applyNumberFormat="1" applyFont="1" applyFill="1" applyAlignment="1">
      <alignment vertical="top"/>
    </xf>
    <xf numFmtId="3" fontId="5" fillId="0" borderId="0" xfId="0" applyNumberFormat="1" applyFont="1" applyFill="1" applyBorder="1" applyAlignment="1">
      <alignment vertical="top"/>
    </xf>
    <xf numFmtId="3" fontId="7" fillId="0" borderId="0" xfId="2" applyNumberFormat="1" applyFont="1" applyFill="1"/>
    <xf numFmtId="3" fontId="10" fillId="0" borderId="0" xfId="0" applyNumberFormat="1" applyFont="1" applyFill="1" applyAlignment="1">
      <alignment horizontal="left" vertical="top" wrapText="1"/>
    </xf>
    <xf numFmtId="0" fontId="6" fillId="0" borderId="0" xfId="2" applyFont="1" applyFill="1" applyBorder="1" applyAlignment="1">
      <alignment horizontal="left" indent="2"/>
    </xf>
    <xf numFmtId="0" fontId="6" fillId="0" borderId="0" xfId="2" applyFont="1" applyFill="1" applyBorder="1" applyAlignment="1">
      <alignment horizontal="left" indent="3"/>
    </xf>
    <xf numFmtId="3" fontId="95" fillId="0" borderId="0" xfId="7" applyNumberFormat="1" applyFont="1" applyFill="1" applyAlignment="1">
      <alignment horizontal="right" vertical="top"/>
    </xf>
    <xf numFmtId="3" fontId="96" fillId="0" borderId="0" xfId="7" applyNumberFormat="1" applyFont="1" applyFill="1" applyAlignment="1">
      <alignment horizontal="right" vertical="top"/>
    </xf>
    <xf numFmtId="3" fontId="97" fillId="0" borderId="0" xfId="7" applyNumberFormat="1" applyFont="1" applyFill="1" applyAlignment="1">
      <alignment horizontal="right" vertical="top"/>
    </xf>
    <xf numFmtId="3" fontId="94" fillId="0" borderId="0" xfId="7" applyNumberFormat="1" applyFont="1" applyFill="1" applyBorder="1" applyAlignment="1">
      <alignment horizontal="right" vertical="top"/>
    </xf>
    <xf numFmtId="3" fontId="97" fillId="0" borderId="0" xfId="7" applyNumberFormat="1" applyFont="1" applyFill="1"/>
    <xf numFmtId="3" fontId="53" fillId="0" borderId="0" xfId="7" applyNumberFormat="1" applyFont="1" applyFill="1" applyBorder="1" applyAlignment="1" applyProtection="1">
      <alignment horizontal="right" vertical="top"/>
    </xf>
    <xf numFmtId="3" fontId="96" fillId="0" borderId="0" xfId="7" applyNumberFormat="1" applyFont="1" applyFill="1"/>
    <xf numFmtId="3" fontId="53" fillId="0" borderId="0" xfId="7" applyNumberFormat="1" applyFont="1" applyFill="1" applyAlignment="1">
      <alignment horizontal="right" vertical="top" wrapText="1"/>
    </xf>
    <xf numFmtId="3" fontId="95" fillId="0" borderId="0" xfId="7" applyNumberFormat="1" applyFont="1" applyFill="1" applyBorder="1" applyAlignment="1">
      <alignment horizontal="right" vertical="top"/>
    </xf>
    <xf numFmtId="3" fontId="18" fillId="0" borderId="0" xfId="7" applyNumberFormat="1" applyFont="1" applyFill="1" applyAlignment="1">
      <alignment horizontal="right" vertical="top"/>
    </xf>
    <xf numFmtId="3" fontId="6" fillId="0" borderId="0" xfId="7" applyNumberFormat="1" applyFont="1" applyFill="1" applyAlignment="1">
      <alignment horizontal="right" vertical="top"/>
    </xf>
    <xf numFmtId="3" fontId="6" fillId="0" borderId="0" xfId="7" applyNumberFormat="1" applyFont="1" applyFill="1" applyBorder="1" applyAlignment="1">
      <alignment horizontal="right" vertical="top"/>
    </xf>
    <xf numFmtId="3" fontId="49" fillId="0" borderId="0" xfId="7" applyNumberFormat="1" applyFont="1" applyFill="1" applyAlignment="1">
      <alignment horizontal="right" vertical="top"/>
    </xf>
    <xf numFmtId="3" fontId="10" fillId="0" borderId="0" xfId="0" applyNumberFormat="1" applyFont="1" applyFill="1" applyAlignment="1">
      <alignment horizontal="right" vertical="top"/>
    </xf>
    <xf numFmtId="3" fontId="9" fillId="0" borderId="0" xfId="7" applyNumberFormat="1" applyFont="1" applyFill="1" applyAlignment="1">
      <alignment horizontal="right" vertical="top"/>
    </xf>
    <xf numFmtId="3" fontId="6" fillId="0" borderId="0" xfId="7" applyNumberFormat="1" applyFont="1" applyFill="1"/>
    <xf numFmtId="3" fontId="21" fillId="0" borderId="0" xfId="7" applyNumberFormat="1" applyFont="1" applyFill="1" applyBorder="1" applyAlignment="1">
      <alignment horizontal="right" vertical="top"/>
    </xf>
    <xf numFmtId="3" fontId="10" fillId="0" borderId="0" xfId="7" applyNumberFormat="1" applyFont="1" applyFill="1" applyAlignment="1">
      <alignment horizontal="right" vertical="top"/>
    </xf>
    <xf numFmtId="49" fontId="59" fillId="0" borderId="0" xfId="0" applyNumberFormat="1" applyFont="1" applyFill="1" applyAlignment="1">
      <alignment horizontal="left" vertical="top" wrapText="1"/>
    </xf>
    <xf numFmtId="3" fontId="6" fillId="0" borderId="0" xfId="2" applyNumberFormat="1" applyFont="1" applyFill="1" applyAlignment="1">
      <alignment horizontal="right" vertical="top" wrapText="1"/>
    </xf>
    <xf numFmtId="3" fontId="9" fillId="0" borderId="0" xfId="2" applyNumberFormat="1" applyFont="1" applyFill="1" applyAlignment="1">
      <alignment horizontal="right" wrapText="1"/>
    </xf>
    <xf numFmtId="3" fontId="49" fillId="0" borderId="0" xfId="118" applyNumberFormat="1" applyFont="1" applyFill="1" applyBorder="1" applyAlignment="1" applyProtection="1">
      <alignment horizontal="right" vertical="top" wrapText="1"/>
    </xf>
    <xf numFmtId="0" fontId="18" fillId="0" borderId="0" xfId="2" applyFont="1" applyFill="1" applyAlignment="1">
      <alignment vertical="top"/>
    </xf>
    <xf numFmtId="0" fontId="99" fillId="0" borderId="0" xfId="2" applyFont="1" applyFill="1" applyAlignment="1">
      <alignment vertical="top" wrapText="1"/>
    </xf>
    <xf numFmtId="0" fontId="100" fillId="0" borderId="0" xfId="2" applyFont="1" applyFill="1" applyAlignment="1">
      <alignment vertical="top" wrapText="1"/>
    </xf>
    <xf numFmtId="3" fontId="70" fillId="0" borderId="0" xfId="2" applyNumberFormat="1" applyFont="1" applyFill="1" applyAlignment="1">
      <alignment vertical="top"/>
    </xf>
    <xf numFmtId="0" fontId="75" fillId="0" borderId="0" xfId="2" applyFont="1" applyFill="1" applyAlignment="1">
      <alignment vertical="top" wrapText="1"/>
    </xf>
    <xf numFmtId="3" fontId="68" fillId="31" borderId="0" xfId="2" applyNumberFormat="1" applyFont="1" applyFill="1" applyAlignment="1">
      <alignment vertical="top"/>
    </xf>
    <xf numFmtId="3" fontId="83" fillId="0" borderId="0" xfId="2" applyNumberFormat="1" applyFont="1" applyFill="1" applyAlignment="1">
      <alignment vertical="top"/>
    </xf>
    <xf numFmtId="3" fontId="69" fillId="0" borderId="0" xfId="2" applyNumberFormat="1" applyFont="1" applyFill="1" applyAlignment="1">
      <alignment vertical="top"/>
    </xf>
    <xf numFmtId="49" fontId="69" fillId="0" borderId="0" xfId="2" applyNumberFormat="1" applyFont="1" applyAlignment="1">
      <alignment horizontal="right" vertical="top"/>
    </xf>
    <xf numFmtId="3" fontId="79" fillId="0" borderId="0" xfId="0" applyNumberFormat="1" applyFont="1" applyFill="1" applyAlignment="1">
      <alignment horizontal="right" vertical="top"/>
    </xf>
    <xf numFmtId="3" fontId="5" fillId="0" borderId="0" xfId="0" applyNumberFormat="1" applyFont="1" applyFill="1" applyAlignment="1">
      <alignment horizontal="right" vertical="top"/>
    </xf>
    <xf numFmtId="0" fontId="17" fillId="0" borderId="0" xfId="0" applyFont="1" applyFill="1" applyBorder="1" applyAlignment="1">
      <alignment horizontal="left" indent="2"/>
    </xf>
    <xf numFmtId="3" fontId="17" fillId="0" borderId="0" xfId="0" applyNumberFormat="1" applyFont="1" applyFill="1" applyBorder="1" applyAlignment="1">
      <alignment horizontal="right"/>
    </xf>
    <xf numFmtId="0" fontId="6" fillId="0" borderId="0" xfId="0" applyFont="1" applyFill="1" applyBorder="1" applyAlignment="1">
      <alignment horizontal="left" wrapText="1" indent="3"/>
    </xf>
    <xf numFmtId="3" fontId="6" fillId="0" borderId="0" xfId="0" applyNumberFormat="1" applyFont="1" applyFill="1" applyBorder="1" applyAlignment="1">
      <alignment horizontal="right" wrapText="1"/>
    </xf>
    <xf numFmtId="0" fontId="15" fillId="0" borderId="0" xfId="0" applyFont="1" applyFill="1" applyBorder="1" applyAlignment="1" applyProtection="1">
      <alignment horizontal="left" vertical="top" wrapText="1"/>
      <protection locked="0"/>
    </xf>
    <xf numFmtId="3" fontId="15" fillId="0" borderId="0" xfId="0" applyNumberFormat="1" applyFont="1" applyFill="1" applyBorder="1" applyAlignment="1" applyProtection="1">
      <alignment horizontal="right" vertical="top" wrapText="1"/>
      <protection locked="0"/>
    </xf>
    <xf numFmtId="3" fontId="15" fillId="0" borderId="0" xfId="0" applyNumberFormat="1" applyFont="1" applyBorder="1" applyAlignment="1">
      <alignment horizontal="right" wrapText="1"/>
    </xf>
    <xf numFmtId="3" fontId="15" fillId="0" borderId="0" xfId="0" applyNumberFormat="1" applyFont="1" applyAlignment="1">
      <alignment horizontal="right" vertical="center"/>
    </xf>
    <xf numFmtId="3" fontId="6" fillId="0" borderId="0" xfId="99" applyNumberFormat="1" applyFont="1" applyFill="1" applyBorder="1" applyAlignment="1">
      <alignment horizontal="right" vertical="top" wrapText="1"/>
    </xf>
    <xf numFmtId="3" fontId="10" fillId="0" borderId="0" xfId="118" applyNumberFormat="1" applyFont="1" applyFill="1" applyBorder="1" applyAlignment="1" applyProtection="1">
      <alignment horizontal="right" vertical="top" wrapText="1"/>
    </xf>
    <xf numFmtId="3" fontId="19" fillId="0" borderId="0" xfId="118" applyNumberFormat="1" applyFont="1" applyFill="1" applyBorder="1" applyAlignment="1" applyProtection="1">
      <alignment horizontal="right" vertical="top" wrapText="1"/>
    </xf>
    <xf numFmtId="3" fontId="10" fillId="0" borderId="0" xfId="118" applyNumberFormat="1" applyFont="1" applyFill="1" applyAlignment="1">
      <alignment horizontal="right" vertical="top" wrapText="1"/>
    </xf>
    <xf numFmtId="3" fontId="21" fillId="0" borderId="0" xfId="118" applyNumberFormat="1" applyFont="1" applyFill="1" applyBorder="1" applyAlignment="1" applyProtection="1">
      <alignment horizontal="right" vertical="top"/>
    </xf>
    <xf numFmtId="3" fontId="6" fillId="0" borderId="0" xfId="120" applyNumberFormat="1" applyFont="1" applyFill="1" applyBorder="1" applyAlignment="1" applyProtection="1">
      <alignment horizontal="right" vertical="top" wrapText="1"/>
    </xf>
    <xf numFmtId="3" fontId="10" fillId="0" borderId="0" xfId="118" applyNumberFormat="1" applyFont="1" applyFill="1" applyBorder="1" applyAlignment="1" applyProtection="1">
      <alignment horizontal="right" vertical="top"/>
    </xf>
    <xf numFmtId="3" fontId="103" fillId="0" borderId="0" xfId="0" applyNumberFormat="1" applyFont="1" applyFill="1" applyAlignment="1">
      <alignment horizontal="left" vertical="top" wrapText="1"/>
    </xf>
    <xf numFmtId="0" fontId="2" fillId="0" borderId="0" xfId="2" applyFont="1" applyAlignment="1">
      <alignment vertical="top"/>
    </xf>
    <xf numFmtId="3" fontId="2" fillId="0" borderId="0" xfId="2" applyNumberFormat="1" applyFont="1" applyAlignment="1">
      <alignment vertical="top"/>
    </xf>
    <xf numFmtId="49" fontId="104" fillId="0" borderId="0" xfId="0" applyNumberFormat="1" applyFont="1" applyFill="1" applyAlignment="1">
      <alignment horizontal="left" vertical="top" wrapText="1"/>
    </xf>
    <xf numFmtId="0" fontId="103" fillId="0" borderId="0" xfId="0" applyFont="1" applyFill="1" applyAlignment="1">
      <alignment vertical="top" wrapText="1"/>
    </xf>
    <xf numFmtId="3" fontId="79" fillId="0" borderId="0" xfId="118" applyNumberFormat="1" applyFont="1" applyFill="1" applyBorder="1" applyAlignment="1">
      <alignment horizontal="right" vertical="top"/>
    </xf>
    <xf numFmtId="49" fontId="73" fillId="0" borderId="0" xfId="2" applyNumberFormat="1" applyFont="1" applyAlignment="1">
      <alignment horizontal="right" vertical="top"/>
    </xf>
    <xf numFmtId="0" fontId="6" fillId="0" borderId="0" xfId="2" applyAlignment="1">
      <alignment horizontal="right" vertical="top"/>
    </xf>
    <xf numFmtId="3" fontId="79" fillId="0" borderId="0" xfId="2" applyNumberFormat="1" applyFont="1" applyFill="1" applyAlignment="1">
      <alignment vertical="top"/>
    </xf>
    <xf numFmtId="0" fontId="6" fillId="0" borderId="0" xfId="2" applyFont="1"/>
    <xf numFmtId="0" fontId="10" fillId="0" borderId="0" xfId="2" applyFont="1" applyFill="1" applyAlignment="1">
      <alignment horizontal="left" vertical="top" wrapText="1"/>
    </xf>
    <xf numFmtId="0" fontId="88" fillId="0" borderId="0" xfId="2" applyFont="1" applyAlignment="1">
      <alignment vertical="top"/>
    </xf>
    <xf numFmtId="0" fontId="68" fillId="31" borderId="0" xfId="2" applyFont="1" applyFill="1" applyAlignment="1">
      <alignment vertical="top"/>
    </xf>
    <xf numFmtId="0" fontId="70" fillId="0" borderId="0" xfId="0" applyFont="1" applyFill="1" applyAlignment="1">
      <alignment vertical="top" wrapText="1"/>
    </xf>
    <xf numFmtId="0" fontId="70" fillId="0" borderId="0" xfId="2" applyFont="1" applyFill="1" applyAlignment="1">
      <alignment vertical="top" wrapText="1"/>
    </xf>
    <xf numFmtId="0" fontId="18" fillId="0" borderId="0" xfId="2" applyFont="1" applyFill="1" applyBorder="1"/>
    <xf numFmtId="0" fontId="9" fillId="0" borderId="0" xfId="118" applyNumberFormat="1" applyFont="1" applyFill="1" applyBorder="1" applyAlignment="1">
      <alignment horizontal="left"/>
    </xf>
    <xf numFmtId="9" fontId="19" fillId="0" borderId="0" xfId="125" applyFont="1" applyFill="1" applyAlignment="1">
      <alignment horizontal="right" vertical="top"/>
    </xf>
    <xf numFmtId="9" fontId="58" fillId="0" borderId="0" xfId="125" applyFont="1" applyFill="1" applyAlignment="1">
      <alignment horizontal="right" vertical="top"/>
    </xf>
    <xf numFmtId="9" fontId="10" fillId="0" borderId="0" xfId="125" applyFont="1" applyFill="1" applyAlignment="1">
      <alignment horizontal="right" vertical="top"/>
    </xf>
    <xf numFmtId="9" fontId="19" fillId="0" borderId="0" xfId="125" applyFont="1" applyFill="1" applyBorder="1" applyAlignment="1" applyProtection="1">
      <alignment horizontal="right" vertical="top"/>
    </xf>
    <xf numFmtId="9" fontId="19" fillId="0" borderId="0" xfId="125" applyFont="1" applyFill="1" applyAlignment="1">
      <alignment horizontal="right" vertical="top" wrapText="1"/>
    </xf>
    <xf numFmtId="9" fontId="10" fillId="0" borderId="0" xfId="125" applyFont="1" applyFill="1" applyBorder="1" applyAlignment="1">
      <alignment horizontal="right" vertical="top"/>
    </xf>
    <xf numFmtId="9" fontId="19" fillId="0" borderId="0" xfId="125" applyFont="1" applyFill="1" applyBorder="1" applyAlignment="1">
      <alignment horizontal="right" vertical="top"/>
    </xf>
    <xf numFmtId="9" fontId="86" fillId="0" borderId="0" xfId="125" applyFont="1" applyFill="1" applyBorder="1" applyAlignment="1">
      <alignment horizontal="right" vertical="top"/>
    </xf>
    <xf numFmtId="9" fontId="10" fillId="0" borderId="0" xfId="125" applyFont="1" applyFill="1" applyAlignment="1">
      <alignment vertical="top"/>
    </xf>
    <xf numFmtId="9" fontId="58" fillId="0" borderId="0" xfId="125" applyFont="1" applyFill="1"/>
    <xf numFmtId="9" fontId="16" fillId="0" borderId="0" xfId="125" applyFont="1" applyFill="1" applyBorder="1" applyAlignment="1"/>
    <xf numFmtId="9" fontId="19" fillId="0" borderId="0" xfId="125" applyFont="1" applyFill="1" applyBorder="1" applyAlignment="1">
      <alignment horizontal="left" wrapText="1"/>
    </xf>
    <xf numFmtId="9" fontId="19" fillId="0" borderId="0" xfId="125" applyFont="1" applyFill="1" applyBorder="1" applyAlignment="1">
      <alignment wrapText="1"/>
    </xf>
    <xf numFmtId="9" fontId="10" fillId="0" borderId="0" xfId="125" applyFont="1" applyFill="1" applyBorder="1" applyAlignment="1">
      <alignment vertical="top"/>
    </xf>
    <xf numFmtId="9" fontId="19" fillId="0" borderId="0" xfId="125" applyFont="1" applyFill="1" applyAlignment="1">
      <alignment horizontal="left" wrapText="1"/>
    </xf>
    <xf numFmtId="9" fontId="19" fillId="0" borderId="0" xfId="125" applyFont="1" applyFill="1" applyAlignment="1">
      <alignment horizontal="left"/>
    </xf>
    <xf numFmtId="9" fontId="10" fillId="0" borderId="0" xfId="125" applyFont="1" applyFill="1" applyAlignment="1">
      <alignment horizontal="right"/>
    </xf>
    <xf numFmtId="9" fontId="19" fillId="0" borderId="0" xfId="125" applyFont="1" applyFill="1" applyBorder="1" applyAlignment="1">
      <alignment horizontal="right"/>
    </xf>
    <xf numFmtId="9" fontId="19" fillId="0" borderId="0" xfId="125" applyFont="1" applyFill="1" applyAlignment="1">
      <alignment horizontal="left" vertical="top" wrapText="1" indent="1"/>
    </xf>
    <xf numFmtId="3" fontId="18" fillId="0" borderId="0" xfId="2" applyNumberFormat="1" applyFont="1" applyFill="1" applyBorder="1" applyAlignment="1">
      <alignment vertical="top"/>
    </xf>
    <xf numFmtId="0" fontId="18" fillId="0" borderId="0" xfId="2" applyFont="1" applyFill="1" applyBorder="1" applyAlignment="1">
      <alignment vertical="top"/>
    </xf>
    <xf numFmtId="3" fontId="19" fillId="0" borderId="0" xfId="2" applyNumberFormat="1" applyFont="1" applyFill="1" applyAlignment="1">
      <alignment horizontal="left" vertical="top"/>
    </xf>
    <xf numFmtId="3" fontId="19" fillId="0" borderId="0" xfId="2" applyNumberFormat="1" applyFont="1" applyFill="1" applyAlignment="1">
      <alignment horizontal="left" vertical="top" wrapText="1"/>
    </xf>
    <xf numFmtId="3" fontId="19" fillId="0" borderId="0" xfId="2" applyNumberFormat="1" applyFont="1" applyFill="1" applyAlignment="1">
      <alignment horizontal="right"/>
    </xf>
    <xf numFmtId="3" fontId="10" fillId="0" borderId="0" xfId="118" applyNumberFormat="1" applyFont="1" applyFill="1" applyBorder="1" applyAlignment="1">
      <alignment horizontal="right"/>
    </xf>
    <xf numFmtId="3" fontId="10" fillId="0" borderId="0" xfId="2" applyNumberFormat="1" applyFont="1" applyFill="1" applyAlignment="1">
      <alignment horizontal="right"/>
    </xf>
    <xf numFmtId="3" fontId="10" fillId="0" borderId="0" xfId="2" applyNumberFormat="1" applyFont="1" applyFill="1" applyAlignment="1"/>
    <xf numFmtId="3" fontId="13" fillId="0" borderId="0" xfId="2" applyNumberFormat="1" applyFont="1" applyFill="1" applyAlignment="1">
      <alignment horizontal="right" vertical="top"/>
    </xf>
    <xf numFmtId="9" fontId="13" fillId="0" borderId="0" xfId="125" applyFont="1" applyFill="1" applyAlignment="1">
      <alignment horizontal="right" vertical="top"/>
    </xf>
    <xf numFmtId="3" fontId="10" fillId="0" borderId="0" xfId="99" applyNumberFormat="1" applyFont="1" applyFill="1" applyBorder="1" applyAlignment="1">
      <alignment horizontal="right" vertical="top"/>
    </xf>
    <xf numFmtId="9" fontId="10" fillId="0" borderId="0" xfId="125" applyFont="1" applyFill="1"/>
    <xf numFmtId="3" fontId="19" fillId="0" borderId="0" xfId="2" applyNumberFormat="1" applyFont="1" applyFill="1" applyBorder="1" applyAlignment="1">
      <alignment vertical="top"/>
    </xf>
    <xf numFmtId="9" fontId="19" fillId="0" borderId="0" xfId="125" applyFont="1" applyFill="1" applyBorder="1" applyAlignment="1">
      <alignment vertical="top"/>
    </xf>
    <xf numFmtId="3" fontId="13" fillId="0" borderId="0" xfId="118" applyNumberFormat="1" applyFont="1" applyFill="1" applyBorder="1" applyAlignment="1">
      <alignment horizontal="right" vertical="top"/>
    </xf>
    <xf numFmtId="9" fontId="13" fillId="0" borderId="0" xfId="125" applyFont="1" applyFill="1" applyBorder="1" applyAlignment="1">
      <alignment horizontal="right" vertical="top"/>
    </xf>
    <xf numFmtId="3" fontId="19" fillId="0" borderId="0" xfId="2" applyNumberFormat="1" applyFont="1" applyFill="1"/>
    <xf numFmtId="9" fontId="19" fillId="0" borderId="0" xfId="125" applyFont="1" applyFill="1"/>
    <xf numFmtId="3" fontId="13" fillId="0" borderId="0" xfId="2" applyNumberFormat="1" applyFont="1" applyFill="1"/>
    <xf numFmtId="9" fontId="13" fillId="0" borderId="0" xfId="125" applyFont="1" applyFill="1"/>
    <xf numFmtId="3" fontId="13" fillId="0" borderId="0" xfId="2" applyNumberFormat="1" applyFont="1" applyFill="1" applyAlignment="1">
      <alignment vertical="top"/>
    </xf>
    <xf numFmtId="9" fontId="13" fillId="0" borderId="0" xfId="125" applyFont="1" applyFill="1" applyAlignment="1">
      <alignment vertical="top"/>
    </xf>
    <xf numFmtId="3" fontId="19" fillId="0" borderId="0" xfId="2" applyNumberFormat="1" applyFont="1" applyFill="1" applyAlignment="1">
      <alignment vertical="top"/>
    </xf>
    <xf numFmtId="9" fontId="19" fillId="0" borderId="0" xfId="125" applyFont="1" applyFill="1" applyAlignment="1">
      <alignment vertical="top"/>
    </xf>
    <xf numFmtId="3" fontId="19" fillId="0" borderId="0" xfId="118" applyNumberFormat="1" applyFont="1" applyFill="1" applyAlignment="1">
      <alignment horizontal="right" vertical="top"/>
    </xf>
    <xf numFmtId="3" fontId="13" fillId="0" borderId="0" xfId="118" applyNumberFormat="1" applyFont="1" applyFill="1" applyAlignment="1">
      <alignment horizontal="right" vertical="top"/>
    </xf>
    <xf numFmtId="3" fontId="13" fillId="0" borderId="0" xfId="118" applyNumberFormat="1" applyFont="1" applyFill="1" applyBorder="1" applyAlignment="1">
      <alignment horizontal="right" vertical="top" wrapText="1"/>
    </xf>
    <xf numFmtId="9" fontId="13" fillId="0" borderId="0" xfId="125" applyFont="1" applyFill="1" applyBorder="1" applyAlignment="1">
      <alignment horizontal="right" vertical="top" wrapText="1"/>
    </xf>
    <xf numFmtId="3" fontId="13" fillId="0" borderId="0" xfId="118" applyNumberFormat="1" applyFont="1" applyFill="1" applyBorder="1" applyAlignment="1" applyProtection="1">
      <alignment horizontal="right" vertical="top"/>
    </xf>
    <xf numFmtId="9" fontId="13" fillId="0" borderId="0" xfId="125" applyFont="1" applyFill="1" applyBorder="1" applyAlignment="1" applyProtection="1">
      <alignment horizontal="right" vertical="top"/>
    </xf>
    <xf numFmtId="9" fontId="10" fillId="0" borderId="0" xfId="125" applyFont="1" applyFill="1" applyBorder="1" applyAlignment="1" applyProtection="1">
      <alignment horizontal="right" vertical="top"/>
    </xf>
    <xf numFmtId="0" fontId="19" fillId="0" borderId="0" xfId="2" applyFont="1" applyFill="1" applyBorder="1"/>
    <xf numFmtId="9" fontId="19" fillId="0" borderId="0" xfId="125" applyFont="1" applyFill="1" applyBorder="1"/>
    <xf numFmtId="3" fontId="58" fillId="0" borderId="0" xfId="0" applyNumberFormat="1" applyFont="1" applyFill="1" applyAlignment="1">
      <alignment vertical="top"/>
    </xf>
    <xf numFmtId="3" fontId="13" fillId="0" borderId="0" xfId="99" applyNumberFormat="1" applyFont="1" applyFill="1" applyBorder="1" applyAlignment="1">
      <alignment horizontal="right" vertical="top"/>
    </xf>
    <xf numFmtId="3" fontId="101" fillId="0" borderId="0" xfId="2" applyNumberFormat="1" applyFont="1" applyFill="1" applyAlignment="1">
      <alignment horizontal="right" vertical="top"/>
    </xf>
    <xf numFmtId="9" fontId="101" fillId="0" borderId="0" xfId="125" applyFont="1" applyFill="1" applyAlignment="1">
      <alignment horizontal="right" vertical="top"/>
    </xf>
    <xf numFmtId="3" fontId="13" fillId="0" borderId="0" xfId="2" applyNumberFormat="1" applyFont="1" applyFill="1" applyBorder="1" applyAlignment="1">
      <alignment vertical="top"/>
    </xf>
    <xf numFmtId="9" fontId="13" fillId="0" borderId="0" xfId="125" applyFont="1" applyFill="1" applyBorder="1" applyAlignment="1">
      <alignment vertical="top"/>
    </xf>
    <xf numFmtId="3" fontId="13" fillId="0" borderId="0" xfId="118" applyNumberFormat="1" applyFont="1" applyFill="1" applyBorder="1" applyAlignment="1"/>
    <xf numFmtId="9" fontId="13" fillId="0" borderId="0" xfId="125" applyFont="1" applyFill="1" applyBorder="1" applyAlignment="1"/>
    <xf numFmtId="3" fontId="19" fillId="0" borderId="0" xfId="118" applyNumberFormat="1" applyFont="1" applyFill="1" applyBorder="1" applyAlignment="1">
      <alignment vertical="top"/>
    </xf>
    <xf numFmtId="3" fontId="19" fillId="0" borderId="0" xfId="118" applyNumberFormat="1" applyFont="1" applyFill="1" applyBorder="1" applyAlignment="1"/>
    <xf numFmtId="9" fontId="19" fillId="0" borderId="0" xfId="125" applyFont="1" applyFill="1" applyBorder="1" applyAlignment="1"/>
    <xf numFmtId="3" fontId="10" fillId="0" borderId="0" xfId="99" applyNumberFormat="1" applyFont="1" applyFill="1" applyBorder="1" applyAlignment="1"/>
    <xf numFmtId="9" fontId="10" fillId="0" borderId="0" xfId="125" applyFont="1" applyFill="1" applyBorder="1" applyAlignment="1"/>
    <xf numFmtId="9" fontId="10" fillId="0" borderId="0" xfId="125" applyFont="1" applyFill="1" applyAlignment="1"/>
    <xf numFmtId="3" fontId="10" fillId="0" borderId="0" xfId="2" applyNumberFormat="1" applyFont="1" applyFill="1" applyBorder="1" applyAlignment="1">
      <alignment horizontal="right" vertical="top"/>
    </xf>
    <xf numFmtId="3" fontId="13" fillId="0" borderId="0" xfId="118" applyNumberFormat="1" applyFont="1" applyFill="1" applyBorder="1" applyAlignment="1">
      <alignment horizontal="right"/>
    </xf>
    <xf numFmtId="9" fontId="13" fillId="0" borderId="0" xfId="125" applyFont="1" applyFill="1" applyBorder="1" applyAlignment="1">
      <alignment horizontal="right"/>
    </xf>
    <xf numFmtId="3" fontId="10" fillId="0" borderId="0" xfId="99" applyNumberFormat="1" applyFont="1" applyFill="1" applyBorder="1" applyAlignment="1">
      <alignment horizontal="right"/>
    </xf>
    <xf numFmtId="9" fontId="10" fillId="0" borderId="0" xfId="125" applyFont="1" applyFill="1" applyBorder="1" applyAlignment="1">
      <alignment horizontal="right"/>
    </xf>
    <xf numFmtId="3" fontId="19" fillId="0" borderId="0" xfId="118" applyNumberFormat="1" applyFont="1" applyFill="1" applyAlignment="1">
      <alignment horizontal="right"/>
    </xf>
    <xf numFmtId="9" fontId="19" fillId="0" borderId="0" xfId="125" applyFont="1" applyFill="1" applyAlignment="1">
      <alignment horizontal="right"/>
    </xf>
    <xf numFmtId="3" fontId="19" fillId="0" borderId="0" xfId="2" applyNumberFormat="1" applyFont="1" applyFill="1" applyBorder="1" applyAlignment="1"/>
    <xf numFmtId="3" fontId="19" fillId="0" borderId="0" xfId="2" applyNumberFormat="1" applyFont="1" applyFill="1" applyBorder="1" applyAlignment="1">
      <alignment horizontal="right" vertical="top"/>
    </xf>
    <xf numFmtId="3" fontId="19" fillId="0" borderId="0" xfId="99" applyNumberFormat="1" applyFont="1" applyFill="1" applyBorder="1" applyAlignment="1">
      <alignment horizontal="right" vertical="top"/>
    </xf>
    <xf numFmtId="3" fontId="19" fillId="0" borderId="0" xfId="2" applyNumberFormat="1" applyFont="1" applyFill="1" applyBorder="1"/>
    <xf numFmtId="3" fontId="101" fillId="0" borderId="0" xfId="2" applyNumberFormat="1" applyFont="1" applyFill="1" applyAlignment="1">
      <alignment vertical="top"/>
    </xf>
    <xf numFmtId="9" fontId="101" fillId="0" borderId="0" xfId="125" applyFont="1" applyFill="1" applyAlignment="1">
      <alignment vertical="top"/>
    </xf>
    <xf numFmtId="3" fontId="9" fillId="0" borderId="0" xfId="118" applyNumberFormat="1" applyFont="1" applyFill="1" applyBorder="1" applyAlignment="1">
      <alignment vertical="top"/>
    </xf>
    <xf numFmtId="3" fontId="21" fillId="0" borderId="0" xfId="118" applyNumberFormat="1" applyFont="1" applyFill="1" applyBorder="1" applyAlignment="1">
      <alignment vertical="top"/>
    </xf>
    <xf numFmtId="166" fontId="6" fillId="0" borderId="0" xfId="2" applyNumberFormat="1" applyFont="1" applyFill="1" applyAlignment="1">
      <alignment vertical="top"/>
    </xf>
    <xf numFmtId="3" fontId="16" fillId="0" borderId="0" xfId="118" applyNumberFormat="1" applyFont="1" applyFill="1" applyBorder="1" applyAlignment="1">
      <alignment vertical="top"/>
    </xf>
    <xf numFmtId="3" fontId="6" fillId="0" borderId="0" xfId="99" applyNumberFormat="1" applyFont="1" applyFill="1" applyBorder="1" applyAlignment="1">
      <alignment vertical="top"/>
    </xf>
    <xf numFmtId="3" fontId="19" fillId="0" borderId="0" xfId="99" applyNumberFormat="1" applyFont="1" applyFill="1" applyBorder="1" applyAlignment="1">
      <alignment horizontal="left" vertical="top" wrapText="1"/>
    </xf>
    <xf numFmtId="3" fontId="19" fillId="0" borderId="0" xfId="2" applyNumberFormat="1" applyFont="1" applyFill="1" applyBorder="1" applyAlignment="1">
      <alignment vertical="top" wrapText="1"/>
    </xf>
    <xf numFmtId="0" fontId="49" fillId="0" borderId="0" xfId="2" applyFont="1" applyFill="1" applyAlignment="1">
      <alignment vertical="top"/>
    </xf>
    <xf numFmtId="3" fontId="86" fillId="0" borderId="0" xfId="99" applyNumberFormat="1" applyFont="1" applyFill="1" applyBorder="1" applyAlignment="1">
      <alignment horizontal="right" vertical="top"/>
    </xf>
    <xf numFmtId="3" fontId="9" fillId="0" borderId="0" xfId="0" applyNumberFormat="1" applyFont="1"/>
    <xf numFmtId="0" fontId="6" fillId="0" borderId="0" xfId="124"/>
    <xf numFmtId="14" fontId="9" fillId="0" borderId="0" xfId="124" applyNumberFormat="1" applyFont="1" applyFill="1" applyAlignment="1">
      <alignment horizontal="left"/>
    </xf>
    <xf numFmtId="166" fontId="6" fillId="0" borderId="0" xfId="124" applyNumberFormat="1" applyAlignment="1">
      <alignment horizontal="right"/>
    </xf>
    <xf numFmtId="0" fontId="9" fillId="0" borderId="0" xfId="124" applyFont="1" applyFill="1"/>
    <xf numFmtId="0" fontId="6" fillId="0" borderId="0" xfId="124" applyFont="1"/>
    <xf numFmtId="0" fontId="6" fillId="0" borderId="0" xfId="124" applyFont="1" applyFill="1" applyBorder="1"/>
    <xf numFmtId="0" fontId="14" fillId="0" borderId="0" xfId="124" applyFont="1" applyFill="1" applyAlignment="1">
      <alignment horizontal="left" indent="2"/>
    </xf>
    <xf numFmtId="3" fontId="14" fillId="0" borderId="0" xfId="124" applyNumberFormat="1" applyFont="1" applyFill="1"/>
    <xf numFmtId="3" fontId="6" fillId="0" borderId="0" xfId="124" applyNumberFormat="1"/>
    <xf numFmtId="0" fontId="18" fillId="0" borderId="0" xfId="124" applyFont="1" applyFill="1" applyAlignment="1">
      <alignment horizontal="left" indent="4"/>
    </xf>
    <xf numFmtId="3" fontId="18" fillId="0" borderId="0" xfId="124" applyNumberFormat="1" applyFont="1" applyFill="1"/>
    <xf numFmtId="0" fontId="18" fillId="0" borderId="0" xfId="124" applyFont="1" applyFill="1" applyAlignment="1">
      <alignment horizontal="left" wrapText="1" indent="4"/>
    </xf>
    <xf numFmtId="0" fontId="6" fillId="0" borderId="0" xfId="124" applyFont="1" applyFill="1"/>
    <xf numFmtId="3" fontId="6" fillId="0" borderId="0" xfId="124" applyNumberFormat="1" applyFont="1" applyFill="1"/>
    <xf numFmtId="0" fontId="18" fillId="0" borderId="0" xfId="124" applyFont="1" applyFill="1" applyAlignment="1">
      <alignment horizontal="left" wrapText="1" indent="6"/>
    </xf>
    <xf numFmtId="0" fontId="18" fillId="0" borderId="0" xfId="119" applyNumberFormat="1" applyFont="1" applyFill="1" applyBorder="1" applyAlignment="1" applyProtection="1">
      <alignment horizontal="left" indent="6"/>
    </xf>
    <xf numFmtId="0" fontId="18" fillId="0" borderId="0" xfId="119" applyNumberFormat="1" applyFont="1" applyFill="1" applyBorder="1" applyAlignment="1" applyProtection="1">
      <alignment horizontal="left" wrapText="1" indent="6"/>
    </xf>
    <xf numFmtId="0" fontId="9" fillId="0" borderId="0" xfId="124" applyFont="1" applyFill="1" applyAlignment="1">
      <alignment horizontal="left" indent="1"/>
    </xf>
    <xf numFmtId="3" fontId="11" fillId="0" borderId="0" xfId="124" applyNumberFormat="1" applyFont="1" applyFill="1"/>
    <xf numFmtId="0" fontId="14" fillId="0" borderId="0" xfId="124" applyFont="1" applyFill="1" applyBorder="1" applyAlignment="1">
      <alignment horizontal="left"/>
    </xf>
    <xf numFmtId="3" fontId="9" fillId="0" borderId="0" xfId="124" applyNumberFormat="1" applyFont="1" applyFill="1" applyBorder="1"/>
    <xf numFmtId="0" fontId="18" fillId="0" borderId="0" xfId="124" applyFont="1" applyFill="1" applyBorder="1" applyAlignment="1">
      <alignment horizontal="left" indent="4"/>
    </xf>
    <xf numFmtId="0" fontId="50" fillId="0" borderId="21" xfId="124" applyFont="1" applyFill="1" applyBorder="1" applyAlignment="1">
      <alignment horizontal="left" indent="1"/>
    </xf>
    <xf numFmtId="3" fontId="50" fillId="0" borderId="21" xfId="124" applyNumberFormat="1" applyFont="1" applyFill="1" applyBorder="1"/>
    <xf numFmtId="0" fontId="50" fillId="0" borderId="0" xfId="124" applyFont="1" applyFill="1" applyBorder="1" applyAlignment="1">
      <alignment horizontal="left" indent="1"/>
    </xf>
    <xf numFmtId="3" fontId="50" fillId="0" borderId="0" xfId="124" applyNumberFormat="1" applyFont="1" applyFill="1" applyBorder="1"/>
    <xf numFmtId="0" fontId="9" fillId="0" borderId="0" xfId="124" applyFont="1" applyFill="1" applyBorder="1" applyAlignment="1">
      <alignment horizontal="left" indent="1"/>
    </xf>
    <xf numFmtId="0" fontId="9" fillId="0" borderId="0" xfId="124" applyFont="1" applyFill="1" applyBorder="1" applyAlignment="1">
      <alignment horizontal="left" indent="2"/>
    </xf>
    <xf numFmtId="0" fontId="17" fillId="0" borderId="0" xfId="124" applyFont="1" applyFill="1" applyAlignment="1">
      <alignment horizontal="left" indent="6"/>
    </xf>
    <xf numFmtId="0" fontId="18" fillId="0" borderId="0" xfId="124" applyFont="1" applyAlignment="1">
      <alignment horizontal="left" indent="7"/>
    </xf>
    <xf numFmtId="0" fontId="14" fillId="0" borderId="0" xfId="124" applyFont="1" applyFill="1" applyAlignment="1">
      <alignment horizontal="left" indent="4"/>
    </xf>
    <xf numFmtId="0" fontId="18" fillId="0" borderId="0" xfId="124" applyFont="1" applyFill="1" applyAlignment="1">
      <alignment horizontal="left" indent="7"/>
    </xf>
    <xf numFmtId="0" fontId="19" fillId="0" borderId="0" xfId="124" applyFont="1" applyFill="1" applyAlignment="1">
      <alignment horizontal="left" indent="13"/>
    </xf>
    <xf numFmtId="3" fontId="19" fillId="0" borderId="0" xfId="124" applyNumberFormat="1" applyFont="1" applyFill="1"/>
    <xf numFmtId="3" fontId="18" fillId="0" borderId="0" xfId="124" applyNumberFormat="1" applyFont="1" applyFill="1" applyAlignment="1"/>
    <xf numFmtId="0" fontId="17" fillId="0" borderId="0" xfId="124" applyFont="1" applyFill="1" applyAlignment="1">
      <alignment horizontal="left"/>
    </xf>
    <xf numFmtId="0" fontId="14" fillId="0" borderId="0" xfId="124" applyFont="1" applyFill="1" applyAlignment="1">
      <alignment horizontal="left" indent="1"/>
    </xf>
    <xf numFmtId="3" fontId="9" fillId="0" borderId="0" xfId="124" applyNumberFormat="1" applyFont="1" applyFill="1"/>
    <xf numFmtId="0" fontId="9" fillId="0" borderId="0" xfId="124" applyFont="1" applyFill="1" applyBorder="1"/>
    <xf numFmtId="165" fontId="6" fillId="0" borderId="0" xfId="124" applyNumberFormat="1" applyFont="1" applyFill="1"/>
    <xf numFmtId="165" fontId="6" fillId="0" borderId="0" xfId="124" applyNumberFormat="1" applyFont="1"/>
    <xf numFmtId="3" fontId="6" fillId="0" borderId="0" xfId="124" applyNumberFormat="1" applyFont="1"/>
    <xf numFmtId="9" fontId="6" fillId="0" borderId="0" xfId="124" applyNumberFormat="1" applyFont="1"/>
    <xf numFmtId="14" fontId="6" fillId="0" borderId="0" xfId="124" applyNumberFormat="1" applyFont="1"/>
    <xf numFmtId="9" fontId="9" fillId="0" borderId="0" xfId="124" applyNumberFormat="1" applyFont="1"/>
    <xf numFmtId="165" fontId="9" fillId="0" borderId="0" xfId="124" applyNumberFormat="1" applyFont="1"/>
    <xf numFmtId="166" fontId="6" fillId="0" borderId="0" xfId="124" applyNumberFormat="1" applyFont="1"/>
    <xf numFmtId="0" fontId="17" fillId="0" borderId="0" xfId="119" applyFont="1" applyFill="1" applyBorder="1" applyAlignment="1" applyProtection="1">
      <alignment horizontal="left" wrapText="1"/>
    </xf>
    <xf numFmtId="0" fontId="107" fillId="0" borderId="0" xfId="119" applyFont="1" applyFill="1" applyBorder="1" applyAlignment="1" applyProtection="1">
      <alignment horizontal="left" wrapText="1"/>
    </xf>
    <xf numFmtId="0" fontId="9" fillId="0" borderId="0" xfId="124" applyFont="1"/>
    <xf numFmtId="0" fontId="9" fillId="0" borderId="0" xfId="67" applyFont="1"/>
    <xf numFmtId="3" fontId="9" fillId="0" borderId="0" xfId="126" applyNumberFormat="1" applyFont="1" applyFill="1"/>
    <xf numFmtId="0" fontId="6" fillId="0" borderId="0" xfId="126" applyFont="1" applyFill="1"/>
    <xf numFmtId="3" fontId="6" fillId="0" borderId="0" xfId="126" applyNumberFormat="1" applyFont="1" applyFill="1"/>
    <xf numFmtId="0" fontId="9" fillId="0" borderId="0" xfId="67" applyFont="1" applyFill="1"/>
    <xf numFmtId="3" fontId="6" fillId="0" borderId="0" xfId="126" applyNumberFormat="1" applyFont="1"/>
    <xf numFmtId="0" fontId="6" fillId="0" borderId="0" xfId="67" applyFont="1" applyFill="1"/>
    <xf numFmtId="0" fontId="6" fillId="0" borderId="0" xfId="67" applyFont="1"/>
    <xf numFmtId="3" fontId="20" fillId="0" borderId="0" xfId="126" applyNumberFormat="1" applyFont="1" applyFill="1"/>
    <xf numFmtId="3" fontId="18" fillId="0" borderId="0" xfId="0" applyNumberFormat="1" applyFont="1" applyFill="1" applyAlignment="1"/>
    <xf numFmtId="3" fontId="9" fillId="0" borderId="0" xfId="0" applyNumberFormat="1" applyFont="1" applyFill="1"/>
    <xf numFmtId="0" fontId="9" fillId="0" borderId="0" xfId="0" applyFont="1" applyFill="1" applyAlignment="1"/>
    <xf numFmtId="0" fontId="6" fillId="0" borderId="0" xfId="0" applyFont="1" applyAlignment="1"/>
    <xf numFmtId="3" fontId="14" fillId="0" borderId="0" xfId="0" applyNumberFormat="1" applyFont="1" applyFill="1" applyAlignment="1"/>
    <xf numFmtId="3" fontId="6" fillId="0" borderId="0" xfId="0" applyNumberFormat="1" applyFont="1" applyFill="1" applyAlignment="1"/>
    <xf numFmtId="3" fontId="9" fillId="0" borderId="0" xfId="0" applyNumberFormat="1" applyFont="1" applyFill="1" applyBorder="1" applyAlignment="1"/>
    <xf numFmtId="3" fontId="50" fillId="0" borderId="21" xfId="0" applyNumberFormat="1" applyFont="1" applyFill="1" applyBorder="1" applyAlignment="1"/>
    <xf numFmtId="3" fontId="50" fillId="0" borderId="0" xfId="0" applyNumberFormat="1" applyFont="1" applyFill="1" applyBorder="1" applyAlignment="1"/>
    <xf numFmtId="3" fontId="19" fillId="0" borderId="0" xfId="0" applyNumberFormat="1" applyFont="1" applyFill="1" applyAlignment="1"/>
    <xf numFmtId="0" fontId="0" fillId="0" borderId="0" xfId="0" applyAlignment="1"/>
    <xf numFmtId="3" fontId="9" fillId="0" borderId="0" xfId="0" applyNumberFormat="1" applyFont="1" applyFill="1" applyAlignment="1"/>
    <xf numFmtId="0" fontId="21" fillId="0" borderId="0" xfId="124" applyFont="1" applyFill="1" applyAlignment="1"/>
    <xf numFmtId="0" fontId="22" fillId="45" borderId="1" xfId="6" applyNumberFormat="1" applyFont="1" applyFill="1" applyBorder="1" applyAlignment="1">
      <alignment horizontal="center" vertical="top" wrapText="1"/>
    </xf>
    <xf numFmtId="44" fontId="22" fillId="32" borderId="4" xfId="6" applyFont="1" applyFill="1" applyBorder="1" applyAlignment="1">
      <alignment horizontal="center" vertical="top" wrapText="1"/>
    </xf>
    <xf numFmtId="44" fontId="22" fillId="32" borderId="8" xfId="6" applyFont="1" applyFill="1" applyBorder="1" applyAlignment="1">
      <alignment horizontal="center" vertical="top" wrapText="1"/>
    </xf>
    <xf numFmtId="44" fontId="22" fillId="32" borderId="7" xfId="6" applyFont="1" applyFill="1" applyBorder="1" applyAlignment="1">
      <alignment horizontal="center" vertical="top" wrapText="1"/>
    </xf>
    <xf numFmtId="44" fontId="22" fillId="45" borderId="5" xfId="6" applyFont="1" applyFill="1" applyBorder="1" applyAlignment="1">
      <alignment horizontal="center" vertical="top" wrapText="1"/>
    </xf>
    <xf numFmtId="44" fontId="22" fillId="30" borderId="1" xfId="6" applyFont="1" applyFill="1" applyBorder="1" applyAlignment="1">
      <alignment horizontal="center" vertical="top" wrapText="1"/>
    </xf>
    <xf numFmtId="9" fontId="14" fillId="0" borderId="0" xfId="125" applyFont="1" applyFill="1"/>
    <xf numFmtId="9" fontId="18" fillId="0" borderId="0" xfId="125" applyFont="1" applyFill="1"/>
    <xf numFmtId="9" fontId="6" fillId="0" borderId="0" xfId="125" applyFont="1" applyFill="1"/>
    <xf numFmtId="9" fontId="11" fillId="0" borderId="0" xfId="125" applyFont="1" applyFill="1"/>
    <xf numFmtId="9" fontId="9" fillId="0" borderId="0" xfId="125" applyFont="1" applyFill="1" applyBorder="1"/>
    <xf numFmtId="9" fontId="50" fillId="0" borderId="21" xfId="125" applyFont="1" applyFill="1" applyBorder="1"/>
    <xf numFmtId="9" fontId="50" fillId="0" borderId="0" xfId="125" applyFont="1" applyFill="1" applyBorder="1"/>
    <xf numFmtId="9" fontId="18" fillId="0" borderId="0" xfId="125" applyFont="1" applyFill="1" applyAlignment="1"/>
    <xf numFmtId="9" fontId="6" fillId="0" borderId="0" xfId="125" applyFont="1"/>
    <xf numFmtId="9" fontId="9" fillId="0" borderId="0" xfId="125" applyFont="1" applyFill="1"/>
    <xf numFmtId="3" fontId="0" fillId="0" borderId="0" xfId="0" applyNumberFormat="1"/>
    <xf numFmtId="0" fontId="60" fillId="0" borderId="0" xfId="126" applyFont="1" applyFill="1"/>
    <xf numFmtId="3" fontId="60" fillId="0" borderId="0" xfId="126" applyNumberFormat="1" applyFont="1" applyFill="1"/>
    <xf numFmtId="3" fontId="60" fillId="0" borderId="0" xfId="126" applyNumberFormat="1" applyFont="1"/>
    <xf numFmtId="0" fontId="43" fillId="0" borderId="0" xfId="123" applyFont="1" applyBorder="1" applyAlignment="1">
      <alignment horizontal="left" vertical="top"/>
    </xf>
    <xf numFmtId="0" fontId="6" fillId="0" borderId="0" xfId="123"/>
    <xf numFmtId="0" fontId="43" fillId="0" borderId="0" xfId="123" applyFont="1" applyBorder="1" applyAlignment="1">
      <alignment horizontal="left" vertical="top" wrapText="1"/>
    </xf>
    <xf numFmtId="166" fontId="6" fillId="0" borderId="0" xfId="2" applyNumberFormat="1" applyAlignment="1">
      <alignment horizontal="right"/>
    </xf>
    <xf numFmtId="0" fontId="43" fillId="0" borderId="0" xfId="123" applyFont="1" applyFill="1" applyBorder="1" applyAlignment="1">
      <alignment horizontal="left"/>
    </xf>
    <xf numFmtId="0" fontId="18" fillId="0" borderId="0" xfId="123" applyFont="1" applyAlignment="1">
      <alignment horizontal="center" wrapText="1"/>
    </xf>
    <xf numFmtId="0" fontId="9" fillId="0" borderId="0" xfId="123" applyFont="1"/>
    <xf numFmtId="3" fontId="9" fillId="0" borderId="0" xfId="123" applyNumberFormat="1" applyFont="1" applyFill="1"/>
    <xf numFmtId="0" fontId="6" fillId="0" borderId="0" xfId="123" applyFill="1"/>
    <xf numFmtId="3" fontId="6" fillId="0" borderId="0" xfId="123" applyNumberFormat="1" applyFill="1"/>
    <xf numFmtId="0" fontId="9" fillId="0" borderId="0" xfId="123" applyFont="1" applyFill="1"/>
    <xf numFmtId="3" fontId="6" fillId="0" borderId="0" xfId="123" applyNumberFormat="1"/>
    <xf numFmtId="9" fontId="6" fillId="0" borderId="0" xfId="7" applyFont="1"/>
    <xf numFmtId="3" fontId="6" fillId="0" borderId="0" xfId="123" applyNumberFormat="1" applyFont="1" applyFill="1"/>
    <xf numFmtId="0" fontId="6" fillId="0" borderId="0" xfId="123" applyFont="1"/>
    <xf numFmtId="3" fontId="20" fillId="0" borderId="0" xfId="123" applyNumberFormat="1" applyFont="1" applyFill="1"/>
    <xf numFmtId="9" fontId="20" fillId="0" borderId="0" xfId="7" applyFont="1" applyFill="1"/>
    <xf numFmtId="3" fontId="6" fillId="0" borderId="0" xfId="123" applyNumberFormat="1" applyFont="1"/>
    <xf numFmtId="0" fontId="7" fillId="0" borderId="0" xfId="123" applyFont="1" applyBorder="1"/>
    <xf numFmtId="0" fontId="21" fillId="0" borderId="0" xfId="124" applyFont="1"/>
    <xf numFmtId="165" fontId="6" fillId="0" borderId="0" xfId="124" applyNumberFormat="1"/>
    <xf numFmtId="44" fontId="108" fillId="30" borderId="2" xfId="6" applyFont="1" applyFill="1" applyBorder="1" applyAlignment="1">
      <alignment horizontal="center" vertical="top" wrapText="1"/>
    </xf>
    <xf numFmtId="44" fontId="108" fillId="30" borderId="3" xfId="6" applyFont="1" applyFill="1" applyBorder="1" applyAlignment="1">
      <alignment horizontal="center" vertical="top" wrapText="1"/>
    </xf>
    <xf numFmtId="3" fontId="9" fillId="0" borderId="0" xfId="124" applyNumberFormat="1" applyFont="1"/>
    <xf numFmtId="9" fontId="9" fillId="0" borderId="0" xfId="7" applyFont="1"/>
    <xf numFmtId="0" fontId="6" fillId="0" borderId="0" xfId="124" applyFont="1" applyAlignment="1">
      <alignment horizontal="left" indent="3"/>
    </xf>
    <xf numFmtId="0" fontId="6" fillId="0" borderId="0" xfId="124" applyFont="1" applyAlignment="1">
      <alignment horizontal="left" indent="5"/>
    </xf>
    <xf numFmtId="0" fontId="6" fillId="0" borderId="0" xfId="124" applyAlignment="1">
      <alignment horizontal="left" indent="3"/>
    </xf>
    <xf numFmtId="0" fontId="6" fillId="0" borderId="0" xfId="124" applyAlignment="1">
      <alignment horizontal="left" wrapText="1" indent="5"/>
    </xf>
    <xf numFmtId="0" fontId="15" fillId="0" borderId="0" xfId="124" applyFont="1" applyBorder="1" applyAlignment="1">
      <alignment horizontal="left" indent="1"/>
    </xf>
    <xf numFmtId="165" fontId="7" fillId="0" borderId="0" xfId="124" applyNumberFormat="1" applyFont="1"/>
    <xf numFmtId="0" fontId="9" fillId="0" borderId="0" xfId="124" applyFont="1" applyFill="1" applyBorder="1" applyAlignment="1" applyProtection="1">
      <alignment vertical="top"/>
      <protection locked="0"/>
    </xf>
    <xf numFmtId="0" fontId="9" fillId="0" borderId="0" xfId="124" applyFont="1" applyFill="1" applyBorder="1" applyAlignment="1" applyProtection="1">
      <alignment vertical="top" wrapText="1"/>
      <protection locked="0"/>
    </xf>
    <xf numFmtId="0" fontId="9" fillId="0" borderId="0" xfId="124" applyFont="1" applyFill="1" applyBorder="1" applyAlignment="1" applyProtection="1">
      <alignment horizontal="right" vertical="top" wrapText="1"/>
      <protection locked="0"/>
    </xf>
    <xf numFmtId="0" fontId="9" fillId="0" borderId="2" xfId="124" applyFont="1" applyFill="1" applyBorder="1" applyAlignment="1" applyProtection="1">
      <alignment horizontal="left" vertical="top" wrapText="1"/>
      <protection locked="0"/>
    </xf>
    <xf numFmtId="3" fontId="7" fillId="0" borderId="9" xfId="124" applyNumberFormat="1" applyFont="1" applyFill="1" applyBorder="1" applyAlignment="1" applyProtection="1">
      <alignment vertical="top"/>
      <protection locked="0"/>
    </xf>
    <xf numFmtId="3" fontId="7" fillId="0" borderId="1" xfId="124" applyNumberFormat="1" applyFont="1" applyFill="1" applyBorder="1" applyAlignment="1" applyProtection="1">
      <alignment vertical="top"/>
      <protection locked="0"/>
    </xf>
    <xf numFmtId="3" fontId="7" fillId="0" borderId="3" xfId="124" applyNumberFormat="1" applyFont="1" applyFill="1" applyBorder="1" applyAlignment="1" applyProtection="1">
      <alignment vertical="top"/>
      <protection locked="0"/>
    </xf>
    <xf numFmtId="0" fontId="21" fillId="0" borderId="0" xfId="2" applyFont="1"/>
    <xf numFmtId="14" fontId="9" fillId="0" borderId="0" xfId="2" applyNumberFormat="1" applyFont="1" applyFill="1" applyAlignment="1">
      <alignment horizontal="left"/>
    </xf>
    <xf numFmtId="0" fontId="6" fillId="0" borderId="0" xfId="2" applyAlignment="1">
      <alignment horizontal="right"/>
    </xf>
    <xf numFmtId="3" fontId="6" fillId="0" borderId="0" xfId="2" applyNumberFormat="1" applyFont="1" applyFill="1" applyBorder="1"/>
    <xf numFmtId="0" fontId="9" fillId="0" borderId="0" xfId="2" applyFont="1" applyFill="1" applyBorder="1" applyAlignment="1">
      <alignment horizontal="left" indent="2"/>
    </xf>
    <xf numFmtId="0" fontId="6" fillId="0" borderId="0" xfId="2" quotePrefix="1" applyFont="1" applyFill="1" applyBorder="1"/>
    <xf numFmtId="2" fontId="18" fillId="0" borderId="0" xfId="2" applyNumberFormat="1" applyFont="1" applyFill="1" applyBorder="1" applyAlignment="1">
      <alignment horizontal="left" indent="2"/>
    </xf>
    <xf numFmtId="0" fontId="6" fillId="0" borderId="0" xfId="2" applyFont="1" applyFill="1" applyBorder="1" applyAlignment="1">
      <alignment horizontal="left" indent="1"/>
    </xf>
    <xf numFmtId="0" fontId="6" fillId="0" borderId="0" xfId="124" applyFont="1" applyFill="1" applyBorder="1" applyAlignment="1">
      <alignment horizontal="left" indent="1"/>
    </xf>
    <xf numFmtId="0" fontId="9" fillId="0" borderId="0" xfId="2" applyFont="1" applyFill="1" applyBorder="1" applyAlignment="1">
      <alignment wrapText="1"/>
    </xf>
    <xf numFmtId="0" fontId="6" fillId="0" borderId="0" xfId="0" applyFont="1" applyFill="1" applyBorder="1" applyAlignment="1">
      <alignment horizontal="left" indent="2"/>
    </xf>
    <xf numFmtId="3" fontId="7" fillId="0" borderId="0" xfId="0" applyNumberFormat="1" applyFont="1" applyFill="1" applyBorder="1" applyAlignment="1"/>
    <xf numFmtId="3" fontId="5" fillId="0" borderId="0" xfId="0" applyNumberFormat="1" applyFont="1" applyFill="1" applyBorder="1" applyAlignment="1"/>
    <xf numFmtId="3" fontId="8" fillId="0" borderId="0" xfId="0" applyNumberFormat="1" applyFont="1" applyFill="1" applyBorder="1" applyAlignment="1"/>
    <xf numFmtId="3" fontId="18" fillId="0" borderId="0" xfId="0" applyNumberFormat="1" applyFont="1" applyFill="1" applyBorder="1" applyAlignment="1"/>
    <xf numFmtId="0" fontId="6" fillId="0" borderId="0" xfId="0" applyFont="1" applyFill="1" applyAlignment="1">
      <alignment horizontal="left" indent="2"/>
    </xf>
    <xf numFmtId="0" fontId="6" fillId="0" borderId="0" xfId="0" applyFont="1" applyFill="1" applyAlignment="1">
      <alignment horizontal="left"/>
    </xf>
    <xf numFmtId="0" fontId="6" fillId="0" borderId="0" xfId="0" applyFont="1" applyFill="1" applyAlignment="1">
      <alignment horizontal="left" vertical="top"/>
    </xf>
    <xf numFmtId="0" fontId="109" fillId="0" borderId="0" xfId="0" applyFont="1" applyAlignment="1">
      <alignment vertical="center"/>
    </xf>
    <xf numFmtId="0" fontId="110" fillId="0" borderId="0" xfId="0" applyFont="1" applyAlignment="1">
      <alignment vertical="center"/>
    </xf>
    <xf numFmtId="0" fontId="111" fillId="0" borderId="0" xfId="0" applyFont="1" applyAlignment="1">
      <alignment vertical="center"/>
    </xf>
    <xf numFmtId="0" fontId="110" fillId="0" borderId="0" xfId="0" applyFont="1"/>
    <xf numFmtId="3" fontId="61" fillId="0" borderId="0" xfId="0" applyNumberFormat="1" applyFont="1" applyFill="1"/>
    <xf numFmtId="3" fontId="20" fillId="0" borderId="0" xfId="123" applyNumberFormat="1" applyFont="1"/>
    <xf numFmtId="9" fontId="6" fillId="0" borderId="0" xfId="125" applyFont="1" applyFill="1" applyAlignment="1">
      <alignment vertical="top"/>
    </xf>
    <xf numFmtId="9" fontId="9" fillId="0" borderId="0" xfId="125" applyFont="1" applyFill="1" applyBorder="1" applyAlignment="1">
      <alignment vertical="top"/>
    </xf>
    <xf numFmtId="9" fontId="6" fillId="0" borderId="0" xfId="125" applyFont="1" applyFill="1" applyBorder="1" applyAlignment="1">
      <alignment vertical="top"/>
    </xf>
    <xf numFmtId="9" fontId="49" fillId="0" borderId="0" xfId="125" applyFont="1" applyFill="1" applyBorder="1" applyAlignment="1">
      <alignment vertical="top"/>
    </xf>
    <xf numFmtId="9" fontId="18" fillId="0" borderId="0" xfId="125" applyFont="1" applyFill="1" applyAlignment="1">
      <alignment vertical="top"/>
    </xf>
    <xf numFmtId="167" fontId="18" fillId="0" borderId="0" xfId="125" applyNumberFormat="1" applyFont="1" applyFill="1"/>
    <xf numFmtId="0" fontId="22" fillId="45" borderId="1" xfId="124" applyFont="1" applyFill="1" applyBorder="1" applyAlignment="1">
      <alignment horizontal="center" vertical="top" wrapText="1"/>
    </xf>
    <xf numFmtId="167" fontId="6" fillId="0" borderId="0" xfId="125" applyNumberFormat="1" applyFont="1" applyFill="1"/>
    <xf numFmtId="0" fontId="10" fillId="0" borderId="0" xfId="0" applyFont="1" applyFill="1"/>
    <xf numFmtId="3" fontId="10" fillId="0" borderId="0" xfId="0" applyNumberFormat="1" applyFont="1" applyFill="1" applyAlignment="1">
      <alignment vertical="top"/>
    </xf>
    <xf numFmtId="3" fontId="10" fillId="0" borderId="0" xfId="0" applyNumberFormat="1" applyFont="1" applyFill="1"/>
    <xf numFmtId="0" fontId="112" fillId="0" borderId="24" xfId="0" applyFont="1" applyBorder="1" applyAlignment="1">
      <alignment vertical="center" wrapText="1"/>
    </xf>
    <xf numFmtId="0" fontId="60" fillId="0" borderId="24" xfId="0" applyFont="1" applyBorder="1" applyAlignment="1">
      <alignment vertical="center" wrapText="1"/>
    </xf>
    <xf numFmtId="3" fontId="60" fillId="0" borderId="22" xfId="0" applyNumberFormat="1" applyFont="1" applyBorder="1"/>
    <xf numFmtId="0" fontId="60" fillId="0" borderId="6" xfId="0" applyFont="1" applyBorder="1"/>
    <xf numFmtId="165" fontId="60" fillId="0" borderId="22" xfId="0" applyNumberFormat="1" applyFont="1" applyBorder="1"/>
    <xf numFmtId="167" fontId="7" fillId="0" borderId="1" xfId="7" applyNumberFormat="1" applyFont="1" applyFill="1" applyBorder="1" applyAlignment="1" applyProtection="1">
      <alignment vertical="top"/>
      <protection locked="0"/>
    </xf>
    <xf numFmtId="9" fontId="9" fillId="0" borderId="0" xfId="7" applyNumberFormat="1" applyFont="1" applyFill="1"/>
    <xf numFmtId="9" fontId="6" fillId="0" borderId="0" xfId="7" applyNumberFormat="1" applyFont="1" applyFill="1"/>
    <xf numFmtId="3" fontId="6" fillId="0" borderId="0" xfId="0" applyNumberFormat="1" applyFont="1" applyFill="1" applyBorder="1" applyAlignment="1"/>
    <xf numFmtId="0" fontId="22" fillId="32" borderId="2" xfId="6" applyNumberFormat="1" applyFont="1" applyFill="1" applyBorder="1" applyAlignment="1">
      <alignment horizontal="center" vertical="top" wrapText="1"/>
    </xf>
    <xf numFmtId="0" fontId="22" fillId="32" borderId="9" xfId="6" applyNumberFormat="1" applyFont="1" applyFill="1" applyBorder="1" applyAlignment="1">
      <alignment horizontal="center" vertical="top" wrapText="1"/>
    </xf>
    <xf numFmtId="0" fontId="22" fillId="32" borderId="3" xfId="6" applyNumberFormat="1" applyFont="1" applyFill="1" applyBorder="1" applyAlignment="1">
      <alignment horizontal="center" vertical="top" wrapText="1"/>
    </xf>
    <xf numFmtId="44" fontId="108" fillId="30" borderId="2" xfId="6" applyFont="1" applyFill="1" applyBorder="1" applyAlignment="1">
      <alignment horizontal="center" vertical="top" wrapText="1"/>
    </xf>
    <xf numFmtId="44" fontId="108" fillId="30" borderId="3" xfId="6" applyFont="1" applyFill="1" applyBorder="1" applyAlignment="1">
      <alignment horizontal="center" vertical="top" wrapText="1"/>
    </xf>
    <xf numFmtId="0" fontId="22" fillId="45" borderId="1" xfId="124" applyFont="1" applyFill="1" applyBorder="1" applyAlignment="1">
      <alignment horizontal="center" vertical="top" wrapText="1"/>
    </xf>
    <xf numFmtId="0" fontId="22" fillId="32" borderId="1" xfId="124" applyFont="1" applyFill="1" applyBorder="1" applyAlignment="1">
      <alignment horizontal="center" vertical="top" wrapText="1"/>
    </xf>
    <xf numFmtId="44" fontId="22" fillId="32" borderId="1" xfId="6" applyFont="1" applyFill="1" applyBorder="1" applyAlignment="1">
      <alignment horizontal="center" vertical="top" wrapText="1"/>
    </xf>
    <xf numFmtId="0" fontId="22" fillId="45" borderId="6" xfId="124" applyFont="1" applyFill="1" applyBorder="1" applyAlignment="1">
      <alignment horizontal="center" vertical="top" wrapText="1"/>
    </xf>
    <xf numFmtId="0" fontId="22" fillId="45" borderId="5" xfId="124" applyFont="1" applyFill="1" applyBorder="1" applyAlignment="1">
      <alignment horizontal="center" vertical="top" wrapText="1"/>
    </xf>
    <xf numFmtId="44" fontId="108" fillId="30" borderId="23" xfId="6" applyFont="1" applyFill="1" applyBorder="1" applyAlignment="1">
      <alignment horizontal="center" vertical="top" wrapText="1"/>
    </xf>
    <xf numFmtId="44" fontId="108" fillId="30" borderId="4" xfId="6" applyFont="1" applyFill="1" applyBorder="1" applyAlignment="1">
      <alignment horizontal="center" vertical="top" wrapText="1"/>
    </xf>
    <xf numFmtId="44" fontId="108" fillId="30" borderId="19" xfId="6" applyFont="1" applyFill="1" applyBorder="1" applyAlignment="1">
      <alignment horizontal="center" vertical="top" wrapText="1"/>
    </xf>
    <xf numFmtId="44" fontId="108" fillId="30" borderId="7" xfId="6" applyFont="1" applyFill="1" applyBorder="1" applyAlignment="1">
      <alignment horizontal="center" vertical="top" wrapText="1"/>
    </xf>
    <xf numFmtId="44" fontId="108" fillId="32" borderId="1" xfId="6" applyFont="1" applyFill="1" applyBorder="1" applyAlignment="1">
      <alignment horizontal="center" vertical="top" wrapText="1"/>
    </xf>
    <xf numFmtId="44" fontId="108" fillId="32" borderId="6" xfId="6" applyFont="1" applyFill="1" applyBorder="1" applyAlignment="1">
      <alignment horizontal="center" vertical="top" wrapText="1"/>
    </xf>
  </cellXfs>
  <cellStyles count="156">
    <cellStyle name="20% - Accent1 2" xfId="8"/>
    <cellStyle name="20% - Accent1 2 2" xfId="128"/>
    <cellStyle name="20% - Accent1 3" xfId="129"/>
    <cellStyle name="20% - Accent2 2" xfId="9"/>
    <cellStyle name="20% - Accent2 2 2" xfId="130"/>
    <cellStyle name="20% - Accent2 3" xfId="131"/>
    <cellStyle name="20% - Accent3 2" xfId="10"/>
    <cellStyle name="20% - Accent3 2 2" xfId="132"/>
    <cellStyle name="20% - Accent3 3" xfId="133"/>
    <cellStyle name="20% - Accent4 2" xfId="11"/>
    <cellStyle name="20% - Accent4 2 2" xfId="134"/>
    <cellStyle name="20% - Accent4 3" xfId="135"/>
    <cellStyle name="20% - Accent5 2" xfId="12"/>
    <cellStyle name="20% - Accent5 2 2" xfId="136"/>
    <cellStyle name="20% - Accent5 3" xfId="137"/>
    <cellStyle name="20% - Accent6 2" xfId="13"/>
    <cellStyle name="20% - Accent6 2 2" xfId="138"/>
    <cellStyle name="20% - Accent6 3" xfId="139"/>
    <cellStyle name="40% - Accent1 2" xfId="14"/>
    <cellStyle name="40% - Accent1 2 2" xfId="140"/>
    <cellStyle name="40% - Accent1 3" xfId="141"/>
    <cellStyle name="40% - Accent2 2" xfId="15"/>
    <cellStyle name="40% - Accent2 2 2" xfId="142"/>
    <cellStyle name="40% - Accent2 3" xfId="143"/>
    <cellStyle name="40% - Accent3 2" xfId="16"/>
    <cellStyle name="40% - Accent3 2 2" xfId="144"/>
    <cellStyle name="40% - Accent3 3" xfId="145"/>
    <cellStyle name="40% - Accent4 2" xfId="17"/>
    <cellStyle name="40% - Accent4 2 2" xfId="146"/>
    <cellStyle name="40% - Accent4 3" xfId="147"/>
    <cellStyle name="40% - Accent5 2" xfId="18"/>
    <cellStyle name="40% - Accent5 2 2" xfId="148"/>
    <cellStyle name="40% - Accent5 3" xfId="149"/>
    <cellStyle name="40% - Accent6 2" xfId="19"/>
    <cellStyle name="40% - Accent6 2 2" xfId="150"/>
    <cellStyle name="40% - Accent6 3" xfId="151"/>
    <cellStyle name="60% - Accent1 2" xfId="20"/>
    <cellStyle name="60% - Accent2 2" xfId="21"/>
    <cellStyle name="60% - Accent3 2" xfId="22"/>
    <cellStyle name="60% - Accent4 2" xfId="23"/>
    <cellStyle name="60% - Accent5 2" xfId="24"/>
    <cellStyle name="60% - Accent6 2" xfId="25"/>
    <cellStyle name="Accent1 2" xfId="26"/>
    <cellStyle name="Accent2 2" xfId="27"/>
    <cellStyle name="Accent3 2" xfId="28"/>
    <cellStyle name="Accent4 2" xfId="29"/>
    <cellStyle name="Accent5 2" xfId="30"/>
    <cellStyle name="Accent6 2" xfId="31"/>
    <cellStyle name="Bad 2" xfId="32"/>
    <cellStyle name="Calculation 2" xfId="33"/>
    <cellStyle name="Check Cell 2" xfId="34"/>
    <cellStyle name="Comma 2" xfId="35"/>
    <cellStyle name="Comma 2 2" xfId="36"/>
    <cellStyle name="Comma 2 3" xfId="37"/>
    <cellStyle name="Comma 2 4" xfId="38"/>
    <cellStyle name="Comma 2 5" xfId="39"/>
    <cellStyle name="Comma 2 6" xfId="40"/>
    <cellStyle name="Comma 3" xfId="41"/>
    <cellStyle name="Comma 4" xfId="42"/>
    <cellStyle name="Currency 2" xfId="6"/>
    <cellStyle name="Excel Built-in Normal" xfId="122"/>
    <cellStyle name="Explanatory Text 2" xfId="43"/>
    <cellStyle name="Good 2" xfId="44"/>
    <cellStyle name="Hea" xfId="45"/>
    <cellStyle name="Hea 2" xfId="46"/>
    <cellStyle name="Heading 1 2" xfId="47"/>
    <cellStyle name="Heading 2 2" xfId="48"/>
    <cellStyle name="Heading 3 2" xfId="49"/>
    <cellStyle name="Heading 4 2" xfId="50"/>
    <cellStyle name="Hoiatustekst" xfId="113"/>
    <cellStyle name="Hyperlink 2" xfId="51"/>
    <cellStyle name="Hyperlink 2 2" xfId="52"/>
    <cellStyle name="Hyperlink 3" xfId="152"/>
    <cellStyle name="Hyperlink_Lisad 22.02.11 II" xfId="120"/>
    <cellStyle name="Input 2" xfId="53"/>
    <cellStyle name="Linked Cell 2" xfId="54"/>
    <cellStyle name="Neutral 2" xfId="55"/>
    <cellStyle name="Normaallaad 2" xfId="1"/>
    <cellStyle name="Normaallaad 2 2" xfId="153"/>
    <cellStyle name="Normaallaad 3" xfId="56"/>
    <cellStyle name="Normaallaad 4" xfId="112"/>
    <cellStyle name="Normaallaad 4 2" xfId="114"/>
    <cellStyle name="Normaallaad 5" xfId="115"/>
    <cellStyle name="Normaallaad 6" xfId="116"/>
    <cellStyle name="Normaallaad 7" xfId="117"/>
    <cellStyle name="Normaallaad_Leht1" xfId="57"/>
    <cellStyle name="Normal" xfId="0" builtinId="0"/>
    <cellStyle name="Normal 10" xfId="58"/>
    <cellStyle name="Normal 11" xfId="59"/>
    <cellStyle name="Normal 12" xfId="60"/>
    <cellStyle name="Normal 13" xfId="126"/>
    <cellStyle name="Normal 13 2" xfId="124"/>
    <cellStyle name="Normal 14" xfId="123"/>
    <cellStyle name="Normal 2" xfId="2"/>
    <cellStyle name="Normal 2 2" xfId="3"/>
    <cellStyle name="Normal 2 3" xfId="61"/>
    <cellStyle name="Normal 2 3 2" xfId="62"/>
    <cellStyle name="Normal 2 4" xfId="63"/>
    <cellStyle name="Normal 2 4 2" xfId="64"/>
    <cellStyle name="Normal 2 5" xfId="65"/>
    <cellStyle name="Normal 2 6" xfId="66"/>
    <cellStyle name="Normal 3" xfId="67"/>
    <cellStyle name="Normal 3 10" xfId="68"/>
    <cellStyle name="Normal 3 10 2" xfId="69"/>
    <cellStyle name="Normal 3 11" xfId="70"/>
    <cellStyle name="Normal 3 11 2" xfId="71"/>
    <cellStyle name="Normal 3 12" xfId="72"/>
    <cellStyle name="Normal 3 13" xfId="73"/>
    <cellStyle name="Normal 3 2" xfId="74"/>
    <cellStyle name="Normal 3 2 2" xfId="75"/>
    <cellStyle name="Normal 3 2 3" xfId="76"/>
    <cellStyle name="Normal 3 3" xfId="77"/>
    <cellStyle name="Normal 3 3 2" xfId="78"/>
    <cellStyle name="Normal 3 4" xfId="79"/>
    <cellStyle name="Normal 3 4 2" xfId="80"/>
    <cellStyle name="Normal 3 5" xfId="81"/>
    <cellStyle name="Normal 3 5 2" xfId="82"/>
    <cellStyle name="Normal 3 6" xfId="83"/>
    <cellStyle name="Normal 3 7" xfId="84"/>
    <cellStyle name="Normal 3 8" xfId="85"/>
    <cellStyle name="Normal 3 8 2" xfId="86"/>
    <cellStyle name="Normal 3 9" xfId="87"/>
    <cellStyle name="Normal 3 9 2" xfId="88"/>
    <cellStyle name="Normal 4" xfId="89"/>
    <cellStyle name="Normal 4 2" xfId="90"/>
    <cellStyle name="Normal 5" xfId="91"/>
    <cellStyle name="Normal 5 2" xfId="92"/>
    <cellStyle name="Normal 5 2 2" xfId="93"/>
    <cellStyle name="Normal 5 3" xfId="94"/>
    <cellStyle name="Normal 6" xfId="95"/>
    <cellStyle name="Normal 7" xfId="96"/>
    <cellStyle name="Normal 7 2" xfId="97"/>
    <cellStyle name="Normal 8" xfId="4"/>
    <cellStyle name="Normal 9" xfId="98"/>
    <cellStyle name="Normal_2002 määrus lisa 5" xfId="119"/>
    <cellStyle name="Normal_2002 määrus lisa 5 4" xfId="121"/>
    <cellStyle name="Normal_2002 määrus lisa 5_Lisad 22.02.11 II" xfId="118"/>
    <cellStyle name="Normal_vorm 1 koond" xfId="5"/>
    <cellStyle name="Normal_vorm 1 koond_Lisad 22.02.11 II" xfId="99"/>
    <cellStyle name="Note 2" xfId="100"/>
    <cellStyle name="Note 2 2" xfId="154"/>
    <cellStyle name="Note 3" xfId="101"/>
    <cellStyle name="Note 4" xfId="102"/>
    <cellStyle name="Output 2" xfId="103"/>
    <cellStyle name="Percent" xfId="125" builtinId="5"/>
    <cellStyle name="Percent 2" xfId="7"/>
    <cellStyle name="Percent 2 2" xfId="155"/>
    <cellStyle name="Percent 3" xfId="104"/>
    <cellStyle name="Percent 4" xfId="127"/>
    <cellStyle name="Rõhk5" xfId="105"/>
    <cellStyle name="Rõhk5 2" xfId="106"/>
    <cellStyle name="Rõhk6" xfId="107"/>
    <cellStyle name="Rõhk6 2" xfId="108"/>
    <cellStyle name="Title 2" xfId="109"/>
    <cellStyle name="Total 2" xfId="110"/>
    <cellStyle name="Warning Text 2" xfId="11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tsteenistus/EELARVE%20OSAKOND/2011/2011%20EELARVE%20T&#196;ITMINE%20-%20VALGE%20RAAMAT/Koond%2026.0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irve/Documents/Ametikohtade%20hindamine/Copy%20of%20Koopia%20failist%20Tallinna%20Linnakantselei%20at%20palgatabel_2014_1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tsteenistus/EELARVE%20OSAKOND/2016/II%20LEA/L&#245;plik/m-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SUKORD"/>
      <sheetName val="1 KOONDEELARVE"/>
      <sheetName val="2 KOONDEA TÄITMINE"/>
      <sheetName val="3 TULUDE KOOND"/>
      <sheetName val="4 LK TULUD"/>
      <sheetName val="5 RR - OTSTARVE"/>
      <sheetName val="6 TOETUSED"/>
      <sheetName val="Sheet1"/>
      <sheetName val="7 OMATULUD"/>
      <sheetName val="8 KULUD"/>
      <sheetName val="9 INVEST"/>
      <sheetName val="10 FIN.TEH"/>
      <sheetName val="11 EESMÄRGID"/>
      <sheetName val="Probleemid"/>
      <sheetName val="Taotlus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hend"/>
      <sheetName val="Andmed"/>
      <sheetName val="põhipalk"/>
      <sheetName val="tulemustasu2"/>
      <sheetName val="tulemustasu"/>
      <sheetName val="öötöö, riigipühad"/>
      <sheetName val="muutuvad tasud"/>
      <sheetName val="mobiiltelefon"/>
      <sheetName val="Sheet1"/>
      <sheetName val="Maakonnad"/>
      <sheetName val="Job Families"/>
      <sheetName val="Job Names"/>
      <sheetName val="Sheet2"/>
      <sheetName val="Ametiasutused põhitasud 2015"/>
    </sheetNames>
    <sheetDataSet>
      <sheetData sheetId="0"/>
      <sheetData sheetId="1"/>
      <sheetData sheetId="2"/>
      <sheetData sheetId="3"/>
      <sheetData sheetId="4"/>
      <sheetData sheetId="5"/>
      <sheetData sheetId="6"/>
      <sheetData sheetId="7"/>
      <sheetData sheetId="8"/>
      <sheetData sheetId="9">
        <row r="1">
          <cell r="A1" t="str">
            <v>Harjumaa</v>
          </cell>
        </row>
        <row r="2">
          <cell r="A2" t="str">
            <v>Hiiumaa</v>
          </cell>
        </row>
        <row r="3">
          <cell r="A3" t="str">
            <v>Ida-Virumaa</v>
          </cell>
        </row>
        <row r="4">
          <cell r="A4" t="str">
            <v>Jõgevamaa</v>
          </cell>
        </row>
        <row r="5">
          <cell r="A5" t="str">
            <v>Järvamaa</v>
          </cell>
        </row>
        <row r="6">
          <cell r="A6" t="str">
            <v>Läänemaa</v>
          </cell>
        </row>
        <row r="7">
          <cell r="A7" t="str">
            <v>Lääne-Virumaa</v>
          </cell>
        </row>
        <row r="8">
          <cell r="A8" t="str">
            <v>Põlvamaa</v>
          </cell>
        </row>
        <row r="9">
          <cell r="A9" t="str">
            <v>Pärnumaa</v>
          </cell>
        </row>
        <row r="10">
          <cell r="A10" t="str">
            <v>Raplamaa</v>
          </cell>
        </row>
        <row r="11">
          <cell r="A11" t="str">
            <v>Saaremaa</v>
          </cell>
        </row>
        <row r="12">
          <cell r="A12" t="str">
            <v>Tartumaa</v>
          </cell>
        </row>
        <row r="13">
          <cell r="A13" t="str">
            <v>Valgamaa</v>
          </cell>
        </row>
        <row r="14">
          <cell r="A14" t="str">
            <v>Viljandimaa</v>
          </cell>
        </row>
        <row r="15">
          <cell r="A15" t="str">
            <v>Võrumaa</v>
          </cell>
        </row>
      </sheetData>
      <sheetData sheetId="10">
        <row r="2">
          <cell r="D2" t="str">
            <v>Actual Job Family</v>
          </cell>
          <cell r="E2" t="str">
            <v>Level</v>
          </cell>
          <cell r="F2" t="str">
            <v>Points</v>
          </cell>
          <cell r="G2" t="str">
            <v>min</v>
          </cell>
          <cell r="H2" t="str">
            <v>max</v>
          </cell>
        </row>
        <row r="3">
          <cell r="D3" t="str">
            <v>AT - (Sise)auditeerimine</v>
          </cell>
          <cell r="E3">
            <v>1</v>
          </cell>
          <cell r="F3">
            <v>184</v>
          </cell>
          <cell r="G3">
            <v>172</v>
          </cell>
          <cell r="H3">
            <v>197</v>
          </cell>
        </row>
        <row r="4">
          <cell r="D4" t="str">
            <v>AT - (Sise)auditeerimine</v>
          </cell>
          <cell r="E4">
            <v>2</v>
          </cell>
          <cell r="F4">
            <v>281</v>
          </cell>
          <cell r="G4">
            <v>262</v>
          </cell>
          <cell r="H4">
            <v>300</v>
          </cell>
        </row>
        <row r="5">
          <cell r="D5" t="str">
            <v>AT - (Sise)auditeerimine</v>
          </cell>
          <cell r="E5" t="str">
            <v>3A</v>
          </cell>
          <cell r="F5">
            <v>371</v>
          </cell>
          <cell r="G5">
            <v>346</v>
          </cell>
          <cell r="H5">
            <v>397</v>
          </cell>
        </row>
        <row r="6">
          <cell r="D6" t="str">
            <v>AT - (Sise)auditeerimine</v>
          </cell>
          <cell r="E6" t="str">
            <v>3B</v>
          </cell>
          <cell r="F6">
            <v>371</v>
          </cell>
          <cell r="G6">
            <v>346</v>
          </cell>
          <cell r="H6">
            <v>397</v>
          </cell>
        </row>
        <row r="7">
          <cell r="D7" t="str">
            <v>AT - (Sise)auditeerimine</v>
          </cell>
          <cell r="E7">
            <v>4</v>
          </cell>
          <cell r="F7">
            <v>492</v>
          </cell>
          <cell r="G7">
            <v>458</v>
          </cell>
          <cell r="H7">
            <v>526</v>
          </cell>
        </row>
        <row r="8">
          <cell r="D8" t="str">
            <v>AT - Andmeait</v>
          </cell>
          <cell r="E8">
            <v>1</v>
          </cell>
          <cell r="F8">
            <v>160</v>
          </cell>
          <cell r="G8">
            <v>150</v>
          </cell>
          <cell r="H8">
            <v>149</v>
          </cell>
        </row>
        <row r="9">
          <cell r="D9" t="str">
            <v>AT - Andmeait</v>
          </cell>
          <cell r="E9">
            <v>2</v>
          </cell>
          <cell r="F9">
            <v>244</v>
          </cell>
          <cell r="G9">
            <v>228</v>
          </cell>
          <cell r="H9">
            <v>261</v>
          </cell>
        </row>
        <row r="10">
          <cell r="D10" t="str">
            <v>AT - Andmeait</v>
          </cell>
          <cell r="E10">
            <v>3</v>
          </cell>
          <cell r="F10">
            <v>323</v>
          </cell>
          <cell r="G10">
            <v>301</v>
          </cell>
          <cell r="H10">
            <v>345</v>
          </cell>
        </row>
        <row r="11">
          <cell r="D11" t="str">
            <v>AT - Andmeait</v>
          </cell>
          <cell r="E11">
            <v>4</v>
          </cell>
          <cell r="F11">
            <v>427</v>
          </cell>
          <cell r="G11">
            <v>398</v>
          </cell>
          <cell r="H11">
            <v>457</v>
          </cell>
        </row>
        <row r="12">
          <cell r="D12" t="str">
            <v>AT - Andmeanalüüs ja -seire</v>
          </cell>
          <cell r="E12">
            <v>1</v>
          </cell>
          <cell r="F12">
            <v>121</v>
          </cell>
          <cell r="G12">
            <v>113</v>
          </cell>
          <cell r="H12">
            <v>129</v>
          </cell>
        </row>
        <row r="13">
          <cell r="D13" t="str">
            <v>AT - Andmeanalüüs ja -seire</v>
          </cell>
          <cell r="E13">
            <v>2</v>
          </cell>
          <cell r="F13">
            <v>212</v>
          </cell>
          <cell r="G13">
            <v>198</v>
          </cell>
          <cell r="H13">
            <v>227</v>
          </cell>
        </row>
        <row r="14">
          <cell r="D14" t="str">
            <v>AT - Andmeanalüüs ja -seire</v>
          </cell>
          <cell r="E14">
            <v>3</v>
          </cell>
          <cell r="F14">
            <v>281</v>
          </cell>
          <cell r="G14">
            <v>262</v>
          </cell>
          <cell r="H14">
            <v>300</v>
          </cell>
        </row>
        <row r="15">
          <cell r="D15" t="str">
            <v>AT - Andmeanalüüs ja -seire</v>
          </cell>
          <cell r="E15" t="str">
            <v>4A</v>
          </cell>
          <cell r="F15">
            <v>323</v>
          </cell>
          <cell r="G15">
            <v>301</v>
          </cell>
          <cell r="H15">
            <v>345</v>
          </cell>
        </row>
        <row r="16">
          <cell r="D16" t="str">
            <v>AT - Andmeanalüüs ja -seire</v>
          </cell>
          <cell r="E16" t="str">
            <v>4B</v>
          </cell>
          <cell r="F16">
            <v>427</v>
          </cell>
          <cell r="G16">
            <v>398</v>
          </cell>
          <cell r="H16">
            <v>457</v>
          </cell>
        </row>
        <row r="17">
          <cell r="D17" t="str">
            <v>AT - Andmeanalüüs ja -seire</v>
          </cell>
          <cell r="E17" t="str">
            <v>5A</v>
          </cell>
          <cell r="F17">
            <v>427</v>
          </cell>
          <cell r="G17">
            <v>398</v>
          </cell>
          <cell r="H17">
            <v>457</v>
          </cell>
        </row>
        <row r="18">
          <cell r="D18" t="str">
            <v>AT - Andmeanalüüs ja -seire</v>
          </cell>
          <cell r="E18" t="str">
            <v>5B</v>
          </cell>
          <cell r="F18">
            <v>492</v>
          </cell>
          <cell r="G18">
            <v>458</v>
          </cell>
          <cell r="H18">
            <v>526</v>
          </cell>
        </row>
        <row r="19">
          <cell r="D19" t="str">
            <v>AT - Arengu ja poliitika kujundamine</v>
          </cell>
          <cell r="E19">
            <v>1</v>
          </cell>
          <cell r="F19">
            <v>184</v>
          </cell>
          <cell r="G19">
            <v>172</v>
          </cell>
          <cell r="H19">
            <v>197</v>
          </cell>
        </row>
        <row r="20">
          <cell r="D20" t="str">
            <v>AT - Arengu ja poliitika kujundamine</v>
          </cell>
          <cell r="E20">
            <v>2</v>
          </cell>
          <cell r="F20">
            <v>244</v>
          </cell>
          <cell r="G20">
            <v>228</v>
          </cell>
          <cell r="H20">
            <v>261</v>
          </cell>
        </row>
        <row r="21">
          <cell r="D21" t="str">
            <v>AT - Arengu ja poliitika kujundamine</v>
          </cell>
          <cell r="E21">
            <v>3</v>
          </cell>
          <cell r="F21">
            <v>323</v>
          </cell>
          <cell r="G21">
            <v>301</v>
          </cell>
          <cell r="H21">
            <v>345</v>
          </cell>
        </row>
        <row r="22">
          <cell r="D22" t="str">
            <v>AT - Arengu ja poliitika kujundamine</v>
          </cell>
          <cell r="E22">
            <v>4</v>
          </cell>
          <cell r="F22">
            <v>427</v>
          </cell>
          <cell r="G22">
            <v>398</v>
          </cell>
          <cell r="H22">
            <v>457</v>
          </cell>
        </row>
        <row r="23">
          <cell r="D23" t="str">
            <v>AT - Arengu ja poliitika kujundamine</v>
          </cell>
          <cell r="E23">
            <v>5</v>
          </cell>
          <cell r="F23">
            <v>492</v>
          </cell>
          <cell r="G23">
            <v>458</v>
          </cell>
          <cell r="H23">
            <v>526</v>
          </cell>
        </row>
        <row r="24">
          <cell r="D24" t="str">
            <v>AT - Arengu ja poliitika kujundamine</v>
          </cell>
          <cell r="E24">
            <v>6</v>
          </cell>
          <cell r="F24">
            <v>651</v>
          </cell>
          <cell r="G24">
            <v>606</v>
          </cell>
          <cell r="H24">
            <v>696</v>
          </cell>
        </row>
        <row r="25">
          <cell r="D25" t="str">
            <v>AT - Arhiivindus</v>
          </cell>
          <cell r="E25" t="str">
            <v>1B</v>
          </cell>
          <cell r="F25">
            <v>139</v>
          </cell>
          <cell r="G25">
            <v>130</v>
          </cell>
          <cell r="H25">
            <v>149</v>
          </cell>
        </row>
        <row r="26">
          <cell r="D26" t="str">
            <v>AT - Arhiivindus</v>
          </cell>
          <cell r="E26" t="str">
            <v>1A</v>
          </cell>
          <cell r="F26">
            <v>160</v>
          </cell>
          <cell r="G26">
            <v>150</v>
          </cell>
          <cell r="H26">
            <v>171</v>
          </cell>
        </row>
        <row r="27">
          <cell r="D27" t="str">
            <v>AT - Arhiivindus</v>
          </cell>
          <cell r="E27" t="str">
            <v>2B</v>
          </cell>
          <cell r="F27">
            <v>184</v>
          </cell>
          <cell r="G27">
            <v>172</v>
          </cell>
          <cell r="H27">
            <v>197</v>
          </cell>
        </row>
        <row r="28">
          <cell r="D28" t="str">
            <v>AT - Arhiivindus</v>
          </cell>
          <cell r="E28" t="str">
            <v>2A</v>
          </cell>
          <cell r="F28">
            <v>212</v>
          </cell>
          <cell r="G28">
            <v>198</v>
          </cell>
          <cell r="H28">
            <v>227</v>
          </cell>
        </row>
        <row r="29">
          <cell r="D29" t="str">
            <v>AT - Arhiivindus</v>
          </cell>
          <cell r="E29" t="str">
            <v>3A</v>
          </cell>
          <cell r="F29">
            <v>281</v>
          </cell>
          <cell r="G29">
            <v>262</v>
          </cell>
          <cell r="H29">
            <v>300</v>
          </cell>
        </row>
        <row r="30">
          <cell r="D30" t="str">
            <v>AT - Arhiivindus</v>
          </cell>
          <cell r="E30" t="str">
            <v>3B</v>
          </cell>
          <cell r="F30">
            <v>281</v>
          </cell>
          <cell r="G30">
            <v>262</v>
          </cell>
          <cell r="H30">
            <v>300</v>
          </cell>
        </row>
        <row r="31">
          <cell r="D31" t="str">
            <v>AT - Arhiivindus</v>
          </cell>
          <cell r="E31">
            <v>4</v>
          </cell>
          <cell r="F31">
            <v>427</v>
          </cell>
          <cell r="G31">
            <v>398</v>
          </cell>
          <cell r="H31">
            <v>457</v>
          </cell>
        </row>
        <row r="32">
          <cell r="D32" t="str">
            <v>AT - Ekspertiis</v>
          </cell>
          <cell r="E32">
            <v>1</v>
          </cell>
          <cell r="F32">
            <v>160</v>
          </cell>
          <cell r="G32">
            <v>150</v>
          </cell>
          <cell r="H32">
            <v>171</v>
          </cell>
        </row>
        <row r="33">
          <cell r="D33" t="str">
            <v>AT - Ekspertiis</v>
          </cell>
          <cell r="E33">
            <v>2</v>
          </cell>
          <cell r="F33">
            <v>212</v>
          </cell>
          <cell r="G33">
            <v>198</v>
          </cell>
          <cell r="H33">
            <v>227</v>
          </cell>
        </row>
        <row r="34">
          <cell r="D34" t="str">
            <v>AT - Ekspertiis</v>
          </cell>
          <cell r="E34">
            <v>3</v>
          </cell>
          <cell r="F34">
            <v>281</v>
          </cell>
          <cell r="G34">
            <v>262</v>
          </cell>
          <cell r="H34">
            <v>300</v>
          </cell>
        </row>
        <row r="35">
          <cell r="D35" t="str">
            <v>AT - Ekspertiis</v>
          </cell>
          <cell r="E35">
            <v>4</v>
          </cell>
          <cell r="F35">
            <v>323</v>
          </cell>
          <cell r="G35">
            <v>301</v>
          </cell>
          <cell r="H35">
            <v>345</v>
          </cell>
        </row>
        <row r="36">
          <cell r="D36" t="str">
            <v>AT - Ekspertiis</v>
          </cell>
          <cell r="E36">
            <v>5</v>
          </cell>
          <cell r="F36">
            <v>427</v>
          </cell>
          <cell r="G36">
            <v>398</v>
          </cell>
          <cell r="H36">
            <v>457</v>
          </cell>
        </row>
        <row r="37">
          <cell r="D37" t="str">
            <v>AT - Finantsanalüüs, -planeerimine ja -juhtimine</v>
          </cell>
          <cell r="E37">
            <v>1</v>
          </cell>
          <cell r="F37">
            <v>160</v>
          </cell>
          <cell r="G37">
            <v>150</v>
          </cell>
          <cell r="H37">
            <v>171</v>
          </cell>
        </row>
        <row r="38">
          <cell r="D38" t="str">
            <v>AT - Finantsanalüüs, -planeerimine ja -juhtimine</v>
          </cell>
          <cell r="E38">
            <v>2</v>
          </cell>
          <cell r="F38">
            <v>184</v>
          </cell>
          <cell r="G38">
            <v>172</v>
          </cell>
          <cell r="H38">
            <v>197</v>
          </cell>
        </row>
        <row r="39">
          <cell r="D39" t="str">
            <v>AT - Finantsanalüüs, -planeerimine ja -juhtimine</v>
          </cell>
          <cell r="E39">
            <v>3</v>
          </cell>
          <cell r="F39">
            <v>281</v>
          </cell>
          <cell r="G39">
            <v>262</v>
          </cell>
          <cell r="H39">
            <v>300</v>
          </cell>
        </row>
        <row r="40">
          <cell r="D40" t="str">
            <v>AT - Finantsanalüüs, -planeerimine ja -juhtimine</v>
          </cell>
          <cell r="E40">
            <v>4</v>
          </cell>
          <cell r="F40">
            <v>427</v>
          </cell>
          <cell r="G40">
            <v>398</v>
          </cell>
          <cell r="H40">
            <v>457</v>
          </cell>
        </row>
        <row r="41">
          <cell r="D41" t="str">
            <v>AT - Finantsanalüüs, -planeerimine ja -juhtimine</v>
          </cell>
          <cell r="E41">
            <v>5</v>
          </cell>
          <cell r="F41">
            <v>492</v>
          </cell>
          <cell r="G41">
            <v>458</v>
          </cell>
          <cell r="H41">
            <v>526</v>
          </cell>
        </row>
        <row r="42">
          <cell r="D42" t="str">
            <v>AT - Geomaatika</v>
          </cell>
          <cell r="E42">
            <v>1</v>
          </cell>
          <cell r="F42">
            <v>160</v>
          </cell>
          <cell r="G42">
            <v>150</v>
          </cell>
          <cell r="H42">
            <v>171</v>
          </cell>
        </row>
        <row r="43">
          <cell r="D43" t="str">
            <v>AT - Geomaatika</v>
          </cell>
          <cell r="E43">
            <v>2</v>
          </cell>
          <cell r="F43">
            <v>212</v>
          </cell>
          <cell r="G43">
            <v>198</v>
          </cell>
          <cell r="H43">
            <v>227</v>
          </cell>
        </row>
        <row r="44">
          <cell r="D44" t="str">
            <v>AT - Geomaatika</v>
          </cell>
          <cell r="E44">
            <v>3</v>
          </cell>
          <cell r="F44">
            <v>244</v>
          </cell>
          <cell r="G44">
            <v>228</v>
          </cell>
          <cell r="H44">
            <v>261</v>
          </cell>
        </row>
        <row r="45">
          <cell r="D45" t="str">
            <v>AT - Geomaatika</v>
          </cell>
          <cell r="E45">
            <v>4</v>
          </cell>
          <cell r="F45">
            <v>371</v>
          </cell>
          <cell r="G45">
            <v>346</v>
          </cell>
          <cell r="H45">
            <v>397</v>
          </cell>
        </row>
        <row r="46">
          <cell r="D46" t="str">
            <v>AT - Haridus</v>
          </cell>
          <cell r="E46">
            <v>1</v>
          </cell>
          <cell r="F46">
            <v>160</v>
          </cell>
          <cell r="G46">
            <v>150</v>
          </cell>
          <cell r="H46">
            <v>171</v>
          </cell>
        </row>
        <row r="47">
          <cell r="D47" t="str">
            <v>AT - Haridus</v>
          </cell>
          <cell r="E47" t="str">
            <v>2A</v>
          </cell>
          <cell r="F47">
            <v>244</v>
          </cell>
          <cell r="G47">
            <v>228</v>
          </cell>
          <cell r="H47">
            <v>261</v>
          </cell>
        </row>
        <row r="48">
          <cell r="D48" t="str">
            <v>AT - Haridus</v>
          </cell>
          <cell r="E48" t="str">
            <v>2B</v>
          </cell>
          <cell r="F48">
            <v>244</v>
          </cell>
          <cell r="G48">
            <v>228</v>
          </cell>
          <cell r="H48">
            <v>261</v>
          </cell>
        </row>
        <row r="49">
          <cell r="D49" t="str">
            <v>AT - Haridus</v>
          </cell>
          <cell r="E49" t="str">
            <v>3A</v>
          </cell>
          <cell r="F49">
            <v>323</v>
          </cell>
          <cell r="G49">
            <v>301</v>
          </cell>
          <cell r="H49">
            <v>345</v>
          </cell>
        </row>
        <row r="50">
          <cell r="D50" t="str">
            <v>AT - Haridus</v>
          </cell>
          <cell r="E50" t="str">
            <v>3B</v>
          </cell>
          <cell r="F50">
            <v>323</v>
          </cell>
          <cell r="G50">
            <v>301</v>
          </cell>
          <cell r="H50">
            <v>345</v>
          </cell>
        </row>
        <row r="51">
          <cell r="D51" t="str">
            <v>AT - Haridus</v>
          </cell>
          <cell r="E51">
            <v>4</v>
          </cell>
          <cell r="F51">
            <v>492</v>
          </cell>
          <cell r="G51">
            <v>458</v>
          </cell>
          <cell r="H51">
            <v>526</v>
          </cell>
        </row>
        <row r="52">
          <cell r="D52" t="str">
            <v>AT - Info ja dokumendihaldus</v>
          </cell>
          <cell r="E52">
            <v>1</v>
          </cell>
          <cell r="F52">
            <v>105</v>
          </cell>
          <cell r="G52">
            <v>98</v>
          </cell>
          <cell r="H52">
            <v>112</v>
          </cell>
        </row>
        <row r="53">
          <cell r="D53" t="str">
            <v>AT - Info ja dokumendihaldus</v>
          </cell>
          <cell r="E53">
            <v>2</v>
          </cell>
          <cell r="F53">
            <v>139</v>
          </cell>
          <cell r="G53">
            <v>130</v>
          </cell>
          <cell r="H53">
            <v>149</v>
          </cell>
        </row>
        <row r="54">
          <cell r="D54" t="str">
            <v>AT - Info ja dokumendihaldus</v>
          </cell>
          <cell r="E54">
            <v>3</v>
          </cell>
          <cell r="F54">
            <v>212</v>
          </cell>
          <cell r="G54">
            <v>198</v>
          </cell>
          <cell r="H54">
            <v>227</v>
          </cell>
        </row>
        <row r="55">
          <cell r="D55" t="str">
            <v>AT - Info ja dokumendihaldus</v>
          </cell>
          <cell r="E55">
            <v>4</v>
          </cell>
          <cell r="F55">
            <v>281</v>
          </cell>
          <cell r="G55">
            <v>262</v>
          </cell>
          <cell r="H55">
            <v>300</v>
          </cell>
        </row>
        <row r="56">
          <cell r="D56" t="str">
            <v>AT - Info ja dokumendihaldus</v>
          </cell>
          <cell r="E56">
            <v>5</v>
          </cell>
          <cell r="F56">
            <v>371</v>
          </cell>
          <cell r="G56">
            <v>346</v>
          </cell>
          <cell r="H56">
            <v>397</v>
          </cell>
        </row>
        <row r="57">
          <cell r="D57" t="str">
            <v>AT - Inseneritööd</v>
          </cell>
          <cell r="E57">
            <v>1</v>
          </cell>
          <cell r="F57">
            <v>160</v>
          </cell>
          <cell r="G57">
            <v>150</v>
          </cell>
          <cell r="H57">
            <v>171</v>
          </cell>
        </row>
        <row r="58">
          <cell r="D58" t="str">
            <v>AT - Inseneritööd</v>
          </cell>
          <cell r="E58">
            <v>2</v>
          </cell>
          <cell r="F58">
            <v>244</v>
          </cell>
          <cell r="G58">
            <v>228</v>
          </cell>
          <cell r="H58">
            <v>261</v>
          </cell>
        </row>
        <row r="59">
          <cell r="D59" t="str">
            <v>AT - Inseneritööd</v>
          </cell>
          <cell r="E59">
            <v>3</v>
          </cell>
          <cell r="F59">
            <v>323</v>
          </cell>
          <cell r="G59">
            <v>301</v>
          </cell>
          <cell r="H59">
            <v>345</v>
          </cell>
        </row>
        <row r="60">
          <cell r="D60" t="str">
            <v>AT - Inseneritööd</v>
          </cell>
          <cell r="E60">
            <v>4</v>
          </cell>
          <cell r="F60">
            <v>427</v>
          </cell>
          <cell r="G60">
            <v>398</v>
          </cell>
          <cell r="H60">
            <v>457</v>
          </cell>
        </row>
        <row r="61">
          <cell r="D61" t="str">
            <v>AT - Instruktorid-koolitajad</v>
          </cell>
          <cell r="E61">
            <v>1</v>
          </cell>
          <cell r="F61">
            <v>160</v>
          </cell>
          <cell r="G61">
            <v>150</v>
          </cell>
          <cell r="H61">
            <v>171</v>
          </cell>
        </row>
        <row r="62">
          <cell r="D62" t="str">
            <v>AT - Instruktorid-koolitajad</v>
          </cell>
          <cell r="E62">
            <v>2</v>
          </cell>
          <cell r="F62">
            <v>212</v>
          </cell>
          <cell r="G62">
            <v>198</v>
          </cell>
          <cell r="H62">
            <v>227</v>
          </cell>
        </row>
        <row r="63">
          <cell r="D63" t="str">
            <v>AT - Instruktorid-koolitajad</v>
          </cell>
          <cell r="E63">
            <v>3</v>
          </cell>
          <cell r="F63">
            <v>281</v>
          </cell>
          <cell r="G63">
            <v>262</v>
          </cell>
          <cell r="H63">
            <v>300</v>
          </cell>
        </row>
        <row r="64">
          <cell r="D64" t="str">
            <v>AT - Isikute teenindamine</v>
          </cell>
          <cell r="E64">
            <v>1</v>
          </cell>
          <cell r="F64">
            <v>79</v>
          </cell>
          <cell r="G64">
            <v>74</v>
          </cell>
          <cell r="H64">
            <v>84</v>
          </cell>
        </row>
        <row r="65">
          <cell r="D65" t="str">
            <v>AT - Isikute teenindamine</v>
          </cell>
          <cell r="E65">
            <v>2</v>
          </cell>
          <cell r="F65">
            <v>105</v>
          </cell>
          <cell r="G65">
            <v>98</v>
          </cell>
          <cell r="H65">
            <v>112</v>
          </cell>
        </row>
        <row r="66">
          <cell r="D66" t="str">
            <v>AT - Isikute teenindamine</v>
          </cell>
          <cell r="E66" t="str">
            <v>3A</v>
          </cell>
          <cell r="F66">
            <v>139</v>
          </cell>
          <cell r="G66">
            <v>130</v>
          </cell>
          <cell r="H66">
            <v>149</v>
          </cell>
        </row>
        <row r="67">
          <cell r="D67" t="str">
            <v>AT - Isikute teenindamine</v>
          </cell>
          <cell r="E67" t="str">
            <v>3B</v>
          </cell>
          <cell r="F67">
            <v>160</v>
          </cell>
          <cell r="G67">
            <v>150</v>
          </cell>
          <cell r="H67">
            <v>171</v>
          </cell>
        </row>
        <row r="68">
          <cell r="D68" t="str">
            <v>AT - Isikute teenindamine</v>
          </cell>
          <cell r="E68">
            <v>4</v>
          </cell>
          <cell r="F68">
            <v>244</v>
          </cell>
          <cell r="G68">
            <v>228</v>
          </cell>
          <cell r="H68">
            <v>261</v>
          </cell>
        </row>
        <row r="69">
          <cell r="D69" t="str">
            <v>AT - Isikute teenindamine</v>
          </cell>
          <cell r="E69">
            <v>5</v>
          </cell>
          <cell r="F69">
            <v>323</v>
          </cell>
          <cell r="G69">
            <v>301</v>
          </cell>
          <cell r="H69">
            <v>345</v>
          </cell>
        </row>
        <row r="70">
          <cell r="D70" t="str">
            <v>AT - IT - andmeturve</v>
          </cell>
          <cell r="E70">
            <v>1</v>
          </cell>
          <cell r="F70">
            <v>184</v>
          </cell>
          <cell r="G70">
            <v>172</v>
          </cell>
          <cell r="H70">
            <v>197</v>
          </cell>
        </row>
        <row r="71">
          <cell r="D71" t="str">
            <v>AT - IT - andmeturve</v>
          </cell>
          <cell r="E71">
            <v>2</v>
          </cell>
          <cell r="F71">
            <v>281</v>
          </cell>
          <cell r="G71">
            <v>262</v>
          </cell>
          <cell r="H71">
            <v>300</v>
          </cell>
        </row>
        <row r="72">
          <cell r="D72" t="str">
            <v>AT - IT - andmeturve</v>
          </cell>
          <cell r="E72">
            <v>3</v>
          </cell>
          <cell r="F72">
            <v>371</v>
          </cell>
          <cell r="G72">
            <v>346</v>
          </cell>
          <cell r="H72">
            <v>397</v>
          </cell>
        </row>
        <row r="73">
          <cell r="D73" t="str">
            <v>AT - IT - arvutigraafika</v>
          </cell>
          <cell r="E73">
            <v>1</v>
          </cell>
          <cell r="F73">
            <v>139</v>
          </cell>
          <cell r="G73">
            <v>130</v>
          </cell>
          <cell r="H73">
            <v>149</v>
          </cell>
        </row>
        <row r="74">
          <cell r="D74" t="str">
            <v>AT - IT - arvutigraafika</v>
          </cell>
          <cell r="E74">
            <v>2</v>
          </cell>
          <cell r="F74">
            <v>244</v>
          </cell>
          <cell r="G74">
            <v>228</v>
          </cell>
          <cell r="H74">
            <v>261</v>
          </cell>
        </row>
        <row r="75">
          <cell r="D75" t="str">
            <v>AT - IT - juhtimine</v>
          </cell>
          <cell r="E75">
            <v>1</v>
          </cell>
          <cell r="F75">
            <v>244</v>
          </cell>
          <cell r="G75">
            <v>228</v>
          </cell>
          <cell r="H75">
            <v>261</v>
          </cell>
        </row>
        <row r="76">
          <cell r="D76" t="str">
            <v>AT - IT - juhtimine</v>
          </cell>
          <cell r="E76">
            <v>2</v>
          </cell>
          <cell r="F76">
            <v>371</v>
          </cell>
          <cell r="G76">
            <v>346</v>
          </cell>
          <cell r="H76">
            <v>397</v>
          </cell>
        </row>
        <row r="77">
          <cell r="D77" t="str">
            <v>AT - IT - juhtimine</v>
          </cell>
          <cell r="E77">
            <v>3</v>
          </cell>
          <cell r="F77">
            <v>492</v>
          </cell>
          <cell r="G77">
            <v>458</v>
          </cell>
          <cell r="H77">
            <v>526</v>
          </cell>
        </row>
        <row r="78">
          <cell r="D78" t="str">
            <v>AT - IT - konsultandid</v>
          </cell>
          <cell r="E78">
            <v>1</v>
          </cell>
          <cell r="F78">
            <v>212</v>
          </cell>
          <cell r="G78">
            <v>198</v>
          </cell>
          <cell r="H78">
            <v>227</v>
          </cell>
        </row>
        <row r="79">
          <cell r="D79" t="str">
            <v>AT - IT - konsultandid</v>
          </cell>
          <cell r="E79">
            <v>2</v>
          </cell>
          <cell r="F79">
            <v>281</v>
          </cell>
          <cell r="G79">
            <v>262</v>
          </cell>
          <cell r="H79">
            <v>300</v>
          </cell>
        </row>
        <row r="80">
          <cell r="D80" t="str">
            <v>AT - IT - konsultandid</v>
          </cell>
          <cell r="E80">
            <v>3</v>
          </cell>
          <cell r="F80">
            <v>427</v>
          </cell>
          <cell r="G80">
            <v>398</v>
          </cell>
          <cell r="H80">
            <v>457</v>
          </cell>
        </row>
        <row r="81">
          <cell r="D81" t="str">
            <v>AT - IT - projektijuhtimine</v>
          </cell>
          <cell r="E81">
            <v>1</v>
          </cell>
          <cell r="F81">
            <v>212</v>
          </cell>
          <cell r="G81">
            <v>198</v>
          </cell>
          <cell r="H81">
            <v>227</v>
          </cell>
        </row>
        <row r="82">
          <cell r="D82" t="str">
            <v>AT - IT - projektijuhtimine</v>
          </cell>
          <cell r="E82">
            <v>2</v>
          </cell>
          <cell r="F82">
            <v>281</v>
          </cell>
          <cell r="G82">
            <v>262</v>
          </cell>
          <cell r="H82">
            <v>300</v>
          </cell>
        </row>
        <row r="83">
          <cell r="D83" t="str">
            <v>AT - IT - projektijuhtimine</v>
          </cell>
          <cell r="E83">
            <v>3</v>
          </cell>
          <cell r="F83">
            <v>371</v>
          </cell>
          <cell r="G83">
            <v>346</v>
          </cell>
          <cell r="H83">
            <v>397</v>
          </cell>
        </row>
        <row r="84">
          <cell r="D84" t="str">
            <v>AT - IT - süsteemiadministratsioon</v>
          </cell>
          <cell r="E84">
            <v>1</v>
          </cell>
          <cell r="F84">
            <v>139</v>
          </cell>
          <cell r="G84">
            <v>130</v>
          </cell>
          <cell r="H84">
            <v>149</v>
          </cell>
        </row>
        <row r="85">
          <cell r="D85" t="str">
            <v>AT - IT - süsteemiadministratsioon</v>
          </cell>
          <cell r="E85">
            <v>2</v>
          </cell>
          <cell r="F85">
            <v>212</v>
          </cell>
          <cell r="G85">
            <v>198</v>
          </cell>
          <cell r="H85">
            <v>227</v>
          </cell>
        </row>
        <row r="86">
          <cell r="D86" t="str">
            <v>AT - IT - süsteemiadministratsioon</v>
          </cell>
          <cell r="E86">
            <v>3</v>
          </cell>
          <cell r="F86">
            <v>281</v>
          </cell>
          <cell r="G86">
            <v>262</v>
          </cell>
          <cell r="H86">
            <v>300</v>
          </cell>
        </row>
        <row r="87">
          <cell r="D87" t="str">
            <v>AT - IT - süsteemiadministratsioon</v>
          </cell>
          <cell r="E87">
            <v>4</v>
          </cell>
          <cell r="F87">
            <v>427</v>
          </cell>
          <cell r="G87">
            <v>398</v>
          </cell>
          <cell r="H87">
            <v>457</v>
          </cell>
        </row>
        <row r="88">
          <cell r="D88" t="str">
            <v>AT - IT - süsteemianalüüs</v>
          </cell>
          <cell r="E88">
            <v>1</v>
          </cell>
          <cell r="F88">
            <v>160</v>
          </cell>
          <cell r="G88">
            <v>150</v>
          </cell>
          <cell r="H88">
            <v>171</v>
          </cell>
        </row>
        <row r="89">
          <cell r="D89" t="str">
            <v>AT - IT - süsteemianalüüs</v>
          </cell>
          <cell r="E89">
            <v>2</v>
          </cell>
          <cell r="F89">
            <v>244</v>
          </cell>
          <cell r="G89">
            <v>228</v>
          </cell>
          <cell r="H89">
            <v>261</v>
          </cell>
        </row>
        <row r="90">
          <cell r="D90" t="str">
            <v>AT - IT - süsteemianalüüs</v>
          </cell>
          <cell r="E90">
            <v>3</v>
          </cell>
          <cell r="F90">
            <v>323</v>
          </cell>
          <cell r="G90">
            <v>301</v>
          </cell>
          <cell r="H90">
            <v>345</v>
          </cell>
        </row>
        <row r="91">
          <cell r="D91" t="str">
            <v>AT - IT - süsteemianalüüs</v>
          </cell>
          <cell r="E91">
            <v>4</v>
          </cell>
          <cell r="F91">
            <v>492</v>
          </cell>
          <cell r="G91">
            <v>458</v>
          </cell>
          <cell r="H91">
            <v>526</v>
          </cell>
        </row>
        <row r="92">
          <cell r="D92" t="str">
            <v>AT - IT - süsteemiarhitektuur</v>
          </cell>
          <cell r="E92">
            <v>1</v>
          </cell>
          <cell r="F92">
            <v>323</v>
          </cell>
          <cell r="G92">
            <v>301</v>
          </cell>
          <cell r="H92">
            <v>345</v>
          </cell>
        </row>
        <row r="93">
          <cell r="D93" t="str">
            <v>AT - IT - süsteemiarhitektuur</v>
          </cell>
          <cell r="E93">
            <v>2</v>
          </cell>
          <cell r="F93">
            <v>427</v>
          </cell>
          <cell r="G93">
            <v>398</v>
          </cell>
          <cell r="H93">
            <v>457</v>
          </cell>
        </row>
        <row r="94">
          <cell r="D94" t="str">
            <v>AT - IT - süsteemiarhitektuur</v>
          </cell>
          <cell r="E94">
            <v>3</v>
          </cell>
          <cell r="F94">
            <v>566</v>
          </cell>
          <cell r="G94">
            <v>527</v>
          </cell>
          <cell r="H94">
            <v>605</v>
          </cell>
        </row>
        <row r="95">
          <cell r="D95" t="str">
            <v>AT - IT - tarkvara programmeerimine</v>
          </cell>
          <cell r="E95">
            <v>1</v>
          </cell>
          <cell r="F95">
            <v>160</v>
          </cell>
          <cell r="G95">
            <v>150</v>
          </cell>
          <cell r="H95">
            <v>171</v>
          </cell>
        </row>
        <row r="96">
          <cell r="D96" t="str">
            <v>AT - IT - tarkvara programmeerimine</v>
          </cell>
          <cell r="E96">
            <v>2</v>
          </cell>
          <cell r="F96">
            <v>212</v>
          </cell>
          <cell r="G96">
            <v>198</v>
          </cell>
          <cell r="H96">
            <v>227</v>
          </cell>
        </row>
        <row r="97">
          <cell r="D97" t="str">
            <v>AT - IT - tarkvara programmeerimine</v>
          </cell>
          <cell r="E97">
            <v>3</v>
          </cell>
          <cell r="F97">
            <v>281</v>
          </cell>
          <cell r="G97">
            <v>262</v>
          </cell>
          <cell r="H97">
            <v>300</v>
          </cell>
        </row>
        <row r="98">
          <cell r="D98" t="str">
            <v>AT - IT - tarkvara programmeerimine</v>
          </cell>
          <cell r="E98">
            <v>4</v>
          </cell>
          <cell r="F98">
            <v>427</v>
          </cell>
          <cell r="G98">
            <v>398</v>
          </cell>
          <cell r="H98">
            <v>457</v>
          </cell>
        </row>
        <row r="99">
          <cell r="D99" t="str">
            <v>AT - IT - teenuste tugi</v>
          </cell>
          <cell r="E99">
            <v>1</v>
          </cell>
          <cell r="F99">
            <v>160</v>
          </cell>
          <cell r="G99">
            <v>150</v>
          </cell>
          <cell r="H99">
            <v>171</v>
          </cell>
        </row>
        <row r="100">
          <cell r="D100" t="str">
            <v>AT - IT - teenuste tugi</v>
          </cell>
          <cell r="E100">
            <v>2</v>
          </cell>
          <cell r="F100">
            <v>212</v>
          </cell>
          <cell r="G100">
            <v>198</v>
          </cell>
          <cell r="H100">
            <v>227</v>
          </cell>
        </row>
        <row r="101">
          <cell r="D101" t="str">
            <v>AT - IT - teenuste tugi</v>
          </cell>
          <cell r="E101">
            <v>3</v>
          </cell>
          <cell r="F101">
            <v>281</v>
          </cell>
          <cell r="G101">
            <v>262</v>
          </cell>
          <cell r="H101">
            <v>300</v>
          </cell>
        </row>
        <row r="102">
          <cell r="D102" t="str">
            <v>AT - IT - testimine</v>
          </cell>
          <cell r="E102">
            <v>1</v>
          </cell>
          <cell r="F102">
            <v>121</v>
          </cell>
          <cell r="G102">
            <v>113</v>
          </cell>
          <cell r="H102">
            <v>129</v>
          </cell>
        </row>
        <row r="103">
          <cell r="D103" t="str">
            <v>AT - IT - testimine</v>
          </cell>
          <cell r="E103">
            <v>2</v>
          </cell>
          <cell r="F103">
            <v>160</v>
          </cell>
          <cell r="G103">
            <v>150</v>
          </cell>
          <cell r="H103">
            <v>171</v>
          </cell>
        </row>
        <row r="104">
          <cell r="D104" t="str">
            <v>AT - IT - testimine</v>
          </cell>
          <cell r="E104">
            <v>3</v>
          </cell>
          <cell r="F104">
            <v>212</v>
          </cell>
          <cell r="G104">
            <v>198</v>
          </cell>
          <cell r="H104">
            <v>227</v>
          </cell>
        </row>
        <row r="105">
          <cell r="D105" t="str">
            <v>AT - IT - testimine</v>
          </cell>
          <cell r="E105">
            <v>4</v>
          </cell>
          <cell r="F105">
            <v>281</v>
          </cell>
          <cell r="G105">
            <v>262</v>
          </cell>
          <cell r="H105">
            <v>300</v>
          </cell>
        </row>
        <row r="106">
          <cell r="D106" t="str">
            <v>AT - Kokad</v>
          </cell>
          <cell r="E106">
            <v>1</v>
          </cell>
          <cell r="F106">
            <v>79</v>
          </cell>
          <cell r="G106">
            <v>74</v>
          </cell>
          <cell r="H106">
            <v>84</v>
          </cell>
        </row>
        <row r="107">
          <cell r="D107" t="str">
            <v>AT - Kokad</v>
          </cell>
          <cell r="E107">
            <v>2</v>
          </cell>
          <cell r="F107">
            <v>105</v>
          </cell>
          <cell r="G107">
            <v>98</v>
          </cell>
          <cell r="H107">
            <v>112</v>
          </cell>
        </row>
        <row r="108">
          <cell r="D108" t="str">
            <v>AT - Kokad</v>
          </cell>
          <cell r="E108">
            <v>3</v>
          </cell>
          <cell r="F108">
            <v>160</v>
          </cell>
          <cell r="G108">
            <v>150</v>
          </cell>
          <cell r="H108">
            <v>171</v>
          </cell>
        </row>
        <row r="109">
          <cell r="D109" t="str">
            <v>AT - Kokad</v>
          </cell>
          <cell r="E109">
            <v>4</v>
          </cell>
          <cell r="F109">
            <v>281</v>
          </cell>
          <cell r="G109">
            <v>262</v>
          </cell>
          <cell r="H109">
            <v>300</v>
          </cell>
        </row>
        <row r="110">
          <cell r="D110" t="str">
            <v>AT - Kommunikatsiooni juhtimine</v>
          </cell>
          <cell r="E110">
            <v>1</v>
          </cell>
          <cell r="F110">
            <v>160</v>
          </cell>
          <cell r="G110">
            <v>150</v>
          </cell>
          <cell r="H110">
            <v>171</v>
          </cell>
        </row>
        <row r="111">
          <cell r="D111" t="str">
            <v>AT - Kommunikatsiooni juhtimine</v>
          </cell>
          <cell r="E111">
            <v>2</v>
          </cell>
          <cell r="F111">
            <v>244</v>
          </cell>
          <cell r="G111">
            <v>228</v>
          </cell>
          <cell r="H111">
            <v>261</v>
          </cell>
        </row>
        <row r="112">
          <cell r="D112" t="str">
            <v>AT - Kommunikatsiooni juhtimine</v>
          </cell>
          <cell r="E112">
            <v>3</v>
          </cell>
          <cell r="F112">
            <v>323</v>
          </cell>
          <cell r="G112">
            <v>301</v>
          </cell>
          <cell r="H112">
            <v>345</v>
          </cell>
        </row>
        <row r="113">
          <cell r="D113" t="str">
            <v>AT - Kommunikatsiooni juhtimine</v>
          </cell>
          <cell r="E113">
            <v>4</v>
          </cell>
          <cell r="F113">
            <v>492</v>
          </cell>
          <cell r="G113">
            <v>458</v>
          </cell>
          <cell r="H113">
            <v>526</v>
          </cell>
        </row>
        <row r="114">
          <cell r="D114" t="str">
            <v>AT - Koostöö korraldamine</v>
          </cell>
          <cell r="E114">
            <v>1</v>
          </cell>
          <cell r="F114">
            <v>160</v>
          </cell>
          <cell r="G114">
            <v>150</v>
          </cell>
          <cell r="H114">
            <v>171</v>
          </cell>
        </row>
        <row r="115">
          <cell r="D115" t="str">
            <v>AT - Koostöö korraldamine</v>
          </cell>
          <cell r="E115">
            <v>2</v>
          </cell>
          <cell r="F115">
            <v>212</v>
          </cell>
          <cell r="G115">
            <v>198</v>
          </cell>
          <cell r="H115">
            <v>227</v>
          </cell>
        </row>
        <row r="116">
          <cell r="D116" t="str">
            <v>AT - Koostöö korraldamine</v>
          </cell>
          <cell r="E116">
            <v>3</v>
          </cell>
          <cell r="F116">
            <v>281</v>
          </cell>
          <cell r="G116">
            <v>262</v>
          </cell>
          <cell r="H116">
            <v>300</v>
          </cell>
        </row>
        <row r="117">
          <cell r="D117" t="str">
            <v>AT - Koostöö korraldamine</v>
          </cell>
          <cell r="E117">
            <v>4</v>
          </cell>
          <cell r="F117">
            <v>427</v>
          </cell>
          <cell r="G117">
            <v>398</v>
          </cell>
          <cell r="H117">
            <v>457</v>
          </cell>
        </row>
        <row r="118">
          <cell r="D118" t="str">
            <v>AT - Korra tagamine</v>
          </cell>
          <cell r="E118">
            <v>1</v>
          </cell>
          <cell r="F118">
            <v>105</v>
          </cell>
          <cell r="G118">
            <v>98</v>
          </cell>
          <cell r="H118">
            <v>112</v>
          </cell>
        </row>
        <row r="119">
          <cell r="D119" t="str">
            <v>AT - Korra tagamine</v>
          </cell>
          <cell r="E119">
            <v>2</v>
          </cell>
          <cell r="F119">
            <v>139</v>
          </cell>
          <cell r="G119">
            <v>130</v>
          </cell>
          <cell r="H119">
            <v>149</v>
          </cell>
        </row>
        <row r="120">
          <cell r="D120" t="str">
            <v>AT - Korra tagamine</v>
          </cell>
          <cell r="E120">
            <v>3</v>
          </cell>
          <cell r="F120">
            <v>184</v>
          </cell>
          <cell r="G120">
            <v>172</v>
          </cell>
          <cell r="H120">
            <v>197</v>
          </cell>
        </row>
        <row r="121">
          <cell r="D121" t="str">
            <v>AT - Korra tagamine</v>
          </cell>
          <cell r="E121">
            <v>4</v>
          </cell>
          <cell r="F121">
            <v>212</v>
          </cell>
          <cell r="G121">
            <v>198</v>
          </cell>
          <cell r="H121">
            <v>227</v>
          </cell>
        </row>
        <row r="122">
          <cell r="D122" t="str">
            <v>AT - Korra tagamine</v>
          </cell>
          <cell r="E122">
            <v>5</v>
          </cell>
          <cell r="F122">
            <v>244</v>
          </cell>
          <cell r="G122">
            <v>228</v>
          </cell>
          <cell r="H122">
            <v>261</v>
          </cell>
        </row>
        <row r="123">
          <cell r="D123" t="str">
            <v>AT - Korra tagamine</v>
          </cell>
          <cell r="E123">
            <v>6</v>
          </cell>
          <cell r="F123">
            <v>323</v>
          </cell>
          <cell r="G123">
            <v>301</v>
          </cell>
          <cell r="H123">
            <v>345</v>
          </cell>
        </row>
        <row r="124">
          <cell r="D124" t="str">
            <v>AT - Korra tagamine</v>
          </cell>
          <cell r="E124">
            <v>7</v>
          </cell>
          <cell r="F124">
            <v>427</v>
          </cell>
          <cell r="G124">
            <v>398</v>
          </cell>
          <cell r="H124">
            <v>457</v>
          </cell>
        </row>
        <row r="125">
          <cell r="D125" t="str">
            <v>AT - Kunstilised tööd</v>
          </cell>
          <cell r="E125">
            <v>1</v>
          </cell>
          <cell r="F125">
            <v>139</v>
          </cell>
          <cell r="G125">
            <v>130</v>
          </cell>
          <cell r="H125">
            <v>149</v>
          </cell>
        </row>
        <row r="126">
          <cell r="D126" t="str">
            <v>AT - Kunstilised tööd</v>
          </cell>
          <cell r="E126">
            <v>2</v>
          </cell>
          <cell r="F126">
            <v>184</v>
          </cell>
          <cell r="G126">
            <v>172</v>
          </cell>
          <cell r="H126">
            <v>197</v>
          </cell>
        </row>
        <row r="127">
          <cell r="D127" t="str">
            <v>AT - Laboritööd</v>
          </cell>
          <cell r="E127">
            <v>1</v>
          </cell>
          <cell r="F127">
            <v>79</v>
          </cell>
          <cell r="G127">
            <v>74</v>
          </cell>
          <cell r="H127">
            <v>84</v>
          </cell>
        </row>
        <row r="128">
          <cell r="D128" t="str">
            <v>AT - Laboritööd</v>
          </cell>
          <cell r="E128">
            <v>2</v>
          </cell>
          <cell r="F128">
            <v>121</v>
          </cell>
          <cell r="G128">
            <v>113</v>
          </cell>
          <cell r="H128">
            <v>129</v>
          </cell>
        </row>
        <row r="129">
          <cell r="D129" t="str">
            <v>AT - Laboritööd</v>
          </cell>
          <cell r="E129">
            <v>3</v>
          </cell>
          <cell r="F129">
            <v>184</v>
          </cell>
          <cell r="G129">
            <v>172</v>
          </cell>
          <cell r="H129">
            <v>197</v>
          </cell>
        </row>
        <row r="130">
          <cell r="D130" t="str">
            <v>AT - Laboritööd</v>
          </cell>
          <cell r="E130">
            <v>4</v>
          </cell>
          <cell r="F130">
            <v>244</v>
          </cell>
          <cell r="G130">
            <v>228</v>
          </cell>
          <cell r="H130">
            <v>261</v>
          </cell>
        </row>
        <row r="131">
          <cell r="D131" t="str">
            <v>AT - Laboritööd</v>
          </cell>
          <cell r="E131">
            <v>5</v>
          </cell>
          <cell r="F131">
            <v>323</v>
          </cell>
          <cell r="G131">
            <v>301</v>
          </cell>
          <cell r="H131">
            <v>345</v>
          </cell>
        </row>
        <row r="132">
          <cell r="D132" t="str">
            <v>AT - Ladu</v>
          </cell>
          <cell r="E132">
            <v>1</v>
          </cell>
          <cell r="F132">
            <v>91</v>
          </cell>
          <cell r="G132">
            <v>85</v>
          </cell>
          <cell r="H132">
            <v>97</v>
          </cell>
        </row>
        <row r="133">
          <cell r="D133" t="str">
            <v>AT - Ladu</v>
          </cell>
          <cell r="E133">
            <v>2</v>
          </cell>
          <cell r="F133">
            <v>139</v>
          </cell>
          <cell r="G133">
            <v>130</v>
          </cell>
          <cell r="H133">
            <v>149</v>
          </cell>
        </row>
        <row r="134">
          <cell r="D134" t="str">
            <v>AT - Ladu</v>
          </cell>
          <cell r="E134">
            <v>3</v>
          </cell>
          <cell r="F134">
            <v>184</v>
          </cell>
          <cell r="G134">
            <v>172</v>
          </cell>
          <cell r="H134">
            <v>197</v>
          </cell>
        </row>
        <row r="135">
          <cell r="D135" t="str">
            <v>AT - Ladu</v>
          </cell>
          <cell r="E135">
            <v>4</v>
          </cell>
          <cell r="F135">
            <v>323</v>
          </cell>
          <cell r="G135">
            <v>301</v>
          </cell>
          <cell r="H135">
            <v>345</v>
          </cell>
        </row>
        <row r="136">
          <cell r="D136" t="str">
            <v>AT - Laevameeskond</v>
          </cell>
          <cell r="E136">
            <v>1</v>
          </cell>
          <cell r="F136">
            <v>91</v>
          </cell>
          <cell r="G136">
            <v>85</v>
          </cell>
          <cell r="H136">
            <v>97</v>
          </cell>
        </row>
        <row r="137">
          <cell r="D137" t="str">
            <v>AT - Laevameeskond</v>
          </cell>
          <cell r="E137">
            <v>2</v>
          </cell>
          <cell r="F137">
            <v>139</v>
          </cell>
          <cell r="G137">
            <v>130</v>
          </cell>
          <cell r="H137">
            <v>149</v>
          </cell>
        </row>
        <row r="138">
          <cell r="D138" t="str">
            <v>AT - Laevameeskond</v>
          </cell>
          <cell r="E138">
            <v>3</v>
          </cell>
          <cell r="F138">
            <v>160</v>
          </cell>
          <cell r="G138">
            <v>150</v>
          </cell>
          <cell r="H138">
            <v>171</v>
          </cell>
        </row>
        <row r="139">
          <cell r="D139" t="str">
            <v>AT - Laevameeskond</v>
          </cell>
          <cell r="E139" t="str">
            <v>4A</v>
          </cell>
          <cell r="F139">
            <v>184</v>
          </cell>
          <cell r="G139">
            <v>172</v>
          </cell>
          <cell r="H139">
            <v>197</v>
          </cell>
        </row>
        <row r="140">
          <cell r="D140" t="str">
            <v>AT - Laevameeskond</v>
          </cell>
          <cell r="E140" t="str">
            <v>4B</v>
          </cell>
          <cell r="F140">
            <v>212</v>
          </cell>
          <cell r="G140">
            <v>198</v>
          </cell>
          <cell r="H140">
            <v>227</v>
          </cell>
        </row>
        <row r="141">
          <cell r="D141" t="str">
            <v>AT - Laevameeskond</v>
          </cell>
          <cell r="E141" t="str">
            <v>4C</v>
          </cell>
          <cell r="F141">
            <v>244</v>
          </cell>
          <cell r="G141">
            <v>228</v>
          </cell>
          <cell r="H141">
            <v>261</v>
          </cell>
        </row>
        <row r="142">
          <cell r="D142" t="str">
            <v>AT - Laevameeskond</v>
          </cell>
          <cell r="E142" t="str">
            <v>5A</v>
          </cell>
          <cell r="F142">
            <v>281</v>
          </cell>
          <cell r="G142">
            <v>262</v>
          </cell>
          <cell r="H142">
            <v>300</v>
          </cell>
        </row>
        <row r="143">
          <cell r="D143" t="str">
            <v>AT - Laevameeskond</v>
          </cell>
          <cell r="E143" t="str">
            <v>5B</v>
          </cell>
          <cell r="F143">
            <v>323</v>
          </cell>
          <cell r="G143">
            <v>301</v>
          </cell>
          <cell r="H143">
            <v>345</v>
          </cell>
        </row>
        <row r="144">
          <cell r="D144" t="str">
            <v>AT - Laevameeskond</v>
          </cell>
          <cell r="E144" t="str">
            <v>5C</v>
          </cell>
          <cell r="F144">
            <v>371</v>
          </cell>
          <cell r="G144">
            <v>346</v>
          </cell>
          <cell r="H144">
            <v>397</v>
          </cell>
        </row>
        <row r="145">
          <cell r="D145" t="str">
            <v>AT - Logistika</v>
          </cell>
          <cell r="E145">
            <v>1</v>
          </cell>
          <cell r="F145">
            <v>121</v>
          </cell>
          <cell r="G145">
            <v>113</v>
          </cell>
          <cell r="H145">
            <v>129</v>
          </cell>
        </row>
        <row r="146">
          <cell r="D146" t="str">
            <v>AT - Logistika</v>
          </cell>
          <cell r="E146">
            <v>2</v>
          </cell>
          <cell r="F146">
            <v>184</v>
          </cell>
          <cell r="G146">
            <v>172</v>
          </cell>
          <cell r="H146">
            <v>197</v>
          </cell>
        </row>
        <row r="147">
          <cell r="D147" t="str">
            <v>AT - Logistika</v>
          </cell>
          <cell r="E147">
            <v>3</v>
          </cell>
          <cell r="F147">
            <v>244</v>
          </cell>
          <cell r="G147">
            <v>228</v>
          </cell>
          <cell r="H147">
            <v>261</v>
          </cell>
        </row>
        <row r="148">
          <cell r="D148" t="str">
            <v>AT - Logistika</v>
          </cell>
          <cell r="E148">
            <v>4</v>
          </cell>
          <cell r="F148">
            <v>371</v>
          </cell>
          <cell r="G148">
            <v>346</v>
          </cell>
          <cell r="H148">
            <v>397</v>
          </cell>
        </row>
        <row r="149">
          <cell r="D149" t="str">
            <v>AT - Logistika</v>
          </cell>
          <cell r="E149">
            <v>5</v>
          </cell>
          <cell r="F149">
            <v>492</v>
          </cell>
          <cell r="G149">
            <v>458</v>
          </cell>
          <cell r="H149">
            <v>526</v>
          </cell>
        </row>
        <row r="150">
          <cell r="D150" t="str">
            <v>AT - Meditsiin</v>
          </cell>
          <cell r="E150">
            <v>1</v>
          </cell>
          <cell r="F150">
            <v>91</v>
          </cell>
          <cell r="G150">
            <v>85</v>
          </cell>
          <cell r="H150">
            <v>97</v>
          </cell>
        </row>
        <row r="151">
          <cell r="D151" t="str">
            <v>AT - Meditsiin</v>
          </cell>
          <cell r="E151">
            <v>2</v>
          </cell>
          <cell r="F151">
            <v>139</v>
          </cell>
          <cell r="G151">
            <v>130</v>
          </cell>
          <cell r="H151">
            <v>149</v>
          </cell>
        </row>
        <row r="152">
          <cell r="D152" t="str">
            <v>AT - Meditsiin</v>
          </cell>
          <cell r="E152">
            <v>3</v>
          </cell>
          <cell r="F152">
            <v>244</v>
          </cell>
          <cell r="G152">
            <v>228</v>
          </cell>
          <cell r="H152">
            <v>261</v>
          </cell>
        </row>
        <row r="153">
          <cell r="D153" t="str">
            <v>AT - Meditsiin</v>
          </cell>
          <cell r="E153">
            <v>4</v>
          </cell>
          <cell r="F153">
            <v>371</v>
          </cell>
          <cell r="G153">
            <v>346</v>
          </cell>
          <cell r="H153">
            <v>397</v>
          </cell>
        </row>
        <row r="154">
          <cell r="D154" t="str">
            <v>AT - Muuseumitööd</v>
          </cell>
          <cell r="E154">
            <v>1</v>
          </cell>
          <cell r="F154">
            <v>212</v>
          </cell>
          <cell r="G154">
            <v>198</v>
          </cell>
          <cell r="H154">
            <v>227</v>
          </cell>
        </row>
        <row r="155">
          <cell r="D155" t="str">
            <v>AT - Muuseumitööd</v>
          </cell>
          <cell r="E155">
            <v>2</v>
          </cell>
          <cell r="F155">
            <v>281</v>
          </cell>
          <cell r="G155">
            <v>262</v>
          </cell>
          <cell r="H155">
            <v>300</v>
          </cell>
        </row>
        <row r="156">
          <cell r="D156" t="str">
            <v>AT - Muuseumitööd</v>
          </cell>
          <cell r="E156">
            <v>3</v>
          </cell>
          <cell r="F156">
            <v>427</v>
          </cell>
          <cell r="G156">
            <v>398</v>
          </cell>
          <cell r="H156">
            <v>457</v>
          </cell>
        </row>
        <row r="157">
          <cell r="D157" t="str">
            <v>AT - Muusikud</v>
          </cell>
          <cell r="E157">
            <v>1</v>
          </cell>
          <cell r="F157">
            <v>160</v>
          </cell>
          <cell r="G157">
            <v>150</v>
          </cell>
          <cell r="H157">
            <v>171</v>
          </cell>
        </row>
        <row r="158">
          <cell r="D158" t="str">
            <v>AT - Muusikud</v>
          </cell>
          <cell r="E158">
            <v>2</v>
          </cell>
          <cell r="F158">
            <v>244</v>
          </cell>
          <cell r="G158">
            <v>228</v>
          </cell>
          <cell r="H158">
            <v>261</v>
          </cell>
        </row>
        <row r="159">
          <cell r="D159" t="str">
            <v>AT - Nõustav ja kontrolliv järelevalve</v>
          </cell>
          <cell r="E159">
            <v>1</v>
          </cell>
          <cell r="F159">
            <v>121</v>
          </cell>
          <cell r="G159">
            <v>113</v>
          </cell>
          <cell r="H159">
            <v>129</v>
          </cell>
        </row>
        <row r="160">
          <cell r="D160" t="str">
            <v>AT - Nõustav ja kontrolliv järelevalve</v>
          </cell>
          <cell r="E160" t="str">
            <v>2A</v>
          </cell>
          <cell r="F160">
            <v>184</v>
          </cell>
          <cell r="G160">
            <v>172</v>
          </cell>
          <cell r="H160">
            <v>197</v>
          </cell>
        </row>
        <row r="161">
          <cell r="D161" t="str">
            <v>AT - Nõustav ja kontrolliv järelevalve</v>
          </cell>
          <cell r="E161" t="str">
            <v>2B</v>
          </cell>
          <cell r="F161">
            <v>212</v>
          </cell>
          <cell r="G161">
            <v>198</v>
          </cell>
          <cell r="H161">
            <v>227</v>
          </cell>
        </row>
        <row r="162">
          <cell r="D162" t="str">
            <v>AT - Nõustav ja kontrolliv järelevalve</v>
          </cell>
          <cell r="E162" t="str">
            <v>3A</v>
          </cell>
          <cell r="F162">
            <v>244</v>
          </cell>
          <cell r="G162">
            <v>228</v>
          </cell>
          <cell r="H162">
            <v>261</v>
          </cell>
        </row>
        <row r="163">
          <cell r="D163" t="str">
            <v>AT - Nõustav ja kontrolliv järelevalve</v>
          </cell>
          <cell r="E163" t="str">
            <v>3B</v>
          </cell>
          <cell r="F163">
            <v>281</v>
          </cell>
          <cell r="G163">
            <v>262</v>
          </cell>
          <cell r="H163">
            <v>300</v>
          </cell>
        </row>
        <row r="164">
          <cell r="D164" t="str">
            <v>AT - Nõustav ja kontrolliv järelevalve</v>
          </cell>
          <cell r="E164">
            <v>4</v>
          </cell>
          <cell r="F164">
            <v>323</v>
          </cell>
          <cell r="G164">
            <v>301</v>
          </cell>
          <cell r="H164">
            <v>345</v>
          </cell>
        </row>
        <row r="165">
          <cell r="D165" t="str">
            <v>AT - Nõustav ja kontrolliv järelevalve</v>
          </cell>
          <cell r="E165">
            <v>5</v>
          </cell>
          <cell r="F165">
            <v>371</v>
          </cell>
          <cell r="G165">
            <v>346</v>
          </cell>
          <cell r="H165">
            <v>397</v>
          </cell>
        </row>
        <row r="166">
          <cell r="D166" t="str">
            <v>AT - Nõustav ja kontrolliv järelevalve</v>
          </cell>
          <cell r="E166">
            <v>6</v>
          </cell>
          <cell r="F166">
            <v>427</v>
          </cell>
          <cell r="G166">
            <v>398</v>
          </cell>
          <cell r="H166">
            <v>457</v>
          </cell>
        </row>
        <row r="167">
          <cell r="D167" t="str">
            <v>AT - Operatiivinfo juhtimine</v>
          </cell>
          <cell r="E167">
            <v>1</v>
          </cell>
          <cell r="F167">
            <v>121</v>
          </cell>
          <cell r="G167">
            <v>113</v>
          </cell>
          <cell r="H167">
            <v>129</v>
          </cell>
        </row>
        <row r="168">
          <cell r="D168" t="str">
            <v>AT - Operatiivinfo juhtimine</v>
          </cell>
          <cell r="E168">
            <v>2</v>
          </cell>
          <cell r="F168">
            <v>160</v>
          </cell>
          <cell r="G168">
            <v>150</v>
          </cell>
          <cell r="H168">
            <v>171</v>
          </cell>
        </row>
        <row r="169">
          <cell r="D169" t="str">
            <v>AT - Operatiivinfo juhtimine</v>
          </cell>
          <cell r="E169" t="str">
            <v>3A</v>
          </cell>
          <cell r="F169">
            <v>244</v>
          </cell>
          <cell r="G169">
            <v>228</v>
          </cell>
          <cell r="H169">
            <v>261</v>
          </cell>
        </row>
        <row r="170">
          <cell r="D170" t="str">
            <v>AT - Operatiivinfo juhtimine</v>
          </cell>
          <cell r="E170" t="str">
            <v>3B</v>
          </cell>
          <cell r="F170">
            <v>244</v>
          </cell>
          <cell r="G170">
            <v>228</v>
          </cell>
          <cell r="H170">
            <v>261</v>
          </cell>
        </row>
        <row r="171">
          <cell r="D171" t="str">
            <v>AT - Operatiivinfo juhtimine</v>
          </cell>
          <cell r="E171">
            <v>4</v>
          </cell>
          <cell r="F171">
            <v>323</v>
          </cell>
          <cell r="G171">
            <v>301</v>
          </cell>
          <cell r="H171">
            <v>345</v>
          </cell>
        </row>
        <row r="172">
          <cell r="D172" t="str">
            <v>AT - Operatiivinfo juhtimine</v>
          </cell>
          <cell r="E172">
            <v>5</v>
          </cell>
          <cell r="F172">
            <v>492</v>
          </cell>
          <cell r="G172">
            <v>458</v>
          </cell>
          <cell r="H172">
            <v>526</v>
          </cell>
        </row>
        <row r="173">
          <cell r="D173" t="str">
            <v>AT - Organisatsiooni protsessid (tegevustõhusus ja kvaliteet)</v>
          </cell>
          <cell r="E173">
            <v>1</v>
          </cell>
          <cell r="F173">
            <v>139</v>
          </cell>
          <cell r="G173">
            <v>130</v>
          </cell>
          <cell r="H173">
            <v>149</v>
          </cell>
        </row>
        <row r="174">
          <cell r="D174" t="str">
            <v>AT - Organisatsiooni protsessid (tegevustõhusus ja kvaliteet)</v>
          </cell>
          <cell r="E174">
            <v>2</v>
          </cell>
          <cell r="F174">
            <v>184</v>
          </cell>
          <cell r="G174">
            <v>172</v>
          </cell>
          <cell r="H174">
            <v>197</v>
          </cell>
        </row>
        <row r="175">
          <cell r="D175" t="str">
            <v>AT - Organisatsiooni protsessid (tegevustõhusus ja kvaliteet)</v>
          </cell>
          <cell r="E175">
            <v>3</v>
          </cell>
          <cell r="F175">
            <v>244</v>
          </cell>
          <cell r="G175">
            <v>228</v>
          </cell>
          <cell r="H175">
            <v>261</v>
          </cell>
        </row>
        <row r="176">
          <cell r="D176" t="str">
            <v>AT - Organisatsiooni protsessid (tegevustõhusus ja kvaliteet)</v>
          </cell>
          <cell r="E176">
            <v>4</v>
          </cell>
          <cell r="F176">
            <v>323</v>
          </cell>
          <cell r="G176">
            <v>301</v>
          </cell>
          <cell r="H176">
            <v>345</v>
          </cell>
        </row>
        <row r="177">
          <cell r="D177" t="str">
            <v>AT - Organisatsiooni protsessid (tegevustõhusus ja kvaliteet)</v>
          </cell>
          <cell r="E177">
            <v>5</v>
          </cell>
          <cell r="F177">
            <v>427</v>
          </cell>
          <cell r="G177">
            <v>398</v>
          </cell>
          <cell r="H177">
            <v>457</v>
          </cell>
        </row>
        <row r="178">
          <cell r="D178" t="str">
            <v>AT - Oskustööd</v>
          </cell>
          <cell r="E178">
            <v>1</v>
          </cell>
          <cell r="F178">
            <v>105</v>
          </cell>
          <cell r="G178">
            <v>98</v>
          </cell>
          <cell r="H178">
            <v>112</v>
          </cell>
        </row>
        <row r="179">
          <cell r="D179" t="str">
            <v>AT - Oskustööd</v>
          </cell>
          <cell r="E179">
            <v>2</v>
          </cell>
          <cell r="F179">
            <v>139</v>
          </cell>
          <cell r="G179">
            <v>130</v>
          </cell>
          <cell r="H179">
            <v>149</v>
          </cell>
        </row>
        <row r="180">
          <cell r="D180" t="str">
            <v>AT - Oskustööd</v>
          </cell>
          <cell r="E180">
            <v>3</v>
          </cell>
          <cell r="F180">
            <v>184</v>
          </cell>
          <cell r="G180">
            <v>172</v>
          </cell>
          <cell r="H180">
            <v>197</v>
          </cell>
        </row>
        <row r="181">
          <cell r="D181" t="str">
            <v>AT - Oskustööd</v>
          </cell>
          <cell r="E181">
            <v>4</v>
          </cell>
          <cell r="F181">
            <v>212</v>
          </cell>
          <cell r="G181">
            <v>198</v>
          </cell>
          <cell r="H181">
            <v>227</v>
          </cell>
        </row>
        <row r="182">
          <cell r="D182" t="str">
            <v>AT - Personalijuhtimine</v>
          </cell>
          <cell r="E182">
            <v>1</v>
          </cell>
          <cell r="F182">
            <v>121</v>
          </cell>
          <cell r="G182">
            <v>113</v>
          </cell>
          <cell r="H182">
            <v>129</v>
          </cell>
        </row>
        <row r="183">
          <cell r="D183" t="str">
            <v>AT - Personalijuhtimine</v>
          </cell>
          <cell r="E183">
            <v>2</v>
          </cell>
          <cell r="F183">
            <v>184</v>
          </cell>
          <cell r="G183">
            <v>172</v>
          </cell>
          <cell r="H183">
            <v>197</v>
          </cell>
        </row>
        <row r="184">
          <cell r="D184" t="str">
            <v>AT - Personalijuhtimine</v>
          </cell>
          <cell r="E184">
            <v>3</v>
          </cell>
          <cell r="F184">
            <v>244</v>
          </cell>
          <cell r="G184">
            <v>228</v>
          </cell>
          <cell r="H184">
            <v>261</v>
          </cell>
        </row>
        <row r="185">
          <cell r="D185" t="str">
            <v>AT - Personalijuhtimine</v>
          </cell>
          <cell r="E185">
            <v>4</v>
          </cell>
          <cell r="F185">
            <v>323</v>
          </cell>
          <cell r="G185">
            <v>301</v>
          </cell>
          <cell r="H185">
            <v>345</v>
          </cell>
        </row>
        <row r="186">
          <cell r="D186" t="str">
            <v>AT - Personalijuhtimine</v>
          </cell>
          <cell r="E186">
            <v>5</v>
          </cell>
          <cell r="F186">
            <v>427</v>
          </cell>
          <cell r="G186">
            <v>398</v>
          </cell>
          <cell r="H186">
            <v>457</v>
          </cell>
        </row>
        <row r="187">
          <cell r="D187" t="str">
            <v>AT - Personalijuhtimine</v>
          </cell>
          <cell r="E187">
            <v>6</v>
          </cell>
          <cell r="F187">
            <v>492</v>
          </cell>
          <cell r="G187">
            <v>458</v>
          </cell>
          <cell r="H187">
            <v>526</v>
          </cell>
        </row>
        <row r="188">
          <cell r="D188" t="str">
            <v>AT - Piloodid</v>
          </cell>
          <cell r="E188">
            <v>1</v>
          </cell>
          <cell r="F188">
            <v>212</v>
          </cell>
          <cell r="G188">
            <v>198</v>
          </cell>
          <cell r="H188">
            <v>227</v>
          </cell>
        </row>
        <row r="189">
          <cell r="D189" t="str">
            <v>AT - Piloodid</v>
          </cell>
          <cell r="E189">
            <v>2</v>
          </cell>
          <cell r="F189">
            <v>281</v>
          </cell>
          <cell r="G189">
            <v>262</v>
          </cell>
          <cell r="H189">
            <v>300</v>
          </cell>
        </row>
        <row r="190">
          <cell r="D190" t="str">
            <v>AT - Poliitika rakendamine</v>
          </cell>
          <cell r="E190">
            <v>1</v>
          </cell>
          <cell r="F190">
            <v>160</v>
          </cell>
          <cell r="G190">
            <v>150</v>
          </cell>
          <cell r="H190">
            <v>171</v>
          </cell>
        </row>
        <row r="191">
          <cell r="D191" t="str">
            <v>AT - Poliitika rakendamine</v>
          </cell>
          <cell r="E191">
            <v>2</v>
          </cell>
          <cell r="F191">
            <v>212</v>
          </cell>
          <cell r="G191">
            <v>198</v>
          </cell>
          <cell r="H191">
            <v>227</v>
          </cell>
        </row>
        <row r="192">
          <cell r="D192" t="str">
            <v>AT - Poliitika rakendamine</v>
          </cell>
          <cell r="E192">
            <v>3</v>
          </cell>
          <cell r="F192">
            <v>281</v>
          </cell>
          <cell r="G192">
            <v>262</v>
          </cell>
          <cell r="H192">
            <v>300</v>
          </cell>
        </row>
        <row r="193">
          <cell r="D193" t="str">
            <v>AT - Poliitika rakendamine</v>
          </cell>
          <cell r="E193">
            <v>4</v>
          </cell>
          <cell r="F193">
            <v>323</v>
          </cell>
          <cell r="G193">
            <v>301</v>
          </cell>
          <cell r="H193">
            <v>345</v>
          </cell>
        </row>
        <row r="194">
          <cell r="D194" t="str">
            <v>AT - Poliitika rakendamine</v>
          </cell>
          <cell r="E194">
            <v>5</v>
          </cell>
          <cell r="F194">
            <v>427</v>
          </cell>
          <cell r="G194">
            <v>398</v>
          </cell>
          <cell r="H194">
            <v>457</v>
          </cell>
        </row>
        <row r="195">
          <cell r="D195" t="str">
            <v>AT - Poliitika rakendamine</v>
          </cell>
          <cell r="E195">
            <v>6</v>
          </cell>
          <cell r="F195">
            <v>492</v>
          </cell>
          <cell r="G195">
            <v>458</v>
          </cell>
          <cell r="H195">
            <v>526</v>
          </cell>
        </row>
        <row r="196">
          <cell r="D196" t="str">
            <v>AT - Poliitika rakendamine</v>
          </cell>
          <cell r="E196">
            <v>7</v>
          </cell>
          <cell r="F196">
            <v>566</v>
          </cell>
          <cell r="G196">
            <v>527</v>
          </cell>
          <cell r="H196">
            <v>605</v>
          </cell>
        </row>
        <row r="197">
          <cell r="D197" t="str">
            <v>AT - Projektijuhtimine</v>
          </cell>
          <cell r="E197">
            <v>1</v>
          </cell>
          <cell r="F197">
            <v>160</v>
          </cell>
          <cell r="G197">
            <v>150</v>
          </cell>
          <cell r="H197">
            <v>171</v>
          </cell>
        </row>
        <row r="198">
          <cell r="D198" t="str">
            <v>AT - Projektijuhtimine</v>
          </cell>
          <cell r="E198">
            <v>2</v>
          </cell>
          <cell r="F198">
            <v>212</v>
          </cell>
          <cell r="G198">
            <v>198</v>
          </cell>
          <cell r="H198">
            <v>227</v>
          </cell>
        </row>
        <row r="199">
          <cell r="D199" t="str">
            <v>AT - Projektijuhtimine</v>
          </cell>
          <cell r="E199">
            <v>3</v>
          </cell>
          <cell r="F199">
            <v>323</v>
          </cell>
          <cell r="G199">
            <v>301</v>
          </cell>
          <cell r="H199">
            <v>345</v>
          </cell>
        </row>
        <row r="200">
          <cell r="D200" t="str">
            <v>AT - Projektijuhtimine</v>
          </cell>
          <cell r="E200">
            <v>4</v>
          </cell>
          <cell r="F200">
            <v>427</v>
          </cell>
          <cell r="G200">
            <v>398</v>
          </cell>
          <cell r="H200">
            <v>457</v>
          </cell>
        </row>
        <row r="201">
          <cell r="D201" t="str">
            <v>AT - Päästetööd</v>
          </cell>
          <cell r="E201">
            <v>1</v>
          </cell>
          <cell r="F201">
            <v>139</v>
          </cell>
          <cell r="G201">
            <v>130</v>
          </cell>
          <cell r="H201">
            <v>149</v>
          </cell>
        </row>
        <row r="202">
          <cell r="D202" t="str">
            <v>AT - Päästetööd</v>
          </cell>
          <cell r="E202">
            <v>2</v>
          </cell>
          <cell r="F202">
            <v>184</v>
          </cell>
          <cell r="G202">
            <v>172</v>
          </cell>
          <cell r="H202">
            <v>197</v>
          </cell>
        </row>
        <row r="203">
          <cell r="D203" t="str">
            <v>AT - Päästetööd</v>
          </cell>
          <cell r="E203">
            <v>3</v>
          </cell>
          <cell r="F203">
            <v>212</v>
          </cell>
          <cell r="G203">
            <v>198</v>
          </cell>
          <cell r="H203">
            <v>227</v>
          </cell>
        </row>
        <row r="204">
          <cell r="D204" t="str">
            <v>AT - Päästetööd</v>
          </cell>
          <cell r="E204">
            <v>4</v>
          </cell>
          <cell r="F204">
            <v>244</v>
          </cell>
          <cell r="G204">
            <v>228</v>
          </cell>
          <cell r="H204">
            <v>261</v>
          </cell>
        </row>
        <row r="205">
          <cell r="D205" t="str">
            <v>AT - Päästetööd</v>
          </cell>
          <cell r="E205">
            <v>5</v>
          </cell>
          <cell r="F205">
            <v>323</v>
          </cell>
          <cell r="G205">
            <v>301</v>
          </cell>
          <cell r="H205">
            <v>345</v>
          </cell>
        </row>
        <row r="206">
          <cell r="D206" t="str">
            <v>AT - Päästetööd</v>
          </cell>
          <cell r="E206">
            <v>6</v>
          </cell>
          <cell r="F206">
            <v>427</v>
          </cell>
          <cell r="G206">
            <v>398</v>
          </cell>
          <cell r="H206">
            <v>457</v>
          </cell>
        </row>
        <row r="207">
          <cell r="D207" t="str">
            <v>AT - Raamatukogu</v>
          </cell>
          <cell r="E207">
            <v>1</v>
          </cell>
          <cell r="F207">
            <v>121</v>
          </cell>
          <cell r="G207">
            <v>113</v>
          </cell>
          <cell r="H207">
            <v>129</v>
          </cell>
        </row>
        <row r="208">
          <cell r="D208" t="str">
            <v>AT - Raamatukogu</v>
          </cell>
          <cell r="E208">
            <v>2</v>
          </cell>
          <cell r="F208">
            <v>184</v>
          </cell>
          <cell r="G208">
            <v>172</v>
          </cell>
          <cell r="H208">
            <v>197</v>
          </cell>
        </row>
        <row r="209">
          <cell r="D209" t="str">
            <v>AT - Raamatukogu</v>
          </cell>
          <cell r="E209">
            <v>3</v>
          </cell>
          <cell r="F209">
            <v>244</v>
          </cell>
          <cell r="G209">
            <v>228</v>
          </cell>
          <cell r="H209">
            <v>261</v>
          </cell>
        </row>
        <row r="210">
          <cell r="D210" t="str">
            <v>AT - Raamatukogu</v>
          </cell>
          <cell r="E210">
            <v>4</v>
          </cell>
          <cell r="F210">
            <v>427</v>
          </cell>
          <cell r="G210">
            <v>398</v>
          </cell>
          <cell r="H210">
            <v>457</v>
          </cell>
        </row>
        <row r="211">
          <cell r="D211" t="str">
            <v>AT - Raamatupidamine</v>
          </cell>
          <cell r="E211">
            <v>1</v>
          </cell>
          <cell r="F211">
            <v>105</v>
          </cell>
          <cell r="G211">
            <v>98</v>
          </cell>
          <cell r="H211">
            <v>112</v>
          </cell>
        </row>
        <row r="212">
          <cell r="D212" t="str">
            <v>AT - Raamatupidamine</v>
          </cell>
          <cell r="E212">
            <v>2</v>
          </cell>
          <cell r="F212">
            <v>184</v>
          </cell>
          <cell r="G212">
            <v>172</v>
          </cell>
          <cell r="H212">
            <v>197</v>
          </cell>
        </row>
        <row r="213">
          <cell r="D213" t="str">
            <v>AT - Raamatupidamine</v>
          </cell>
          <cell r="E213">
            <v>3</v>
          </cell>
          <cell r="F213">
            <v>244</v>
          </cell>
          <cell r="G213">
            <v>228</v>
          </cell>
          <cell r="H213">
            <v>261</v>
          </cell>
        </row>
        <row r="214">
          <cell r="D214" t="str">
            <v>AT - Raamatupidamine</v>
          </cell>
          <cell r="E214">
            <v>4</v>
          </cell>
          <cell r="F214">
            <v>371</v>
          </cell>
          <cell r="G214">
            <v>346</v>
          </cell>
          <cell r="H214">
            <v>397</v>
          </cell>
        </row>
        <row r="215">
          <cell r="D215" t="str">
            <v>AT - Raamatupidamine</v>
          </cell>
          <cell r="E215">
            <v>5</v>
          </cell>
          <cell r="F215">
            <v>492</v>
          </cell>
          <cell r="G215">
            <v>458</v>
          </cell>
          <cell r="H215">
            <v>526</v>
          </cell>
        </row>
        <row r="216">
          <cell r="D216" t="str">
            <v>AT - Registripidamine</v>
          </cell>
          <cell r="E216">
            <v>1</v>
          </cell>
          <cell r="F216">
            <v>121</v>
          </cell>
          <cell r="G216">
            <v>113</v>
          </cell>
          <cell r="H216">
            <v>129</v>
          </cell>
        </row>
        <row r="217">
          <cell r="D217" t="str">
            <v>AT - Registripidamine</v>
          </cell>
          <cell r="E217">
            <v>2</v>
          </cell>
          <cell r="F217">
            <v>184</v>
          </cell>
          <cell r="G217">
            <v>172</v>
          </cell>
          <cell r="H217">
            <v>197</v>
          </cell>
        </row>
        <row r="218">
          <cell r="D218" t="str">
            <v>AT - Registripidamine</v>
          </cell>
          <cell r="E218">
            <v>3</v>
          </cell>
          <cell r="F218">
            <v>212</v>
          </cell>
          <cell r="G218">
            <v>198</v>
          </cell>
          <cell r="H218">
            <v>227</v>
          </cell>
        </row>
        <row r="219">
          <cell r="D219" t="str">
            <v>AT - Registripidamine</v>
          </cell>
          <cell r="E219">
            <v>4</v>
          </cell>
          <cell r="F219">
            <v>281</v>
          </cell>
          <cell r="G219">
            <v>262</v>
          </cell>
          <cell r="H219">
            <v>300</v>
          </cell>
        </row>
        <row r="220">
          <cell r="D220" t="str">
            <v>AT - Registripidamine</v>
          </cell>
          <cell r="E220">
            <v>5</v>
          </cell>
          <cell r="F220">
            <v>427</v>
          </cell>
          <cell r="G220">
            <v>398</v>
          </cell>
          <cell r="H220">
            <v>457</v>
          </cell>
        </row>
        <row r="221">
          <cell r="D221" t="str">
            <v>AT - Riigihange</v>
          </cell>
          <cell r="E221">
            <v>1</v>
          </cell>
          <cell r="F221">
            <v>121</v>
          </cell>
          <cell r="G221">
            <v>113</v>
          </cell>
          <cell r="H221">
            <v>129</v>
          </cell>
        </row>
        <row r="222">
          <cell r="D222" t="str">
            <v>AT - Riigihange</v>
          </cell>
          <cell r="E222">
            <v>2</v>
          </cell>
          <cell r="F222">
            <v>212</v>
          </cell>
          <cell r="G222">
            <v>198</v>
          </cell>
          <cell r="H222">
            <v>227</v>
          </cell>
        </row>
        <row r="223">
          <cell r="D223" t="str">
            <v>AT - Riigihange</v>
          </cell>
          <cell r="E223">
            <v>3</v>
          </cell>
          <cell r="F223">
            <v>281</v>
          </cell>
          <cell r="G223">
            <v>262</v>
          </cell>
          <cell r="H223">
            <v>300</v>
          </cell>
        </row>
        <row r="224">
          <cell r="D224" t="str">
            <v>AT - Riigihange</v>
          </cell>
          <cell r="E224" t="str">
            <v>4A</v>
          </cell>
          <cell r="F224">
            <v>323</v>
          </cell>
          <cell r="G224">
            <v>301</v>
          </cell>
          <cell r="H224">
            <v>345</v>
          </cell>
        </row>
        <row r="225">
          <cell r="D225" t="str">
            <v>AT - Riigihange</v>
          </cell>
          <cell r="E225" t="str">
            <v>4B</v>
          </cell>
          <cell r="F225">
            <v>323</v>
          </cell>
          <cell r="G225">
            <v>301</v>
          </cell>
          <cell r="H225">
            <v>345</v>
          </cell>
        </row>
        <row r="226">
          <cell r="D226" t="str">
            <v>AT - Riigihange</v>
          </cell>
          <cell r="E226">
            <v>5</v>
          </cell>
          <cell r="F226">
            <v>427</v>
          </cell>
          <cell r="G226">
            <v>398</v>
          </cell>
          <cell r="H226">
            <v>457</v>
          </cell>
        </row>
        <row r="227">
          <cell r="D227" t="str">
            <v>AT - Riigikaitse</v>
          </cell>
          <cell r="E227" t="str">
            <v>1A</v>
          </cell>
          <cell r="F227">
            <v>105</v>
          </cell>
          <cell r="G227">
            <v>98</v>
          </cell>
          <cell r="H227">
            <v>112</v>
          </cell>
        </row>
        <row r="228">
          <cell r="D228" t="str">
            <v>AT - Riigikaitse</v>
          </cell>
          <cell r="E228" t="str">
            <v>1B</v>
          </cell>
          <cell r="F228">
            <v>121</v>
          </cell>
          <cell r="G228">
            <v>113</v>
          </cell>
          <cell r="H228">
            <v>129</v>
          </cell>
        </row>
        <row r="229">
          <cell r="D229" t="str">
            <v>AT - Riigikaitse</v>
          </cell>
          <cell r="E229">
            <v>2</v>
          </cell>
          <cell r="F229">
            <v>139</v>
          </cell>
          <cell r="G229">
            <v>130</v>
          </cell>
          <cell r="H229">
            <v>149</v>
          </cell>
        </row>
        <row r="230">
          <cell r="D230" t="str">
            <v>AT - Riigikaitse</v>
          </cell>
          <cell r="E230" t="str">
            <v>3A</v>
          </cell>
          <cell r="F230">
            <v>184</v>
          </cell>
          <cell r="G230">
            <v>172</v>
          </cell>
          <cell r="H230">
            <v>197</v>
          </cell>
        </row>
        <row r="231">
          <cell r="D231" t="str">
            <v>AT - Riigikaitse</v>
          </cell>
          <cell r="E231" t="str">
            <v>3B</v>
          </cell>
          <cell r="F231">
            <v>212</v>
          </cell>
          <cell r="G231">
            <v>198</v>
          </cell>
          <cell r="H231">
            <v>227</v>
          </cell>
        </row>
        <row r="232">
          <cell r="D232" t="str">
            <v>AT - Riigikaitse</v>
          </cell>
          <cell r="E232">
            <v>4</v>
          </cell>
          <cell r="F232">
            <v>281</v>
          </cell>
          <cell r="G232">
            <v>262</v>
          </cell>
          <cell r="H232">
            <v>300</v>
          </cell>
        </row>
        <row r="233">
          <cell r="D233" t="str">
            <v>AT - Riigikaitse</v>
          </cell>
          <cell r="E233" t="str">
            <v>5A</v>
          </cell>
          <cell r="F233">
            <v>371</v>
          </cell>
          <cell r="G233">
            <v>346</v>
          </cell>
          <cell r="H233">
            <v>397</v>
          </cell>
        </row>
        <row r="234">
          <cell r="D234" t="str">
            <v>AT - Riigikaitse</v>
          </cell>
          <cell r="E234" t="str">
            <v>5B</v>
          </cell>
          <cell r="F234">
            <v>492</v>
          </cell>
          <cell r="G234">
            <v>458</v>
          </cell>
          <cell r="H234">
            <v>526</v>
          </cell>
        </row>
        <row r="235">
          <cell r="D235" t="str">
            <v>AT - Riigikaitse</v>
          </cell>
          <cell r="E235">
            <v>6</v>
          </cell>
          <cell r="F235">
            <v>566</v>
          </cell>
          <cell r="G235">
            <v>527</v>
          </cell>
          <cell r="H235">
            <v>605</v>
          </cell>
        </row>
        <row r="236">
          <cell r="D236" t="str">
            <v>AT - Riigikaitse</v>
          </cell>
          <cell r="E236">
            <v>7</v>
          </cell>
          <cell r="F236">
            <v>651</v>
          </cell>
          <cell r="G236">
            <v>606</v>
          </cell>
          <cell r="H236">
            <v>696</v>
          </cell>
        </row>
        <row r="237">
          <cell r="D237" t="str">
            <v>AT - Riigikaitse</v>
          </cell>
          <cell r="E237">
            <v>8</v>
          </cell>
          <cell r="F237">
            <v>995</v>
          </cell>
          <cell r="G237">
            <v>926</v>
          </cell>
          <cell r="H237">
            <v>1066</v>
          </cell>
        </row>
        <row r="238">
          <cell r="D238" t="str">
            <v>AT - Riigivara haldamine ja sisseost</v>
          </cell>
          <cell r="E238">
            <v>1</v>
          </cell>
          <cell r="F238">
            <v>79</v>
          </cell>
          <cell r="G238">
            <v>74</v>
          </cell>
          <cell r="H238">
            <v>84</v>
          </cell>
        </row>
        <row r="239">
          <cell r="D239" t="str">
            <v>AT - Riigivara haldamine ja sisseost</v>
          </cell>
          <cell r="E239">
            <v>2</v>
          </cell>
          <cell r="F239">
            <v>121</v>
          </cell>
          <cell r="G239">
            <v>113</v>
          </cell>
          <cell r="H239">
            <v>129</v>
          </cell>
        </row>
        <row r="240">
          <cell r="D240" t="str">
            <v>AT - Riigivara haldamine ja sisseost</v>
          </cell>
          <cell r="E240">
            <v>3</v>
          </cell>
          <cell r="F240">
            <v>160</v>
          </cell>
          <cell r="G240">
            <v>150</v>
          </cell>
          <cell r="H240">
            <v>171</v>
          </cell>
        </row>
        <row r="241">
          <cell r="D241" t="str">
            <v>AT - Riigivara haldamine ja sisseost</v>
          </cell>
          <cell r="E241">
            <v>4</v>
          </cell>
          <cell r="F241">
            <v>244</v>
          </cell>
          <cell r="G241">
            <v>228</v>
          </cell>
          <cell r="H241">
            <v>261</v>
          </cell>
        </row>
        <row r="242">
          <cell r="D242" t="str">
            <v>AT - Riigivara haldamine ja sisseost</v>
          </cell>
          <cell r="E242" t="str">
            <v>5A</v>
          </cell>
          <cell r="F242">
            <v>281</v>
          </cell>
          <cell r="G242">
            <v>262</v>
          </cell>
          <cell r="H242">
            <v>300</v>
          </cell>
        </row>
        <row r="243">
          <cell r="D243" t="str">
            <v>AT - Riigivara haldamine ja sisseost</v>
          </cell>
          <cell r="E243" t="str">
            <v>5B</v>
          </cell>
          <cell r="F243">
            <v>281</v>
          </cell>
          <cell r="G243">
            <v>262</v>
          </cell>
          <cell r="H243">
            <v>300</v>
          </cell>
        </row>
        <row r="244">
          <cell r="D244" t="str">
            <v>AT - Riigivara haldamine ja sisseost</v>
          </cell>
          <cell r="E244">
            <v>6</v>
          </cell>
          <cell r="F244">
            <v>492</v>
          </cell>
          <cell r="G244">
            <v>458</v>
          </cell>
          <cell r="H244">
            <v>526</v>
          </cell>
        </row>
        <row r="245">
          <cell r="D245" t="str">
            <v>AT - Sadama kapten</v>
          </cell>
          <cell r="E245">
            <v>1</v>
          </cell>
          <cell r="F245">
            <v>212</v>
          </cell>
          <cell r="G245">
            <v>198</v>
          </cell>
          <cell r="H245">
            <v>227</v>
          </cell>
        </row>
        <row r="246">
          <cell r="D246" t="str">
            <v>AT - Sadama kapten</v>
          </cell>
          <cell r="E246">
            <v>2</v>
          </cell>
          <cell r="F246">
            <v>323</v>
          </cell>
          <cell r="G246">
            <v>301</v>
          </cell>
          <cell r="H246">
            <v>345</v>
          </cell>
        </row>
        <row r="247">
          <cell r="D247" t="str">
            <v>AT - Sekretäritööd</v>
          </cell>
          <cell r="E247">
            <v>1</v>
          </cell>
          <cell r="F247">
            <v>105</v>
          </cell>
          <cell r="G247">
            <v>98</v>
          </cell>
          <cell r="H247">
            <v>112</v>
          </cell>
        </row>
        <row r="248">
          <cell r="D248" t="str">
            <v>AT - Sekretäritööd</v>
          </cell>
          <cell r="E248">
            <v>2</v>
          </cell>
          <cell r="F248">
            <v>139</v>
          </cell>
          <cell r="G248">
            <v>130</v>
          </cell>
          <cell r="H248">
            <v>149</v>
          </cell>
        </row>
        <row r="249">
          <cell r="D249" t="str">
            <v>AT - Sekretäritööd</v>
          </cell>
          <cell r="E249">
            <v>3</v>
          </cell>
          <cell r="F249">
            <v>184</v>
          </cell>
          <cell r="G249">
            <v>172</v>
          </cell>
          <cell r="H249">
            <v>197</v>
          </cell>
        </row>
        <row r="250">
          <cell r="D250" t="str">
            <v>AT - Sekretäritööd</v>
          </cell>
          <cell r="E250">
            <v>4</v>
          </cell>
          <cell r="F250">
            <v>281</v>
          </cell>
          <cell r="G250">
            <v>262</v>
          </cell>
          <cell r="H250">
            <v>300</v>
          </cell>
        </row>
        <row r="251">
          <cell r="D251" t="str">
            <v>AT - Sisekontroll</v>
          </cell>
          <cell r="E251">
            <v>1</v>
          </cell>
          <cell r="F251">
            <v>139</v>
          </cell>
          <cell r="G251">
            <v>130</v>
          </cell>
          <cell r="H251">
            <v>149</v>
          </cell>
        </row>
        <row r="252">
          <cell r="D252" t="str">
            <v>AT - Sisekontroll</v>
          </cell>
          <cell r="E252">
            <v>2</v>
          </cell>
          <cell r="F252">
            <v>184</v>
          </cell>
          <cell r="G252">
            <v>172</v>
          </cell>
          <cell r="H252">
            <v>197</v>
          </cell>
        </row>
        <row r="253">
          <cell r="D253" t="str">
            <v>AT - Sisekontroll</v>
          </cell>
          <cell r="E253">
            <v>3</v>
          </cell>
          <cell r="F253">
            <v>281</v>
          </cell>
          <cell r="G253">
            <v>262</v>
          </cell>
          <cell r="H253">
            <v>300</v>
          </cell>
        </row>
        <row r="254">
          <cell r="D254" t="str">
            <v>AT - Sisekontroll</v>
          </cell>
          <cell r="E254">
            <v>4</v>
          </cell>
          <cell r="F254">
            <v>427</v>
          </cell>
          <cell r="G254">
            <v>398</v>
          </cell>
          <cell r="H254">
            <v>457</v>
          </cell>
        </row>
        <row r="255">
          <cell r="D255" t="str">
            <v>AT - Sotsiaalhoolekanne</v>
          </cell>
          <cell r="E255" t="str">
            <v>1A</v>
          </cell>
          <cell r="F255">
            <v>212</v>
          </cell>
          <cell r="G255">
            <v>198</v>
          </cell>
          <cell r="H255">
            <v>227</v>
          </cell>
        </row>
        <row r="256">
          <cell r="D256" t="str">
            <v>AT - Sotsiaalhoolekanne</v>
          </cell>
          <cell r="E256" t="str">
            <v>1B</v>
          </cell>
          <cell r="F256">
            <v>212</v>
          </cell>
          <cell r="G256">
            <v>198</v>
          </cell>
          <cell r="H256">
            <v>227</v>
          </cell>
        </row>
        <row r="257">
          <cell r="D257" t="str">
            <v>AT - Sotsiaalhoolekanne</v>
          </cell>
          <cell r="E257" t="str">
            <v>2A</v>
          </cell>
          <cell r="F257">
            <v>281</v>
          </cell>
          <cell r="G257">
            <v>262</v>
          </cell>
          <cell r="H257">
            <v>300</v>
          </cell>
        </row>
        <row r="258">
          <cell r="D258" t="str">
            <v>AT - Sotsiaalhoolekanne</v>
          </cell>
          <cell r="E258" t="str">
            <v>2B</v>
          </cell>
          <cell r="F258">
            <v>281</v>
          </cell>
          <cell r="G258">
            <v>262</v>
          </cell>
          <cell r="H258">
            <v>300</v>
          </cell>
        </row>
        <row r="259">
          <cell r="D259" t="str">
            <v>AT - Sotsiaalhoolekanne</v>
          </cell>
          <cell r="E259" t="str">
            <v>3A</v>
          </cell>
          <cell r="F259">
            <v>371</v>
          </cell>
          <cell r="G259">
            <v>346</v>
          </cell>
          <cell r="H259">
            <v>397</v>
          </cell>
        </row>
        <row r="260">
          <cell r="D260" t="str">
            <v>AT - Sotsiaalhoolekanne</v>
          </cell>
          <cell r="E260" t="str">
            <v>3B</v>
          </cell>
          <cell r="F260">
            <v>371</v>
          </cell>
          <cell r="G260">
            <v>346</v>
          </cell>
          <cell r="H260">
            <v>397</v>
          </cell>
        </row>
        <row r="261">
          <cell r="D261" t="str">
            <v>AT - Sotsiaalhoolekanne</v>
          </cell>
          <cell r="E261">
            <v>4</v>
          </cell>
          <cell r="F261">
            <v>427</v>
          </cell>
          <cell r="G261">
            <v>398</v>
          </cell>
          <cell r="H261">
            <v>457</v>
          </cell>
        </row>
        <row r="262">
          <cell r="D262" t="str">
            <v>AT - Sõidukijuhid</v>
          </cell>
          <cell r="E262">
            <v>1</v>
          </cell>
          <cell r="F262">
            <v>91</v>
          </cell>
          <cell r="G262">
            <v>85</v>
          </cell>
          <cell r="H262">
            <v>97</v>
          </cell>
        </row>
        <row r="263">
          <cell r="D263" t="str">
            <v>AT - Sõidukijuhid</v>
          </cell>
          <cell r="E263">
            <v>2</v>
          </cell>
          <cell r="F263">
            <v>121</v>
          </cell>
          <cell r="G263">
            <v>113</v>
          </cell>
          <cell r="H263">
            <v>129</v>
          </cell>
        </row>
        <row r="264">
          <cell r="D264" t="str">
            <v>AT - Sõidukijuhid</v>
          </cell>
          <cell r="E264">
            <v>3</v>
          </cell>
          <cell r="F264">
            <v>139</v>
          </cell>
          <cell r="G264">
            <v>130</v>
          </cell>
          <cell r="H264">
            <v>149</v>
          </cell>
        </row>
        <row r="265">
          <cell r="D265" t="str">
            <v>AT - Sõidukijuhid</v>
          </cell>
          <cell r="E265">
            <v>4</v>
          </cell>
          <cell r="F265">
            <v>160</v>
          </cell>
          <cell r="G265">
            <v>150</v>
          </cell>
          <cell r="H265">
            <v>171</v>
          </cell>
        </row>
        <row r="266">
          <cell r="D266" t="str">
            <v>AT - Toimetamine ja keeleline korrektuur</v>
          </cell>
          <cell r="E266">
            <v>1</v>
          </cell>
          <cell r="F266">
            <v>160</v>
          </cell>
          <cell r="G266">
            <v>150</v>
          </cell>
          <cell r="H266">
            <v>171</v>
          </cell>
        </row>
        <row r="267">
          <cell r="D267" t="str">
            <v>AT - Toimetamine ja keeleline korrektuur</v>
          </cell>
          <cell r="E267">
            <v>2</v>
          </cell>
          <cell r="F267">
            <v>212</v>
          </cell>
          <cell r="G267">
            <v>198</v>
          </cell>
          <cell r="H267">
            <v>227</v>
          </cell>
        </row>
        <row r="268">
          <cell r="D268" t="str">
            <v>AT - Tõlkimine</v>
          </cell>
          <cell r="E268">
            <v>1</v>
          </cell>
          <cell r="F268">
            <v>160</v>
          </cell>
          <cell r="G268">
            <v>150</v>
          </cell>
          <cell r="H268">
            <v>171</v>
          </cell>
        </row>
        <row r="269">
          <cell r="D269" t="str">
            <v>AT - Tõlkimine</v>
          </cell>
          <cell r="E269">
            <v>2</v>
          </cell>
          <cell r="F269">
            <v>212</v>
          </cell>
          <cell r="G269">
            <v>198</v>
          </cell>
          <cell r="H269">
            <v>227</v>
          </cell>
        </row>
        <row r="270">
          <cell r="D270" t="str">
            <v>AT - Tõlkimine</v>
          </cell>
          <cell r="E270">
            <v>3</v>
          </cell>
          <cell r="F270">
            <v>323</v>
          </cell>
          <cell r="G270">
            <v>301</v>
          </cell>
          <cell r="H270">
            <v>345</v>
          </cell>
        </row>
        <row r="271">
          <cell r="D271" t="str">
            <v>AT - Tõlkimine</v>
          </cell>
          <cell r="E271">
            <v>4</v>
          </cell>
          <cell r="F271">
            <v>371</v>
          </cell>
          <cell r="G271">
            <v>346</v>
          </cell>
          <cell r="H271">
            <v>397</v>
          </cell>
        </row>
        <row r="272">
          <cell r="D272" t="str">
            <v>AT - Uuriv järelevalve</v>
          </cell>
          <cell r="E272">
            <v>1</v>
          </cell>
          <cell r="F272">
            <v>160</v>
          </cell>
          <cell r="G272">
            <v>150</v>
          </cell>
          <cell r="H272">
            <v>171</v>
          </cell>
        </row>
        <row r="273">
          <cell r="D273" t="str">
            <v>AT - Uuriv järelevalve</v>
          </cell>
          <cell r="E273">
            <v>2</v>
          </cell>
          <cell r="F273">
            <v>184</v>
          </cell>
          <cell r="G273">
            <v>172</v>
          </cell>
          <cell r="H273">
            <v>197</v>
          </cell>
        </row>
        <row r="274">
          <cell r="D274" t="str">
            <v>AT - Uuriv järelevalve</v>
          </cell>
          <cell r="E274">
            <v>3</v>
          </cell>
          <cell r="F274">
            <v>244</v>
          </cell>
          <cell r="G274">
            <v>228</v>
          </cell>
          <cell r="H274">
            <v>261</v>
          </cell>
        </row>
        <row r="275">
          <cell r="D275" t="str">
            <v>AT - Uuriv järelevalve</v>
          </cell>
          <cell r="E275">
            <v>4</v>
          </cell>
          <cell r="F275">
            <v>323</v>
          </cell>
          <cell r="G275">
            <v>301</v>
          </cell>
          <cell r="H275">
            <v>345</v>
          </cell>
        </row>
        <row r="276">
          <cell r="D276" t="str">
            <v>AT - Uuriv järelevalve</v>
          </cell>
          <cell r="E276">
            <v>5</v>
          </cell>
          <cell r="F276">
            <v>371</v>
          </cell>
          <cell r="G276">
            <v>346</v>
          </cell>
          <cell r="H276">
            <v>397</v>
          </cell>
        </row>
        <row r="277">
          <cell r="D277" t="str">
            <v>AT - Uuriv järelevalve</v>
          </cell>
          <cell r="E277">
            <v>6</v>
          </cell>
          <cell r="F277">
            <v>492</v>
          </cell>
          <cell r="G277">
            <v>458</v>
          </cell>
          <cell r="H277">
            <v>526</v>
          </cell>
        </row>
        <row r="278">
          <cell r="D278" t="str">
            <v>AT - Võrguväljaannetes teabe avaldamine</v>
          </cell>
          <cell r="E278">
            <v>1</v>
          </cell>
          <cell r="F278">
            <v>121</v>
          </cell>
          <cell r="G278">
            <v>113</v>
          </cell>
          <cell r="H278">
            <v>129</v>
          </cell>
        </row>
        <row r="279">
          <cell r="D279" t="str">
            <v>AT - Võrguväljaannetes teabe avaldamine</v>
          </cell>
          <cell r="E279">
            <v>2</v>
          </cell>
          <cell r="F279">
            <v>184</v>
          </cell>
          <cell r="G279">
            <v>172</v>
          </cell>
          <cell r="H279">
            <v>197</v>
          </cell>
        </row>
        <row r="280">
          <cell r="D280" t="str">
            <v>AT - Võrguväljaannetes teabe avaldamine</v>
          </cell>
          <cell r="E280">
            <v>3</v>
          </cell>
          <cell r="F280">
            <v>212</v>
          </cell>
          <cell r="G280">
            <v>198</v>
          </cell>
          <cell r="H280">
            <v>227</v>
          </cell>
        </row>
        <row r="281">
          <cell r="D281" t="str">
            <v>AT - Võrguväljaannetes teabe avaldamine</v>
          </cell>
          <cell r="E281">
            <v>4</v>
          </cell>
          <cell r="F281">
            <v>281</v>
          </cell>
          <cell r="G281">
            <v>262</v>
          </cell>
          <cell r="H281">
            <v>300</v>
          </cell>
        </row>
        <row r="282">
          <cell r="D282" t="str">
            <v>AT - Õigusemõistmine</v>
          </cell>
          <cell r="E282">
            <v>1</v>
          </cell>
          <cell r="F282">
            <v>139</v>
          </cell>
          <cell r="G282">
            <v>130</v>
          </cell>
          <cell r="H282">
            <v>149</v>
          </cell>
        </row>
        <row r="283">
          <cell r="D283" t="str">
            <v>AT - Õigusemõistmine</v>
          </cell>
          <cell r="E283">
            <v>2</v>
          </cell>
          <cell r="F283">
            <v>160</v>
          </cell>
          <cell r="G283">
            <v>150</v>
          </cell>
          <cell r="H283">
            <v>171</v>
          </cell>
        </row>
        <row r="284">
          <cell r="D284" t="str">
            <v>AT - Õigusemõistmine</v>
          </cell>
          <cell r="E284" t="str">
            <v>3A</v>
          </cell>
          <cell r="F284">
            <v>244</v>
          </cell>
          <cell r="G284">
            <v>228</v>
          </cell>
          <cell r="H284">
            <v>261</v>
          </cell>
        </row>
        <row r="285">
          <cell r="D285" t="str">
            <v>AT - Õigusemõistmine</v>
          </cell>
          <cell r="E285" t="str">
            <v>3B</v>
          </cell>
          <cell r="F285">
            <v>281</v>
          </cell>
          <cell r="G285">
            <v>262</v>
          </cell>
          <cell r="H285">
            <v>300</v>
          </cell>
        </row>
        <row r="286">
          <cell r="D286" t="str">
            <v>AT - Õigusemõistmine</v>
          </cell>
          <cell r="E286" t="str">
            <v>3C</v>
          </cell>
          <cell r="F286">
            <v>323</v>
          </cell>
          <cell r="G286">
            <v>301</v>
          </cell>
          <cell r="H286">
            <v>345</v>
          </cell>
        </row>
        <row r="287">
          <cell r="D287" t="str">
            <v>AT - Õigusemõistmine</v>
          </cell>
          <cell r="E287" t="str">
            <v>4A</v>
          </cell>
          <cell r="F287">
            <v>371</v>
          </cell>
          <cell r="G287">
            <v>346</v>
          </cell>
          <cell r="H287">
            <v>397</v>
          </cell>
        </row>
        <row r="288">
          <cell r="D288" t="str">
            <v>AT - Õigusemõistmine</v>
          </cell>
          <cell r="E288" t="str">
            <v>4B</v>
          </cell>
          <cell r="F288">
            <v>427</v>
          </cell>
          <cell r="G288">
            <v>398</v>
          </cell>
          <cell r="H288">
            <v>457</v>
          </cell>
        </row>
        <row r="289">
          <cell r="D289" t="str">
            <v>AT - Õigusemõistmine</v>
          </cell>
          <cell r="E289">
            <v>5</v>
          </cell>
          <cell r="F289">
            <v>566</v>
          </cell>
          <cell r="G289">
            <v>527</v>
          </cell>
          <cell r="H289">
            <v>605</v>
          </cell>
        </row>
        <row r="290">
          <cell r="D290" t="str">
            <v>AT - Õigusloome</v>
          </cell>
          <cell r="E290">
            <v>1</v>
          </cell>
          <cell r="F290">
            <v>184</v>
          </cell>
          <cell r="G290">
            <v>172</v>
          </cell>
          <cell r="H290">
            <v>197</v>
          </cell>
        </row>
        <row r="291">
          <cell r="D291" t="str">
            <v>AT - Õigusloome</v>
          </cell>
          <cell r="E291">
            <v>2</v>
          </cell>
          <cell r="F291">
            <v>244</v>
          </cell>
          <cell r="G291">
            <v>228</v>
          </cell>
          <cell r="H291">
            <v>261</v>
          </cell>
        </row>
        <row r="292">
          <cell r="D292" t="str">
            <v>AT - Õigusloome</v>
          </cell>
          <cell r="E292">
            <v>3</v>
          </cell>
          <cell r="F292">
            <v>323</v>
          </cell>
          <cell r="G292">
            <v>301</v>
          </cell>
          <cell r="H292">
            <v>345</v>
          </cell>
        </row>
        <row r="293">
          <cell r="D293" t="str">
            <v>AT - Õigusloome</v>
          </cell>
          <cell r="E293">
            <v>4</v>
          </cell>
          <cell r="F293">
            <v>492</v>
          </cell>
          <cell r="G293">
            <v>458</v>
          </cell>
          <cell r="H293">
            <v>526</v>
          </cell>
        </row>
        <row r="294">
          <cell r="D294" t="str">
            <v>AT - Õigusteenused</v>
          </cell>
          <cell r="E294">
            <v>1</v>
          </cell>
          <cell r="F294">
            <v>160</v>
          </cell>
          <cell r="G294">
            <v>150</v>
          </cell>
          <cell r="H294">
            <v>171</v>
          </cell>
        </row>
        <row r="295">
          <cell r="D295" t="str">
            <v>AT - Õigusteenused</v>
          </cell>
          <cell r="E295">
            <v>2</v>
          </cell>
          <cell r="F295">
            <v>244</v>
          </cell>
          <cell r="G295">
            <v>228</v>
          </cell>
          <cell r="H295">
            <v>261</v>
          </cell>
        </row>
        <row r="296">
          <cell r="D296" t="str">
            <v>AT - Õigusteenused</v>
          </cell>
          <cell r="E296">
            <v>3</v>
          </cell>
          <cell r="F296">
            <v>323</v>
          </cell>
          <cell r="G296">
            <v>301</v>
          </cell>
          <cell r="H296">
            <v>345</v>
          </cell>
        </row>
        <row r="297">
          <cell r="D297" t="str">
            <v>AT - Õigusteenused</v>
          </cell>
          <cell r="E297">
            <v>4</v>
          </cell>
          <cell r="F297">
            <v>427</v>
          </cell>
          <cell r="G297">
            <v>398</v>
          </cell>
          <cell r="H297">
            <v>457</v>
          </cell>
        </row>
        <row r="298">
          <cell r="D298" t="str">
            <v>AT - Õigusteenused</v>
          </cell>
          <cell r="E298">
            <v>5</v>
          </cell>
          <cell r="F298">
            <v>566</v>
          </cell>
          <cell r="G298">
            <v>527</v>
          </cell>
          <cell r="H298">
            <v>605</v>
          </cell>
        </row>
        <row r="299">
          <cell r="D299" t="str">
            <v>AT - Üldjuhtimine</v>
          </cell>
          <cell r="E299">
            <v>1</v>
          </cell>
          <cell r="F299">
            <v>244</v>
          </cell>
          <cell r="G299">
            <v>228</v>
          </cell>
          <cell r="H299">
            <v>261</v>
          </cell>
        </row>
        <row r="300">
          <cell r="D300" t="str">
            <v>AT - Üldjuhtimine</v>
          </cell>
          <cell r="E300">
            <v>2</v>
          </cell>
          <cell r="F300">
            <v>323</v>
          </cell>
          <cell r="G300">
            <v>301</v>
          </cell>
          <cell r="H300">
            <v>345</v>
          </cell>
        </row>
        <row r="301">
          <cell r="D301" t="str">
            <v>AT - Üldjuhtimine</v>
          </cell>
          <cell r="E301">
            <v>3</v>
          </cell>
          <cell r="F301">
            <v>427</v>
          </cell>
          <cell r="G301">
            <v>398</v>
          </cell>
          <cell r="H301">
            <v>457</v>
          </cell>
        </row>
        <row r="302">
          <cell r="D302" t="str">
            <v>AT - Üldjuhtimine</v>
          </cell>
          <cell r="E302">
            <v>4</v>
          </cell>
          <cell r="F302">
            <v>492</v>
          </cell>
          <cell r="G302">
            <v>458</v>
          </cell>
          <cell r="H302">
            <v>526</v>
          </cell>
        </row>
        <row r="303">
          <cell r="D303" t="str">
            <v>AT - Üldjuhtimine</v>
          </cell>
          <cell r="E303">
            <v>5</v>
          </cell>
          <cell r="F303">
            <v>566</v>
          </cell>
          <cell r="G303">
            <v>527</v>
          </cell>
          <cell r="H303">
            <v>605</v>
          </cell>
        </row>
        <row r="304">
          <cell r="D304" t="str">
            <v>AT - Üldjuhtimine</v>
          </cell>
          <cell r="E304">
            <v>6</v>
          </cell>
          <cell r="F304">
            <v>651</v>
          </cell>
          <cell r="G304">
            <v>606</v>
          </cell>
          <cell r="H304">
            <v>696</v>
          </cell>
        </row>
        <row r="305">
          <cell r="D305" t="str">
            <v>AT - Üldjuhtimine</v>
          </cell>
          <cell r="E305" t="str">
            <v>7A</v>
          </cell>
          <cell r="F305">
            <v>864</v>
          </cell>
          <cell r="G305">
            <v>804</v>
          </cell>
          <cell r="H305">
            <v>925</v>
          </cell>
        </row>
        <row r="306">
          <cell r="D306" t="str">
            <v>AT - Üldjuhtimine</v>
          </cell>
          <cell r="E306" t="str">
            <v>7B</v>
          </cell>
          <cell r="F306">
            <v>995</v>
          </cell>
          <cell r="G306">
            <v>926</v>
          </cell>
          <cell r="H306">
            <v>1066</v>
          </cell>
        </row>
        <row r="307">
          <cell r="D307" t="str">
            <v>AT - Üldtööd</v>
          </cell>
          <cell r="E307">
            <v>1</v>
          </cell>
          <cell r="F307">
            <v>79</v>
          </cell>
          <cell r="G307">
            <v>74</v>
          </cell>
          <cell r="H307">
            <v>84</v>
          </cell>
        </row>
        <row r="308">
          <cell r="D308" t="str">
            <v>AT - Üldtööd</v>
          </cell>
          <cell r="E308">
            <v>2</v>
          </cell>
          <cell r="F308">
            <v>121</v>
          </cell>
          <cell r="G308">
            <v>113</v>
          </cell>
          <cell r="H308">
            <v>129</v>
          </cell>
        </row>
        <row r="309">
          <cell r="D309" t="str">
            <v>AT - Üldtööd</v>
          </cell>
          <cell r="E309">
            <v>3</v>
          </cell>
          <cell r="F309">
            <v>160</v>
          </cell>
          <cell r="G309">
            <v>150</v>
          </cell>
          <cell r="H309">
            <v>171</v>
          </cell>
        </row>
        <row r="310">
          <cell r="D310" t="str">
            <v>AT - Üldtööd</v>
          </cell>
          <cell r="E310">
            <v>4</v>
          </cell>
          <cell r="F310">
            <v>244</v>
          </cell>
          <cell r="G310">
            <v>228</v>
          </cell>
          <cell r="H310">
            <v>261</v>
          </cell>
        </row>
        <row r="311">
          <cell r="D311" t="str">
            <v>AT - Üldtööd</v>
          </cell>
          <cell r="E311">
            <v>5</v>
          </cell>
          <cell r="F311">
            <v>323</v>
          </cell>
          <cell r="G311">
            <v>301</v>
          </cell>
          <cell r="H311">
            <v>345</v>
          </cell>
        </row>
        <row r="312">
          <cell r="D312" t="str">
            <v>AT - Üldtööd</v>
          </cell>
          <cell r="E312">
            <v>6</v>
          </cell>
          <cell r="F312">
            <v>427</v>
          </cell>
          <cell r="G312">
            <v>398</v>
          </cell>
          <cell r="H312">
            <v>457</v>
          </cell>
        </row>
        <row r="313">
          <cell r="D313" t="str">
            <v>AT - Ürituste ja tseremooniate korraldamine</v>
          </cell>
          <cell r="E313">
            <v>1</v>
          </cell>
          <cell r="F313">
            <v>105</v>
          </cell>
          <cell r="G313">
            <v>98</v>
          </cell>
          <cell r="H313">
            <v>112</v>
          </cell>
        </row>
        <row r="314">
          <cell r="D314" t="str">
            <v>AT - Ürituste ja tseremooniate korraldamine</v>
          </cell>
          <cell r="E314">
            <v>2</v>
          </cell>
          <cell r="F314">
            <v>139</v>
          </cell>
          <cell r="G314">
            <v>130</v>
          </cell>
          <cell r="H314">
            <v>149</v>
          </cell>
        </row>
        <row r="315">
          <cell r="D315" t="str">
            <v>AT - Ürituste ja tseremooniate korraldamine</v>
          </cell>
          <cell r="E315">
            <v>3</v>
          </cell>
          <cell r="F315">
            <v>184</v>
          </cell>
          <cell r="G315">
            <v>172</v>
          </cell>
          <cell r="H315">
            <v>197</v>
          </cell>
        </row>
        <row r="316">
          <cell r="D316" t="str">
            <v>AT - Ürituste ja tseremooniate korraldamine</v>
          </cell>
          <cell r="E316">
            <v>4</v>
          </cell>
          <cell r="F316">
            <v>244</v>
          </cell>
          <cell r="G316">
            <v>228</v>
          </cell>
          <cell r="H316">
            <v>261</v>
          </cell>
        </row>
        <row r="317">
          <cell r="D317" t="str">
            <v>AT - Ürituste ja tseremooniate korraldamine</v>
          </cell>
          <cell r="E317">
            <v>5</v>
          </cell>
          <cell r="F317">
            <v>427</v>
          </cell>
          <cell r="G317">
            <v>398</v>
          </cell>
          <cell r="H317">
            <v>457</v>
          </cell>
        </row>
        <row r="318">
          <cell r="D318">
            <v>0</v>
          </cell>
          <cell r="E318">
            <v>0</v>
          </cell>
        </row>
        <row r="319">
          <cell r="D319">
            <v>0</v>
          </cell>
          <cell r="E319">
            <v>0</v>
          </cell>
        </row>
        <row r="320">
          <cell r="D320">
            <v>0</v>
          </cell>
          <cell r="E320">
            <v>0</v>
          </cell>
        </row>
        <row r="321">
          <cell r="D321">
            <v>0</v>
          </cell>
          <cell r="E321">
            <v>0</v>
          </cell>
        </row>
        <row r="322">
          <cell r="D322">
            <v>0</v>
          </cell>
          <cell r="E322">
            <v>0</v>
          </cell>
        </row>
        <row r="323">
          <cell r="D323">
            <v>0</v>
          </cell>
          <cell r="E323">
            <v>0</v>
          </cell>
        </row>
        <row r="324">
          <cell r="D324">
            <v>0</v>
          </cell>
          <cell r="E324">
            <v>0</v>
          </cell>
        </row>
        <row r="325">
          <cell r="D325">
            <v>0</v>
          </cell>
          <cell r="E325">
            <v>0</v>
          </cell>
        </row>
        <row r="326">
          <cell r="D326">
            <v>0</v>
          </cell>
          <cell r="E326">
            <v>0</v>
          </cell>
        </row>
        <row r="327">
          <cell r="D327">
            <v>0</v>
          </cell>
          <cell r="E327">
            <v>0</v>
          </cell>
        </row>
        <row r="328">
          <cell r="D328">
            <v>0</v>
          </cell>
          <cell r="E328">
            <v>0</v>
          </cell>
        </row>
        <row r="329">
          <cell r="D329">
            <v>0</v>
          </cell>
          <cell r="E329">
            <v>0</v>
          </cell>
        </row>
        <row r="330">
          <cell r="D330">
            <v>0</v>
          </cell>
          <cell r="E330">
            <v>0</v>
          </cell>
        </row>
        <row r="331">
          <cell r="D331">
            <v>0</v>
          </cell>
          <cell r="E331">
            <v>0</v>
          </cell>
        </row>
      </sheetData>
      <sheetData sheetId="11">
        <row r="2">
          <cell r="E2" t="str">
            <v>English</v>
          </cell>
        </row>
        <row r="3">
          <cell r="E3" t="str">
            <v>Estonian</v>
          </cell>
        </row>
        <row r="4">
          <cell r="E4" t="str">
            <v>Latvian</v>
          </cell>
        </row>
        <row r="5">
          <cell r="E5" t="str">
            <v>Lithuanian</v>
          </cell>
        </row>
        <row r="9">
          <cell r="H9">
            <v>0</v>
          </cell>
        </row>
        <row r="10">
          <cell r="H10">
            <v>1</v>
          </cell>
        </row>
        <row r="11">
          <cell r="H11" t="str">
            <v>1A</v>
          </cell>
        </row>
        <row r="12">
          <cell r="H12" t="str">
            <v>1B</v>
          </cell>
        </row>
        <row r="13">
          <cell r="H13">
            <v>2</v>
          </cell>
        </row>
        <row r="14">
          <cell r="H14" t="str">
            <v>2A</v>
          </cell>
        </row>
        <row r="15">
          <cell r="H15" t="str">
            <v>2B</v>
          </cell>
        </row>
        <row r="16">
          <cell r="H16" t="str">
            <v>2C</v>
          </cell>
        </row>
        <row r="17">
          <cell r="H17">
            <v>3</v>
          </cell>
        </row>
        <row r="18">
          <cell r="H18" t="str">
            <v>3A</v>
          </cell>
        </row>
        <row r="19">
          <cell r="H19" t="str">
            <v>3B</v>
          </cell>
        </row>
        <row r="20">
          <cell r="H20">
            <v>4</v>
          </cell>
        </row>
        <row r="21">
          <cell r="H21" t="str">
            <v>4A</v>
          </cell>
        </row>
        <row r="22">
          <cell r="H22" t="str">
            <v>4B</v>
          </cell>
        </row>
        <row r="23">
          <cell r="H23" t="str">
            <v>4C</v>
          </cell>
        </row>
        <row r="24">
          <cell r="H24">
            <v>5</v>
          </cell>
        </row>
        <row r="25">
          <cell r="H25" t="str">
            <v>5A</v>
          </cell>
        </row>
        <row r="26">
          <cell r="H26" t="str">
            <v>5B</v>
          </cell>
        </row>
        <row r="27">
          <cell r="H27" t="str">
            <v>5C</v>
          </cell>
        </row>
        <row r="28">
          <cell r="H28">
            <v>6</v>
          </cell>
        </row>
        <row r="29">
          <cell r="H29" t="str">
            <v>6A</v>
          </cell>
        </row>
        <row r="30">
          <cell r="H30" t="str">
            <v>6B</v>
          </cell>
        </row>
        <row r="31">
          <cell r="H31">
            <v>7</v>
          </cell>
        </row>
        <row r="32">
          <cell r="H32" t="str">
            <v>7A</v>
          </cell>
        </row>
        <row r="33">
          <cell r="H33" t="str">
            <v>7B</v>
          </cell>
        </row>
        <row r="34">
          <cell r="H34">
            <v>8</v>
          </cell>
        </row>
        <row r="35">
          <cell r="H35">
            <v>9</v>
          </cell>
        </row>
      </sheetData>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KOONDEELARVE"/>
      <sheetName val="2 TULUDE KOOND"/>
      <sheetName val="2.1 LK TULUD"/>
      <sheetName val="Sheet2"/>
      <sheetName val="2.2 OMATULUD"/>
      <sheetName val="2.3 TOETUSED"/>
      <sheetName val="3 KULUD"/>
      <sheetName val="4 INVEST"/>
      <sheetName val="5 RAHAKÄIVE"/>
      <sheetName val="6 LIIGENDUS"/>
    </sheetNames>
    <sheetDataSet>
      <sheetData sheetId="0"/>
      <sheetData sheetId="1">
        <row r="47">
          <cell r="D47">
            <v>418</v>
          </cell>
        </row>
      </sheetData>
      <sheetData sheetId="2"/>
      <sheetData sheetId="3"/>
      <sheetData sheetId="4"/>
      <sheetData sheetId="5"/>
      <sheetData sheetId="6">
        <row r="871">
          <cell r="B871">
            <v>1325417</v>
          </cell>
        </row>
        <row r="872">
          <cell r="B872">
            <v>84256</v>
          </cell>
        </row>
        <row r="874">
          <cell r="B874">
            <v>-4565764</v>
          </cell>
        </row>
      </sheetData>
      <sheetData sheetId="7">
        <row r="23">
          <cell r="D23">
            <v>-10000</v>
          </cell>
        </row>
        <row r="40">
          <cell r="D40">
            <v>-1247150</v>
          </cell>
        </row>
        <row r="90">
          <cell r="D90">
            <v>4606420</v>
          </cell>
        </row>
      </sheetData>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47"/>
  <sheetViews>
    <sheetView showZeros="0" tabSelected="1" zoomScaleNormal="100" workbookViewId="0"/>
  </sheetViews>
  <sheetFormatPr defaultColWidth="9.140625" defaultRowHeight="12.75"/>
  <cols>
    <col min="1" max="1" width="53.85546875" style="721" customWidth="1"/>
    <col min="2" max="2" width="11.7109375" style="721" bestFit="1" customWidth="1"/>
    <col min="3" max="3" width="10.28515625" style="721" hidden="1" customWidth="1"/>
    <col min="4" max="4" width="12.140625" style="721" hidden="1" customWidth="1"/>
    <col min="5" max="5" width="11.5703125" style="721" customWidth="1"/>
    <col min="6" max="6" width="12.5703125" style="721" customWidth="1"/>
    <col min="7" max="7" width="12.28515625" style="721" bestFit="1" customWidth="1"/>
    <col min="8" max="8" width="6.85546875" style="721" bestFit="1" customWidth="1"/>
    <col min="9" max="16384" width="9.140625" style="721"/>
  </cols>
  <sheetData>
    <row r="1" spans="1:8" ht="15">
      <c r="A1" s="792" t="s">
        <v>1163</v>
      </c>
      <c r="B1" s="792"/>
      <c r="C1" s="792"/>
      <c r="D1" s="792"/>
      <c r="E1" s="792"/>
      <c r="F1" s="792"/>
    </row>
    <row r="2" spans="1:8">
      <c r="A2" s="722"/>
      <c r="D2" s="723"/>
      <c r="E2" s="723"/>
    </row>
    <row r="3" spans="1:8" ht="23.25" customHeight="1">
      <c r="A3" s="724"/>
      <c r="B3" s="895">
        <v>2016</v>
      </c>
      <c r="C3" s="896"/>
      <c r="D3" s="896"/>
      <c r="E3" s="897"/>
      <c r="F3" s="793">
        <v>2017</v>
      </c>
      <c r="G3" s="898" t="s">
        <v>1224</v>
      </c>
      <c r="H3" s="899"/>
    </row>
    <row r="4" spans="1:8" ht="38.25" customHeight="1">
      <c r="A4" s="724"/>
      <c r="B4" s="794" t="s">
        <v>18</v>
      </c>
      <c r="C4" s="795" t="s">
        <v>19</v>
      </c>
      <c r="D4" s="795" t="s">
        <v>1036</v>
      </c>
      <c r="E4" s="796" t="s">
        <v>20</v>
      </c>
      <c r="F4" s="797" t="s">
        <v>1223</v>
      </c>
      <c r="G4" s="798" t="s">
        <v>2</v>
      </c>
      <c r="H4" s="798" t="s">
        <v>21</v>
      </c>
    </row>
    <row r="5" spans="1:8">
      <c r="A5" s="724" t="s">
        <v>1164</v>
      </c>
      <c r="B5" s="782"/>
      <c r="C5" s="783"/>
      <c r="D5" s="725"/>
      <c r="E5" s="725"/>
    </row>
    <row r="6" spans="1:8">
      <c r="A6" s="726"/>
      <c r="B6" s="894"/>
      <c r="C6" s="894"/>
      <c r="D6" s="894"/>
      <c r="E6" s="894"/>
      <c r="F6" s="894"/>
      <c r="G6" s="894"/>
    </row>
    <row r="7" spans="1:8">
      <c r="A7" s="727" t="s">
        <v>1165</v>
      </c>
      <c r="B7" s="728">
        <f t="shared" ref="B7:C7" si="0">SUM(B8:B21)</f>
        <v>540101948</v>
      </c>
      <c r="C7" s="728">
        <f t="shared" si="0"/>
        <v>17937162</v>
      </c>
      <c r="D7" s="728">
        <f t="shared" ref="D7" si="1">SUM(D8:D21)</f>
        <v>7945522</v>
      </c>
      <c r="E7" s="728">
        <f>SUM(B7:D7)</f>
        <v>565984632</v>
      </c>
      <c r="F7" s="728">
        <f t="shared" ref="F7" ca="1" si="2">SUM(F8:F21)</f>
        <v>599435605</v>
      </c>
      <c r="G7" s="728">
        <f t="shared" ref="G7:G71" ca="1" si="3">F7-E7</f>
        <v>33450973</v>
      </c>
      <c r="H7" s="799">
        <f t="shared" ref="H7:H71" ca="1" si="4">(F7-E7)/E7</f>
        <v>5.9102263751924629E-2</v>
      </c>
    </row>
    <row r="8" spans="1:8">
      <c r="A8" s="730" t="s">
        <v>22</v>
      </c>
      <c r="B8" s="780">
        <v>354100000</v>
      </c>
      <c r="C8" s="780">
        <v>6000000</v>
      </c>
      <c r="D8" s="731">
        <v>6000000</v>
      </c>
      <c r="E8" s="731">
        <f t="shared" ref="E8:E72" si="5">SUM(B8:D8)</f>
        <v>366100000</v>
      </c>
      <c r="F8" s="731">
        <f>'Tulude koond'!F8</f>
        <v>384480000</v>
      </c>
      <c r="G8" s="731">
        <f t="shared" si="3"/>
        <v>18380000</v>
      </c>
      <c r="H8" s="800">
        <f t="shared" si="4"/>
        <v>5.0204862059546572E-2</v>
      </c>
    </row>
    <row r="9" spans="1:8">
      <c r="A9" s="730" t="s">
        <v>26</v>
      </c>
      <c r="B9" s="780">
        <v>11035000</v>
      </c>
      <c r="C9" s="780">
        <v>180000</v>
      </c>
      <c r="D9" s="731">
        <v>173000</v>
      </c>
      <c r="E9" s="731">
        <f t="shared" si="5"/>
        <v>11388000</v>
      </c>
      <c r="F9" s="731">
        <f>'Tulude koond'!F12</f>
        <v>11430000</v>
      </c>
      <c r="G9" s="731">
        <f t="shared" si="3"/>
        <v>42000</v>
      </c>
      <c r="H9" s="800">
        <f t="shared" si="4"/>
        <v>3.6880927291886197E-3</v>
      </c>
    </row>
    <row r="10" spans="1:8">
      <c r="A10" s="730" t="s">
        <v>30</v>
      </c>
      <c r="B10" s="780">
        <v>559000</v>
      </c>
      <c r="C10" s="780"/>
      <c r="D10" s="731">
        <v>40790</v>
      </c>
      <c r="E10" s="731">
        <f t="shared" si="5"/>
        <v>599790</v>
      </c>
      <c r="F10" s="731">
        <f>'Tulude koond'!F17</f>
        <v>507800</v>
      </c>
      <c r="G10" s="731">
        <f t="shared" si="3"/>
        <v>-91990</v>
      </c>
      <c r="H10" s="800">
        <f t="shared" si="4"/>
        <v>-0.15337034628786742</v>
      </c>
    </row>
    <row r="11" spans="1:8">
      <c r="A11" s="730" t="s">
        <v>1166</v>
      </c>
      <c r="B11" s="780">
        <v>62485514</v>
      </c>
      <c r="C11" s="780">
        <v>29069</v>
      </c>
      <c r="D11" s="731">
        <v>1396854</v>
      </c>
      <c r="E11" s="731">
        <f t="shared" si="5"/>
        <v>63911437</v>
      </c>
      <c r="F11" s="731">
        <f ca="1">'Tulude koond'!F19</f>
        <v>66699583</v>
      </c>
      <c r="G11" s="731">
        <f t="shared" ca="1" si="3"/>
        <v>2788146</v>
      </c>
      <c r="H11" s="800">
        <f t="shared" ca="1" si="4"/>
        <v>4.3625149595681915E-2</v>
      </c>
    </row>
    <row r="12" spans="1:8">
      <c r="A12" s="730" t="s">
        <v>36</v>
      </c>
      <c r="B12" s="780">
        <v>996000</v>
      </c>
      <c r="C12" s="780">
        <v>25193</v>
      </c>
      <c r="D12" s="731">
        <v>221738</v>
      </c>
      <c r="E12" s="731">
        <f t="shared" si="5"/>
        <v>1242931</v>
      </c>
      <c r="F12" s="731">
        <f ca="1">'Tulude koond'!F25</f>
        <v>992900</v>
      </c>
      <c r="G12" s="731">
        <f t="shared" ca="1" si="3"/>
        <v>-250031</v>
      </c>
      <c r="H12" s="800">
        <f t="shared" ca="1" si="4"/>
        <v>-0.20116241368185361</v>
      </c>
    </row>
    <row r="13" spans="1:8">
      <c r="A13" s="730" t="s">
        <v>42</v>
      </c>
      <c r="B13" s="780">
        <v>50000</v>
      </c>
      <c r="C13" s="780"/>
      <c r="D13" s="731">
        <v>-10000</v>
      </c>
      <c r="E13" s="731">
        <f t="shared" si="5"/>
        <v>40000</v>
      </c>
      <c r="F13" s="731">
        <f>'Tulude koond'!F30</f>
        <v>10000</v>
      </c>
      <c r="G13" s="731">
        <f t="shared" si="3"/>
        <v>-30000</v>
      </c>
      <c r="H13" s="800">
        <f t="shared" si="4"/>
        <v>-0.75</v>
      </c>
    </row>
    <row r="14" spans="1:8">
      <c r="A14" s="730" t="s">
        <v>1167</v>
      </c>
      <c r="B14" s="780">
        <v>2927000</v>
      </c>
      <c r="C14" s="780">
        <v>309484</v>
      </c>
      <c r="D14" s="731">
        <v>14900</v>
      </c>
      <c r="E14" s="731">
        <f t="shared" si="5"/>
        <v>3251384</v>
      </c>
      <c r="F14" s="731">
        <f>'Tulude koond'!F34</f>
        <v>16653204</v>
      </c>
      <c r="G14" s="731">
        <f t="shared" si="3"/>
        <v>13401820</v>
      </c>
      <c r="H14" s="800">
        <f t="shared" si="4"/>
        <v>4.1218816356357788</v>
      </c>
    </row>
    <row r="15" spans="1:8">
      <c r="A15" s="730" t="s">
        <v>1168</v>
      </c>
      <c r="B15" s="780">
        <v>-1498132</v>
      </c>
      <c r="C15" s="780">
        <v>-6800</v>
      </c>
      <c r="D15" s="731"/>
      <c r="E15" s="731">
        <f t="shared" si="5"/>
        <v>-1504932</v>
      </c>
      <c r="F15" s="731">
        <f>'Tulude koond'!F35</f>
        <v>-5902527</v>
      </c>
      <c r="G15" s="731">
        <f t="shared" si="3"/>
        <v>-4397595</v>
      </c>
      <c r="H15" s="800">
        <f t="shared" si="4"/>
        <v>2.9221220626579805</v>
      </c>
    </row>
    <row r="16" spans="1:8">
      <c r="A16" s="730" t="s">
        <v>47</v>
      </c>
      <c r="B16" s="780">
        <v>-10000</v>
      </c>
      <c r="C16" s="780"/>
      <c r="D16" s="731"/>
      <c r="E16" s="731">
        <f t="shared" si="5"/>
        <v>-10000</v>
      </c>
      <c r="F16" s="731">
        <f>'Tulude koond'!F36</f>
        <v>-10000</v>
      </c>
      <c r="G16" s="731">
        <f t="shared" si="3"/>
        <v>0</v>
      </c>
      <c r="H16" s="800">
        <f t="shared" si="4"/>
        <v>0</v>
      </c>
    </row>
    <row r="17" spans="1:9">
      <c r="A17" s="730" t="s">
        <v>48</v>
      </c>
      <c r="B17" s="780">
        <v>147150</v>
      </c>
      <c r="C17" s="780">
        <v>1160</v>
      </c>
      <c r="D17" s="731">
        <v>23566</v>
      </c>
      <c r="E17" s="731">
        <f t="shared" si="5"/>
        <v>171876</v>
      </c>
      <c r="F17" s="731">
        <f ca="1">'Tulude koond'!F38</f>
        <v>257150</v>
      </c>
      <c r="G17" s="731">
        <f t="shared" ca="1" si="3"/>
        <v>85274</v>
      </c>
      <c r="H17" s="800">
        <f t="shared" ca="1" si="4"/>
        <v>0.49613674974981964</v>
      </c>
    </row>
    <row r="18" spans="1:9">
      <c r="A18" s="730" t="s">
        <v>51</v>
      </c>
      <c r="B18" s="780">
        <v>8900000</v>
      </c>
      <c r="C18" s="780">
        <v>145817</v>
      </c>
      <c r="D18" s="731"/>
      <c r="E18" s="731">
        <f t="shared" si="5"/>
        <v>9045817</v>
      </c>
      <c r="F18" s="731">
        <f>'Tulude koond'!F43</f>
        <v>8900000</v>
      </c>
      <c r="G18" s="731">
        <f t="shared" si="3"/>
        <v>-145817</v>
      </c>
      <c r="H18" s="800">
        <f t="shared" si="4"/>
        <v>-1.6119826434693518E-2</v>
      </c>
    </row>
    <row r="19" spans="1:9">
      <c r="A19" s="732" t="s">
        <v>238</v>
      </c>
      <c r="B19" s="780">
        <v>79307980</v>
      </c>
      <c r="C19" s="780">
        <v>10584251</v>
      </c>
      <c r="D19" s="731"/>
      <c r="E19" s="731">
        <f t="shared" si="5"/>
        <v>89892231</v>
      </c>
      <c r="F19" s="731">
        <f>'Tulude koond'!F48</f>
        <v>92524096</v>
      </c>
      <c r="G19" s="731">
        <f t="shared" si="3"/>
        <v>2631865</v>
      </c>
      <c r="H19" s="800">
        <f t="shared" si="4"/>
        <v>2.9278002901051595E-2</v>
      </c>
    </row>
    <row r="20" spans="1:9">
      <c r="A20" s="730" t="s">
        <v>1169</v>
      </c>
      <c r="B20" s="780">
        <v>20635804</v>
      </c>
      <c r="C20" s="780">
        <v>668988</v>
      </c>
      <c r="D20" s="731">
        <v>84256</v>
      </c>
      <c r="E20" s="731">
        <f t="shared" si="5"/>
        <v>21389048</v>
      </c>
      <c r="F20" s="731">
        <f>'Tulude koond'!F49</f>
        <v>21632864</v>
      </c>
      <c r="G20" s="731">
        <f t="shared" si="3"/>
        <v>243816</v>
      </c>
      <c r="H20" s="800">
        <f t="shared" si="4"/>
        <v>1.1399104812893027E-2</v>
      </c>
    </row>
    <row r="21" spans="1:9">
      <c r="A21" s="730" t="s">
        <v>245</v>
      </c>
      <c r="B21" s="780">
        <v>466632</v>
      </c>
      <c r="C21" s="780"/>
      <c r="D21" s="731">
        <v>418</v>
      </c>
      <c r="E21" s="731">
        <f t="shared" si="5"/>
        <v>467050</v>
      </c>
      <c r="F21" s="731">
        <f>'Tulude koond'!F50</f>
        <v>1260535</v>
      </c>
      <c r="G21" s="731">
        <f t="shared" si="3"/>
        <v>793485</v>
      </c>
      <c r="H21" s="800">
        <f t="shared" si="4"/>
        <v>1.6989294508082646</v>
      </c>
    </row>
    <row r="22" spans="1:9" ht="14.25" customHeight="1">
      <c r="A22" s="733"/>
      <c r="B22" s="785"/>
      <c r="C22" s="785"/>
      <c r="D22" s="734"/>
      <c r="E22" s="734">
        <f t="shared" si="5"/>
        <v>0</v>
      </c>
      <c r="F22" s="734"/>
      <c r="G22" s="734">
        <f t="shared" si="3"/>
        <v>0</v>
      </c>
      <c r="H22" s="801"/>
    </row>
    <row r="23" spans="1:9" ht="12" customHeight="1">
      <c r="A23" s="727" t="s">
        <v>1170</v>
      </c>
      <c r="B23" s="728">
        <f t="shared" ref="B23" si="6">B24+B29</f>
        <v>496609487</v>
      </c>
      <c r="C23" s="728">
        <f t="shared" ref="C23" si="7">C24+C29</f>
        <v>14894619</v>
      </c>
      <c r="D23" s="728">
        <f t="shared" ref="D23" ca="1" si="8">D24+D29</f>
        <v>1199317</v>
      </c>
      <c r="E23" s="728">
        <f t="shared" ca="1" si="5"/>
        <v>512703423</v>
      </c>
      <c r="F23" s="728">
        <f t="shared" ref="F23" si="9">F24+F29</f>
        <v>559530919.94289994</v>
      </c>
      <c r="G23" s="728">
        <f t="shared" ca="1" si="3"/>
        <v>46827496.942899942</v>
      </c>
      <c r="H23" s="799">
        <f t="shared" ca="1" si="4"/>
        <v>9.1334472995901847E-2</v>
      </c>
    </row>
    <row r="24" spans="1:9">
      <c r="A24" s="730" t="s">
        <v>1171</v>
      </c>
      <c r="B24" s="731">
        <f t="shared" ref="B24:C24" si="10">SUM(B25:B28)</f>
        <v>473562494</v>
      </c>
      <c r="C24" s="731">
        <f t="shared" si="10"/>
        <v>13803035</v>
      </c>
      <c r="D24" s="731">
        <f ca="1">SUM(D25:D28)</f>
        <v>-3155673</v>
      </c>
      <c r="E24" s="731">
        <f t="shared" ca="1" si="5"/>
        <v>484209856</v>
      </c>
      <c r="F24" s="731">
        <v>502767339.9429</v>
      </c>
      <c r="G24" s="731">
        <f t="shared" ca="1" si="3"/>
        <v>18557483.942900002</v>
      </c>
      <c r="H24" s="880">
        <f t="shared" ca="1" si="4"/>
        <v>3.8325291633262419E-2</v>
      </c>
      <c r="I24" s="807"/>
    </row>
    <row r="25" spans="1:9" ht="25.5">
      <c r="A25" s="735" t="s">
        <v>1172</v>
      </c>
      <c r="B25" s="780">
        <v>76000000</v>
      </c>
      <c r="C25" s="780">
        <v>10000000</v>
      </c>
      <c r="D25" s="731"/>
      <c r="E25" s="731">
        <f t="shared" si="5"/>
        <v>86000000</v>
      </c>
      <c r="F25" s="731">
        <v>86600000</v>
      </c>
      <c r="G25" s="731">
        <f t="shared" si="3"/>
        <v>600000</v>
      </c>
      <c r="H25" s="800">
        <f t="shared" si="4"/>
        <v>6.9767441860465115E-3</v>
      </c>
    </row>
    <row r="26" spans="1:9">
      <c r="A26" s="737" t="s">
        <v>1173</v>
      </c>
      <c r="B26" s="780">
        <v>153510</v>
      </c>
      <c r="C26" s="780">
        <v>498392</v>
      </c>
      <c r="D26" s="731">
        <f ca="1">'[3]3 KULUD'!B872</f>
        <v>84256</v>
      </c>
      <c r="E26" s="731">
        <f t="shared" ca="1" si="5"/>
        <v>736158</v>
      </c>
      <c r="F26" s="731">
        <v>1211161</v>
      </c>
      <c r="G26" s="731">
        <f t="shared" ca="1" si="3"/>
        <v>475003</v>
      </c>
      <c r="H26" s="800">
        <f t="shared" ca="1" si="4"/>
        <v>0.64524599338728916</v>
      </c>
    </row>
    <row r="27" spans="1:9" ht="25.5">
      <c r="A27" s="737" t="s">
        <v>1174</v>
      </c>
      <c r="B27" s="780"/>
      <c r="C27" s="780"/>
      <c r="D27" s="731">
        <f>'[3]2 TULUDE KOOND'!D47</f>
        <v>418</v>
      </c>
      <c r="E27" s="731">
        <f t="shared" si="5"/>
        <v>418</v>
      </c>
      <c r="F27" s="731">
        <v>0</v>
      </c>
      <c r="G27" s="731">
        <f t="shared" si="3"/>
        <v>-418</v>
      </c>
      <c r="H27" s="800">
        <f t="shared" si="4"/>
        <v>-1</v>
      </c>
    </row>
    <row r="28" spans="1:9">
      <c r="A28" s="736" t="s">
        <v>1175</v>
      </c>
      <c r="B28" s="780">
        <v>397408984</v>
      </c>
      <c r="C28" s="780">
        <v>3304643</v>
      </c>
      <c r="D28" s="731">
        <f ca="1">'[3]3 KULUD'!B874+'[3]3 KULUD'!B871</f>
        <v>-3240347</v>
      </c>
      <c r="E28" s="731">
        <f t="shared" ca="1" si="5"/>
        <v>397473280</v>
      </c>
      <c r="F28" s="731">
        <v>414956178.9429</v>
      </c>
      <c r="G28" s="731">
        <f t="shared" ca="1" si="3"/>
        <v>17482898.942900002</v>
      </c>
      <c r="H28" s="800">
        <f t="shared" ca="1" si="4"/>
        <v>4.3985092388851905E-2</v>
      </c>
    </row>
    <row r="29" spans="1:9">
      <c r="A29" s="730" t="s">
        <v>1176</v>
      </c>
      <c r="B29" s="780">
        <v>23046993</v>
      </c>
      <c r="C29" s="780">
        <v>1091584</v>
      </c>
      <c r="D29" s="731">
        <f>ROUND(('[3]4 INVEST'!D40+'[3]4 INVEST'!D23)*0.2,0)+'[3]4 INVEST'!D90</f>
        <v>4354990</v>
      </c>
      <c r="E29" s="731">
        <f t="shared" si="5"/>
        <v>28493567</v>
      </c>
      <c r="F29" s="731">
        <v>56763580</v>
      </c>
      <c r="G29" s="731">
        <f t="shared" si="3"/>
        <v>28270013</v>
      </c>
      <c r="H29" s="800">
        <f t="shared" si="4"/>
        <v>0.99215422905808881</v>
      </c>
    </row>
    <row r="30" spans="1:9">
      <c r="A30" s="730"/>
      <c r="B30" s="785"/>
      <c r="C30" s="785"/>
      <c r="D30" s="734"/>
      <c r="E30" s="734">
        <f t="shared" si="5"/>
        <v>0</v>
      </c>
      <c r="F30" s="734"/>
      <c r="G30" s="734">
        <f t="shared" si="3"/>
        <v>0</v>
      </c>
      <c r="H30" s="801"/>
    </row>
    <row r="31" spans="1:9">
      <c r="A31" s="738" t="s">
        <v>1177</v>
      </c>
      <c r="B31" s="739">
        <f t="shared" ref="B31:C31" si="11">B7-B23</f>
        <v>43492461</v>
      </c>
      <c r="C31" s="739">
        <f t="shared" si="11"/>
        <v>3042543</v>
      </c>
      <c r="D31" s="739">
        <f t="shared" ref="D31" ca="1" si="12">D7-D23</f>
        <v>6746205</v>
      </c>
      <c r="E31" s="739">
        <f t="shared" ca="1" si="5"/>
        <v>53281209</v>
      </c>
      <c r="F31" s="739">
        <f t="shared" ref="F31" ca="1" si="13">F7-F23</f>
        <v>39904685.057100058</v>
      </c>
      <c r="G31" s="739">
        <f t="shared" ca="1" si="3"/>
        <v>-13376523.942899942</v>
      </c>
      <c r="H31" s="802">
        <f t="shared" ca="1" si="4"/>
        <v>-0.2510551880100908</v>
      </c>
    </row>
    <row r="32" spans="1:9">
      <c r="A32" s="740"/>
      <c r="B32" s="786"/>
      <c r="C32" s="786"/>
      <c r="D32" s="741"/>
      <c r="E32" s="741">
        <f t="shared" si="5"/>
        <v>0</v>
      </c>
      <c r="F32" s="741"/>
      <c r="G32" s="741">
        <f t="shared" si="3"/>
        <v>0</v>
      </c>
      <c r="H32" s="803"/>
    </row>
    <row r="33" spans="1:8">
      <c r="A33" s="742" t="s">
        <v>1178</v>
      </c>
      <c r="B33" s="780">
        <v>45405782</v>
      </c>
      <c r="C33" s="780">
        <v>91295</v>
      </c>
      <c r="D33" s="731">
        <v>720911</v>
      </c>
      <c r="E33" s="731">
        <f t="shared" si="5"/>
        <v>46217988</v>
      </c>
      <c r="F33" s="731">
        <v>45132753</v>
      </c>
      <c r="G33" s="731">
        <f t="shared" si="3"/>
        <v>-1085235</v>
      </c>
      <c r="H33" s="800">
        <f t="shared" si="4"/>
        <v>-2.3480792803009944E-2</v>
      </c>
    </row>
    <row r="34" spans="1:8">
      <c r="A34" s="733"/>
      <c r="B34" s="785"/>
      <c r="C34" s="785"/>
      <c r="D34" s="734"/>
      <c r="E34" s="734">
        <f t="shared" si="5"/>
        <v>0</v>
      </c>
      <c r="F34" s="734"/>
      <c r="G34" s="734">
        <f t="shared" si="3"/>
        <v>0</v>
      </c>
      <c r="H34" s="801"/>
    </row>
    <row r="35" spans="1:8">
      <c r="A35" s="738" t="s">
        <v>1179</v>
      </c>
      <c r="B35" s="739">
        <f t="shared" ref="B35:C35" si="14">B31-B33</f>
        <v>-1913321</v>
      </c>
      <c r="C35" s="739">
        <f t="shared" si="14"/>
        <v>2951248</v>
      </c>
      <c r="D35" s="739">
        <f t="shared" ref="D35" ca="1" si="15">D31-D33</f>
        <v>6025294</v>
      </c>
      <c r="E35" s="739">
        <f t="shared" ca="1" si="5"/>
        <v>7063221</v>
      </c>
      <c r="F35" s="739">
        <f t="shared" ref="F35" ca="1" si="16">F31-F33</f>
        <v>-5228067.9428999424</v>
      </c>
      <c r="G35" s="739">
        <f t="shared" ca="1" si="3"/>
        <v>-12291288.942899942</v>
      </c>
      <c r="H35" s="802">
        <f t="shared" ca="1" si="4"/>
        <v>-1.7401818437933547</v>
      </c>
    </row>
    <row r="36" spans="1:8" ht="16.5" thickBot="1">
      <c r="A36" s="743"/>
      <c r="B36" s="787"/>
      <c r="C36" s="787"/>
      <c r="D36" s="744"/>
      <c r="E36" s="744">
        <f t="shared" si="5"/>
        <v>0</v>
      </c>
      <c r="F36" s="744"/>
      <c r="G36" s="744">
        <f t="shared" si="3"/>
        <v>0</v>
      </c>
      <c r="H36" s="804"/>
    </row>
    <row r="37" spans="1:8" ht="16.5" thickTop="1">
      <c r="A37" s="745"/>
      <c r="B37" s="788"/>
      <c r="C37" s="788"/>
      <c r="D37" s="746"/>
      <c r="E37" s="746">
        <f t="shared" si="5"/>
        <v>0</v>
      </c>
      <c r="F37" s="746"/>
      <c r="G37" s="746">
        <f t="shared" si="3"/>
        <v>0</v>
      </c>
      <c r="H37" s="805"/>
    </row>
    <row r="38" spans="1:8" ht="15.75">
      <c r="A38" s="747" t="s">
        <v>1180</v>
      </c>
      <c r="B38" s="788"/>
      <c r="C38" s="788"/>
      <c r="D38" s="746"/>
      <c r="E38" s="746">
        <f t="shared" si="5"/>
        <v>0</v>
      </c>
      <c r="F38" s="746"/>
      <c r="G38" s="746">
        <f t="shared" si="3"/>
        <v>0</v>
      </c>
      <c r="H38" s="805"/>
    </row>
    <row r="39" spans="1:8" ht="15.75">
      <c r="A39" s="747"/>
      <c r="B39" s="788"/>
      <c r="C39" s="788"/>
      <c r="D39" s="746"/>
      <c r="E39" s="746">
        <f t="shared" si="5"/>
        <v>0</v>
      </c>
      <c r="F39" s="746"/>
      <c r="G39" s="746">
        <f t="shared" si="3"/>
        <v>0</v>
      </c>
      <c r="H39" s="805"/>
    </row>
    <row r="40" spans="1:8">
      <c r="A40" s="748" t="s">
        <v>1181</v>
      </c>
      <c r="B40" s="780"/>
      <c r="C40" s="780"/>
      <c r="D40" s="731"/>
      <c r="E40" s="731">
        <f t="shared" si="5"/>
        <v>0</v>
      </c>
      <c r="F40" s="731"/>
      <c r="G40" s="731">
        <f t="shared" si="3"/>
        <v>0</v>
      </c>
      <c r="H40" s="800"/>
    </row>
    <row r="41" spans="1:8">
      <c r="A41" s="748"/>
      <c r="B41" s="780"/>
      <c r="C41" s="780"/>
      <c r="D41" s="731"/>
      <c r="E41" s="731">
        <f t="shared" si="5"/>
        <v>0</v>
      </c>
      <c r="F41" s="731"/>
      <c r="G41" s="731">
        <f t="shared" si="3"/>
        <v>0</v>
      </c>
      <c r="H41" s="800"/>
    </row>
    <row r="42" spans="1:8">
      <c r="A42" s="749" t="s">
        <v>1182</v>
      </c>
      <c r="B42" s="780"/>
      <c r="C42" s="780"/>
      <c r="D42" s="731"/>
      <c r="E42" s="731">
        <f t="shared" si="5"/>
        <v>0</v>
      </c>
      <c r="F42" s="731"/>
      <c r="G42" s="731">
        <f t="shared" si="3"/>
        <v>0</v>
      </c>
      <c r="H42" s="800"/>
    </row>
    <row r="43" spans="1:8">
      <c r="A43" s="750" t="s">
        <v>1183</v>
      </c>
      <c r="B43" s="780">
        <v>65211974</v>
      </c>
      <c r="C43" s="780">
        <v>3166337</v>
      </c>
      <c r="D43" s="731">
        <f>('[3]4 INVEST'!D40+'[3]4 INVEST'!D23)-ROUND(0.2*('[3]4 INVEST'!D40+'[3]4 INVEST'!D23),0)</f>
        <v>-1005720</v>
      </c>
      <c r="E43" s="731">
        <f t="shared" si="5"/>
        <v>67372591</v>
      </c>
      <c r="F43" s="731">
        <v>84780520</v>
      </c>
      <c r="G43" s="731">
        <f t="shared" si="3"/>
        <v>17407929</v>
      </c>
      <c r="H43" s="800">
        <f t="shared" si="4"/>
        <v>0.25838295279455709</v>
      </c>
    </row>
    <row r="44" spans="1:8">
      <c r="A44" s="750" t="s">
        <v>1178</v>
      </c>
      <c r="B44" s="780">
        <v>-45405782</v>
      </c>
      <c r="C44" s="780">
        <v>-91295</v>
      </c>
      <c r="D44" s="731">
        <f>-D33</f>
        <v>-720911</v>
      </c>
      <c r="E44" s="731">
        <f t="shared" si="5"/>
        <v>-46217988</v>
      </c>
      <c r="F44" s="731">
        <f>-F33</f>
        <v>-45132753</v>
      </c>
      <c r="G44" s="731">
        <f t="shared" si="3"/>
        <v>1085235</v>
      </c>
      <c r="H44" s="800">
        <f t="shared" si="4"/>
        <v>-2.3480792803009944E-2</v>
      </c>
    </row>
    <row r="45" spans="1:8">
      <c r="A45" s="750" t="s">
        <v>1184</v>
      </c>
      <c r="B45" s="780">
        <v>-1498132</v>
      </c>
      <c r="C45" s="780">
        <v>-6800</v>
      </c>
      <c r="D45" s="731">
        <f>D15</f>
        <v>0</v>
      </c>
      <c r="E45" s="731">
        <f t="shared" si="5"/>
        <v>-1504932</v>
      </c>
      <c r="F45" s="731">
        <f>F15</f>
        <v>-5902527</v>
      </c>
      <c r="G45" s="731">
        <f t="shared" si="3"/>
        <v>-4397595</v>
      </c>
      <c r="H45" s="800">
        <f t="shared" si="4"/>
        <v>2.9221220626579805</v>
      </c>
    </row>
    <row r="46" spans="1:8">
      <c r="A46" s="751" t="s">
        <v>1185</v>
      </c>
      <c r="B46" s="728">
        <f t="shared" ref="B46" si="17">SUM(B43:B45)</f>
        <v>18308060</v>
      </c>
      <c r="C46" s="728">
        <f t="shared" ref="C46" si="18">SUM(C43:C45)</f>
        <v>3068242</v>
      </c>
      <c r="D46" s="728">
        <f t="shared" ref="D46" si="19">SUM(D43:D45)</f>
        <v>-1726631</v>
      </c>
      <c r="E46" s="728">
        <f t="shared" si="5"/>
        <v>19649671</v>
      </c>
      <c r="F46" s="728">
        <f t="shared" ref="F46" si="20">SUM(F43:F45)</f>
        <v>33745240</v>
      </c>
      <c r="G46" s="728">
        <f t="shared" si="3"/>
        <v>14095569</v>
      </c>
      <c r="H46" s="799">
        <f t="shared" si="4"/>
        <v>0.71734376621369389</v>
      </c>
    </row>
    <row r="47" spans="1:8">
      <c r="A47" s="752"/>
      <c r="B47" s="780"/>
      <c r="C47" s="780"/>
      <c r="D47" s="731"/>
      <c r="E47" s="731">
        <f t="shared" si="5"/>
        <v>0</v>
      </c>
      <c r="F47" s="731"/>
      <c r="G47" s="731">
        <f t="shared" si="3"/>
        <v>0</v>
      </c>
      <c r="H47" s="800"/>
    </row>
    <row r="48" spans="1:8">
      <c r="A48" s="749" t="s">
        <v>1186</v>
      </c>
      <c r="B48" s="780"/>
      <c r="C48" s="780"/>
      <c r="D48" s="731"/>
      <c r="E48" s="731">
        <f t="shared" si="5"/>
        <v>0</v>
      </c>
      <c r="F48" s="731"/>
      <c r="G48" s="731">
        <f t="shared" si="3"/>
        <v>0</v>
      </c>
      <c r="H48" s="800"/>
    </row>
    <row r="49" spans="1:8">
      <c r="A49" s="750" t="s">
        <v>1187</v>
      </c>
      <c r="B49" s="731">
        <f t="shared" ref="B49:C49" si="21">B50</f>
        <v>-9093006</v>
      </c>
      <c r="C49" s="731">
        <f t="shared" si="21"/>
        <v>-2213557</v>
      </c>
      <c r="D49" s="731">
        <f>D50</f>
        <v>6751925</v>
      </c>
      <c r="E49" s="731">
        <f t="shared" si="5"/>
        <v>-4554638</v>
      </c>
      <c r="F49" s="731">
        <f>F50+F51</f>
        <v>0</v>
      </c>
      <c r="G49" s="731">
        <f t="shared" si="3"/>
        <v>4554638</v>
      </c>
      <c r="H49" s="800">
        <f t="shared" si="4"/>
        <v>-1</v>
      </c>
    </row>
    <row r="50" spans="1:8" ht="12.75" hidden="1" customHeight="1">
      <c r="A50" s="753" t="s">
        <v>807</v>
      </c>
      <c r="B50" s="789">
        <v>-9093006</v>
      </c>
      <c r="C50" s="789">
        <v>-2213557</v>
      </c>
      <c r="D50" s="754">
        <f>2146767-6000+125000+38500+4501720+1207532-55000-121297-21297-22000-7000-35000-1000000</f>
        <v>6751925</v>
      </c>
      <c r="E50" s="754">
        <f t="shared" si="5"/>
        <v>-4554638</v>
      </c>
      <c r="F50" s="754"/>
      <c r="G50" s="754">
        <f t="shared" si="3"/>
        <v>4554638</v>
      </c>
      <c r="H50" s="668">
        <f t="shared" si="4"/>
        <v>-1</v>
      </c>
    </row>
    <row r="51" spans="1:8" ht="12.75" hidden="1" customHeight="1">
      <c r="A51" s="753" t="s">
        <v>811</v>
      </c>
      <c r="B51" s="789"/>
      <c r="C51" s="789"/>
      <c r="D51" s="754"/>
      <c r="E51" s="754"/>
      <c r="F51" s="754"/>
      <c r="G51" s="754"/>
      <c r="H51" s="668"/>
    </row>
    <row r="52" spans="1:8">
      <c r="A52" s="749" t="s">
        <v>1188</v>
      </c>
      <c r="B52" s="780"/>
      <c r="C52" s="780"/>
      <c r="D52" s="755"/>
      <c r="E52" s="755">
        <f t="shared" si="5"/>
        <v>0</v>
      </c>
      <c r="F52" s="755"/>
      <c r="G52" s="755">
        <f t="shared" si="3"/>
        <v>0</v>
      </c>
      <c r="H52" s="806"/>
    </row>
    <row r="53" spans="1:8">
      <c r="A53" s="750" t="s">
        <v>1189</v>
      </c>
      <c r="B53" s="780">
        <v>260000</v>
      </c>
      <c r="C53" s="780">
        <v>4999990</v>
      </c>
      <c r="D53" s="755">
        <v>1000000</v>
      </c>
      <c r="E53" s="755">
        <f t="shared" si="5"/>
        <v>6259990</v>
      </c>
      <c r="F53" s="755"/>
      <c r="G53" s="755">
        <f t="shared" si="3"/>
        <v>-6259990</v>
      </c>
      <c r="H53" s="806">
        <f t="shared" si="4"/>
        <v>-1</v>
      </c>
    </row>
    <row r="54" spans="1:8">
      <c r="A54" s="751" t="s">
        <v>1190</v>
      </c>
      <c r="B54" s="728">
        <f t="shared" ref="B54" si="22">B49+B53</f>
        <v>-8833006</v>
      </c>
      <c r="C54" s="728">
        <f t="shared" ref="C54" si="23">C49+C53</f>
        <v>2786433</v>
      </c>
      <c r="D54" s="728">
        <f t="shared" ref="D54" si="24">D49+D53</f>
        <v>7751925</v>
      </c>
      <c r="E54" s="728">
        <f t="shared" si="5"/>
        <v>1705352</v>
      </c>
      <c r="F54" s="728">
        <f t="shared" ref="F54" si="25">F49+F53</f>
        <v>0</v>
      </c>
      <c r="G54" s="728">
        <f t="shared" si="3"/>
        <v>-1705352</v>
      </c>
      <c r="H54" s="799">
        <f t="shared" si="4"/>
        <v>-1</v>
      </c>
    </row>
    <row r="55" spans="1:8">
      <c r="A55" s="751"/>
      <c r="B55" s="784"/>
      <c r="C55" s="790"/>
      <c r="E55" s="721">
        <f t="shared" si="5"/>
        <v>0</v>
      </c>
      <c r="G55" s="721">
        <f t="shared" si="3"/>
        <v>0</v>
      </c>
      <c r="H55" s="807"/>
    </row>
    <row r="56" spans="1:8">
      <c r="A56" s="751" t="s">
        <v>1191</v>
      </c>
      <c r="B56" s="784"/>
      <c r="C56" s="784">
        <v>-4999990</v>
      </c>
      <c r="D56" s="728"/>
      <c r="E56" s="728">
        <f t="shared" si="5"/>
        <v>-4999990</v>
      </c>
      <c r="F56" s="728"/>
      <c r="G56" s="728">
        <f t="shared" si="3"/>
        <v>4999990</v>
      </c>
      <c r="H56" s="799">
        <f t="shared" si="4"/>
        <v>-1</v>
      </c>
    </row>
    <row r="57" spans="1:8">
      <c r="A57" s="756"/>
      <c r="B57" s="780"/>
      <c r="C57" s="780"/>
      <c r="D57" s="731"/>
      <c r="E57" s="731">
        <f t="shared" si="5"/>
        <v>0</v>
      </c>
      <c r="F57" s="731"/>
      <c r="G57" s="731">
        <f t="shared" si="3"/>
        <v>0</v>
      </c>
      <c r="H57" s="800"/>
    </row>
    <row r="58" spans="1:8" ht="15.75">
      <c r="A58" s="747"/>
      <c r="B58" s="788"/>
      <c r="C58" s="788"/>
      <c r="D58" s="746"/>
      <c r="E58" s="746">
        <f t="shared" si="5"/>
        <v>0</v>
      </c>
      <c r="F58" s="746"/>
      <c r="G58" s="746">
        <f t="shared" si="3"/>
        <v>0</v>
      </c>
      <c r="H58" s="805"/>
    </row>
    <row r="59" spans="1:8">
      <c r="A59" s="748" t="s">
        <v>1192</v>
      </c>
      <c r="B59" s="780"/>
      <c r="C59" s="780"/>
      <c r="D59" s="731"/>
      <c r="E59" s="731">
        <f t="shared" si="5"/>
        <v>0</v>
      </c>
      <c r="F59" s="731"/>
      <c r="G59" s="731">
        <f t="shared" si="3"/>
        <v>0</v>
      </c>
      <c r="H59" s="800"/>
    </row>
    <row r="60" spans="1:8">
      <c r="A60" s="748"/>
      <c r="B60" s="780"/>
      <c r="C60" s="780"/>
      <c r="D60" s="731"/>
      <c r="E60" s="731">
        <f t="shared" si="5"/>
        <v>0</v>
      </c>
      <c r="F60" s="731"/>
      <c r="G60" s="731">
        <f t="shared" si="3"/>
        <v>0</v>
      </c>
      <c r="H60" s="800"/>
    </row>
    <row r="61" spans="1:8">
      <c r="A61" s="751" t="s">
        <v>1193</v>
      </c>
      <c r="B61" s="728">
        <f t="shared" ref="B61:C61" si="26">B62-B63-B64</f>
        <v>11388375</v>
      </c>
      <c r="C61" s="728">
        <f t="shared" si="26"/>
        <v>0</v>
      </c>
      <c r="D61" s="728">
        <f>D62-D63-D64</f>
        <v>0</v>
      </c>
      <c r="E61" s="728">
        <f t="shared" si="5"/>
        <v>11388375</v>
      </c>
      <c r="F61" s="728">
        <f t="shared" ref="F61" si="27">F62-F63-F64</f>
        <v>38973308</v>
      </c>
      <c r="G61" s="728">
        <f t="shared" si="3"/>
        <v>27584933</v>
      </c>
      <c r="H61" s="799">
        <f t="shared" si="4"/>
        <v>2.4222009724829046</v>
      </c>
    </row>
    <row r="62" spans="1:8">
      <c r="A62" s="752" t="s">
        <v>806</v>
      </c>
      <c r="B62" s="780">
        <v>20000000</v>
      </c>
      <c r="C62" s="780"/>
      <c r="D62" s="731"/>
      <c r="E62" s="731">
        <f t="shared" si="5"/>
        <v>20000000</v>
      </c>
      <c r="F62" s="731">
        <f>Fin.teh!E5</f>
        <v>50000000</v>
      </c>
      <c r="G62" s="731">
        <f t="shared" si="3"/>
        <v>30000000</v>
      </c>
      <c r="H62" s="800">
        <f t="shared" si="4"/>
        <v>1.5</v>
      </c>
    </row>
    <row r="63" spans="1:8">
      <c r="A63" s="752" t="s">
        <v>1194</v>
      </c>
      <c r="B63" s="780">
        <v>7569265</v>
      </c>
      <c r="C63" s="780"/>
      <c r="D63" s="731"/>
      <c r="E63" s="731">
        <f t="shared" si="5"/>
        <v>7569265</v>
      </c>
      <c r="F63" s="731">
        <f>Fin.teh!E8</f>
        <v>9913192</v>
      </c>
      <c r="G63" s="731">
        <f t="shared" si="3"/>
        <v>2343927</v>
      </c>
      <c r="H63" s="800">
        <f t="shared" si="4"/>
        <v>0.30966375202876367</v>
      </c>
    </row>
    <row r="64" spans="1:8">
      <c r="A64" s="750" t="s">
        <v>1195</v>
      </c>
      <c r="B64" s="780">
        <v>1042360</v>
      </c>
      <c r="C64" s="780"/>
      <c r="D64" s="731"/>
      <c r="E64" s="731">
        <f t="shared" si="5"/>
        <v>1042360</v>
      </c>
      <c r="F64" s="731">
        <f>Fin.teh!E11</f>
        <v>1113500</v>
      </c>
      <c r="G64" s="731">
        <f t="shared" si="3"/>
        <v>71140</v>
      </c>
      <c r="H64" s="800">
        <f t="shared" si="4"/>
        <v>6.8248973483249556E-2</v>
      </c>
    </row>
    <row r="65" spans="1:8">
      <c r="A65" s="751"/>
      <c r="B65" s="784"/>
      <c r="C65" s="784"/>
      <c r="D65" s="728"/>
      <c r="E65" s="728">
        <f t="shared" si="5"/>
        <v>0</v>
      </c>
      <c r="F65" s="728"/>
      <c r="G65" s="728">
        <f t="shared" si="3"/>
        <v>0</v>
      </c>
      <c r="H65" s="799"/>
    </row>
    <row r="66" spans="1:8">
      <c r="A66" s="751" t="s">
        <v>1196</v>
      </c>
      <c r="B66" s="784"/>
      <c r="C66" s="784">
        <v>-2096563</v>
      </c>
      <c r="D66" s="728"/>
      <c r="E66" s="728">
        <f t="shared" si="5"/>
        <v>-2096563</v>
      </c>
      <c r="F66" s="728"/>
      <c r="G66" s="728">
        <f t="shared" si="3"/>
        <v>2096563</v>
      </c>
      <c r="H66" s="799">
        <f t="shared" si="4"/>
        <v>-1</v>
      </c>
    </row>
    <row r="67" spans="1:8">
      <c r="A67" s="757"/>
      <c r="B67" s="784"/>
      <c r="C67" s="784"/>
      <c r="D67" s="728"/>
      <c r="E67" s="728">
        <f t="shared" si="5"/>
        <v>0</v>
      </c>
      <c r="F67" s="728"/>
      <c r="G67" s="728">
        <f t="shared" si="3"/>
        <v>0</v>
      </c>
      <c r="H67" s="799"/>
    </row>
    <row r="68" spans="1:8">
      <c r="A68" s="757"/>
      <c r="B68" s="784"/>
      <c r="C68" s="784"/>
      <c r="D68" s="728"/>
      <c r="E68" s="728">
        <f t="shared" si="5"/>
        <v>0</v>
      </c>
      <c r="F68" s="728"/>
      <c r="G68" s="728">
        <f t="shared" si="3"/>
        <v>0</v>
      </c>
      <c r="H68" s="799"/>
    </row>
    <row r="69" spans="1:8">
      <c r="A69" s="748" t="s">
        <v>1197</v>
      </c>
      <c r="B69" s="758">
        <f>B46+B54+B56-B61-B66</f>
        <v>-1913321</v>
      </c>
      <c r="C69" s="758">
        <f>C46+C54+C56-C61-C66</f>
        <v>2951248</v>
      </c>
      <c r="D69" s="758">
        <f>D46+D54+D56-D61-D66</f>
        <v>6025294</v>
      </c>
      <c r="E69" s="758">
        <f t="shared" si="5"/>
        <v>7063221</v>
      </c>
      <c r="F69" s="758">
        <f>F46+F54+F56-F61-F66</f>
        <v>-5228068</v>
      </c>
      <c r="G69" s="758">
        <f t="shared" si="3"/>
        <v>-12291289</v>
      </c>
      <c r="H69" s="808">
        <f t="shared" si="4"/>
        <v>-1.7401818518774932</v>
      </c>
    </row>
    <row r="70" spans="1:8">
      <c r="A70" s="757"/>
      <c r="B70" s="784"/>
      <c r="C70" s="784"/>
      <c r="D70" s="728"/>
      <c r="E70" s="728">
        <f t="shared" si="5"/>
        <v>0</v>
      </c>
      <c r="F70" s="728"/>
      <c r="G70" s="728">
        <f t="shared" si="3"/>
        <v>0</v>
      </c>
      <c r="H70" s="799"/>
    </row>
    <row r="71" spans="1:8">
      <c r="A71" s="733" t="s">
        <v>804</v>
      </c>
      <c r="B71" s="734">
        <f>B7-B45+B62-B50-B56</f>
        <v>570693086</v>
      </c>
      <c r="C71" s="734">
        <f>C7-C45+C62-C50-C56</f>
        <v>25157509</v>
      </c>
      <c r="D71" s="734">
        <f>D7-D45+D62-D50-D56</f>
        <v>1193597</v>
      </c>
      <c r="E71" s="734">
        <f t="shared" si="5"/>
        <v>597044192</v>
      </c>
      <c r="F71" s="734">
        <f ca="1">F7-F45+F62-F50-F56</f>
        <v>655338132</v>
      </c>
      <c r="G71" s="734">
        <f t="shared" ca="1" si="3"/>
        <v>58293940</v>
      </c>
      <c r="H71" s="882">
        <f t="shared" ca="1" si="4"/>
        <v>9.7637563150434259E-2</v>
      </c>
    </row>
    <row r="72" spans="1:8">
      <c r="A72" s="725" t="s">
        <v>808</v>
      </c>
      <c r="B72" s="734">
        <f>B23+B43+B63+B64+B53-B66</f>
        <v>570693086</v>
      </c>
      <c r="C72" s="734">
        <f>C23+C43+C63+C64+C53-C66</f>
        <v>25157509</v>
      </c>
      <c r="D72" s="734">
        <f ca="1">D23+D43+D63+D64+D53-D66</f>
        <v>1193597</v>
      </c>
      <c r="E72" s="734">
        <f t="shared" ca="1" si="5"/>
        <v>597044192</v>
      </c>
      <c r="F72" s="734">
        <f>F23+F43+F63+F64+F53-F66+F51</f>
        <v>655338131.94289994</v>
      </c>
      <c r="G72" s="734">
        <f t="shared" ref="G72" ca="1" si="28">F72-E72</f>
        <v>58293939.942899942</v>
      </c>
      <c r="H72" s="882">
        <f t="shared" ref="H72" ca="1" si="29">(F72-E72)/E72</f>
        <v>9.7637563054796359E-2</v>
      </c>
    </row>
    <row r="73" spans="1:8">
      <c r="A73" s="759"/>
      <c r="D73" s="734">
        <f ca="1">D71-D72</f>
        <v>0</v>
      </c>
      <c r="E73" s="760"/>
      <c r="F73" s="729"/>
    </row>
    <row r="74" spans="1:8">
      <c r="A74" s="759"/>
      <c r="D74" s="761"/>
      <c r="E74" s="761"/>
    </row>
    <row r="75" spans="1:8">
      <c r="A75" s="759"/>
      <c r="D75" s="762"/>
      <c r="E75" s="761"/>
    </row>
    <row r="76" spans="1:8">
      <c r="A76" s="759"/>
      <c r="D76" s="762"/>
      <c r="E76" s="761"/>
    </row>
    <row r="77" spans="1:8">
      <c r="A77" s="725"/>
      <c r="D77" s="761"/>
      <c r="E77" s="761"/>
    </row>
    <row r="78" spans="1:8">
      <c r="A78" s="725"/>
      <c r="D78" s="761"/>
      <c r="E78" s="761"/>
    </row>
    <row r="79" spans="1:8">
      <c r="A79" s="763"/>
      <c r="D79" s="761"/>
      <c r="E79" s="761"/>
    </row>
    <row r="80" spans="1:8">
      <c r="A80" s="763"/>
      <c r="D80" s="761"/>
      <c r="E80" s="761"/>
    </row>
    <row r="81" spans="1:5">
      <c r="A81" s="763"/>
      <c r="D81" s="761"/>
      <c r="E81" s="761"/>
    </row>
    <row r="82" spans="1:5">
      <c r="A82" s="763"/>
      <c r="D82" s="761"/>
      <c r="E82" s="761"/>
    </row>
    <row r="83" spans="1:5">
      <c r="A83" s="763"/>
      <c r="D83" s="761"/>
      <c r="E83" s="761"/>
    </row>
    <row r="84" spans="1:5">
      <c r="A84" s="763"/>
      <c r="D84" s="761"/>
      <c r="E84" s="761"/>
    </row>
    <row r="85" spans="1:5">
      <c r="A85" s="763"/>
      <c r="D85" s="761"/>
      <c r="E85" s="761"/>
    </row>
    <row r="86" spans="1:5">
      <c r="A86" s="763"/>
      <c r="D86" s="761"/>
      <c r="E86" s="761"/>
    </row>
    <row r="87" spans="1:5">
      <c r="A87" s="763"/>
      <c r="D87" s="761"/>
      <c r="E87" s="761"/>
    </row>
    <row r="88" spans="1:5">
      <c r="A88" s="763"/>
      <c r="D88" s="761"/>
      <c r="E88" s="761"/>
    </row>
    <row r="89" spans="1:5">
      <c r="A89" s="763"/>
      <c r="D89" s="761"/>
      <c r="E89" s="761"/>
    </row>
    <row r="90" spans="1:5">
      <c r="A90" s="763"/>
      <c r="D90" s="761"/>
      <c r="E90" s="761"/>
    </row>
    <row r="91" spans="1:5">
      <c r="A91" s="763"/>
      <c r="D91" s="761"/>
      <c r="E91" s="761"/>
    </row>
    <row r="92" spans="1:5">
      <c r="A92" s="763"/>
      <c r="D92" s="761"/>
      <c r="E92" s="761"/>
    </row>
    <row r="93" spans="1:5">
      <c r="A93" s="725"/>
      <c r="D93" s="764"/>
      <c r="E93" s="764"/>
    </row>
    <row r="94" spans="1:5">
      <c r="A94" s="765"/>
      <c r="D94" s="766"/>
      <c r="E94" s="766"/>
    </row>
    <row r="95" spans="1:5">
      <c r="A95" s="763"/>
      <c r="D95" s="767"/>
      <c r="E95" s="767"/>
    </row>
    <row r="96" spans="1:5">
      <c r="A96" s="763"/>
      <c r="D96" s="767"/>
      <c r="E96" s="767"/>
    </row>
    <row r="97" spans="1:5">
      <c r="A97" s="763"/>
      <c r="D97" s="767"/>
      <c r="E97" s="767"/>
    </row>
    <row r="98" spans="1:5">
      <c r="A98" s="763"/>
      <c r="D98" s="767"/>
      <c r="E98" s="767"/>
    </row>
    <row r="99" spans="1:5">
      <c r="A99" s="763"/>
      <c r="D99" s="767"/>
      <c r="E99" s="767"/>
    </row>
    <row r="100" spans="1:5">
      <c r="A100" s="763"/>
      <c r="D100" s="767"/>
      <c r="E100" s="767"/>
    </row>
    <row r="101" spans="1:5">
      <c r="A101" s="763"/>
    </row>
    <row r="102" spans="1:5">
      <c r="A102" s="763"/>
    </row>
    <row r="103" spans="1:5">
      <c r="A103" s="763"/>
    </row>
    <row r="104" spans="1:5">
      <c r="A104" s="725"/>
    </row>
    <row r="105" spans="1:5">
      <c r="A105" s="725"/>
    </row>
    <row r="106" spans="1:5">
      <c r="A106" s="765"/>
    </row>
    <row r="107" spans="1:5">
      <c r="A107" s="763"/>
    </row>
    <row r="108" spans="1:5">
      <c r="A108" s="763"/>
    </row>
    <row r="109" spans="1:5">
      <c r="A109" s="763"/>
    </row>
    <row r="110" spans="1:5">
      <c r="A110" s="763"/>
    </row>
    <row r="111" spans="1:5">
      <c r="A111" s="725"/>
    </row>
    <row r="112" spans="1:5">
      <c r="A112" s="768"/>
    </row>
    <row r="113" spans="1:1">
      <c r="A113" s="763"/>
    </row>
    <row r="114" spans="1:1">
      <c r="A114" s="763"/>
    </row>
    <row r="115" spans="1:1">
      <c r="A115" s="725"/>
    </row>
    <row r="116" spans="1:1">
      <c r="A116" s="765"/>
    </row>
    <row r="117" spans="1:1">
      <c r="A117" s="763"/>
    </row>
    <row r="118" spans="1:1">
      <c r="A118" s="763"/>
    </row>
    <row r="119" spans="1:1">
      <c r="A119" s="763"/>
    </row>
    <row r="120" spans="1:1">
      <c r="A120" s="763"/>
    </row>
    <row r="121" spans="1:1">
      <c r="A121" s="725"/>
    </row>
    <row r="122" spans="1:1">
      <c r="A122" s="769"/>
    </row>
    <row r="123" spans="1:1">
      <c r="A123" s="725"/>
    </row>
    <row r="124" spans="1:1">
      <c r="A124" s="765"/>
    </row>
    <row r="125" spans="1:1">
      <c r="A125" s="763"/>
    </row>
    <row r="126" spans="1:1">
      <c r="A126" s="763"/>
    </row>
    <row r="127" spans="1:1">
      <c r="A127" s="763"/>
    </row>
    <row r="128" spans="1:1">
      <c r="A128" s="763"/>
    </row>
    <row r="129" spans="1:1">
      <c r="A129" s="763"/>
    </row>
    <row r="130" spans="1:1">
      <c r="A130" s="763"/>
    </row>
    <row r="131" spans="1:1">
      <c r="A131" s="763"/>
    </row>
    <row r="132" spans="1:1">
      <c r="A132" s="763"/>
    </row>
    <row r="135" spans="1:1">
      <c r="A135" s="725"/>
    </row>
    <row r="136" spans="1:1">
      <c r="A136" s="765"/>
    </row>
    <row r="137" spans="1:1">
      <c r="A137" s="763"/>
    </row>
    <row r="138" spans="1:1">
      <c r="A138" s="763"/>
    </row>
    <row r="141" spans="1:1">
      <c r="A141" s="765"/>
    </row>
    <row r="147" spans="1:1">
      <c r="A147" s="765"/>
    </row>
  </sheetData>
  <mergeCells count="2">
    <mergeCell ref="B3:E3"/>
    <mergeCell ref="G3:H3"/>
  </mergeCells>
  <pageMargins left="1.1811023622047245" right="0.47244094488188981" top="0.47244094488188981" bottom="0.98425196850393704" header="0.51181102362204722" footer="0.51181102362204722"/>
  <pageSetup paperSize="9" scale="75" orientation="portrait"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zoomScaleNormal="100" workbookViewId="0">
      <selection activeCell="U76" sqref="U76"/>
    </sheetView>
  </sheetViews>
  <sheetFormatPr defaultColWidth="9.140625" defaultRowHeight="12.75"/>
  <cols>
    <col min="1" max="1" width="1.7109375" style="425" customWidth="1"/>
    <col min="2" max="2" width="31" style="425" customWidth="1"/>
    <col min="3" max="3" width="12.5703125" style="425" customWidth="1"/>
    <col min="4" max="5" width="12.140625" style="425" hidden="1" customWidth="1"/>
    <col min="6" max="6" width="14.28515625" style="425" customWidth="1"/>
    <col min="7" max="8" width="12.5703125" style="423" customWidth="1"/>
    <col min="9" max="9" width="11" style="425" hidden="1" customWidth="1"/>
    <col min="10" max="10" width="11.42578125" style="425" hidden="1" customWidth="1"/>
    <col min="11" max="11" width="12" style="425" hidden="1" customWidth="1"/>
    <col min="12" max="17" width="0" style="425" hidden="1" customWidth="1"/>
    <col min="18" max="16384" width="9.140625" style="425"/>
  </cols>
  <sheetData>
    <row r="1" spans="1:15">
      <c r="A1" s="423"/>
      <c r="B1" s="424" t="s">
        <v>1121</v>
      </c>
      <c r="C1" s="423"/>
      <c r="D1" s="423"/>
      <c r="E1" s="423"/>
      <c r="F1" s="423"/>
    </row>
    <row r="2" spans="1:15">
      <c r="A2" s="423"/>
      <c r="B2" s="426">
        <f ca="1">TODAY()</f>
        <v>42703</v>
      </c>
      <c r="C2" s="423"/>
      <c r="D2" s="423"/>
      <c r="E2" s="423"/>
      <c r="F2" s="423"/>
    </row>
    <row r="3" spans="1:15" ht="6" customHeight="1">
      <c r="B3" s="427"/>
      <c r="C3" s="428"/>
      <c r="D3" s="428"/>
      <c r="E3" s="428"/>
      <c r="F3" s="428"/>
      <c r="G3" s="428"/>
      <c r="H3" s="428"/>
    </row>
    <row r="4" spans="1:15" ht="24.75" customHeight="1">
      <c r="B4" s="429" t="s">
        <v>816</v>
      </c>
      <c r="C4" s="430" t="s">
        <v>817</v>
      </c>
      <c r="D4" s="430" t="s">
        <v>815</v>
      </c>
      <c r="E4" s="430" t="s">
        <v>1033</v>
      </c>
      <c r="F4" s="430" t="s">
        <v>818</v>
      </c>
      <c r="G4" s="430" t="s">
        <v>819</v>
      </c>
      <c r="H4" s="430" t="s">
        <v>871</v>
      </c>
    </row>
    <row r="5" spans="1:15" ht="3" customHeight="1">
      <c r="B5" s="427"/>
      <c r="C5" s="431"/>
      <c r="D5" s="431"/>
      <c r="E5" s="431"/>
      <c r="F5" s="431"/>
      <c r="G5" s="431"/>
      <c r="H5" s="431"/>
    </row>
    <row r="6" spans="1:15" s="424" customFormat="1">
      <c r="B6" s="432" t="s">
        <v>820</v>
      </c>
      <c r="C6" s="433">
        <f>C7+C8+C9+C10+C12+C11</f>
        <v>526436180</v>
      </c>
      <c r="D6" s="433">
        <f t="shared" ref="D6:F6" si="0">D7+D8+D9+D10+D12+D11</f>
        <v>24402662</v>
      </c>
      <c r="E6" s="433">
        <f t="shared" si="0"/>
        <v>183597</v>
      </c>
      <c r="F6" s="433">
        <f t="shared" si="0"/>
        <v>551022439</v>
      </c>
      <c r="G6" s="433">
        <f>G7+G8+G9+G10+G12+G11</f>
        <v>553627675.06750238</v>
      </c>
      <c r="H6" s="433" t="e">
        <f>H7+H8+H9+H10+H12+H11</f>
        <v>#REF!</v>
      </c>
      <c r="I6" s="435"/>
      <c r="J6" s="435"/>
      <c r="K6" s="435"/>
      <c r="L6" s="435"/>
      <c r="M6" s="435"/>
      <c r="N6" s="435"/>
      <c r="O6" s="435"/>
    </row>
    <row r="7" spans="1:15">
      <c r="B7" s="436" t="s">
        <v>281</v>
      </c>
      <c r="C7" s="437">
        <v>377888017</v>
      </c>
      <c r="D7" s="437">
        <v>6747366</v>
      </c>
      <c r="E7" s="437">
        <v>6525431</v>
      </c>
      <c r="F7" s="437">
        <f>C7+D7+E7</f>
        <v>391160814</v>
      </c>
      <c r="G7" s="437">
        <v>399908072</v>
      </c>
      <c r="H7" s="437" t="e">
        <f>#REF!</f>
        <v>#REF!</v>
      </c>
      <c r="I7" s="423"/>
      <c r="J7" s="423"/>
      <c r="K7" s="423"/>
      <c r="L7" s="423"/>
      <c r="M7" s="423"/>
      <c r="N7" s="423"/>
      <c r="O7" s="423"/>
    </row>
    <row r="8" spans="1:15">
      <c r="B8" s="436" t="s">
        <v>46</v>
      </c>
      <c r="C8" s="337">
        <v>1498132</v>
      </c>
      <c r="D8" s="337">
        <v>6800</v>
      </c>
      <c r="E8" s="337"/>
      <c r="F8" s="437">
        <f t="shared" ref="F8:F23" si="1">C8+D8+E8</f>
        <v>1504932</v>
      </c>
      <c r="G8" s="337">
        <v>786407</v>
      </c>
      <c r="H8" s="337" t="e">
        <f>#REF!</f>
        <v>#REF!</v>
      </c>
      <c r="I8" s="423"/>
      <c r="J8" s="423"/>
      <c r="K8" s="423"/>
      <c r="L8" s="423"/>
      <c r="M8" s="423"/>
      <c r="N8" s="423"/>
      <c r="O8" s="423"/>
    </row>
    <row r="9" spans="1:15">
      <c r="A9" s="423"/>
      <c r="B9" s="436" t="s">
        <v>282</v>
      </c>
      <c r="C9" s="437">
        <v>61803515</v>
      </c>
      <c r="D9" s="437">
        <v>-63443</v>
      </c>
      <c r="E9" s="437">
        <v>1325417</v>
      </c>
      <c r="F9" s="437">
        <f t="shared" si="1"/>
        <v>63065489</v>
      </c>
      <c r="G9" s="437">
        <v>65727465.067502402</v>
      </c>
      <c r="H9" s="437" t="e">
        <f>#REF!</f>
        <v>#REF!</v>
      </c>
      <c r="I9" s="423"/>
      <c r="J9" s="423"/>
      <c r="K9" s="423"/>
      <c r="L9" s="423"/>
      <c r="M9" s="423"/>
      <c r="N9" s="423"/>
      <c r="O9" s="423"/>
    </row>
    <row r="10" spans="1:15">
      <c r="A10" s="423"/>
      <c r="B10" s="436" t="s">
        <v>821</v>
      </c>
      <c r="C10" s="437">
        <f>153510+76000000</f>
        <v>76153510</v>
      </c>
      <c r="D10" s="437">
        <v>10498392</v>
      </c>
      <c r="E10" s="437">
        <v>84674</v>
      </c>
      <c r="F10" s="437">
        <f t="shared" si="1"/>
        <v>86736576</v>
      </c>
      <c r="G10" s="437">
        <v>87205731</v>
      </c>
      <c r="H10" s="437" t="e">
        <f>#REF!+#REF!+#REF!</f>
        <v>#REF!</v>
      </c>
      <c r="I10" s="423"/>
      <c r="J10" s="423"/>
      <c r="K10" s="423"/>
      <c r="L10" s="423"/>
      <c r="M10" s="423"/>
      <c r="N10" s="423"/>
      <c r="O10" s="423"/>
    </row>
    <row r="11" spans="1:15">
      <c r="A11" s="423"/>
      <c r="B11" s="436" t="s">
        <v>807</v>
      </c>
      <c r="C11" s="437">
        <v>9093006</v>
      </c>
      <c r="D11" s="437">
        <v>2213557</v>
      </c>
      <c r="E11" s="437">
        <v>-7751925</v>
      </c>
      <c r="F11" s="437">
        <f t="shared" si="1"/>
        <v>3554638</v>
      </c>
      <c r="G11" s="437"/>
      <c r="H11" s="437"/>
      <c r="I11" s="423"/>
      <c r="J11" s="423"/>
      <c r="K11" s="423"/>
      <c r="L11" s="423"/>
      <c r="M11" s="423"/>
      <c r="N11" s="423"/>
      <c r="O11" s="423"/>
    </row>
    <row r="12" spans="1:15">
      <c r="A12" s="423"/>
      <c r="B12" s="172" t="s">
        <v>805</v>
      </c>
      <c r="C12" s="337"/>
      <c r="D12" s="337">
        <v>4999990</v>
      </c>
      <c r="E12" s="337"/>
      <c r="F12" s="437">
        <f t="shared" si="1"/>
        <v>4999990</v>
      </c>
      <c r="G12" s="337"/>
      <c r="H12" s="337"/>
      <c r="I12" s="423"/>
      <c r="J12" s="423"/>
      <c r="K12" s="423"/>
      <c r="L12" s="423"/>
      <c r="M12" s="423"/>
      <c r="N12" s="423"/>
      <c r="O12" s="423"/>
    </row>
    <row r="13" spans="1:15" ht="6" customHeight="1">
      <c r="A13" s="423"/>
      <c r="B13" s="436"/>
      <c r="C13" s="437"/>
      <c r="D13" s="437"/>
      <c r="E13" s="437"/>
      <c r="F13" s="437"/>
      <c r="G13" s="437"/>
      <c r="H13" s="437"/>
      <c r="I13" s="423"/>
      <c r="J13" s="423"/>
      <c r="K13" s="423"/>
      <c r="L13" s="423"/>
      <c r="M13" s="423"/>
      <c r="N13" s="423"/>
      <c r="O13" s="423"/>
    </row>
    <row r="14" spans="1:15">
      <c r="A14" s="423"/>
      <c r="B14" s="432" t="s">
        <v>822</v>
      </c>
      <c r="C14" s="308">
        <f>C15</f>
        <v>449820877</v>
      </c>
      <c r="D14" s="308">
        <f>D15+D21</f>
        <v>15899598</v>
      </c>
      <c r="E14" s="308">
        <f>E15+E21</f>
        <v>-3051673</v>
      </c>
      <c r="F14" s="308">
        <f t="shared" si="1"/>
        <v>462668802</v>
      </c>
      <c r="G14" s="308">
        <f>G15+G21</f>
        <v>477552943</v>
      </c>
      <c r="H14" s="308" t="e">
        <f>H15+H21</f>
        <v>#REF!</v>
      </c>
      <c r="I14" s="438"/>
      <c r="J14" s="423"/>
      <c r="K14" s="423"/>
      <c r="L14" s="423"/>
      <c r="M14" s="423"/>
      <c r="N14" s="423"/>
      <c r="O14" s="423"/>
    </row>
    <row r="15" spans="1:15" ht="25.5">
      <c r="A15" s="423"/>
      <c r="B15" s="439" t="s">
        <v>823</v>
      </c>
      <c r="C15" s="437">
        <f>473562494-C28</f>
        <v>449820877</v>
      </c>
      <c r="D15" s="437">
        <v>13803035</v>
      </c>
      <c r="E15" s="437">
        <v>-3051673</v>
      </c>
      <c r="F15" s="437">
        <f t="shared" si="1"/>
        <v>460572239</v>
      </c>
      <c r="G15" s="437">
        <v>477552943</v>
      </c>
      <c r="H15" s="437" t="e">
        <f>#REF!-#REF!</f>
        <v>#REF!</v>
      </c>
      <c r="I15" s="438"/>
      <c r="J15" s="438"/>
      <c r="K15" s="438"/>
      <c r="L15" s="423"/>
      <c r="M15" s="423"/>
      <c r="N15" s="423"/>
      <c r="O15" s="423"/>
    </row>
    <row r="16" spans="1:15">
      <c r="A16" s="423"/>
      <c r="B16" s="440" t="s">
        <v>824</v>
      </c>
      <c r="C16" s="437">
        <v>335605469</v>
      </c>
      <c r="D16" s="437">
        <v>3424119</v>
      </c>
      <c r="E16" s="437">
        <v>-4461764</v>
      </c>
      <c r="F16" s="437">
        <f t="shared" si="1"/>
        <v>334567824</v>
      </c>
      <c r="G16" s="437">
        <f>G15-G17-G18</f>
        <v>324619746.93249762</v>
      </c>
      <c r="H16" s="437" t="e">
        <f>H15-H17-H18</f>
        <v>#REF!</v>
      </c>
      <c r="I16" s="438"/>
      <c r="J16" s="441"/>
      <c r="K16" s="289"/>
      <c r="L16" s="423"/>
      <c r="M16" s="423"/>
      <c r="N16" s="423"/>
      <c r="O16" s="423"/>
    </row>
    <row r="17" spans="1:15">
      <c r="A17" s="423"/>
      <c r="B17" s="440" t="s">
        <v>825</v>
      </c>
      <c r="C17" s="337">
        <v>61803515</v>
      </c>
      <c r="D17" s="337">
        <v>-119476</v>
      </c>
      <c r="E17" s="337">
        <v>1325417</v>
      </c>
      <c r="F17" s="337">
        <f t="shared" si="1"/>
        <v>63009456</v>
      </c>
      <c r="G17" s="337">
        <v>65727465.067502402</v>
      </c>
      <c r="H17" s="337" t="e">
        <f>H9</f>
        <v>#REF!</v>
      </c>
      <c r="I17" s="423"/>
      <c r="J17" s="423"/>
      <c r="K17" s="423"/>
      <c r="L17" s="423"/>
      <c r="M17" s="423"/>
      <c r="N17" s="423"/>
      <c r="O17" s="423"/>
    </row>
    <row r="18" spans="1:15">
      <c r="A18" s="423"/>
      <c r="B18" s="440" t="s">
        <v>283</v>
      </c>
      <c r="C18" s="337">
        <f>C10</f>
        <v>76153510</v>
      </c>
      <c r="D18" s="337">
        <f>D10</f>
        <v>10498392</v>
      </c>
      <c r="E18" s="337">
        <f>E20</f>
        <v>84674</v>
      </c>
      <c r="F18" s="337">
        <f t="shared" si="1"/>
        <v>86736576</v>
      </c>
      <c r="G18" s="337">
        <f>G10</f>
        <v>87205731</v>
      </c>
      <c r="H18" s="337" t="e">
        <f>H19+H20</f>
        <v>#REF!</v>
      </c>
      <c r="I18" s="423"/>
      <c r="J18" s="423"/>
      <c r="K18" s="423"/>
      <c r="L18" s="423"/>
      <c r="M18" s="423"/>
      <c r="N18" s="423"/>
      <c r="O18" s="423"/>
    </row>
    <row r="19" spans="1:15">
      <c r="A19" s="423"/>
      <c r="B19" s="442" t="s">
        <v>0</v>
      </c>
      <c r="C19" s="337">
        <v>76000000</v>
      </c>
      <c r="D19" s="337">
        <v>10000000</v>
      </c>
      <c r="E19" s="337"/>
      <c r="F19" s="337">
        <f t="shared" si="1"/>
        <v>86000000</v>
      </c>
      <c r="G19" s="337">
        <v>86600000</v>
      </c>
      <c r="H19" s="337" t="e">
        <f>#REF!</f>
        <v>#REF!</v>
      </c>
      <c r="I19" s="423"/>
      <c r="J19" s="423"/>
      <c r="K19" s="423"/>
      <c r="L19" s="423"/>
      <c r="M19" s="423"/>
      <c r="N19" s="423"/>
      <c r="O19" s="423"/>
    </row>
    <row r="20" spans="1:15">
      <c r="A20" s="423"/>
      <c r="B20" s="442" t="s">
        <v>826</v>
      </c>
      <c r="C20" s="337">
        <f>C18-C19</f>
        <v>153510</v>
      </c>
      <c r="D20" s="337">
        <f t="shared" ref="D20" si="2">D18-D19</f>
        <v>498392</v>
      </c>
      <c r="E20" s="337">
        <v>84674</v>
      </c>
      <c r="F20" s="337">
        <f t="shared" si="1"/>
        <v>736576</v>
      </c>
      <c r="G20" s="337">
        <f>G18-G19</f>
        <v>605731</v>
      </c>
      <c r="H20" s="337" t="e">
        <f>#REF!+#REF!</f>
        <v>#REF!</v>
      </c>
      <c r="I20" s="423"/>
      <c r="J20" s="423"/>
      <c r="K20" s="423"/>
      <c r="L20" s="423"/>
      <c r="M20" s="423"/>
      <c r="N20" s="423"/>
      <c r="O20" s="423"/>
    </row>
    <row r="21" spans="1:15">
      <c r="A21" s="423"/>
      <c r="B21" s="439" t="s">
        <v>810</v>
      </c>
      <c r="C21" s="337"/>
      <c r="D21" s="337">
        <v>2096563</v>
      </c>
      <c r="E21" s="337"/>
      <c r="F21" s="337">
        <f t="shared" si="1"/>
        <v>2096563</v>
      </c>
      <c r="G21" s="337">
        <v>0</v>
      </c>
      <c r="H21" s="337"/>
      <c r="I21" s="438"/>
      <c r="J21" s="423"/>
      <c r="K21" s="423"/>
      <c r="L21" s="423"/>
      <c r="M21" s="423"/>
      <c r="N21" s="423"/>
      <c r="O21" s="423"/>
    </row>
    <row r="22" spans="1:15" ht="6" customHeight="1">
      <c r="A22" s="423"/>
      <c r="B22" s="439"/>
      <c r="C22" s="437"/>
      <c r="D22" s="437"/>
      <c r="E22" s="437"/>
      <c r="F22" s="437"/>
      <c r="G22" s="437"/>
      <c r="H22" s="437"/>
      <c r="I22" s="423"/>
      <c r="J22" s="423"/>
      <c r="K22" s="423"/>
      <c r="L22" s="423"/>
      <c r="M22" s="423"/>
      <c r="N22" s="423"/>
      <c r="O22" s="423"/>
    </row>
    <row r="23" spans="1:15">
      <c r="A23" s="423"/>
      <c r="B23" s="443" t="s">
        <v>827</v>
      </c>
      <c r="C23" s="444">
        <f>C6-C14</f>
        <v>76615303</v>
      </c>
      <c r="D23" s="444">
        <f>D6-D14</f>
        <v>8503064</v>
      </c>
      <c r="E23" s="444">
        <f>E6-E14</f>
        <v>3235270</v>
      </c>
      <c r="F23" s="444">
        <f t="shared" si="1"/>
        <v>88353637</v>
      </c>
      <c r="G23" s="444">
        <f>G6-G14</f>
        <v>76074732.067502379</v>
      </c>
      <c r="H23" s="444" t="e">
        <f>H6-H14</f>
        <v>#REF!</v>
      </c>
      <c r="I23" s="423"/>
      <c r="J23" s="423"/>
      <c r="K23" s="423"/>
      <c r="L23" s="423"/>
      <c r="M23" s="423"/>
      <c r="N23" s="423"/>
      <c r="O23" s="423"/>
    </row>
    <row r="24" spans="1:15" ht="4.5" customHeight="1">
      <c r="A24" s="423"/>
      <c r="B24" s="445"/>
      <c r="C24" s="446"/>
      <c r="D24" s="446"/>
      <c r="E24" s="446"/>
      <c r="F24" s="446"/>
      <c r="G24" s="446"/>
      <c r="H24" s="446"/>
      <c r="I24" s="423"/>
      <c r="J24" s="423"/>
      <c r="K24" s="423"/>
      <c r="L24" s="423"/>
      <c r="M24" s="423"/>
      <c r="N24" s="423"/>
      <c r="O24" s="423"/>
    </row>
    <row r="25" spans="1:15">
      <c r="A25" s="423"/>
      <c r="B25" s="447" t="s">
        <v>812</v>
      </c>
      <c r="C25" s="448"/>
      <c r="D25" s="448"/>
      <c r="E25" s="448"/>
      <c r="F25" s="448"/>
      <c r="G25" s="448"/>
      <c r="H25" s="448"/>
      <c r="I25" s="423"/>
      <c r="J25" s="423"/>
      <c r="K25" s="423"/>
      <c r="L25" s="423"/>
      <c r="M25" s="423"/>
      <c r="N25" s="423"/>
      <c r="O25" s="423"/>
    </row>
    <row r="26" spans="1:15" ht="3" customHeight="1">
      <c r="A26" s="423"/>
      <c r="B26" s="449"/>
      <c r="C26" s="437"/>
      <c r="D26" s="437"/>
      <c r="E26" s="437"/>
      <c r="F26" s="437"/>
      <c r="G26" s="437"/>
      <c r="H26" s="437"/>
      <c r="I26" s="423"/>
      <c r="J26" s="423"/>
      <c r="K26" s="423"/>
      <c r="L26" s="423"/>
      <c r="M26" s="423"/>
      <c r="N26" s="423"/>
      <c r="O26" s="423"/>
    </row>
    <row r="27" spans="1:15">
      <c r="A27" s="423"/>
      <c r="B27" s="432" t="s">
        <v>828</v>
      </c>
      <c r="C27" s="308">
        <f>C28+C32</f>
        <v>24783977</v>
      </c>
      <c r="D27" s="308">
        <f>D28+D32</f>
        <v>0</v>
      </c>
      <c r="E27" s="308">
        <f>E28+E32</f>
        <v>0</v>
      </c>
      <c r="F27" s="308">
        <f t="shared" ref="F27:F32" si="3">C27+D27+E27</f>
        <v>24783977</v>
      </c>
      <c r="G27" s="308">
        <f>G28+G32</f>
        <v>25042555</v>
      </c>
      <c r="H27" s="308" t="e">
        <f>H28+H32</f>
        <v>#REF!</v>
      </c>
      <c r="I27" s="423"/>
      <c r="J27" s="423"/>
      <c r="K27" s="423"/>
      <c r="L27" s="423"/>
      <c r="M27" s="423"/>
      <c r="N27" s="423"/>
      <c r="O27" s="423"/>
    </row>
    <row r="28" spans="1:15" ht="13.5" customHeight="1">
      <c r="A28" s="423"/>
      <c r="B28" s="436" t="s">
        <v>829</v>
      </c>
      <c r="C28" s="437">
        <f>SUM(C29:C31)</f>
        <v>23741617</v>
      </c>
      <c r="D28" s="437"/>
      <c r="E28" s="437"/>
      <c r="F28" s="437">
        <f t="shared" si="3"/>
        <v>23741617</v>
      </c>
      <c r="G28" s="337">
        <v>23739379</v>
      </c>
      <c r="H28" s="437" t="e">
        <f>SUM(H29:H31)</f>
        <v>#REF!</v>
      </c>
      <c r="I28" s="423"/>
      <c r="J28" s="423"/>
      <c r="K28" s="423"/>
      <c r="L28" s="357" t="s">
        <v>830</v>
      </c>
      <c r="M28" s="423"/>
      <c r="N28" s="423"/>
      <c r="O28" s="423"/>
    </row>
    <row r="29" spans="1:15" s="453" customFormat="1" ht="11.25">
      <c r="A29" s="450"/>
      <c r="B29" s="451" t="s">
        <v>771</v>
      </c>
      <c r="C29" s="452">
        <v>13585617</v>
      </c>
      <c r="D29" s="452"/>
      <c r="E29" s="452"/>
      <c r="F29" s="452">
        <f t="shared" si="3"/>
        <v>13585617</v>
      </c>
      <c r="G29" s="452">
        <v>13419379</v>
      </c>
      <c r="H29" s="452" t="e">
        <f>#REF!</f>
        <v>#REF!</v>
      </c>
      <c r="I29" s="450"/>
      <c r="J29" s="450"/>
      <c r="K29" s="450"/>
      <c r="L29" s="450"/>
      <c r="M29" s="450"/>
      <c r="N29" s="450"/>
      <c r="O29" s="450"/>
    </row>
    <row r="30" spans="1:15" s="453" customFormat="1" ht="11.25" hidden="1">
      <c r="A30" s="450"/>
      <c r="B30" s="451" t="s">
        <v>831</v>
      </c>
      <c r="C30" s="452"/>
      <c r="D30" s="452"/>
      <c r="E30" s="452"/>
      <c r="F30" s="452">
        <f t="shared" si="3"/>
        <v>0</v>
      </c>
      <c r="G30" s="452">
        <v>0</v>
      </c>
      <c r="H30" s="452"/>
      <c r="I30" s="450"/>
      <c r="J30" s="450"/>
      <c r="K30" s="450"/>
      <c r="L30" s="450"/>
      <c r="M30" s="450"/>
      <c r="N30" s="450"/>
      <c r="O30" s="450"/>
    </row>
    <row r="31" spans="1:15" s="453" customFormat="1" ht="11.25">
      <c r="A31" s="450"/>
      <c r="B31" s="451" t="s">
        <v>832</v>
      </c>
      <c r="C31" s="452">
        <v>10156000</v>
      </c>
      <c r="D31" s="452"/>
      <c r="E31" s="452"/>
      <c r="F31" s="452">
        <f t="shared" si="3"/>
        <v>10156000</v>
      </c>
      <c r="G31" s="452">
        <v>10320000</v>
      </c>
      <c r="H31" s="452" t="e">
        <f>#REF!</f>
        <v>#REF!</v>
      </c>
      <c r="I31" s="450"/>
      <c r="J31" s="450"/>
      <c r="K31" s="450"/>
      <c r="L31" s="450"/>
      <c r="M31" s="450"/>
      <c r="N31" s="450"/>
      <c r="O31" s="450"/>
    </row>
    <row r="32" spans="1:15" s="424" customFormat="1">
      <c r="A32" s="435"/>
      <c r="B32" s="172" t="s">
        <v>833</v>
      </c>
      <c r="C32" s="337">
        <v>1042360</v>
      </c>
      <c r="D32" s="337"/>
      <c r="E32" s="337"/>
      <c r="F32" s="337">
        <f t="shared" si="3"/>
        <v>1042360</v>
      </c>
      <c r="G32" s="337">
        <v>1303176</v>
      </c>
      <c r="H32" s="337" t="e">
        <f>#REF!</f>
        <v>#REF!</v>
      </c>
      <c r="I32" s="435"/>
      <c r="J32" s="435"/>
      <c r="K32" s="435"/>
      <c r="L32" s="435"/>
      <c r="M32" s="435"/>
      <c r="N32" s="435"/>
      <c r="O32" s="435"/>
    </row>
    <row r="33" spans="1:15" ht="6.75" customHeight="1">
      <c r="A33" s="423"/>
      <c r="B33" s="427"/>
      <c r="C33" s="437"/>
      <c r="D33" s="437"/>
      <c r="E33" s="437"/>
      <c r="F33" s="437"/>
      <c r="G33" s="437"/>
      <c r="H33" s="437"/>
      <c r="I33" s="423"/>
      <c r="J33" s="423"/>
      <c r="K33" s="423"/>
      <c r="L33" s="423"/>
      <c r="M33" s="423"/>
      <c r="N33" s="423"/>
      <c r="O33" s="423"/>
    </row>
    <row r="34" spans="1:15">
      <c r="A34" s="423"/>
      <c r="B34" s="443" t="s">
        <v>834</v>
      </c>
      <c r="C34" s="444">
        <f>C23-C27</f>
        <v>51831326</v>
      </c>
      <c r="D34" s="444">
        <f>D23-D27</f>
        <v>8503064</v>
      </c>
      <c r="E34" s="444">
        <f>E23-E27</f>
        <v>3235270</v>
      </c>
      <c r="F34" s="444">
        <f t="shared" ref="F34" si="4">C34+D34+E34</f>
        <v>63569660</v>
      </c>
      <c r="G34" s="444">
        <f>G23-G27</f>
        <v>51032177.067502379</v>
      </c>
      <c r="H34" s="444" t="e">
        <f>H23-H27</f>
        <v>#REF!</v>
      </c>
      <c r="I34" s="423"/>
      <c r="J34" s="423"/>
      <c r="K34" s="423"/>
      <c r="L34" s="423"/>
      <c r="M34" s="423"/>
      <c r="N34" s="423"/>
      <c r="O34" s="423"/>
    </row>
    <row r="35" spans="1:15" ht="7.5" customHeight="1">
      <c r="A35" s="423"/>
      <c r="B35" s="445"/>
      <c r="C35" s="446"/>
      <c r="D35" s="446"/>
      <c r="E35" s="446"/>
      <c r="F35" s="446"/>
      <c r="G35" s="446"/>
      <c r="H35" s="446"/>
      <c r="I35" s="423"/>
      <c r="J35" s="423"/>
      <c r="K35" s="423"/>
      <c r="L35" s="423"/>
      <c r="M35" s="423"/>
      <c r="N35" s="423"/>
      <c r="O35" s="423"/>
    </row>
    <row r="36" spans="1:15">
      <c r="A36" s="423"/>
      <c r="B36" s="447" t="s">
        <v>835</v>
      </c>
      <c r="C36" s="448"/>
      <c r="D36" s="448"/>
      <c r="E36" s="448"/>
      <c r="F36" s="448"/>
      <c r="G36" s="448"/>
      <c r="H36" s="448"/>
      <c r="I36" s="423"/>
      <c r="J36" s="423"/>
      <c r="K36" s="423"/>
      <c r="L36" s="423"/>
      <c r="M36" s="423"/>
      <c r="N36" s="423"/>
      <c r="O36" s="423"/>
    </row>
    <row r="37" spans="1:15" ht="5.25" customHeight="1">
      <c r="A37" s="423"/>
      <c r="B37" s="449"/>
      <c r="C37" s="428"/>
      <c r="D37" s="428"/>
      <c r="E37" s="428"/>
      <c r="F37" s="428"/>
      <c r="G37" s="428"/>
      <c r="H37" s="428"/>
      <c r="I37" s="423"/>
      <c r="J37" s="423"/>
      <c r="K37" s="423"/>
      <c r="L37" s="423"/>
      <c r="M37" s="423"/>
      <c r="N37" s="423"/>
      <c r="O37" s="423"/>
    </row>
    <row r="38" spans="1:15">
      <c r="A38" s="423"/>
      <c r="B38" s="432" t="s">
        <v>836</v>
      </c>
      <c r="C38" s="308">
        <f>C39</f>
        <v>20000000</v>
      </c>
      <c r="D38" s="308"/>
      <c r="E38" s="308"/>
      <c r="F38" s="308">
        <f t="shared" ref="F38:F39" si="5">C38+D38+E38</f>
        <v>20000000</v>
      </c>
      <c r="G38" s="308">
        <f>G39</f>
        <v>30000000</v>
      </c>
      <c r="H38" s="308" t="e">
        <f>H39</f>
        <v>#REF!</v>
      </c>
      <c r="I38" s="423"/>
      <c r="J38" s="423"/>
      <c r="K38" s="423"/>
      <c r="L38" s="423"/>
      <c r="M38" s="423"/>
      <c r="N38" s="423"/>
      <c r="O38" s="423"/>
    </row>
    <row r="39" spans="1:15">
      <c r="A39" s="423"/>
      <c r="B39" s="172" t="s">
        <v>837</v>
      </c>
      <c r="C39" s="437">
        <v>20000000</v>
      </c>
      <c r="D39" s="437"/>
      <c r="E39" s="437"/>
      <c r="F39" s="437">
        <f t="shared" si="5"/>
        <v>20000000</v>
      </c>
      <c r="G39" s="437">
        <v>30000000</v>
      </c>
      <c r="H39" s="437" t="e">
        <f>#REF!</f>
        <v>#REF!</v>
      </c>
      <c r="I39" s="423"/>
      <c r="J39" s="423"/>
      <c r="K39" s="423"/>
      <c r="L39" s="423"/>
      <c r="M39" s="423"/>
      <c r="N39" s="423"/>
      <c r="O39" s="423"/>
    </row>
    <row r="40" spans="1:15" ht="5.25" customHeight="1">
      <c r="A40" s="435"/>
      <c r="B40" s="432"/>
      <c r="C40" s="432"/>
      <c r="D40" s="432"/>
      <c r="E40" s="432"/>
      <c r="F40" s="432"/>
      <c r="G40" s="432"/>
      <c r="H40" s="432"/>
      <c r="I40" s="423"/>
      <c r="J40" s="423"/>
      <c r="K40" s="423"/>
      <c r="L40" s="423"/>
      <c r="M40" s="423"/>
      <c r="N40" s="423"/>
      <c r="O40" s="423"/>
    </row>
    <row r="41" spans="1:15">
      <c r="A41" s="423"/>
      <c r="B41" s="432" t="s">
        <v>838</v>
      </c>
      <c r="C41" s="308">
        <f>SUM(C42:C42)</f>
        <v>7569265</v>
      </c>
      <c r="D41" s="308"/>
      <c r="E41" s="308"/>
      <c r="F41" s="308">
        <f t="shared" ref="F41:F42" si="6">C41+D41+E41</f>
        <v>7569265</v>
      </c>
      <c r="G41" s="308">
        <f>SUM(G42:G42)</f>
        <v>9913192</v>
      </c>
      <c r="H41" s="308" t="e">
        <f>SUM(H42:H42)</f>
        <v>#REF!</v>
      </c>
      <c r="I41" s="423"/>
      <c r="J41" s="423"/>
      <c r="K41" s="423"/>
      <c r="L41" s="423"/>
      <c r="M41" s="423"/>
      <c r="N41" s="423"/>
      <c r="O41" s="423"/>
    </row>
    <row r="42" spans="1:15">
      <c r="A42" s="423"/>
      <c r="B42" s="172" t="s">
        <v>809</v>
      </c>
      <c r="C42" s="337">
        <v>7569265</v>
      </c>
      <c r="D42" s="337"/>
      <c r="E42" s="337"/>
      <c r="F42" s="337">
        <f t="shared" si="6"/>
        <v>7569265</v>
      </c>
      <c r="G42" s="437">
        <v>9913192</v>
      </c>
      <c r="H42" s="437" t="e">
        <f>#REF!</f>
        <v>#REF!</v>
      </c>
      <c r="I42" s="423"/>
      <c r="J42" s="423"/>
      <c r="K42" s="423"/>
      <c r="L42" s="423"/>
      <c r="M42" s="423"/>
      <c r="N42" s="423"/>
      <c r="O42" s="423"/>
    </row>
    <row r="43" spans="1:15" ht="5.25" customHeight="1">
      <c r="A43" s="423"/>
      <c r="B43" s="454"/>
      <c r="C43" s="337"/>
      <c r="D43" s="337"/>
      <c r="E43" s="337"/>
      <c r="F43" s="337"/>
      <c r="G43" s="337"/>
      <c r="H43" s="337"/>
    </row>
    <row r="44" spans="1:15">
      <c r="A44" s="423"/>
      <c r="B44" s="443" t="s">
        <v>839</v>
      </c>
      <c r="C44" s="444">
        <f>C34+C38-C41</f>
        <v>64262061</v>
      </c>
      <c r="D44" s="444">
        <f>D34+D38-D41</f>
        <v>8503064</v>
      </c>
      <c r="E44" s="444">
        <f>E34+E38-E41</f>
        <v>3235270</v>
      </c>
      <c r="F44" s="444">
        <f t="shared" ref="F44" si="7">C44+D44+E44</f>
        <v>76000395</v>
      </c>
      <c r="G44" s="444">
        <f>G34+G38-G41</f>
        <v>71118985.067502379</v>
      </c>
      <c r="H44" s="444" t="e">
        <f>H34+H38-H41</f>
        <v>#REF!</v>
      </c>
    </row>
    <row r="45" spans="1:15" ht="6.75" customHeight="1">
      <c r="A45" s="423"/>
      <c r="B45" s="445"/>
      <c r="C45" s="446"/>
      <c r="D45" s="446"/>
      <c r="E45" s="446"/>
      <c r="F45" s="446"/>
      <c r="G45" s="446"/>
      <c r="H45" s="446"/>
    </row>
    <row r="46" spans="1:15">
      <c r="A46" s="423"/>
      <c r="B46" s="447" t="s">
        <v>840</v>
      </c>
      <c r="C46" s="448"/>
      <c r="D46" s="448"/>
      <c r="E46" s="448"/>
      <c r="F46" s="448"/>
      <c r="G46" s="448"/>
      <c r="H46" s="448"/>
    </row>
    <row r="47" spans="1:15" ht="6" customHeight="1">
      <c r="A47" s="423"/>
      <c r="B47" s="449"/>
      <c r="C47" s="428"/>
      <c r="D47" s="428"/>
      <c r="E47" s="428"/>
      <c r="F47" s="428"/>
      <c r="G47" s="428"/>
      <c r="H47" s="428"/>
    </row>
    <row r="48" spans="1:15">
      <c r="A48" s="423"/>
      <c r="B48" s="432" t="s">
        <v>841</v>
      </c>
      <c r="C48" s="308">
        <f t="shared" ref="C48:H48" si="8">C49</f>
        <v>20948926</v>
      </c>
      <c r="D48" s="308">
        <f t="shared" si="8"/>
        <v>170596</v>
      </c>
      <c r="E48" s="308"/>
      <c r="F48" s="308">
        <f t="shared" ref="F48:F51" si="9">C48+D48+E48</f>
        <v>21119522</v>
      </c>
      <c r="G48" s="308">
        <f t="shared" si="8"/>
        <v>36451314</v>
      </c>
      <c r="H48" s="308">
        <f t="shared" si="8"/>
        <v>36493063</v>
      </c>
    </row>
    <row r="49" spans="1:8">
      <c r="A49" s="423"/>
      <c r="B49" s="436" t="s">
        <v>842</v>
      </c>
      <c r="C49" s="437">
        <f>SUM(C50:C51)</f>
        <v>20948926</v>
      </c>
      <c r="D49" s="437">
        <f>D50</f>
        <v>170596</v>
      </c>
      <c r="E49" s="437"/>
      <c r="F49" s="437">
        <f t="shared" si="9"/>
        <v>21119522</v>
      </c>
      <c r="G49" s="437">
        <f>SUM(G50:G51)</f>
        <v>36451314</v>
      </c>
      <c r="H49" s="437">
        <f>SUM(H50:H51)</f>
        <v>36493063</v>
      </c>
    </row>
    <row r="50" spans="1:8">
      <c r="A50" s="423"/>
      <c r="B50" s="455" t="s">
        <v>1</v>
      </c>
      <c r="C50" s="337">
        <f>20482294</f>
        <v>20482294</v>
      </c>
      <c r="D50" s="337">
        <v>170596</v>
      </c>
      <c r="E50" s="337"/>
      <c r="F50" s="337">
        <f t="shared" si="9"/>
        <v>20652890</v>
      </c>
      <c r="G50" s="337">
        <v>33979488</v>
      </c>
      <c r="H50" s="337">
        <v>34021237</v>
      </c>
    </row>
    <row r="51" spans="1:8">
      <c r="A51" s="423"/>
      <c r="B51" s="456" t="s">
        <v>6</v>
      </c>
      <c r="C51" s="337">
        <v>466632</v>
      </c>
      <c r="D51" s="337"/>
      <c r="E51" s="337"/>
      <c r="F51" s="337">
        <f t="shared" si="9"/>
        <v>466632</v>
      </c>
      <c r="G51" s="337">
        <v>2471826</v>
      </c>
      <c r="H51" s="337">
        <v>2471826</v>
      </c>
    </row>
    <row r="52" spans="1:8" ht="7.5" customHeight="1">
      <c r="A52" s="423"/>
      <c r="B52" s="427"/>
      <c r="C52" s="437"/>
      <c r="D52" s="437"/>
      <c r="E52" s="437"/>
      <c r="F52" s="437"/>
      <c r="G52" s="437"/>
      <c r="H52" s="437"/>
    </row>
    <row r="53" spans="1:8">
      <c r="A53" s="423"/>
      <c r="B53" s="432" t="s">
        <v>843</v>
      </c>
      <c r="C53" s="308">
        <f>C54</f>
        <v>24941555</v>
      </c>
      <c r="D53" s="308">
        <f>D54</f>
        <v>221530</v>
      </c>
      <c r="E53" s="308">
        <f>E54</f>
        <v>3235270</v>
      </c>
      <c r="F53" s="308">
        <f t="shared" ref="F53:F54" si="10">C53+D53+E53</f>
        <v>28398355</v>
      </c>
      <c r="G53" s="308">
        <f t="shared" ref="G53:H53" si="11">G54</f>
        <v>40686858.666666664</v>
      </c>
      <c r="H53" s="308">
        <f t="shared" si="11"/>
        <v>42601555.666666672</v>
      </c>
    </row>
    <row r="54" spans="1:8">
      <c r="A54" s="423"/>
      <c r="B54" s="172" t="s">
        <v>844</v>
      </c>
      <c r="C54" s="437">
        <v>24941555</v>
      </c>
      <c r="D54" s="437">
        <v>221530</v>
      </c>
      <c r="E54" s="437">
        <v>3235270</v>
      </c>
      <c r="F54" s="437">
        <f t="shared" si="10"/>
        <v>28398355</v>
      </c>
      <c r="G54" s="437">
        <v>40686858.666666664</v>
      </c>
      <c r="H54" s="437">
        <v>42601555.666666672</v>
      </c>
    </row>
    <row r="55" spans="1:8" ht="3.75" customHeight="1">
      <c r="A55" s="423"/>
      <c r="B55" s="427"/>
      <c r="C55" s="437"/>
      <c r="D55" s="437"/>
      <c r="E55" s="437"/>
      <c r="F55" s="437"/>
      <c r="G55" s="437"/>
      <c r="H55" s="437"/>
    </row>
    <row r="56" spans="1:8" ht="13.5" customHeight="1">
      <c r="A56" s="423"/>
      <c r="B56" s="443" t="s">
        <v>845</v>
      </c>
      <c r="C56" s="444">
        <f>C44+C48-C53</f>
        <v>60269432</v>
      </c>
      <c r="D56" s="444">
        <f>D44+D48-D53</f>
        <v>8452130</v>
      </c>
      <c r="E56" s="444">
        <f>E44+E48-E53</f>
        <v>0</v>
      </c>
      <c r="F56" s="444">
        <f t="shared" ref="F56" si="12">C56+D56+E56</f>
        <v>68721562</v>
      </c>
      <c r="G56" s="444">
        <f>G44+G48-G53</f>
        <v>66883440.400835715</v>
      </c>
      <c r="H56" s="444" t="e">
        <f>H44+H48-H53</f>
        <v>#REF!</v>
      </c>
    </row>
    <row r="57" spans="1:8">
      <c r="A57" s="423"/>
      <c r="B57" s="445"/>
      <c r="C57" s="446"/>
      <c r="D57" s="446"/>
      <c r="E57" s="446"/>
      <c r="F57" s="446"/>
      <c r="G57" s="446"/>
      <c r="H57" s="446"/>
    </row>
    <row r="58" spans="1:8">
      <c r="A58" s="423"/>
      <c r="B58" s="447" t="s">
        <v>1119</v>
      </c>
      <c r="C58" s="448"/>
      <c r="D58" s="448"/>
      <c r="E58" s="448"/>
      <c r="F58" s="448"/>
      <c r="G58" s="448"/>
      <c r="H58" s="448"/>
    </row>
    <row r="59" spans="1:8" ht="4.5" customHeight="1">
      <c r="A59" s="423"/>
      <c r="B59" s="449"/>
      <c r="C59" s="428"/>
      <c r="D59" s="428"/>
      <c r="E59" s="428"/>
      <c r="F59" s="428"/>
      <c r="G59" s="428"/>
      <c r="H59" s="428"/>
    </row>
    <row r="60" spans="1:8">
      <c r="A60" s="423"/>
      <c r="B60" s="432" t="s">
        <v>804</v>
      </c>
      <c r="C60" s="457">
        <f t="shared" ref="C60:H61" si="13">C61</f>
        <v>3307980</v>
      </c>
      <c r="D60" s="457">
        <f t="shared" si="13"/>
        <v>584251</v>
      </c>
      <c r="E60" s="457"/>
      <c r="F60" s="457">
        <f t="shared" ref="F60:F62" si="14">C60+D60+E60</f>
        <v>3892231</v>
      </c>
      <c r="G60" s="457">
        <f t="shared" si="13"/>
        <v>5281980</v>
      </c>
      <c r="H60" s="457">
        <f t="shared" si="13"/>
        <v>5440763</v>
      </c>
    </row>
    <row r="61" spans="1:8">
      <c r="A61" s="423"/>
      <c r="B61" s="436" t="s">
        <v>842</v>
      </c>
      <c r="C61" s="458">
        <f t="shared" si="13"/>
        <v>3307980</v>
      </c>
      <c r="D61" s="458">
        <f t="shared" si="13"/>
        <v>584251</v>
      </c>
      <c r="E61" s="458"/>
      <c r="F61" s="458">
        <f t="shared" si="14"/>
        <v>3892231</v>
      </c>
      <c r="G61" s="458">
        <f t="shared" si="13"/>
        <v>5281980</v>
      </c>
      <c r="H61" s="458">
        <f>H62+H63</f>
        <v>5440763</v>
      </c>
    </row>
    <row r="62" spans="1:8">
      <c r="A62" s="423"/>
      <c r="B62" s="456" t="s">
        <v>0</v>
      </c>
      <c r="C62" s="337">
        <f>79307980-76000000</f>
        <v>3307980</v>
      </c>
      <c r="D62" s="337">
        <v>584251</v>
      </c>
      <c r="E62" s="337"/>
      <c r="F62" s="337">
        <f t="shared" si="14"/>
        <v>3892231</v>
      </c>
      <c r="G62" s="337">
        <v>5281980</v>
      </c>
      <c r="H62" s="337">
        <v>3744096</v>
      </c>
    </row>
    <row r="63" spans="1:8">
      <c r="A63" s="423"/>
      <c r="B63" s="456" t="s">
        <v>6</v>
      </c>
      <c r="C63" s="337"/>
      <c r="D63" s="337"/>
      <c r="E63" s="337"/>
      <c r="F63" s="337"/>
      <c r="G63" s="337"/>
      <c r="H63" s="337">
        <v>1696667</v>
      </c>
    </row>
    <row r="64" spans="1:8">
      <c r="A64" s="423"/>
      <c r="B64" s="449"/>
      <c r="C64" s="428"/>
      <c r="D64" s="428"/>
      <c r="E64" s="428"/>
      <c r="F64" s="428"/>
      <c r="G64" s="428"/>
      <c r="H64" s="428"/>
    </row>
    <row r="65" spans="1:9">
      <c r="A65" s="423"/>
      <c r="B65" s="432" t="s">
        <v>808</v>
      </c>
      <c r="C65" s="457">
        <f>SUM(C66:C70)</f>
        <v>63577412</v>
      </c>
      <c r="D65" s="457">
        <f>SUM(D66:D70)</f>
        <v>9036381</v>
      </c>
      <c r="E65" s="457"/>
      <c r="F65" s="457">
        <f t="shared" ref="F65:F68" si="15">C65+D65+E65</f>
        <v>72613793</v>
      </c>
      <c r="G65" s="457">
        <f>SUM(G66:G70)</f>
        <v>72165420</v>
      </c>
      <c r="H65" s="457" t="e">
        <f>SUM(H66:H71)</f>
        <v>#REF!</v>
      </c>
    </row>
    <row r="66" spans="1:9">
      <c r="A66" s="423"/>
      <c r="B66" s="172" t="s">
        <v>846</v>
      </c>
      <c r="C66" s="337">
        <v>56273412</v>
      </c>
      <c r="D66" s="337">
        <v>3736391</v>
      </c>
      <c r="E66" s="337"/>
      <c r="F66" s="337">
        <f t="shared" si="15"/>
        <v>60009803</v>
      </c>
      <c r="G66" s="337">
        <v>67710523</v>
      </c>
      <c r="H66" s="337">
        <v>102386409</v>
      </c>
    </row>
    <row r="67" spans="1:9">
      <c r="A67" s="423"/>
      <c r="B67" s="172" t="s">
        <v>847</v>
      </c>
      <c r="C67" s="337">
        <v>6744000</v>
      </c>
      <c r="D67" s="337">
        <v>300000</v>
      </c>
      <c r="E67" s="337"/>
      <c r="F67" s="337">
        <f t="shared" si="15"/>
        <v>7044000</v>
      </c>
      <c r="G67" s="337">
        <v>4350442</v>
      </c>
      <c r="H67" s="337">
        <v>31661206</v>
      </c>
    </row>
    <row r="68" spans="1:9">
      <c r="A68" s="423"/>
      <c r="B68" s="172" t="s">
        <v>848</v>
      </c>
      <c r="C68" s="337">
        <v>300000</v>
      </c>
      <c r="D68" s="337"/>
      <c r="E68" s="337"/>
      <c r="F68" s="337">
        <f t="shared" si="15"/>
        <v>300000</v>
      </c>
      <c r="G68" s="337"/>
      <c r="H68" s="337"/>
    </row>
    <row r="69" spans="1:9">
      <c r="A69" s="423"/>
      <c r="B69" s="172" t="s">
        <v>811</v>
      </c>
      <c r="C69" s="337"/>
      <c r="D69" s="337"/>
      <c r="E69" s="337"/>
      <c r="F69" s="337"/>
      <c r="G69" s="337">
        <v>104455</v>
      </c>
      <c r="H69" s="337"/>
    </row>
    <row r="70" spans="1:9">
      <c r="A70" s="423"/>
      <c r="B70" s="172" t="s">
        <v>849</v>
      </c>
      <c r="C70" s="337">
        <v>260000</v>
      </c>
      <c r="D70" s="337">
        <v>4999990</v>
      </c>
      <c r="E70" s="337"/>
      <c r="F70" s="337">
        <f t="shared" ref="F70" si="16">C70+D70+E70</f>
        <v>5259990</v>
      </c>
      <c r="G70" s="337"/>
      <c r="H70" s="337"/>
    </row>
    <row r="71" spans="1:9">
      <c r="A71" s="423"/>
      <c r="B71" s="404" t="s">
        <v>1120</v>
      </c>
      <c r="C71" s="337"/>
      <c r="D71" s="337"/>
      <c r="E71" s="337"/>
      <c r="F71" s="337"/>
      <c r="G71" s="337"/>
      <c r="H71" s="308" t="e">
        <f>#REF!</f>
        <v>#REF!</v>
      </c>
    </row>
    <row r="72" spans="1:9" ht="8.25" customHeight="1">
      <c r="A72" s="423"/>
      <c r="B72" s="172"/>
      <c r="C72" s="308"/>
      <c r="D72" s="308"/>
      <c r="E72" s="308"/>
      <c r="F72" s="308"/>
      <c r="G72" s="308"/>
      <c r="H72" s="308"/>
    </row>
    <row r="73" spans="1:9">
      <c r="A73" s="357"/>
      <c r="B73" s="443" t="s">
        <v>850</v>
      </c>
      <c r="C73" s="444">
        <f t="shared" ref="C73:H73" si="17">C56+C60-C65</f>
        <v>0</v>
      </c>
      <c r="D73" s="444">
        <f t="shared" si="17"/>
        <v>0</v>
      </c>
      <c r="E73" s="444">
        <f t="shared" si="17"/>
        <v>0</v>
      </c>
      <c r="F73" s="444">
        <f t="shared" si="17"/>
        <v>0</v>
      </c>
      <c r="G73" s="444">
        <f t="shared" si="17"/>
        <v>0.40083572268486023</v>
      </c>
      <c r="H73" s="444" t="e">
        <f t="shared" si="17"/>
        <v>#REF!</v>
      </c>
      <c r="I73" s="459"/>
    </row>
    <row r="74" spans="1:9" ht="7.5" customHeight="1">
      <c r="A74" s="423"/>
      <c r="B74" s="445"/>
      <c r="C74" s="446"/>
      <c r="D74" s="446"/>
      <c r="E74" s="446"/>
      <c r="F74" s="446"/>
      <c r="G74" s="446"/>
      <c r="H74" s="446"/>
    </row>
    <row r="75" spans="1:9">
      <c r="A75" s="423"/>
      <c r="B75" s="423" t="s">
        <v>851</v>
      </c>
      <c r="C75" s="437">
        <f>C6+C38+C48+C60</f>
        <v>570693086</v>
      </c>
      <c r="D75" s="437">
        <f>D6+D38+D48+D60</f>
        <v>25157509</v>
      </c>
      <c r="E75" s="437">
        <f>E6+E38+E48+E60</f>
        <v>183597</v>
      </c>
      <c r="F75" s="437">
        <f>C75+D75+E75</f>
        <v>596034192</v>
      </c>
      <c r="G75" s="437">
        <f>G6+G38+G48+G60</f>
        <v>625360969.06750238</v>
      </c>
      <c r="H75" s="437" t="e">
        <f>H6+H38+H48+H60</f>
        <v>#REF!</v>
      </c>
      <c r="I75" s="462"/>
    </row>
    <row r="76" spans="1:9">
      <c r="A76" s="423"/>
      <c r="B76" s="423" t="s">
        <v>852</v>
      </c>
      <c r="C76" s="437">
        <f t="shared" ref="C76:H76" si="18">C14+C27+C41+C53+C65</f>
        <v>570693086</v>
      </c>
      <c r="D76" s="437">
        <f t="shared" si="18"/>
        <v>25157509</v>
      </c>
      <c r="E76" s="437">
        <f t="shared" si="18"/>
        <v>183597</v>
      </c>
      <c r="F76" s="437">
        <f t="shared" si="18"/>
        <v>596034192</v>
      </c>
      <c r="G76" s="437">
        <f t="shared" si="18"/>
        <v>625360968.66666663</v>
      </c>
      <c r="H76" s="437" t="e">
        <f t="shared" si="18"/>
        <v>#REF!</v>
      </c>
    </row>
    <row r="77" spans="1:9">
      <c r="B77" s="460" t="s">
        <v>853</v>
      </c>
      <c r="C77" s="461">
        <f t="shared" ref="C77:H77" si="19">C75-C76</f>
        <v>0</v>
      </c>
      <c r="D77" s="461">
        <f t="shared" si="19"/>
        <v>0</v>
      </c>
      <c r="E77" s="461">
        <f t="shared" si="19"/>
        <v>0</v>
      </c>
      <c r="F77" s="461">
        <f t="shared" si="19"/>
        <v>0</v>
      </c>
      <c r="G77" s="461">
        <f t="shared" si="19"/>
        <v>0.40083575248718262</v>
      </c>
      <c r="H77" s="461" t="e">
        <f t="shared" si="19"/>
        <v>#REF!</v>
      </c>
    </row>
    <row r="78" spans="1:9" s="423" customFormat="1">
      <c r="B78" s="435"/>
      <c r="C78" s="308"/>
      <c r="D78" s="308"/>
      <c r="E78" s="308"/>
      <c r="F78" s="308"/>
      <c r="G78" s="308"/>
      <c r="H78" s="308"/>
    </row>
    <row r="79" spans="1:9" hidden="1">
      <c r="A79" s="423"/>
      <c r="B79" s="459" t="s">
        <v>854</v>
      </c>
      <c r="C79" s="337">
        <f>C15+C28</f>
        <v>473562494</v>
      </c>
      <c r="D79" s="337">
        <f t="shared" ref="D79:G79" si="20">D15+D28</f>
        <v>13803035</v>
      </c>
      <c r="E79" s="337">
        <f t="shared" ref="E79" si="21">E15+E28</f>
        <v>-3051673</v>
      </c>
      <c r="F79" s="337">
        <f t="shared" ref="F79" si="22">F15+F28</f>
        <v>484313856</v>
      </c>
      <c r="G79" s="337">
        <f t="shared" si="20"/>
        <v>501292322</v>
      </c>
      <c r="H79" s="337" t="e">
        <f>H15+H28+H71</f>
        <v>#REF!</v>
      </c>
    </row>
    <row r="80" spans="1:9" hidden="1">
      <c r="A80" s="423"/>
      <c r="B80" s="459" t="s">
        <v>855</v>
      </c>
      <c r="C80" s="337">
        <f>C54+C66</f>
        <v>81214967</v>
      </c>
      <c r="D80" s="337">
        <f t="shared" ref="D80:E80" si="23">D54+D66</f>
        <v>3957921</v>
      </c>
      <c r="E80" s="337">
        <f t="shared" si="23"/>
        <v>3235270</v>
      </c>
      <c r="F80" s="337">
        <f t="shared" ref="F80" si="24">F54+F66</f>
        <v>88408158</v>
      </c>
      <c r="G80" s="337">
        <f>G54+G66</f>
        <v>108397381.66666666</v>
      </c>
      <c r="H80" s="337">
        <f>H54+H66</f>
        <v>144987964.66666669</v>
      </c>
    </row>
    <row r="81" spans="2:8" hidden="1">
      <c r="B81" s="459" t="s">
        <v>856</v>
      </c>
      <c r="C81" s="462">
        <f>C80+C67+C68</f>
        <v>88258967</v>
      </c>
      <c r="D81" s="462">
        <f t="shared" ref="D81:E81" si="25">D80+D67</f>
        <v>4257921</v>
      </c>
      <c r="E81" s="462">
        <f t="shared" si="25"/>
        <v>3235270</v>
      </c>
      <c r="F81" s="462">
        <f>F80+F67+F68</f>
        <v>95752158</v>
      </c>
      <c r="G81" s="462">
        <f>G80+G67</f>
        <v>112747823.66666666</v>
      </c>
      <c r="H81" s="462">
        <f>H80+H67</f>
        <v>176649170.66666669</v>
      </c>
    </row>
    <row r="82" spans="2:8" hidden="1">
      <c r="B82" s="172" t="s">
        <v>849</v>
      </c>
      <c r="C82" s="462">
        <f>C70</f>
        <v>260000</v>
      </c>
      <c r="D82" s="462">
        <f t="shared" ref="D82:G82" si="26">D70</f>
        <v>4999990</v>
      </c>
      <c r="E82" s="462">
        <f t="shared" ref="E82" si="27">E70</f>
        <v>0</v>
      </c>
      <c r="F82" s="462">
        <f t="shared" ref="F82" si="28">F70</f>
        <v>5259990</v>
      </c>
      <c r="G82" s="462">
        <f t="shared" si="26"/>
        <v>0</v>
      </c>
      <c r="H82" s="462">
        <f t="shared" ref="H82" si="29">H70</f>
        <v>0</v>
      </c>
    </row>
    <row r="83" spans="2:8" hidden="1">
      <c r="B83" s="172" t="s">
        <v>809</v>
      </c>
      <c r="C83" s="438">
        <f t="shared" ref="C83:D83" si="30">C42</f>
        <v>7569265</v>
      </c>
      <c r="D83" s="438">
        <f t="shared" si="30"/>
        <v>0</v>
      </c>
      <c r="E83" s="438">
        <f t="shared" ref="E83" si="31">E42</f>
        <v>0</v>
      </c>
      <c r="F83" s="438">
        <f t="shared" ref="F83" si="32">F42</f>
        <v>7569265</v>
      </c>
      <c r="G83" s="438">
        <f>G42</f>
        <v>9913192</v>
      </c>
      <c r="H83" s="438" t="e">
        <f>H42</f>
        <v>#REF!</v>
      </c>
    </row>
    <row r="84" spans="2:8" hidden="1">
      <c r="B84" s="172" t="s">
        <v>833</v>
      </c>
      <c r="C84" s="438">
        <f t="shared" ref="C84:D84" si="33">C32</f>
        <v>1042360</v>
      </c>
      <c r="D84" s="438">
        <f t="shared" si="33"/>
        <v>0</v>
      </c>
      <c r="E84" s="438">
        <f t="shared" ref="E84" si="34">E32</f>
        <v>0</v>
      </c>
      <c r="F84" s="438">
        <f t="shared" ref="F84" si="35">F32</f>
        <v>1042360</v>
      </c>
      <c r="G84" s="438">
        <f>G32</f>
        <v>1303176</v>
      </c>
      <c r="H84" s="438" t="e">
        <f>H32</f>
        <v>#REF!</v>
      </c>
    </row>
    <row r="85" spans="2:8" hidden="1">
      <c r="B85" s="172" t="s">
        <v>810</v>
      </c>
      <c r="C85" s="438"/>
      <c r="D85" s="438">
        <f>D21</f>
        <v>2096563</v>
      </c>
      <c r="E85" s="438">
        <f>E21</f>
        <v>0</v>
      </c>
      <c r="F85" s="438">
        <f>F21</f>
        <v>2096563</v>
      </c>
      <c r="G85" s="438"/>
      <c r="H85" s="438"/>
    </row>
    <row r="86" spans="2:8" hidden="1">
      <c r="B86" s="172" t="s">
        <v>811</v>
      </c>
      <c r="C86" s="438">
        <f t="shared" ref="C86:D86" si="36">C69</f>
        <v>0</v>
      </c>
      <c r="D86" s="438">
        <f t="shared" si="36"/>
        <v>0</v>
      </c>
      <c r="E86" s="438">
        <f t="shared" ref="E86" si="37">E69</f>
        <v>0</v>
      </c>
      <c r="F86" s="438">
        <f t="shared" ref="F86" si="38">F69</f>
        <v>0</v>
      </c>
      <c r="G86" s="438">
        <f>G69</f>
        <v>104455</v>
      </c>
      <c r="H86" s="438">
        <f>H69</f>
        <v>0</v>
      </c>
    </row>
    <row r="87" spans="2:8" hidden="1">
      <c r="B87" s="424" t="s">
        <v>857</v>
      </c>
      <c r="C87" s="434">
        <f>C79+C81+C83+C84+C86+C82</f>
        <v>570693086</v>
      </c>
      <c r="D87" s="434">
        <f>D79+D81+D83+D84+D86+D82+D85</f>
        <v>25157509</v>
      </c>
      <c r="E87" s="434">
        <f>E79+E81+E83+E84+E86+E82+E85</f>
        <v>183597</v>
      </c>
      <c r="F87" s="434">
        <f>F79+F81+F83+F84+F86+F82+F85</f>
        <v>596034192</v>
      </c>
      <c r="G87" s="434">
        <f>G79+G81+G83+G84+G86</f>
        <v>625360968.66666663</v>
      </c>
      <c r="H87" s="434" t="e">
        <f>H79+H81+H83+H84+H86</f>
        <v>#REF!</v>
      </c>
    </row>
    <row r="88" spans="2:8" hidden="1">
      <c r="C88" s="462">
        <f>C87-C75</f>
        <v>0</v>
      </c>
      <c r="D88" s="462">
        <f>D87-D75</f>
        <v>0</v>
      </c>
      <c r="E88" s="462">
        <f>E87-E75</f>
        <v>0</v>
      </c>
      <c r="F88" s="462">
        <f>F87-F75</f>
        <v>0</v>
      </c>
    </row>
    <row r="89" spans="2:8" hidden="1"/>
    <row r="90" spans="2:8" hidden="1"/>
  </sheetData>
  <pageMargins left="0.70866141732283472" right="0.70866141732283472" top="0.15748031496062992" bottom="0.15748031496062992" header="0.15748031496062992" footer="0.15748031496062992"/>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F19" sqref="F19"/>
    </sheetView>
  </sheetViews>
  <sheetFormatPr defaultRowHeight="12.75"/>
  <cols>
    <col min="1" max="1" width="40" bestFit="1" customWidth="1"/>
    <col min="2" max="2" width="10.140625" bestFit="1" customWidth="1"/>
    <col min="5" max="6" width="10.140625" bestFit="1" customWidth="1"/>
  </cols>
  <sheetData>
    <row r="1" spans="1:13">
      <c r="A1" s="409" t="s">
        <v>1237</v>
      </c>
      <c r="B1" s="785">
        <f ca="1">SUM(B2:B11)</f>
        <v>47508162</v>
      </c>
      <c r="C1" s="785">
        <f t="shared" ref="C1:F1" ca="1" si="0">SUM(C2:C11)</f>
        <v>117022</v>
      </c>
      <c r="D1" s="785">
        <f t="shared" ca="1" si="0"/>
        <v>969094</v>
      </c>
      <c r="E1" s="785">
        <f t="shared" ca="1" si="0"/>
        <v>48594278</v>
      </c>
      <c r="F1" s="785">
        <f t="shared" ca="1" si="0"/>
        <v>51359350</v>
      </c>
      <c r="G1" s="785"/>
      <c r="H1" s="785"/>
      <c r="I1" s="785"/>
      <c r="J1" s="785"/>
      <c r="K1" s="785"/>
      <c r="L1" s="785"/>
      <c r="M1" s="785"/>
    </row>
    <row r="2" spans="1:13">
      <c r="A2" s="866" t="s">
        <v>70</v>
      </c>
      <c r="B2" s="785">
        <f ca="1">SUMIF(Omatulud!$A$5:B$816,$A2,Omatulud!B$5:B$816)</f>
        <v>25846180</v>
      </c>
      <c r="C2" s="785">
        <f ca="1">SUMIF(Omatulud!$A$5:C$816,$A2,Omatulud!C$5:C$816)</f>
        <v>168736</v>
      </c>
      <c r="D2" s="785">
        <f ca="1">SUMIF(Omatulud!$A$5:D$816,$A2,Omatulud!D$5:D$816)</f>
        <v>659700</v>
      </c>
      <c r="E2" s="785">
        <f ca="1">SUMIF(Omatulud!$A$5:E$816,$A2,Omatulud!E$5:E$816)</f>
        <v>26674616</v>
      </c>
      <c r="F2" s="785">
        <f ca="1">SUMIF(Omatulud!$A$5:F$816,$A2,Omatulud!F$5:F$816)</f>
        <v>27830870</v>
      </c>
      <c r="G2" s="785"/>
      <c r="H2" s="785"/>
      <c r="I2" s="785"/>
      <c r="J2" s="785"/>
      <c r="K2" s="785"/>
      <c r="L2" s="785"/>
      <c r="M2" s="785"/>
    </row>
    <row r="3" spans="1:13">
      <c r="A3" s="866" t="s">
        <v>125</v>
      </c>
      <c r="B3" s="785">
        <f ca="1">SUMIF(Omatulud!$A$5:B$816,$A3,Omatulud!B$5:B$816)</f>
        <v>4105209</v>
      </c>
      <c r="C3" s="785">
        <f ca="1">SUMIF(Omatulud!$A$5:C$816,$A3,Omatulud!C$5:C$816)</f>
        <v>-96000</v>
      </c>
      <c r="D3" s="785">
        <f ca="1">SUMIF(Omatulud!$A$5:D$816,$A3,Omatulud!D$5:D$816)</f>
        <v>-32195</v>
      </c>
      <c r="E3" s="785">
        <f ca="1">SUMIF(Omatulud!$A$5:E$816,$A3,Omatulud!E$5:E$816)</f>
        <v>3977014</v>
      </c>
      <c r="F3" s="785">
        <f ca="1">SUMIF(Omatulud!$A$5:F$816,$A3,Omatulud!F$5:F$816)</f>
        <v>3991369</v>
      </c>
      <c r="G3" s="785"/>
      <c r="H3" s="785"/>
      <c r="I3" s="785"/>
      <c r="J3" s="785"/>
      <c r="K3" s="785"/>
      <c r="L3" s="785"/>
      <c r="M3" s="785"/>
    </row>
    <row r="4" spans="1:13">
      <c r="A4" s="866" t="s">
        <v>72</v>
      </c>
      <c r="B4" s="785">
        <f ca="1">SUMIF(Omatulud!$A$5:B$816,$A4,Omatulud!B$5:B$816)</f>
        <v>5362777</v>
      </c>
      <c r="C4" s="785">
        <f ca="1">SUMIF(Omatulud!$A$5:C$816,$A4,Omatulud!C$5:C$816)</f>
        <v>4775</v>
      </c>
      <c r="D4" s="785">
        <f ca="1">SUMIF(Omatulud!$A$5:D$816,$A4,Omatulud!D$5:D$816)</f>
        <v>56635</v>
      </c>
      <c r="E4" s="785">
        <f ca="1">SUMIF(Omatulud!$A$5:E$816,$A4,Omatulud!E$5:E$816)</f>
        <v>5424187</v>
      </c>
      <c r="F4" s="785">
        <f ca="1">SUMIF(Omatulud!$A$5:F$816,$A4,Omatulud!F$5:F$816)</f>
        <v>5512922</v>
      </c>
      <c r="G4" s="785"/>
      <c r="H4" s="785"/>
      <c r="I4" s="785"/>
      <c r="J4" s="785"/>
      <c r="K4" s="785"/>
      <c r="L4" s="785"/>
      <c r="M4" s="785"/>
    </row>
    <row r="5" spans="1:13">
      <c r="A5" s="866" t="s">
        <v>174</v>
      </c>
      <c r="B5" s="785">
        <f ca="1">SUMIF(Omatulud!$A$5:B$816,$A5,Omatulud!B$5:B$816)</f>
        <v>3004000</v>
      </c>
      <c r="C5" s="785">
        <f ca="1">SUMIF(Omatulud!$A$5:C$816,$A5,Omatulud!C$5:C$816)</f>
        <v>0</v>
      </c>
      <c r="D5" s="785">
        <f ca="1">SUMIF(Omatulud!$A$5:D$816,$A5,Omatulud!D$5:D$816)</f>
        <v>260000</v>
      </c>
      <c r="E5" s="785">
        <f ca="1">SUMIF(Omatulud!$A$5:E$816,$A5,Omatulud!E$5:E$816)</f>
        <v>3264000</v>
      </c>
      <c r="F5" s="785">
        <f ca="1">SUMIF(Omatulud!$A$5:F$816,$A5,Omatulud!F$5:F$816)</f>
        <v>4504000</v>
      </c>
      <c r="G5" s="785"/>
      <c r="H5" s="785"/>
      <c r="I5" s="785"/>
      <c r="J5" s="785"/>
      <c r="K5" s="785"/>
      <c r="L5" s="785"/>
      <c r="M5" s="785"/>
    </row>
    <row r="6" spans="1:13">
      <c r="A6" s="866" t="s">
        <v>1003</v>
      </c>
      <c r="B6" s="785">
        <f ca="1">SUMIF(Omatulud!$A$5:B$816,$A6,Omatulud!B$5:B$816)</f>
        <v>0</v>
      </c>
      <c r="C6" s="785">
        <f ca="1">SUMIF(Omatulud!$A$5:C$816,$A6,Omatulud!C$5:C$816)</f>
        <v>0</v>
      </c>
      <c r="D6" s="785">
        <f ca="1">SUMIF(Omatulud!$A$5:D$816,$A6,Omatulud!D$5:D$816)</f>
        <v>25</v>
      </c>
      <c r="E6" s="785">
        <f ca="1">SUMIF(Omatulud!$A$5:E$816,$A6,Omatulud!E$5:E$816)</f>
        <v>25</v>
      </c>
      <c r="F6" s="785">
        <f ca="1">SUMIF(Omatulud!$A$5:F$816,$A6,Omatulud!F$5:F$816)</f>
        <v>0</v>
      </c>
      <c r="G6" s="785"/>
      <c r="H6" s="785"/>
      <c r="I6" s="785"/>
      <c r="J6" s="785"/>
      <c r="K6" s="785"/>
      <c r="L6" s="785"/>
      <c r="M6" s="785"/>
    </row>
    <row r="7" spans="1:13">
      <c r="A7" s="866" t="s">
        <v>139</v>
      </c>
      <c r="B7" s="785">
        <f ca="1">SUMIF(Omatulud!$A$5:B$816,$A7,Omatulud!B$5:B$816)</f>
        <v>2563908</v>
      </c>
      <c r="C7" s="785">
        <f ca="1">SUMIF(Omatulud!$A$5:C$816,$A7,Omatulud!C$5:C$816)</f>
        <v>27771</v>
      </c>
      <c r="D7" s="785">
        <f ca="1">SUMIF(Omatulud!$A$5:D$816,$A7,Omatulud!D$5:D$816)</f>
        <v>42473</v>
      </c>
      <c r="E7" s="785">
        <f ca="1">SUMIF(Omatulud!$A$5:E$816,$A7,Omatulud!E$5:E$816)</f>
        <v>2634152</v>
      </c>
      <c r="F7" s="785">
        <f ca="1">SUMIF(Omatulud!$A$5:F$816,$A7,Omatulud!F$5:F$816)</f>
        <v>2809334</v>
      </c>
      <c r="G7" s="785"/>
      <c r="H7" s="785"/>
      <c r="I7" s="785"/>
      <c r="J7" s="785"/>
      <c r="K7" s="785"/>
      <c r="L7" s="785"/>
      <c r="M7" s="785"/>
    </row>
    <row r="8" spans="1:13">
      <c r="A8" s="866" t="s">
        <v>74</v>
      </c>
      <c r="B8" s="785">
        <f ca="1">SUMIF(Omatulud!$A$5:B$816,$A8,Omatulud!B$5:B$816)</f>
        <v>4979668</v>
      </c>
      <c r="C8" s="785">
        <f ca="1">SUMIF(Omatulud!$A$5:C$816,$A8,Omatulud!C$5:C$816)</f>
        <v>-18410</v>
      </c>
      <c r="D8" s="785">
        <f ca="1">SUMIF(Omatulud!$A$5:D$816,$A8,Omatulud!D$5:D$816)</f>
        <v>-19069</v>
      </c>
      <c r="E8" s="785">
        <f ca="1">SUMIF(Omatulud!$A$5:E$816,$A8,Omatulud!E$5:E$816)</f>
        <v>4942189</v>
      </c>
      <c r="F8" s="785">
        <f ca="1">SUMIF(Omatulud!$A$5:F$816,$A8,Omatulud!F$5:F$816)</f>
        <v>5036679</v>
      </c>
      <c r="G8" s="785"/>
      <c r="H8" s="785"/>
      <c r="I8" s="785"/>
      <c r="J8" s="785"/>
      <c r="K8" s="785"/>
      <c r="L8" s="785"/>
      <c r="M8" s="785"/>
    </row>
    <row r="9" spans="1:13">
      <c r="A9" s="866" t="s">
        <v>150</v>
      </c>
      <c r="B9" s="785">
        <f ca="1">SUMIF(Omatulud!$A$5:B$816,$A9,Omatulud!B$5:B$816)</f>
        <v>224660</v>
      </c>
      <c r="C9" s="785">
        <f ca="1">SUMIF(Omatulud!$A$5:C$816,$A9,Omatulud!C$5:C$816)</f>
        <v>30150</v>
      </c>
      <c r="D9" s="785">
        <f ca="1">SUMIF(Omatulud!$A$5:D$816,$A9,Omatulud!D$5:D$816)</f>
        <v>1525</v>
      </c>
      <c r="E9" s="785">
        <f ca="1">SUMIF(Omatulud!$A$5:E$816,$A9,Omatulud!E$5:E$816)</f>
        <v>256335</v>
      </c>
      <c r="F9" s="785">
        <f ca="1">SUMIF(Omatulud!$A$5:F$816,$A9,Omatulud!F$5:F$816)</f>
        <v>258155</v>
      </c>
      <c r="G9" s="785"/>
      <c r="H9" s="785"/>
      <c r="I9" s="785"/>
      <c r="J9" s="785"/>
      <c r="K9" s="785"/>
      <c r="L9" s="785"/>
      <c r="M9" s="785"/>
    </row>
    <row r="10" spans="1:13">
      <c r="A10" s="866" t="s">
        <v>65</v>
      </c>
      <c r="B10" s="785">
        <f ca="1">SUMIF(Omatulud!$A$5:B$816,$A10,Omatulud!B$5:B$816)</f>
        <v>212860</v>
      </c>
      <c r="C10" s="785">
        <f ca="1">SUMIF(Omatulud!$A$5:C$816,$A10,Omatulud!C$5:C$816)</f>
        <v>0</v>
      </c>
      <c r="D10" s="785">
        <f ca="1">SUMIF(Omatulud!$A$5:D$816,$A10,Omatulud!D$5:D$816)</f>
        <v>0</v>
      </c>
      <c r="E10" s="785">
        <f ca="1">SUMIF(Omatulud!$A$5:E$816,$A10,Omatulud!E$5:E$816)</f>
        <v>212860</v>
      </c>
      <c r="F10" s="785">
        <f ca="1">SUMIF(Omatulud!$A$5:F$816,$A10,Omatulud!F$5:F$816)</f>
        <v>207621</v>
      </c>
      <c r="G10" s="785"/>
      <c r="H10" s="785"/>
      <c r="I10" s="785"/>
      <c r="J10" s="785"/>
      <c r="K10" s="785"/>
      <c r="L10" s="785"/>
      <c r="M10" s="785"/>
    </row>
    <row r="11" spans="1:13">
      <c r="A11" s="861" t="s">
        <v>162</v>
      </c>
      <c r="B11" s="785">
        <f ca="1">SUMIF(Omatulud!$A$5:B$816,$A11,Omatulud!B$5:B$816)</f>
        <v>1208900</v>
      </c>
      <c r="C11" s="785">
        <f ca="1">SUMIF(Omatulud!$A$5:C$816,$A11,Omatulud!C$5:C$816)</f>
        <v>0</v>
      </c>
      <c r="D11" s="785">
        <f ca="1">SUMIF(Omatulud!$A$5:D$816,$A11,Omatulud!D$5:D$816)</f>
        <v>0</v>
      </c>
      <c r="E11" s="785">
        <f ca="1">SUMIF(Omatulud!$A$5:E$816,$A11,Omatulud!E$5:E$816)</f>
        <v>1208900</v>
      </c>
      <c r="F11" s="785">
        <f ca="1">SUMIF(Omatulud!$A$5:F$816,$A11,Omatulud!F$5:F$816)</f>
        <v>1208400</v>
      </c>
      <c r="G11" s="785"/>
      <c r="H11" s="785"/>
      <c r="I11" s="785"/>
      <c r="J11" s="785"/>
      <c r="K11" s="785"/>
      <c r="L11" s="785"/>
      <c r="M11" s="785"/>
    </row>
    <row r="12" spans="1:13">
      <c r="A12" s="409" t="s">
        <v>39</v>
      </c>
      <c r="B12" s="785">
        <f ca="1">SUMIF(Omatulud!$A$5:B$816,$A12,Omatulud!B$5:B$816)</f>
        <v>180000</v>
      </c>
      <c r="C12" s="785">
        <f ca="1">SUMIF(Omatulud!$A$5:C$816,$A12,Omatulud!C$5:C$816)</f>
        <v>0</v>
      </c>
      <c r="D12" s="785">
        <f ca="1">SUMIF(Omatulud!$A$5:D$816,$A12,Omatulud!D$5:D$816)</f>
        <v>0</v>
      </c>
      <c r="E12" s="785">
        <f ca="1">SUMIF(Omatulud!$A$5:E$816,$A12,Omatulud!E$5:E$816)</f>
        <v>180000</v>
      </c>
      <c r="F12" s="785">
        <f ca="1">SUMIF(Omatulud!$A$5:F$816,$A12,Omatulud!F$5:F$816)</f>
        <v>130000</v>
      </c>
      <c r="G12" s="785"/>
      <c r="H12" s="785"/>
      <c r="I12" s="785"/>
      <c r="J12" s="785"/>
      <c r="K12" s="785"/>
      <c r="L12" s="785"/>
      <c r="M12" s="785"/>
    </row>
    <row r="13" spans="1:13">
      <c r="A13" s="409" t="s">
        <v>61</v>
      </c>
      <c r="B13" s="785">
        <f ca="1">SUMIF(Omatulud!$A$5:B$816,$A13,Omatulud!B$5:B$816)</f>
        <v>3590136</v>
      </c>
      <c r="C13" s="785">
        <f ca="1">SUMIF(Omatulud!$A$5:C$816,$A13,Omatulud!C$5:C$816)</f>
        <v>-45273</v>
      </c>
      <c r="D13" s="785">
        <f ca="1">SUMIF(Omatulud!$A$5:D$816,$A13,Omatulud!D$5:D$816)</f>
        <v>341835</v>
      </c>
      <c r="E13" s="785">
        <f ca="1">SUMIF(Omatulud!$A$5:E$816,$A13,Omatulud!E$5:E$816)</f>
        <v>3886698</v>
      </c>
      <c r="F13" s="785">
        <f ca="1">SUMIF(Omatulud!$A$5:F$816,$A13,Omatulud!F$5:F$816)</f>
        <v>3828150</v>
      </c>
      <c r="G13" s="785"/>
      <c r="H13" s="785"/>
      <c r="I13" s="785"/>
      <c r="J13" s="785"/>
      <c r="K13" s="785"/>
      <c r="L13" s="785"/>
      <c r="M13" s="785"/>
    </row>
    <row r="14" spans="1:13">
      <c r="A14" s="409" t="s">
        <v>33</v>
      </c>
      <c r="B14" s="785">
        <f ca="1">SUMIF(Omatulud!$A$5:B$816,$A14,Omatulud!B$5:B$816)</f>
        <v>2555237</v>
      </c>
      <c r="C14" s="785">
        <f ca="1">SUMIF(Omatulud!$A$5:C$816,$A14,Omatulud!C$5:C$816)</f>
        <v>-171650</v>
      </c>
      <c r="D14" s="785">
        <f ca="1">SUMIF(Omatulud!$A$5:D$816,$A14,Omatulud!D$5:D$816)</f>
        <v>36390</v>
      </c>
      <c r="E14" s="785">
        <f ca="1">SUMIF(Omatulud!$A$5:E$816,$A14,Omatulud!E$5:E$816)</f>
        <v>2419977</v>
      </c>
      <c r="F14" s="785">
        <f ca="1">SUMIF(Omatulud!$A$5:F$816,$A14,Omatulud!F$5:F$816)</f>
        <v>2433628</v>
      </c>
      <c r="G14" s="785"/>
      <c r="H14" s="785"/>
      <c r="I14" s="785"/>
      <c r="J14" s="785"/>
      <c r="K14" s="785"/>
      <c r="L14" s="785"/>
      <c r="M14" s="785"/>
    </row>
    <row r="15" spans="1:13">
      <c r="A15" s="409" t="s">
        <v>57</v>
      </c>
      <c r="B15" s="785">
        <f ca="1">SUMIF(Omatulud!$A$5:B$816,$A15,Omatulud!B$5:B$816)</f>
        <v>8199980</v>
      </c>
      <c r="C15" s="785">
        <f ca="1">SUMIF(Omatulud!$A$5:C$816,$A15,Omatulud!C$5:C$816)</f>
        <v>36458</v>
      </c>
      <c r="D15" s="785">
        <f ca="1">SUMIF(Omatulud!$A$5:D$816,$A15,Omatulud!D$5:D$816)</f>
        <v>-21902</v>
      </c>
      <c r="E15" s="785">
        <f ca="1">SUMIF(Omatulud!$A$5:E$816,$A15,Omatulud!E$5:E$816)</f>
        <v>8214536</v>
      </c>
      <c r="F15" s="785">
        <f ca="1">SUMIF(Omatulud!$A$5:F$816,$A15,Omatulud!F$5:F$816)</f>
        <v>8336455</v>
      </c>
      <c r="G15" s="785"/>
      <c r="H15" s="785"/>
      <c r="I15" s="785"/>
      <c r="J15" s="785"/>
      <c r="K15" s="785"/>
      <c r="L15" s="785"/>
      <c r="M15" s="785"/>
    </row>
    <row r="16" spans="1:13">
      <c r="A16" s="867" t="s">
        <v>814</v>
      </c>
      <c r="B16" s="785">
        <f ca="1">SUMIF(Omatulud!$A$5:B$816,$A16,Omatulud!B$5:B$816)</f>
        <v>0</v>
      </c>
      <c r="C16" s="785">
        <f ca="1">SUMIF(Omatulud!$A$5:C$816,$A16,Omatulud!C$5:C$816)</f>
        <v>0</v>
      </c>
      <c r="D16" s="785">
        <f ca="1">SUMIF(Omatulud!$A$5:D$816,$A16,Omatulud!D$5:D$816)</f>
        <v>0</v>
      </c>
      <c r="E16" s="785">
        <f ca="1">SUMIF(Omatulud!$A$5:E$816,$A16,Omatulud!E$5:E$816)</f>
        <v>0</v>
      </c>
      <c r="F16" s="785">
        <f ca="1">SUMIF(Omatulud!$A$5:F$816,$A16,Omatulud!F$5:F$816)</f>
        <v>0</v>
      </c>
      <c r="G16" s="785"/>
      <c r="H16" s="785"/>
      <c r="I16" s="785"/>
      <c r="J16" s="785"/>
      <c r="K16" s="785"/>
      <c r="L16" s="785"/>
      <c r="M16" s="785"/>
    </row>
    <row r="17" spans="1:13">
      <c r="A17" s="868" t="s">
        <v>159</v>
      </c>
      <c r="B17" s="785">
        <f ca="1">SUMIF(Omatulud!$A$5:B$816,$A17,Omatulud!B$5:B$816)</f>
        <v>-230000</v>
      </c>
      <c r="C17" s="785">
        <f ca="1">SUMIF(Omatulud!$A$5:C$816,$A17,Omatulud!C$5:C$816)</f>
        <v>0</v>
      </c>
      <c r="D17" s="785">
        <f ca="1">SUMIF(Omatulud!$A$5:D$816,$A17,Omatulud!D$5:D$816)</f>
        <v>0</v>
      </c>
      <c r="E17" s="785">
        <f ca="1">SUMIF(Omatulud!$A$5:E$816,$A17,Omatulud!E$5:E$816)</f>
        <v>-230000</v>
      </c>
      <c r="F17" s="785">
        <f ca="1">SUMIF(Omatulud!$A$5:F$816,$A17,Omatulud!F$5:F$816)</f>
        <v>-160000</v>
      </c>
      <c r="G17" s="785"/>
      <c r="H17" s="785"/>
      <c r="I17" s="785"/>
      <c r="J17" s="785"/>
      <c r="K17" s="785"/>
      <c r="L17" s="785"/>
      <c r="M17" s="785"/>
    </row>
    <row r="18" spans="1:13">
      <c r="A18" s="420" t="s">
        <v>52</v>
      </c>
      <c r="B18" s="791">
        <f ca="1">B12+B13+B14+B15+B1+B17</f>
        <v>61803515</v>
      </c>
      <c r="C18" s="791">
        <f t="shared" ref="C18:F18" ca="1" si="1">C12+C13+C14+C15+C1+C17</f>
        <v>-63443</v>
      </c>
      <c r="D18" s="791">
        <f t="shared" ca="1" si="1"/>
        <v>1325417</v>
      </c>
      <c r="E18" s="791">
        <f t="shared" ca="1" si="1"/>
        <v>63065489</v>
      </c>
      <c r="F18" s="791">
        <f t="shared" ca="1" si="1"/>
        <v>65927583</v>
      </c>
      <c r="G18" s="791"/>
      <c r="H18" s="791"/>
      <c r="I18" s="791"/>
      <c r="J18" s="791"/>
      <c r="K18" s="791"/>
      <c r="L18" s="791"/>
      <c r="M18" s="791"/>
    </row>
    <row r="19" spans="1:13">
      <c r="F19" s="809">
        <f ca="1">F18-Omatulud!F817</f>
        <v>65927583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181"/>
  <sheetViews>
    <sheetView zoomScaleNormal="100" workbookViewId="0">
      <pane ySplit="3" topLeftCell="A74" activePane="bottomLeft" state="frozen"/>
      <selection activeCell="H803" sqref="H803"/>
      <selection pane="bottomLeft" activeCell="D68" sqref="D68"/>
    </sheetView>
  </sheetViews>
  <sheetFormatPr defaultColWidth="9.140625" defaultRowHeight="12.75"/>
  <cols>
    <col min="1" max="1" width="4.28515625" style="528" customWidth="1"/>
    <col min="2" max="2" width="6.85546875" style="477" customWidth="1"/>
    <col min="3" max="3" width="39.7109375" style="465" bestFit="1" customWidth="1"/>
    <col min="4" max="4" width="11.7109375" style="478" bestFit="1" customWidth="1"/>
    <col min="5" max="5" width="13.5703125" style="478" bestFit="1" customWidth="1"/>
    <col min="6" max="6" width="58" style="528" customWidth="1"/>
    <col min="7" max="7" width="34.140625" style="478" customWidth="1"/>
    <col min="8" max="16384" width="9.140625" style="528"/>
  </cols>
  <sheetData>
    <row r="1" spans="1:9" ht="15">
      <c r="A1" s="463" t="s">
        <v>869</v>
      </c>
      <c r="B1" s="464"/>
      <c r="D1" s="466"/>
      <c r="E1" s="466"/>
      <c r="F1" s="466"/>
      <c r="G1" s="466"/>
      <c r="H1" s="466"/>
      <c r="I1" s="466"/>
    </row>
    <row r="2" spans="1:9">
      <c r="A2" s="467"/>
      <c r="B2" s="468"/>
      <c r="D2" s="466"/>
      <c r="E2" s="466"/>
      <c r="F2" s="466"/>
      <c r="G2" s="466"/>
      <c r="H2" s="466"/>
      <c r="I2" s="466"/>
    </row>
    <row r="3" spans="1:9" ht="38.25">
      <c r="A3" s="469" t="s">
        <v>858</v>
      </c>
      <c r="B3" s="470" t="s">
        <v>859</v>
      </c>
      <c r="C3" s="471" t="s">
        <v>860</v>
      </c>
      <c r="D3" s="471" t="s">
        <v>861</v>
      </c>
      <c r="E3" s="472" t="s">
        <v>862</v>
      </c>
      <c r="F3" s="473" t="s">
        <v>863</v>
      </c>
      <c r="G3" s="478" t="s">
        <v>1138</v>
      </c>
    </row>
    <row r="4" spans="1:9" ht="15">
      <c r="A4" s="469" t="s">
        <v>52</v>
      </c>
      <c r="B4" s="464"/>
      <c r="C4" s="471"/>
      <c r="D4" s="474">
        <f>D6+D10+D31+D34+D37+D50+D61+D82+D91+D98+D114+D143+D150+D67+D157+D162+D165+D169+D176+D178</f>
        <v>21065550</v>
      </c>
      <c r="E4" s="474">
        <f>E6+E10+E31+E34+E37+E50+E61+E82+E91+E98+E114+E143+E150+E67+E157+E162+E165+E169+E176+E178</f>
        <v>3882691</v>
      </c>
      <c r="F4" s="475"/>
      <c r="G4" s="474"/>
      <c r="H4" s="529"/>
      <c r="I4" s="530"/>
    </row>
    <row r="5" spans="1:9" ht="15">
      <c r="A5" s="469" t="s">
        <v>284</v>
      </c>
      <c r="B5" s="464"/>
      <c r="C5" s="471"/>
      <c r="D5" s="474"/>
      <c r="E5" s="474"/>
      <c r="F5" s="475"/>
      <c r="G5" s="474"/>
      <c r="H5" s="529"/>
      <c r="I5" s="530"/>
    </row>
    <row r="6" spans="1:9" ht="15">
      <c r="A6" s="469"/>
      <c r="B6" s="464">
        <v>1</v>
      </c>
      <c r="C6" s="615" t="s">
        <v>284</v>
      </c>
      <c r="D6" s="474">
        <f>D7+D8</f>
        <v>18000</v>
      </c>
      <c r="E6" s="474"/>
      <c r="F6" s="475"/>
      <c r="G6" s="474"/>
      <c r="H6" s="529"/>
      <c r="I6" s="530"/>
    </row>
    <row r="7" spans="1:9" ht="25.5">
      <c r="A7" s="616"/>
      <c r="B7" s="479" t="s">
        <v>864</v>
      </c>
      <c r="C7" s="585" t="s">
        <v>1080</v>
      </c>
      <c r="D7" s="617">
        <v>6000</v>
      </c>
      <c r="E7" s="617"/>
      <c r="F7" s="480"/>
      <c r="G7" s="617"/>
      <c r="H7" s="529"/>
      <c r="I7" s="530"/>
    </row>
    <row r="8" spans="1:9" ht="25.5">
      <c r="A8" s="616"/>
      <c r="B8" s="479" t="s">
        <v>865</v>
      </c>
      <c r="C8" s="585" t="s">
        <v>1081</v>
      </c>
      <c r="D8" s="617">
        <v>12000</v>
      </c>
      <c r="E8" s="617"/>
      <c r="F8" s="480"/>
      <c r="G8" s="617"/>
      <c r="H8" s="529"/>
      <c r="I8" s="530"/>
    </row>
    <row r="9" spans="1:9" ht="15">
      <c r="A9" s="616"/>
      <c r="B9" s="479"/>
      <c r="C9" s="585"/>
      <c r="D9" s="617"/>
      <c r="E9" s="617"/>
      <c r="F9" s="480"/>
      <c r="G9" s="617"/>
      <c r="H9" s="529"/>
      <c r="I9" s="530"/>
    </row>
    <row r="10" spans="1:9" ht="15.75">
      <c r="A10" s="476" t="s">
        <v>813</v>
      </c>
      <c r="D10" s="474">
        <f>D11+D24+D25+D29+D26+D15</f>
        <v>2768370</v>
      </c>
      <c r="E10" s="474"/>
      <c r="F10" s="466"/>
    </row>
    <row r="11" spans="1:9" ht="15">
      <c r="A11" s="478"/>
      <c r="B11" s="464">
        <v>1</v>
      </c>
      <c r="C11" s="615" t="s">
        <v>299</v>
      </c>
      <c r="D11" s="475">
        <f>D12+D13+D14</f>
        <v>1215280</v>
      </c>
      <c r="E11" s="475"/>
      <c r="F11" s="478"/>
    </row>
    <row r="12" spans="1:9" ht="25.5">
      <c r="A12" s="478"/>
      <c r="B12" s="479" t="s">
        <v>864</v>
      </c>
      <c r="C12" s="585" t="s">
        <v>1082</v>
      </c>
      <c r="D12" s="486">
        <v>80000</v>
      </c>
      <c r="E12" s="486"/>
      <c r="F12" s="487"/>
    </row>
    <row r="13" spans="1:9" ht="25.5">
      <c r="A13" s="478"/>
      <c r="B13" s="479" t="s">
        <v>865</v>
      </c>
      <c r="C13" s="585" t="s">
        <v>1083</v>
      </c>
      <c r="D13" s="486">
        <v>200000</v>
      </c>
      <c r="E13" s="486"/>
      <c r="F13" s="487"/>
    </row>
    <row r="14" spans="1:9" ht="318.75">
      <c r="A14" s="478"/>
      <c r="B14" s="479" t="s">
        <v>866</v>
      </c>
      <c r="C14" s="585" t="s">
        <v>1123</v>
      </c>
      <c r="D14" s="486">
        <v>935280</v>
      </c>
      <c r="E14" s="486"/>
      <c r="F14" s="487"/>
    </row>
    <row r="15" spans="1:9">
      <c r="A15" s="478"/>
      <c r="B15" s="479" t="s">
        <v>1084</v>
      </c>
      <c r="C15" s="618" t="s">
        <v>1085</v>
      </c>
      <c r="D15" s="598">
        <v>912500</v>
      </c>
      <c r="E15" s="486"/>
      <c r="F15" s="487"/>
    </row>
    <row r="16" spans="1:9" ht="25.5">
      <c r="A16" s="478"/>
      <c r="B16" s="479" t="s">
        <v>867</v>
      </c>
      <c r="C16" s="585" t="s">
        <v>1086</v>
      </c>
      <c r="D16" s="486">
        <v>127500</v>
      </c>
      <c r="E16" s="486"/>
      <c r="F16" s="487"/>
    </row>
    <row r="17" spans="1:6">
      <c r="A17" s="478"/>
      <c r="B17" s="479" t="s">
        <v>868</v>
      </c>
      <c r="C17" s="585" t="s">
        <v>1087</v>
      </c>
      <c r="D17" s="486">
        <v>135000</v>
      </c>
      <c r="E17" s="486"/>
      <c r="F17" s="487"/>
    </row>
    <row r="18" spans="1:6">
      <c r="A18" s="478"/>
      <c r="B18" s="479" t="s">
        <v>914</v>
      </c>
      <c r="C18" s="585" t="s">
        <v>1088</v>
      </c>
      <c r="D18" s="486">
        <v>150000</v>
      </c>
      <c r="E18" s="486"/>
      <c r="F18" s="487"/>
    </row>
    <row r="19" spans="1:6" ht="25.5">
      <c r="A19" s="478"/>
      <c r="B19" s="479" t="s">
        <v>1054</v>
      </c>
      <c r="C19" s="585" t="s">
        <v>1089</v>
      </c>
      <c r="D19" s="486">
        <v>160000</v>
      </c>
      <c r="E19" s="486"/>
      <c r="F19" s="487"/>
    </row>
    <row r="20" spans="1:6">
      <c r="A20" s="478"/>
      <c r="B20" s="479" t="s">
        <v>1056</v>
      </c>
      <c r="C20" s="585" t="s">
        <v>1090</v>
      </c>
      <c r="D20" s="486">
        <v>30000</v>
      </c>
      <c r="E20" s="486"/>
      <c r="F20" s="487"/>
    </row>
    <row r="21" spans="1:6">
      <c r="A21" s="478"/>
      <c r="B21" s="479" t="s">
        <v>1058</v>
      </c>
      <c r="C21" s="585" t="s">
        <v>1091</v>
      </c>
      <c r="D21" s="486">
        <v>100000</v>
      </c>
      <c r="E21" s="486"/>
      <c r="F21" s="487"/>
    </row>
    <row r="22" spans="1:6" ht="25.5">
      <c r="A22" s="478"/>
      <c r="B22" s="479" t="s">
        <v>1060</v>
      </c>
      <c r="C22" s="585" t="s">
        <v>1092</v>
      </c>
      <c r="D22" s="486">
        <v>60000</v>
      </c>
      <c r="E22" s="486"/>
      <c r="F22" s="487"/>
    </row>
    <row r="23" spans="1:6">
      <c r="A23" s="478"/>
      <c r="B23" s="479" t="s">
        <v>1062</v>
      </c>
      <c r="C23" s="585" t="s">
        <v>1093</v>
      </c>
      <c r="D23" s="486">
        <v>150000</v>
      </c>
      <c r="E23" s="486"/>
      <c r="F23" s="487"/>
    </row>
    <row r="24" spans="1:6" ht="76.5">
      <c r="A24" s="478"/>
      <c r="B24" s="464">
        <v>3</v>
      </c>
      <c r="C24" s="619" t="s">
        <v>1116</v>
      </c>
      <c r="D24" s="475">
        <v>32000</v>
      </c>
      <c r="E24" s="617"/>
      <c r="F24" s="478"/>
    </row>
    <row r="25" spans="1:6" ht="51">
      <c r="A25" s="478"/>
      <c r="B25" s="597" t="s">
        <v>1075</v>
      </c>
      <c r="C25" s="615" t="s">
        <v>1094</v>
      </c>
      <c r="D25" s="475">
        <v>45000</v>
      </c>
      <c r="E25" s="481"/>
      <c r="F25" s="487"/>
    </row>
    <row r="26" spans="1:6" ht="25.5">
      <c r="A26" s="478"/>
      <c r="B26" s="479" t="s">
        <v>1095</v>
      </c>
      <c r="C26" s="615" t="s">
        <v>308</v>
      </c>
      <c r="D26" s="475">
        <f>D27+D28</f>
        <v>544740</v>
      </c>
      <c r="E26" s="481"/>
      <c r="F26" s="487"/>
    </row>
    <row r="27" spans="1:6">
      <c r="A27" s="478"/>
      <c r="B27" s="479" t="s">
        <v>975</v>
      </c>
      <c r="C27" s="485" t="s">
        <v>1096</v>
      </c>
      <c r="D27" s="480">
        <v>112630</v>
      </c>
      <c r="E27" s="481"/>
      <c r="F27" s="487"/>
    </row>
    <row r="28" spans="1:6" ht="25.5">
      <c r="A28" s="478"/>
      <c r="B28" s="479" t="s">
        <v>978</v>
      </c>
      <c r="C28" s="485" t="s">
        <v>1097</v>
      </c>
      <c r="D28" s="480">
        <v>432110</v>
      </c>
      <c r="E28" s="481"/>
      <c r="F28" s="487"/>
    </row>
    <row r="29" spans="1:6" ht="395.25">
      <c r="A29" s="478"/>
      <c r="B29" s="479" t="s">
        <v>1098</v>
      </c>
      <c r="C29" s="615" t="s">
        <v>1122</v>
      </c>
      <c r="D29" s="475">
        <v>18850</v>
      </c>
      <c r="E29" s="481"/>
      <c r="F29" s="487"/>
    </row>
    <row r="30" spans="1:6">
      <c r="A30" s="478"/>
      <c r="B30" s="479"/>
      <c r="C30" s="485"/>
      <c r="D30" s="505"/>
      <c r="E30" s="481"/>
      <c r="F30" s="487"/>
    </row>
    <row r="31" spans="1:6" ht="15.75">
      <c r="A31" s="476" t="s">
        <v>31</v>
      </c>
      <c r="B31" s="479"/>
      <c r="C31" s="485"/>
      <c r="D31" s="596">
        <f>D32</f>
        <v>37000</v>
      </c>
      <c r="E31" s="481"/>
      <c r="F31" s="487"/>
    </row>
    <row r="32" spans="1:6" ht="112.5">
      <c r="A32" s="478"/>
      <c r="B32" s="479" t="s">
        <v>1099</v>
      </c>
      <c r="C32" s="564" t="s">
        <v>1042</v>
      </c>
      <c r="D32" s="505">
        <v>37000</v>
      </c>
      <c r="E32" s="481"/>
      <c r="F32" s="487"/>
    </row>
    <row r="33" spans="1:7">
      <c r="A33" s="478"/>
      <c r="B33" s="479"/>
      <c r="C33" s="485"/>
      <c r="D33" s="505"/>
      <c r="E33" s="481"/>
      <c r="F33" s="487"/>
    </row>
    <row r="34" spans="1:7" ht="15.75">
      <c r="A34" s="476" t="s">
        <v>340</v>
      </c>
      <c r="B34" s="479"/>
      <c r="C34" s="485"/>
      <c r="D34" s="596">
        <f>D35</f>
        <v>4890</v>
      </c>
      <c r="E34" s="481"/>
      <c r="F34" s="487"/>
    </row>
    <row r="35" spans="1:7" ht="114.75">
      <c r="A35" s="476"/>
      <c r="B35" s="479" t="s">
        <v>1099</v>
      </c>
      <c r="C35" s="485" t="s">
        <v>1100</v>
      </c>
      <c r="D35" s="505">
        <v>4890</v>
      </c>
      <c r="E35" s="481"/>
      <c r="F35" s="487"/>
    </row>
    <row r="36" spans="1:7">
      <c r="A36" s="478"/>
      <c r="B36" s="504"/>
      <c r="C36" s="485"/>
      <c r="D36" s="505"/>
      <c r="E36" s="481"/>
      <c r="F36" s="491"/>
    </row>
    <row r="37" spans="1:7" s="2" customFormat="1" ht="15.75">
      <c r="A37" s="476" t="s">
        <v>12</v>
      </c>
      <c r="B37" s="477"/>
      <c r="C37" s="465"/>
      <c r="D37" s="474">
        <f>+D38</f>
        <v>3540925</v>
      </c>
      <c r="E37" s="474">
        <f>+E38</f>
        <v>0</v>
      </c>
      <c r="F37" s="466"/>
      <c r="G37" s="425"/>
    </row>
    <row r="38" spans="1:7" s="2" customFormat="1" ht="15">
      <c r="A38" s="478"/>
      <c r="B38" s="464">
        <v>2</v>
      </c>
      <c r="C38" s="484" t="s">
        <v>1052</v>
      </c>
      <c r="D38" s="475">
        <f>SUM(D39:D49)</f>
        <v>3540925</v>
      </c>
      <c r="E38" s="475">
        <f>SUM(E39:E49)</f>
        <v>0</v>
      </c>
      <c r="F38" s="487"/>
      <c r="G38" s="425"/>
    </row>
    <row r="39" spans="1:7" s="2" customFormat="1" ht="140.25">
      <c r="A39" s="478"/>
      <c r="B39" s="479" t="s">
        <v>914</v>
      </c>
      <c r="C39" s="485" t="s">
        <v>1053</v>
      </c>
      <c r="D39" s="486">
        <v>47475</v>
      </c>
      <c r="E39" s="486"/>
      <c r="F39" s="487"/>
      <c r="G39" s="425"/>
    </row>
    <row r="40" spans="1:7" s="2" customFormat="1" ht="105" customHeight="1">
      <c r="A40" s="478"/>
      <c r="B40" s="479" t="s">
        <v>1054</v>
      </c>
      <c r="C40" s="485" t="s">
        <v>1055</v>
      </c>
      <c r="D40" s="486">
        <v>40830</v>
      </c>
      <c r="E40" s="486"/>
      <c r="F40" s="487"/>
      <c r="G40" s="425"/>
    </row>
    <row r="41" spans="1:7" s="2" customFormat="1" ht="106.5" customHeight="1">
      <c r="A41" s="478"/>
      <c r="B41" s="479" t="s">
        <v>1056</v>
      </c>
      <c r="C41" s="485" t="s">
        <v>1057</v>
      </c>
      <c r="D41" s="486">
        <v>128000</v>
      </c>
      <c r="E41" s="486"/>
      <c r="F41" s="487" t="s">
        <v>1141</v>
      </c>
      <c r="G41" s="425"/>
    </row>
    <row r="42" spans="1:7" s="2" customFormat="1" ht="165.75">
      <c r="A42" s="478"/>
      <c r="B42" s="479" t="s">
        <v>1058</v>
      </c>
      <c r="C42" s="485" t="s">
        <v>1059</v>
      </c>
      <c r="D42" s="486">
        <v>31540</v>
      </c>
      <c r="E42" s="486"/>
      <c r="F42" s="487"/>
      <c r="G42" s="425"/>
    </row>
    <row r="43" spans="1:7" s="2" customFormat="1" ht="204">
      <c r="A43" s="478"/>
      <c r="B43" s="479" t="s">
        <v>1060</v>
      </c>
      <c r="C43" s="485" t="s">
        <v>1061</v>
      </c>
      <c r="D43" s="486">
        <v>40000</v>
      </c>
      <c r="E43" s="486"/>
      <c r="F43" s="487"/>
      <c r="G43" s="425"/>
    </row>
    <row r="44" spans="1:7" s="2" customFormat="1" ht="280.5">
      <c r="A44" s="478"/>
      <c r="B44" s="479" t="s">
        <v>1062</v>
      </c>
      <c r="C44" s="485" t="s">
        <v>1063</v>
      </c>
      <c r="D44" s="486">
        <v>1042000</v>
      </c>
      <c r="E44" s="486"/>
      <c r="F44" s="487"/>
      <c r="G44" s="425"/>
    </row>
    <row r="45" spans="1:7" s="2" customFormat="1" ht="127.5">
      <c r="A45" s="478"/>
      <c r="B45" s="479" t="s">
        <v>1064</v>
      </c>
      <c r="C45" s="485" t="s">
        <v>1065</v>
      </c>
      <c r="D45" s="486">
        <v>125000</v>
      </c>
      <c r="E45" s="486"/>
      <c r="F45" s="487"/>
      <c r="G45" s="425"/>
    </row>
    <row r="46" spans="1:7" s="2" customFormat="1">
      <c r="A46" s="478"/>
      <c r="B46" s="479" t="s">
        <v>1066</v>
      </c>
      <c r="C46" s="497" t="s">
        <v>1067</v>
      </c>
      <c r="D46" s="486">
        <v>889055</v>
      </c>
      <c r="E46" s="486"/>
      <c r="F46" s="487"/>
      <c r="G46" s="425"/>
    </row>
    <row r="47" spans="1:7" s="2" customFormat="1" ht="119.25" customHeight="1">
      <c r="A47" s="478"/>
      <c r="B47" s="479" t="s">
        <v>1068</v>
      </c>
      <c r="C47" s="497" t="s">
        <v>1069</v>
      </c>
      <c r="D47" s="486">
        <v>947300</v>
      </c>
      <c r="E47" s="486"/>
      <c r="F47" s="487"/>
      <c r="G47" s="425"/>
    </row>
    <row r="48" spans="1:7" s="2" customFormat="1" ht="140.25">
      <c r="A48" s="478"/>
      <c r="B48" s="479" t="s">
        <v>1070</v>
      </c>
      <c r="C48" s="497" t="s">
        <v>1071</v>
      </c>
      <c r="D48" s="486">
        <v>218925</v>
      </c>
      <c r="E48" s="486"/>
      <c r="F48" s="487"/>
      <c r="G48" s="425"/>
    </row>
    <row r="49" spans="1:12" s="2" customFormat="1" ht="89.25">
      <c r="A49" s="478"/>
      <c r="B49" s="479" t="s">
        <v>1072</v>
      </c>
      <c r="C49" s="497" t="s">
        <v>1073</v>
      </c>
      <c r="D49" s="486">
        <v>30800</v>
      </c>
      <c r="E49" s="486"/>
      <c r="F49" s="487"/>
      <c r="G49" s="425"/>
    </row>
    <row r="50" spans="1:12" s="531" customFormat="1" ht="15.75">
      <c r="A50" s="476" t="s">
        <v>870</v>
      </c>
      <c r="B50" s="524"/>
      <c r="C50" s="525"/>
      <c r="D50" s="526">
        <f>D51+D52+D54+D56</f>
        <v>262500</v>
      </c>
      <c r="E50" s="526">
        <f>E51+E52+E54+E56</f>
        <v>75000</v>
      </c>
      <c r="F50" s="527"/>
      <c r="G50" s="626"/>
    </row>
    <row r="51" spans="1:12" ht="26.25" customHeight="1">
      <c r="A51" s="478"/>
      <c r="B51" s="539">
        <v>1</v>
      </c>
      <c r="C51" s="484" t="s">
        <v>1018</v>
      </c>
      <c r="D51" s="475"/>
      <c r="E51" s="475"/>
      <c r="F51" s="541" t="s">
        <v>1142</v>
      </c>
    </row>
    <row r="52" spans="1:12">
      <c r="A52" s="478"/>
      <c r="B52" s="539">
        <v>4</v>
      </c>
      <c r="C52" s="484" t="s">
        <v>1019</v>
      </c>
      <c r="D52" s="475">
        <f>SUM(D53:D53)</f>
        <v>195000</v>
      </c>
      <c r="E52" s="475">
        <f>SUM(E53:E53)</f>
        <v>75000</v>
      </c>
      <c r="F52" s="483"/>
      <c r="G52" s="483"/>
      <c r="H52" s="532"/>
      <c r="I52" s="532"/>
      <c r="J52" s="532"/>
      <c r="K52" s="532"/>
      <c r="L52" s="532"/>
    </row>
    <row r="53" spans="1:12" ht="280.5">
      <c r="A53" s="478"/>
      <c r="B53" s="479" t="s">
        <v>1020</v>
      </c>
      <c r="C53" s="540" t="s">
        <v>1021</v>
      </c>
      <c r="D53" s="480">
        <v>195000</v>
      </c>
      <c r="E53" s="480">
        <v>75000</v>
      </c>
      <c r="F53" s="540" t="s">
        <v>1133</v>
      </c>
      <c r="G53" s="483"/>
      <c r="H53" s="532"/>
      <c r="I53" s="532"/>
      <c r="J53" s="532"/>
      <c r="K53" s="532"/>
      <c r="L53" s="532"/>
    </row>
    <row r="54" spans="1:12">
      <c r="A54" s="478"/>
      <c r="B54" s="539" t="s">
        <v>1022</v>
      </c>
      <c r="C54" s="484" t="s">
        <v>1023</v>
      </c>
      <c r="D54" s="475">
        <f>D55</f>
        <v>35000</v>
      </c>
      <c r="E54" s="475">
        <f>E55</f>
        <v>0</v>
      </c>
      <c r="F54" s="483" t="s">
        <v>1134</v>
      </c>
      <c r="G54" s="483"/>
      <c r="H54" s="532"/>
      <c r="I54" s="532"/>
      <c r="J54" s="532"/>
      <c r="K54" s="532"/>
      <c r="L54" s="532"/>
    </row>
    <row r="55" spans="1:12" ht="267.75">
      <c r="A55" s="478"/>
      <c r="B55" s="479" t="s">
        <v>1024</v>
      </c>
      <c r="C55" s="540" t="s">
        <v>1025</v>
      </c>
      <c r="D55" s="480">
        <v>35000</v>
      </c>
      <c r="E55" s="480"/>
      <c r="F55" s="483"/>
      <c r="G55" s="483"/>
      <c r="H55" s="532"/>
      <c r="I55" s="532"/>
      <c r="J55" s="532"/>
      <c r="K55" s="532"/>
      <c r="L55" s="532"/>
    </row>
    <row r="56" spans="1:12">
      <c r="A56" s="478"/>
      <c r="B56" s="539">
        <v>8</v>
      </c>
      <c r="C56" s="484" t="s">
        <v>386</v>
      </c>
      <c r="D56" s="475">
        <f>SUM(D57:D59)</f>
        <v>32500</v>
      </c>
      <c r="E56" s="475">
        <f>SUM(E57:E59)</f>
        <v>0</v>
      </c>
      <c r="F56" s="483"/>
      <c r="G56" s="483"/>
      <c r="H56" s="532"/>
      <c r="I56" s="532"/>
      <c r="J56" s="532"/>
      <c r="K56" s="532"/>
      <c r="L56" s="532"/>
    </row>
    <row r="57" spans="1:12" ht="178.5">
      <c r="A57" s="478"/>
      <c r="B57" s="479" t="s">
        <v>1026</v>
      </c>
      <c r="C57" s="540" t="s">
        <v>1027</v>
      </c>
      <c r="D57" s="542">
        <v>10000</v>
      </c>
      <c r="E57" s="480"/>
      <c r="F57" s="483"/>
      <c r="G57" s="483"/>
      <c r="H57" s="532"/>
      <c r="I57" s="532"/>
      <c r="J57" s="532"/>
      <c r="K57" s="532"/>
      <c r="L57" s="532"/>
    </row>
    <row r="58" spans="1:12" ht="153">
      <c r="A58" s="478"/>
      <c r="B58" s="482" t="s">
        <v>1028</v>
      </c>
      <c r="C58" s="540" t="s">
        <v>1029</v>
      </c>
      <c r="D58" s="542">
        <v>7500</v>
      </c>
      <c r="E58" s="483"/>
      <c r="F58" s="483"/>
      <c r="G58" s="483"/>
      <c r="H58" s="532"/>
      <c r="I58" s="532"/>
      <c r="J58" s="532"/>
      <c r="K58" s="532"/>
      <c r="L58" s="532"/>
    </row>
    <row r="59" spans="1:12" ht="127.5">
      <c r="A59" s="478"/>
      <c r="B59" s="479" t="s">
        <v>1030</v>
      </c>
      <c r="C59" s="540" t="s">
        <v>1031</v>
      </c>
      <c r="D59" s="542">
        <v>15000</v>
      </c>
      <c r="E59" s="483"/>
      <c r="F59" s="540" t="s">
        <v>1032</v>
      </c>
      <c r="G59" s="483"/>
      <c r="H59" s="532"/>
      <c r="I59" s="532"/>
      <c r="J59" s="532"/>
      <c r="K59" s="532"/>
      <c r="L59" s="532"/>
    </row>
    <row r="60" spans="1:12" ht="25.5">
      <c r="A60" s="478"/>
      <c r="B60" s="597" t="s">
        <v>1143</v>
      </c>
      <c r="C60" s="628" t="s">
        <v>1144</v>
      </c>
      <c r="D60" s="542"/>
      <c r="E60" s="483"/>
      <c r="F60" s="540"/>
      <c r="G60" s="483"/>
      <c r="H60" s="532"/>
      <c r="I60" s="532"/>
      <c r="J60" s="532"/>
      <c r="K60" s="532"/>
      <c r="L60" s="532"/>
    </row>
    <row r="61" spans="1:12" ht="15">
      <c r="A61" s="490" t="s">
        <v>13</v>
      </c>
      <c r="B61" s="479"/>
      <c r="C61" s="540"/>
      <c r="D61" s="620">
        <f>D62+D63+D64+D65</f>
        <v>790800</v>
      </c>
      <c r="E61" s="483"/>
      <c r="F61" s="540"/>
      <c r="G61" s="483"/>
      <c r="H61" s="532"/>
      <c r="I61" s="532"/>
      <c r="J61" s="532"/>
      <c r="K61" s="532"/>
      <c r="L61" s="532"/>
    </row>
    <row r="62" spans="1:12" ht="96" customHeight="1">
      <c r="A62" s="490"/>
      <c r="B62" s="621" t="s">
        <v>1099</v>
      </c>
      <c r="C62" s="619" t="s">
        <v>1101</v>
      </c>
      <c r="D62" s="542">
        <v>45000</v>
      </c>
      <c r="E62" s="483"/>
      <c r="F62" s="540"/>
      <c r="G62" s="483"/>
      <c r="H62" s="532"/>
      <c r="I62" s="532"/>
      <c r="J62" s="532"/>
      <c r="K62" s="532"/>
      <c r="L62" s="532"/>
    </row>
    <row r="63" spans="1:12" ht="51">
      <c r="A63" s="490"/>
      <c r="B63" s="597" t="s">
        <v>1084</v>
      </c>
      <c r="C63" s="619" t="s">
        <v>1102</v>
      </c>
      <c r="D63" s="542">
        <v>1280</v>
      </c>
      <c r="E63" s="483"/>
      <c r="F63" s="540"/>
      <c r="G63" s="483"/>
      <c r="H63" s="532"/>
      <c r="I63" s="532"/>
      <c r="J63" s="532"/>
      <c r="K63" s="532"/>
      <c r="L63" s="532"/>
    </row>
    <row r="64" spans="1:12" ht="114.75">
      <c r="A64" s="490"/>
      <c r="B64" s="597" t="s">
        <v>1074</v>
      </c>
      <c r="C64" s="619" t="s">
        <v>1117</v>
      </c>
      <c r="D64" s="542">
        <v>700520</v>
      </c>
      <c r="E64" s="483"/>
      <c r="F64" s="540"/>
      <c r="G64" s="483"/>
      <c r="H64" s="532"/>
      <c r="I64" s="532"/>
      <c r="J64" s="532"/>
      <c r="K64" s="532"/>
      <c r="L64" s="532"/>
    </row>
    <row r="65" spans="1:12" ht="114.75">
      <c r="A65" s="490"/>
      <c r="B65" s="597" t="s">
        <v>1075</v>
      </c>
      <c r="C65" s="619" t="s">
        <v>1103</v>
      </c>
      <c r="D65" s="542">
        <v>44000</v>
      </c>
      <c r="E65" s="483"/>
      <c r="F65" s="540"/>
      <c r="G65" s="483"/>
      <c r="H65" s="532"/>
      <c r="I65" s="532"/>
      <c r="J65" s="532"/>
      <c r="K65" s="532"/>
      <c r="L65" s="532"/>
    </row>
    <row r="66" spans="1:12" ht="15">
      <c r="A66" s="490"/>
      <c r="B66" s="597"/>
      <c r="C66" s="619"/>
      <c r="D66" s="542"/>
      <c r="E66" s="483"/>
      <c r="F66" s="540"/>
      <c r="G66" s="483"/>
      <c r="H66" s="532"/>
      <c r="I66" s="532"/>
      <c r="J66" s="532"/>
      <c r="K66" s="532"/>
      <c r="L66" s="532"/>
    </row>
    <row r="67" spans="1:12" ht="15">
      <c r="A67" s="490" t="s">
        <v>7</v>
      </c>
      <c r="B67" s="500"/>
      <c r="C67" s="501"/>
      <c r="D67" s="502">
        <f>SUM(D68:D80)</f>
        <v>1398250</v>
      </c>
      <c r="E67" s="502">
        <f>SUM(E68:E80)</f>
        <v>67979</v>
      </c>
      <c r="F67" s="483"/>
    </row>
    <row r="68" spans="1:12" s="478" customFormat="1" ht="114.75">
      <c r="A68" s="471"/>
      <c r="B68" s="503">
        <v>7</v>
      </c>
      <c r="C68" s="506" t="s">
        <v>1153</v>
      </c>
      <c r="D68" s="533">
        <v>45890</v>
      </c>
      <c r="E68" s="594">
        <v>28790</v>
      </c>
      <c r="F68" s="590" t="s">
        <v>1154</v>
      </c>
      <c r="H68" s="528"/>
      <c r="I68" s="528"/>
      <c r="J68" s="528"/>
      <c r="K68" s="528"/>
      <c r="L68" s="528"/>
    </row>
    <row r="69" spans="1:12" s="478" customFormat="1" ht="165.75">
      <c r="A69" s="471"/>
      <c r="B69" s="503">
        <v>8</v>
      </c>
      <c r="C69" s="506" t="s">
        <v>1118</v>
      </c>
      <c r="D69" s="486">
        <v>329090</v>
      </c>
      <c r="E69" s="595"/>
      <c r="F69" s="591" t="s">
        <v>1115</v>
      </c>
      <c r="H69" s="528"/>
      <c r="I69" s="528"/>
      <c r="J69" s="528"/>
      <c r="K69" s="528"/>
      <c r="L69" s="528"/>
    </row>
    <row r="70" spans="1:12" s="478" customFormat="1" ht="67.5">
      <c r="A70" s="471"/>
      <c r="B70" s="503">
        <v>10</v>
      </c>
      <c r="C70" s="506" t="s">
        <v>889</v>
      </c>
      <c r="D70" s="481">
        <v>31736</v>
      </c>
      <c r="E70" s="481">
        <v>20539</v>
      </c>
      <c r="F70" s="590" t="s">
        <v>1124</v>
      </c>
      <c r="H70" s="528"/>
      <c r="I70" s="528"/>
      <c r="J70" s="528"/>
      <c r="K70" s="528"/>
      <c r="L70" s="528"/>
    </row>
    <row r="71" spans="1:12" s="478" customFormat="1" ht="76.5">
      <c r="A71" s="471"/>
      <c r="B71" s="503">
        <v>11</v>
      </c>
      <c r="C71" s="506" t="s">
        <v>882</v>
      </c>
      <c r="D71" s="481">
        <v>2380</v>
      </c>
      <c r="E71" s="481"/>
      <c r="F71" s="590" t="s">
        <v>1043</v>
      </c>
      <c r="H71" s="528"/>
      <c r="I71" s="528"/>
      <c r="J71" s="528"/>
      <c r="K71" s="528"/>
      <c r="L71" s="528"/>
    </row>
    <row r="72" spans="1:12" s="478" customFormat="1" ht="89.25">
      <c r="A72" s="471"/>
      <c r="B72" s="503">
        <v>12</v>
      </c>
      <c r="C72" s="506" t="s">
        <v>1157</v>
      </c>
      <c r="D72" s="481">
        <v>6408</v>
      </c>
      <c r="E72" s="481"/>
      <c r="F72" s="590" t="s">
        <v>1156</v>
      </c>
      <c r="H72" s="528"/>
      <c r="I72" s="528"/>
      <c r="J72" s="528"/>
      <c r="K72" s="528"/>
      <c r="L72" s="528"/>
    </row>
    <row r="73" spans="1:12" s="478" customFormat="1" ht="67.5">
      <c r="A73" s="471"/>
      <c r="B73" s="503">
        <v>13</v>
      </c>
      <c r="C73" s="506" t="s">
        <v>883</v>
      </c>
      <c r="D73" s="534">
        <v>11198</v>
      </c>
      <c r="E73" s="481"/>
      <c r="F73" s="591" t="s">
        <v>1044</v>
      </c>
      <c r="H73" s="528"/>
      <c r="I73" s="528"/>
      <c r="J73" s="528"/>
      <c r="K73" s="528"/>
      <c r="L73" s="528"/>
    </row>
    <row r="74" spans="1:12" s="478" customFormat="1" ht="89.25">
      <c r="A74" s="471"/>
      <c r="B74" s="503">
        <v>15</v>
      </c>
      <c r="C74" s="506" t="s">
        <v>884</v>
      </c>
      <c r="D74" s="486">
        <v>20000</v>
      </c>
      <c r="E74" s="438"/>
      <c r="F74" s="509" t="s">
        <v>1047</v>
      </c>
      <c r="H74" s="528"/>
      <c r="I74" s="528"/>
      <c r="J74" s="528"/>
      <c r="K74" s="528"/>
      <c r="L74" s="528"/>
    </row>
    <row r="75" spans="1:12" s="478" customFormat="1" ht="178.5">
      <c r="A75" s="471"/>
      <c r="B75" s="503">
        <v>16</v>
      </c>
      <c r="C75" s="506" t="s">
        <v>885</v>
      </c>
      <c r="D75" s="533">
        <v>116498</v>
      </c>
      <c r="E75" s="438"/>
      <c r="F75" s="509" t="s">
        <v>1045</v>
      </c>
      <c r="H75" s="528"/>
      <c r="I75" s="528"/>
      <c r="J75" s="528"/>
      <c r="K75" s="528"/>
      <c r="L75" s="528"/>
    </row>
    <row r="76" spans="1:12" ht="76.5">
      <c r="A76" s="471"/>
      <c r="B76" s="503">
        <v>17</v>
      </c>
      <c r="C76" s="506" t="s">
        <v>886</v>
      </c>
      <c r="D76" s="533">
        <v>128000</v>
      </c>
      <c r="E76" s="592"/>
      <c r="F76" s="593" t="s">
        <v>1046</v>
      </c>
      <c r="G76" s="478" t="s">
        <v>1125</v>
      </c>
    </row>
    <row r="77" spans="1:12" ht="140.25">
      <c r="A77" s="471"/>
      <c r="B77" s="503">
        <v>19</v>
      </c>
      <c r="C77" s="506" t="s">
        <v>887</v>
      </c>
      <c r="D77" s="533">
        <v>57400</v>
      </c>
      <c r="E77" s="438"/>
      <c r="F77" s="509" t="s">
        <v>1126</v>
      </c>
    </row>
    <row r="78" spans="1:12" ht="89.25">
      <c r="A78" s="471"/>
      <c r="B78" s="503">
        <v>20</v>
      </c>
      <c r="C78" s="506" t="s">
        <v>1008</v>
      </c>
      <c r="D78" s="533">
        <v>35000</v>
      </c>
      <c r="E78" s="481"/>
      <c r="F78" s="509" t="s">
        <v>1048</v>
      </c>
    </row>
    <row r="79" spans="1:12" ht="140.25">
      <c r="A79" s="471"/>
      <c r="B79" s="503">
        <v>21</v>
      </c>
      <c r="C79" s="506" t="s">
        <v>890</v>
      </c>
      <c r="D79" s="533">
        <v>54650</v>
      </c>
      <c r="E79" s="438">
        <v>18650</v>
      </c>
      <c r="F79" s="593" t="s">
        <v>1127</v>
      </c>
    </row>
    <row r="80" spans="1:12" ht="140.25">
      <c r="A80" s="471"/>
      <c r="B80" s="503">
        <v>22</v>
      </c>
      <c r="C80" s="506" t="s">
        <v>888</v>
      </c>
      <c r="D80" s="533">
        <v>560000</v>
      </c>
      <c r="E80" s="481"/>
      <c r="F80" s="593"/>
    </row>
    <row r="81" spans="1:12" ht="25.5">
      <c r="A81" s="478"/>
      <c r="B81" s="482">
        <v>23</v>
      </c>
      <c r="C81" s="629" t="s">
        <v>1155</v>
      </c>
      <c r="D81" s="483"/>
      <c r="E81" s="483"/>
      <c r="F81" s="483"/>
      <c r="G81" s="483"/>
      <c r="H81" s="532"/>
      <c r="I81" s="532"/>
      <c r="J81" s="532"/>
      <c r="K81" s="532"/>
      <c r="L81" s="532"/>
    </row>
    <row r="82" spans="1:12" ht="15.75">
      <c r="A82" s="490" t="s">
        <v>14</v>
      </c>
      <c r="B82" s="482"/>
      <c r="C82" s="491"/>
      <c r="D82" s="492">
        <f>D83+D84+D85+D87+D88+D86+D89</f>
        <v>805120</v>
      </c>
      <c r="E82" s="492">
        <f>E83+E84+E85+E87+E88+E86+E89</f>
        <v>50000</v>
      </c>
      <c r="F82" s="483"/>
      <c r="G82" s="483"/>
      <c r="H82" s="532"/>
      <c r="I82" s="532"/>
      <c r="J82" s="532"/>
      <c r="K82" s="532"/>
      <c r="L82" s="532"/>
    </row>
    <row r="83" spans="1:12" ht="63.75">
      <c r="A83" s="493"/>
      <c r="B83" s="482">
        <v>1</v>
      </c>
      <c r="C83" s="494" t="s">
        <v>875</v>
      </c>
      <c r="D83" s="495">
        <v>8000</v>
      </c>
      <c r="E83" s="483"/>
      <c r="F83" s="509" t="s">
        <v>1129</v>
      </c>
      <c r="G83" s="483"/>
      <c r="H83" s="532"/>
      <c r="I83" s="532"/>
      <c r="J83" s="532"/>
      <c r="K83" s="532"/>
      <c r="L83" s="532"/>
    </row>
    <row r="84" spans="1:12" ht="63.75">
      <c r="A84" s="493"/>
      <c r="B84" s="482">
        <v>2</v>
      </c>
      <c r="C84" s="496" t="s">
        <v>876</v>
      </c>
      <c r="D84" s="495">
        <v>15120</v>
      </c>
      <c r="E84" s="483"/>
      <c r="F84" s="450" t="s">
        <v>1043</v>
      </c>
      <c r="G84" s="483"/>
      <c r="H84" s="532"/>
      <c r="I84" s="532"/>
      <c r="J84" s="532"/>
      <c r="K84" s="532"/>
      <c r="L84" s="532"/>
    </row>
    <row r="85" spans="1:12" ht="51">
      <c r="A85" s="493"/>
      <c r="B85" s="482">
        <v>3</v>
      </c>
      <c r="C85" s="497" t="s">
        <v>877</v>
      </c>
      <c r="D85" s="498">
        <v>38000</v>
      </c>
      <c r="E85" s="483"/>
      <c r="F85" s="450" t="s">
        <v>1128</v>
      </c>
      <c r="G85" s="483"/>
      <c r="H85" s="532"/>
      <c r="I85" s="532"/>
      <c r="J85" s="532"/>
      <c r="K85" s="532"/>
      <c r="L85" s="532"/>
    </row>
    <row r="86" spans="1:12" ht="76.5">
      <c r="A86" s="493"/>
      <c r="B86" s="482">
        <v>4</v>
      </c>
      <c r="C86" s="494" t="s">
        <v>878</v>
      </c>
      <c r="D86" s="498">
        <v>100000</v>
      </c>
      <c r="E86" s="483"/>
      <c r="F86" s="450" t="s">
        <v>1130</v>
      </c>
      <c r="G86" s="483"/>
      <c r="H86" s="532"/>
      <c r="I86" s="532"/>
      <c r="J86" s="532"/>
      <c r="K86" s="532"/>
      <c r="L86" s="532"/>
    </row>
    <row r="87" spans="1:12" ht="89.25">
      <c r="A87" s="493"/>
      <c r="B87" s="482">
        <v>5</v>
      </c>
      <c r="C87" s="497" t="s">
        <v>879</v>
      </c>
      <c r="D87" s="495">
        <v>570000</v>
      </c>
      <c r="E87" s="627"/>
      <c r="F87" s="450" t="s">
        <v>1131</v>
      </c>
      <c r="G87" s="483"/>
      <c r="H87" s="532"/>
      <c r="I87" s="532"/>
      <c r="J87" s="532"/>
      <c r="K87" s="532"/>
      <c r="L87" s="532"/>
    </row>
    <row r="88" spans="1:12" ht="114.75">
      <c r="A88" s="493"/>
      <c r="B88" s="482">
        <v>6</v>
      </c>
      <c r="C88" s="499" t="s">
        <v>880</v>
      </c>
      <c r="D88" s="495">
        <v>24000</v>
      </c>
      <c r="E88" s="483"/>
      <c r="F88" s="625" t="s">
        <v>1132</v>
      </c>
      <c r="G88" s="483"/>
      <c r="H88" s="532"/>
      <c r="I88" s="532"/>
      <c r="J88" s="532"/>
      <c r="K88" s="532"/>
      <c r="L88" s="532"/>
    </row>
    <row r="89" spans="1:12" ht="114.75">
      <c r="A89" s="493"/>
      <c r="B89" s="482">
        <v>7</v>
      </c>
      <c r="C89" s="499" t="s">
        <v>881</v>
      </c>
      <c r="D89" s="495">
        <v>50000</v>
      </c>
      <c r="E89" s="481">
        <v>50000</v>
      </c>
      <c r="F89" s="625" t="s">
        <v>1049</v>
      </c>
      <c r="G89" s="483"/>
      <c r="H89" s="532"/>
      <c r="I89" s="532"/>
      <c r="J89" s="532"/>
      <c r="K89" s="532"/>
      <c r="L89" s="532"/>
    </row>
    <row r="90" spans="1:12" ht="15">
      <c r="A90" s="493"/>
      <c r="B90" s="482"/>
      <c r="C90" s="499"/>
      <c r="D90" s="495"/>
      <c r="E90" s="483"/>
      <c r="F90" s="483"/>
      <c r="G90" s="483"/>
      <c r="H90" s="532"/>
      <c r="I90" s="532"/>
      <c r="J90" s="532"/>
      <c r="K90" s="532"/>
      <c r="L90" s="532"/>
    </row>
    <row r="91" spans="1:12" ht="15.75">
      <c r="A91" s="476" t="s">
        <v>16</v>
      </c>
      <c r="D91" s="474">
        <f>SUM(D92)</f>
        <v>7747753</v>
      </c>
      <c r="E91" s="474">
        <f>SUM(E92)</f>
        <v>3000000</v>
      </c>
      <c r="F91" s="466"/>
      <c r="G91" s="483"/>
      <c r="H91" s="532"/>
      <c r="I91" s="532"/>
      <c r="J91" s="532"/>
      <c r="K91" s="532"/>
      <c r="L91" s="532"/>
    </row>
    <row r="92" spans="1:12" ht="15">
      <c r="A92" s="478"/>
      <c r="B92" s="464">
        <v>1</v>
      </c>
      <c r="C92" s="484" t="s">
        <v>901</v>
      </c>
      <c r="D92" s="475">
        <f>SUM(D93:D96)</f>
        <v>7747753</v>
      </c>
      <c r="E92" s="475">
        <f>SUM(E93:E96)</f>
        <v>3000000</v>
      </c>
      <c r="F92" s="478"/>
      <c r="G92" s="483"/>
      <c r="H92" s="532"/>
      <c r="I92" s="532"/>
      <c r="J92" s="532"/>
      <c r="K92" s="532"/>
      <c r="L92" s="532"/>
    </row>
    <row r="93" spans="1:12" ht="25.5">
      <c r="A93" s="478"/>
      <c r="B93" s="479" t="s">
        <v>864</v>
      </c>
      <c r="C93" s="485" t="s">
        <v>902</v>
      </c>
      <c r="D93" s="486">
        <v>2000000</v>
      </c>
      <c r="E93" s="486"/>
      <c r="F93" s="487" t="s">
        <v>903</v>
      </c>
      <c r="G93" s="483"/>
      <c r="H93" s="532"/>
      <c r="I93" s="532"/>
      <c r="J93" s="532"/>
      <c r="K93" s="532"/>
      <c r="L93" s="532"/>
    </row>
    <row r="94" spans="1:12" ht="127.5">
      <c r="A94" s="478"/>
      <c r="B94" s="479" t="s">
        <v>865</v>
      </c>
      <c r="C94" s="485" t="s">
        <v>904</v>
      </c>
      <c r="D94" s="486">
        <v>2400000</v>
      </c>
      <c r="E94" s="486">
        <v>2400000</v>
      </c>
      <c r="F94" s="487" t="s">
        <v>905</v>
      </c>
      <c r="G94" s="483"/>
      <c r="H94" s="532"/>
      <c r="I94" s="532"/>
      <c r="J94" s="532"/>
      <c r="K94" s="532"/>
      <c r="L94" s="532"/>
    </row>
    <row r="95" spans="1:12" ht="89.25">
      <c r="A95" s="478"/>
      <c r="B95" s="479" t="s">
        <v>866</v>
      </c>
      <c r="C95" s="485" t="s">
        <v>906</v>
      </c>
      <c r="D95" s="486">
        <v>3100000</v>
      </c>
      <c r="E95" s="486">
        <v>600000</v>
      </c>
      <c r="F95" s="487" t="s">
        <v>907</v>
      </c>
      <c r="G95" s="483"/>
      <c r="H95" s="532"/>
      <c r="I95" s="532"/>
      <c r="J95" s="532"/>
      <c r="K95" s="532"/>
      <c r="L95" s="532"/>
    </row>
    <row r="96" spans="1:12" ht="127.5">
      <c r="A96" s="478"/>
      <c r="B96" s="479"/>
      <c r="C96" s="485" t="s">
        <v>908</v>
      </c>
      <c r="D96" s="486">
        <v>247753</v>
      </c>
      <c r="E96" s="486"/>
      <c r="F96" s="487" t="s">
        <v>909</v>
      </c>
      <c r="G96" s="483"/>
      <c r="H96" s="532"/>
      <c r="I96" s="532"/>
      <c r="J96" s="532"/>
      <c r="K96" s="532"/>
      <c r="L96" s="532"/>
    </row>
    <row r="97" spans="1:12">
      <c r="A97" s="478"/>
      <c r="B97" s="479"/>
      <c r="C97" s="485"/>
      <c r="D97" s="480"/>
      <c r="E97" s="481"/>
      <c r="F97" s="487"/>
      <c r="G97" s="483"/>
      <c r="H97" s="532"/>
      <c r="I97" s="532"/>
      <c r="J97" s="532"/>
      <c r="K97" s="532"/>
      <c r="L97" s="532"/>
    </row>
    <row r="98" spans="1:12" ht="15.75">
      <c r="A98" s="476" t="s">
        <v>622</v>
      </c>
      <c r="D98" s="474">
        <f>SUM(D99,D100,D104:D112)</f>
        <v>1447833</v>
      </c>
      <c r="E98" s="474">
        <f>SUM(E99,E100,E104:E112)</f>
        <v>459518</v>
      </c>
      <c r="F98" s="466"/>
      <c r="G98" s="483"/>
      <c r="H98" s="532"/>
      <c r="I98" s="532"/>
      <c r="J98" s="532"/>
      <c r="K98" s="532"/>
      <c r="L98" s="532"/>
    </row>
    <row r="99" spans="1:12" ht="38.25">
      <c r="A99" s="478"/>
      <c r="B99" s="464">
        <v>1</v>
      </c>
      <c r="C99" s="484" t="s">
        <v>626</v>
      </c>
      <c r="D99" s="475">
        <v>418833</v>
      </c>
      <c r="E99" s="475"/>
      <c r="F99" s="487" t="s">
        <v>1050</v>
      </c>
      <c r="G99" s="483"/>
      <c r="H99" s="532"/>
      <c r="I99" s="532"/>
      <c r="J99" s="532"/>
      <c r="K99" s="532"/>
      <c r="L99" s="532"/>
    </row>
    <row r="100" spans="1:12" ht="15">
      <c r="A100" s="478"/>
      <c r="B100" s="464">
        <v>2</v>
      </c>
      <c r="C100" s="484" t="s">
        <v>627</v>
      </c>
      <c r="D100" s="475">
        <f>SUM(D101:D103)</f>
        <v>514447</v>
      </c>
      <c r="E100" s="475">
        <f>SUM(E101:E103)</f>
        <v>124447</v>
      </c>
      <c r="F100" s="478"/>
      <c r="G100" s="483"/>
      <c r="H100" s="532"/>
      <c r="I100" s="532"/>
      <c r="J100" s="532"/>
      <c r="K100" s="532"/>
      <c r="L100" s="532"/>
    </row>
    <row r="101" spans="1:12">
      <c r="A101" s="478"/>
      <c r="B101" s="479" t="s">
        <v>867</v>
      </c>
      <c r="C101" s="485" t="s">
        <v>910</v>
      </c>
      <c r="D101" s="486">
        <v>100000</v>
      </c>
      <c r="E101" s="486"/>
      <c r="F101" s="487" t="s">
        <v>911</v>
      </c>
      <c r="G101" s="483"/>
      <c r="H101" s="532"/>
      <c r="I101" s="532"/>
      <c r="J101" s="532"/>
      <c r="K101" s="532"/>
      <c r="L101" s="532"/>
    </row>
    <row r="102" spans="1:12" ht="25.5">
      <c r="A102" s="478"/>
      <c r="B102" s="479" t="s">
        <v>868</v>
      </c>
      <c r="C102" s="485" t="s">
        <v>912</v>
      </c>
      <c r="D102" s="486">
        <v>290000</v>
      </c>
      <c r="E102" s="486"/>
      <c r="F102" s="487" t="s">
        <v>913</v>
      </c>
      <c r="G102" s="483"/>
      <c r="H102" s="532"/>
      <c r="I102" s="532"/>
      <c r="J102" s="532"/>
      <c r="K102" s="532"/>
      <c r="L102" s="532"/>
    </row>
    <row r="103" spans="1:12" ht="38.25">
      <c r="A103" s="478"/>
      <c r="B103" s="479" t="s">
        <v>914</v>
      </c>
      <c r="C103" s="485" t="s">
        <v>915</v>
      </c>
      <c r="D103" s="481">
        <v>124447</v>
      </c>
      <c r="E103" s="481">
        <v>124447</v>
      </c>
      <c r="F103" s="487" t="s">
        <v>916</v>
      </c>
      <c r="G103" s="483"/>
      <c r="H103" s="532"/>
      <c r="I103" s="532"/>
      <c r="J103" s="532"/>
      <c r="K103" s="532"/>
      <c r="L103" s="532"/>
    </row>
    <row r="104" spans="1:12" ht="38.25">
      <c r="A104" s="478"/>
      <c r="B104" s="464">
        <v>3</v>
      </c>
      <c r="C104" s="484" t="s">
        <v>629</v>
      </c>
      <c r="D104" s="475">
        <v>34000</v>
      </c>
      <c r="E104" s="475">
        <v>14000</v>
      </c>
      <c r="F104" s="487" t="s">
        <v>917</v>
      </c>
      <c r="G104" s="483"/>
      <c r="H104" s="532"/>
      <c r="I104" s="532"/>
      <c r="J104" s="532"/>
      <c r="K104" s="532"/>
      <c r="L104" s="532"/>
    </row>
    <row r="105" spans="1:12" ht="38.25">
      <c r="A105" s="478"/>
      <c r="B105" s="464">
        <v>4</v>
      </c>
      <c r="C105" s="510" t="s">
        <v>918</v>
      </c>
      <c r="D105" s="475">
        <v>140148</v>
      </c>
      <c r="E105" s="475">
        <v>140148</v>
      </c>
      <c r="F105" s="487" t="s">
        <v>919</v>
      </c>
      <c r="G105" s="483"/>
      <c r="H105" s="532"/>
      <c r="I105" s="532"/>
      <c r="J105" s="532"/>
      <c r="K105" s="532"/>
      <c r="L105" s="532"/>
    </row>
    <row r="106" spans="1:12" ht="76.5">
      <c r="A106" s="478"/>
      <c r="B106" s="464">
        <v>5</v>
      </c>
      <c r="C106" s="510" t="s">
        <v>920</v>
      </c>
      <c r="D106" s="475">
        <v>91002</v>
      </c>
      <c r="E106" s="475">
        <v>41000</v>
      </c>
      <c r="F106" s="487" t="s">
        <v>921</v>
      </c>
      <c r="G106" s="483"/>
      <c r="H106" s="532"/>
      <c r="I106" s="532"/>
      <c r="J106" s="532"/>
      <c r="K106" s="532"/>
      <c r="L106" s="532"/>
    </row>
    <row r="107" spans="1:12" ht="89.25">
      <c r="A107" s="478"/>
      <c r="B107" s="464">
        <v>6</v>
      </c>
      <c r="C107" s="510" t="s">
        <v>922</v>
      </c>
      <c r="D107" s="475">
        <v>30000</v>
      </c>
      <c r="E107" s="596">
        <v>11000</v>
      </c>
      <c r="F107" s="491" t="s">
        <v>1051</v>
      </c>
      <c r="G107" s="483"/>
      <c r="H107" s="532"/>
      <c r="I107" s="532"/>
      <c r="J107" s="532"/>
      <c r="K107" s="532"/>
      <c r="L107" s="532"/>
    </row>
    <row r="108" spans="1:12" ht="51">
      <c r="A108" s="478"/>
      <c r="B108" s="464">
        <v>7</v>
      </c>
      <c r="C108" s="510" t="s">
        <v>923</v>
      </c>
      <c r="D108" s="475">
        <v>50000</v>
      </c>
      <c r="E108" s="475">
        <v>50000</v>
      </c>
      <c r="F108" s="487" t="s">
        <v>924</v>
      </c>
      <c r="G108" s="483"/>
      <c r="H108" s="532"/>
      <c r="I108" s="532"/>
      <c r="J108" s="532"/>
      <c r="K108" s="532"/>
      <c r="L108" s="532"/>
    </row>
    <row r="109" spans="1:12" ht="63.75">
      <c r="A109" s="478"/>
      <c r="B109" s="464">
        <v>8</v>
      </c>
      <c r="C109" s="510" t="s">
        <v>925</v>
      </c>
      <c r="D109" s="475">
        <v>17480</v>
      </c>
      <c r="E109" s="475"/>
      <c r="F109" s="487" t="s">
        <v>926</v>
      </c>
      <c r="G109" s="483"/>
      <c r="H109" s="532"/>
      <c r="I109" s="532"/>
      <c r="J109" s="532"/>
      <c r="K109" s="532"/>
      <c r="L109" s="532"/>
    </row>
    <row r="110" spans="1:12" ht="63.75">
      <c r="A110" s="478"/>
      <c r="B110" s="464">
        <v>9</v>
      </c>
      <c r="C110" s="510" t="s">
        <v>927</v>
      </c>
      <c r="D110" s="475">
        <v>78923</v>
      </c>
      <c r="E110" s="475">
        <v>78923</v>
      </c>
      <c r="F110" s="487" t="s">
        <v>928</v>
      </c>
      <c r="G110" s="483"/>
      <c r="H110" s="532"/>
      <c r="I110" s="532"/>
      <c r="J110" s="532"/>
      <c r="K110" s="532"/>
      <c r="L110" s="532"/>
    </row>
    <row r="111" spans="1:12" ht="51">
      <c r="A111" s="478"/>
      <c r="B111" s="464">
        <v>10</v>
      </c>
      <c r="C111" s="510" t="s">
        <v>929</v>
      </c>
      <c r="D111" s="475">
        <v>18000</v>
      </c>
      <c r="E111" s="475"/>
      <c r="F111" s="487" t="s">
        <v>930</v>
      </c>
      <c r="G111" s="483"/>
      <c r="H111" s="532"/>
      <c r="I111" s="532"/>
      <c r="J111" s="532"/>
      <c r="K111" s="532"/>
      <c r="L111" s="532"/>
    </row>
    <row r="112" spans="1:12" ht="63.75">
      <c r="A112" s="478"/>
      <c r="B112" s="464">
        <v>11</v>
      </c>
      <c r="C112" s="510" t="s">
        <v>899</v>
      </c>
      <c r="D112" s="475">
        <v>55000</v>
      </c>
      <c r="E112" s="475"/>
      <c r="F112" s="487" t="s">
        <v>931</v>
      </c>
      <c r="G112" s="483"/>
      <c r="H112" s="532"/>
      <c r="I112" s="532"/>
      <c r="J112" s="532"/>
      <c r="K112" s="532"/>
      <c r="L112" s="532"/>
    </row>
    <row r="113" spans="1:12" ht="15">
      <c r="A113" s="478"/>
      <c r="B113" s="464"/>
      <c r="C113" s="510"/>
      <c r="D113" s="475"/>
      <c r="E113" s="475"/>
      <c r="F113" s="487"/>
      <c r="G113" s="483"/>
      <c r="H113" s="532"/>
      <c r="I113" s="532"/>
      <c r="J113" s="532"/>
      <c r="K113" s="532"/>
      <c r="L113" s="532"/>
    </row>
    <row r="114" spans="1:12" ht="15.75">
      <c r="A114" s="476" t="s">
        <v>662</v>
      </c>
      <c r="D114" s="474">
        <f>SUM(D115,D128,D129,D135,D137)</f>
        <v>1115823</v>
      </c>
      <c r="E114" s="474">
        <f>SUM(E115,E128,E129,E135,E137)</f>
        <v>120194</v>
      </c>
      <c r="F114" s="466"/>
      <c r="G114" s="483"/>
      <c r="H114" s="532"/>
      <c r="I114" s="532"/>
      <c r="J114" s="532"/>
      <c r="K114" s="532"/>
      <c r="L114" s="532"/>
    </row>
    <row r="115" spans="1:12" ht="15">
      <c r="A115" s="478"/>
      <c r="B115" s="464">
        <v>1</v>
      </c>
      <c r="C115" s="484" t="s">
        <v>663</v>
      </c>
      <c r="D115" s="475">
        <f>SUM(D116:D127)</f>
        <v>314000</v>
      </c>
      <c r="E115" s="475">
        <f>SUM(E116:E127)</f>
        <v>59000</v>
      </c>
      <c r="F115" s="478"/>
      <c r="G115" s="483"/>
      <c r="H115" s="532"/>
      <c r="I115" s="532"/>
      <c r="J115" s="532"/>
      <c r="K115" s="532"/>
      <c r="L115" s="532"/>
    </row>
    <row r="116" spans="1:12" ht="38.25">
      <c r="A116" s="478"/>
      <c r="B116" s="479" t="s">
        <v>864</v>
      </c>
      <c r="C116" s="485" t="s">
        <v>932</v>
      </c>
      <c r="D116" s="486">
        <v>50000</v>
      </c>
      <c r="E116" s="486"/>
      <c r="F116" s="487" t="s">
        <v>933</v>
      </c>
      <c r="G116" s="483"/>
      <c r="H116" s="532"/>
      <c r="I116" s="532"/>
      <c r="J116" s="532"/>
      <c r="K116" s="532"/>
      <c r="L116" s="532"/>
    </row>
    <row r="117" spans="1:12" ht="51">
      <c r="A117" s="478"/>
      <c r="B117" s="479" t="s">
        <v>865</v>
      </c>
      <c r="C117" s="485" t="s">
        <v>934</v>
      </c>
      <c r="D117" s="486">
        <v>35000</v>
      </c>
      <c r="E117" s="486"/>
      <c r="F117" s="487" t="s">
        <v>935</v>
      </c>
      <c r="G117" s="483"/>
      <c r="H117" s="532"/>
      <c r="I117" s="532"/>
      <c r="J117" s="532"/>
      <c r="K117" s="532"/>
      <c r="L117" s="532"/>
    </row>
    <row r="118" spans="1:12" ht="38.25">
      <c r="A118" s="478"/>
      <c r="B118" s="479" t="s">
        <v>866</v>
      </c>
      <c r="C118" s="485" t="s">
        <v>936</v>
      </c>
      <c r="D118" s="481">
        <v>12000</v>
      </c>
      <c r="E118" s="481"/>
      <c r="F118" s="487" t="s">
        <v>937</v>
      </c>
      <c r="G118" s="483"/>
      <c r="H118" s="532"/>
      <c r="I118" s="532"/>
      <c r="J118" s="532"/>
      <c r="K118" s="532"/>
      <c r="L118" s="532"/>
    </row>
    <row r="119" spans="1:12" ht="51">
      <c r="A119" s="478"/>
      <c r="B119" s="479" t="s">
        <v>938</v>
      </c>
      <c r="C119" s="485" t="s">
        <v>939</v>
      </c>
      <c r="D119" s="486">
        <v>25000</v>
      </c>
      <c r="E119" s="486">
        <v>25000</v>
      </c>
      <c r="F119" s="487" t="s">
        <v>940</v>
      </c>
      <c r="G119" s="483"/>
      <c r="H119" s="532"/>
      <c r="I119" s="532"/>
      <c r="J119" s="532"/>
      <c r="K119" s="532"/>
      <c r="L119" s="532"/>
    </row>
    <row r="120" spans="1:12" ht="63.75">
      <c r="A120" s="478"/>
      <c r="B120" s="479" t="s">
        <v>941</v>
      </c>
      <c r="C120" s="485" t="s">
        <v>942</v>
      </c>
      <c r="D120" s="486">
        <v>18000</v>
      </c>
      <c r="E120" s="486">
        <v>18000</v>
      </c>
      <c r="F120" s="487" t="s">
        <v>943</v>
      </c>
      <c r="G120" s="483"/>
      <c r="H120" s="532"/>
      <c r="I120" s="532"/>
      <c r="J120" s="532"/>
      <c r="K120" s="532"/>
      <c r="L120" s="532"/>
    </row>
    <row r="121" spans="1:12">
      <c r="A121" s="478"/>
      <c r="B121" s="479" t="s">
        <v>944</v>
      </c>
      <c r="C121" s="485" t="s">
        <v>945</v>
      </c>
      <c r="D121" s="481">
        <v>50000</v>
      </c>
      <c r="E121" s="481"/>
      <c r="F121" s="487" t="s">
        <v>946</v>
      </c>
      <c r="G121" s="483"/>
      <c r="H121" s="532"/>
      <c r="I121" s="532"/>
      <c r="J121" s="532"/>
      <c r="K121" s="532"/>
      <c r="L121" s="532"/>
    </row>
    <row r="122" spans="1:12" ht="63.75">
      <c r="A122" s="478"/>
      <c r="B122" s="479" t="s">
        <v>947</v>
      </c>
      <c r="C122" s="485" t="s">
        <v>948</v>
      </c>
      <c r="D122" s="486">
        <v>50000</v>
      </c>
      <c r="E122" s="486"/>
      <c r="F122" s="487" t="s">
        <v>946</v>
      </c>
      <c r="G122" s="483"/>
      <c r="H122" s="532"/>
      <c r="I122" s="532"/>
      <c r="J122" s="532"/>
      <c r="K122" s="532"/>
      <c r="L122" s="532"/>
    </row>
    <row r="123" spans="1:12" ht="89.25">
      <c r="A123" s="478"/>
      <c r="B123" s="479" t="s">
        <v>949</v>
      </c>
      <c r="C123" s="485" t="s">
        <v>950</v>
      </c>
      <c r="D123" s="486">
        <v>20000</v>
      </c>
      <c r="E123" s="486"/>
      <c r="F123" s="487" t="s">
        <v>946</v>
      </c>
      <c r="G123" s="483"/>
      <c r="H123" s="532"/>
      <c r="I123" s="532"/>
      <c r="J123" s="532"/>
      <c r="K123" s="532"/>
      <c r="L123" s="532"/>
    </row>
    <row r="124" spans="1:12" ht="63.75">
      <c r="A124" s="478"/>
      <c r="B124" s="479" t="s">
        <v>951</v>
      </c>
      <c r="C124" s="485" t="s">
        <v>952</v>
      </c>
      <c r="D124" s="481">
        <v>10000</v>
      </c>
      <c r="E124" s="481">
        <v>10000</v>
      </c>
      <c r="F124" s="487" t="s">
        <v>953</v>
      </c>
      <c r="G124" s="483"/>
      <c r="H124" s="532"/>
      <c r="I124" s="532"/>
      <c r="J124" s="532"/>
      <c r="K124" s="532"/>
      <c r="L124" s="532"/>
    </row>
    <row r="125" spans="1:12" ht="25.5">
      <c r="A125" s="478"/>
      <c r="B125" s="479" t="s">
        <v>954</v>
      </c>
      <c r="C125" s="485" t="s">
        <v>955</v>
      </c>
      <c r="D125" s="486">
        <v>6000</v>
      </c>
      <c r="E125" s="486">
        <v>6000</v>
      </c>
      <c r="F125" s="487" t="s">
        <v>943</v>
      </c>
      <c r="G125" s="483"/>
      <c r="H125" s="532"/>
      <c r="I125" s="532"/>
      <c r="J125" s="532"/>
      <c r="K125" s="532"/>
      <c r="L125" s="532"/>
    </row>
    <row r="126" spans="1:12" ht="25.5">
      <c r="A126" s="478"/>
      <c r="B126" s="479" t="s">
        <v>956</v>
      </c>
      <c r="C126" s="485" t="s">
        <v>957</v>
      </c>
      <c r="D126" s="486">
        <v>8000</v>
      </c>
      <c r="E126" s="486"/>
      <c r="F126" s="487" t="s">
        <v>958</v>
      </c>
      <c r="G126" s="483"/>
      <c r="H126" s="532"/>
      <c r="I126" s="532"/>
      <c r="J126" s="532"/>
      <c r="K126" s="532"/>
      <c r="L126" s="532"/>
    </row>
    <row r="127" spans="1:12" ht="51">
      <c r="A127" s="478"/>
      <c r="B127" s="479" t="s">
        <v>959</v>
      </c>
      <c r="C127" s="485" t="s">
        <v>960</v>
      </c>
      <c r="D127" s="486">
        <v>30000</v>
      </c>
      <c r="E127" s="486"/>
      <c r="F127" s="487" t="s">
        <v>961</v>
      </c>
      <c r="G127" s="483"/>
      <c r="H127" s="532"/>
      <c r="I127" s="532"/>
      <c r="J127" s="532"/>
      <c r="K127" s="532"/>
      <c r="L127" s="532"/>
    </row>
    <row r="128" spans="1:12" ht="127.5">
      <c r="A128" s="478"/>
      <c r="B128" s="464">
        <v>2</v>
      </c>
      <c r="C128" s="510" t="s">
        <v>962</v>
      </c>
      <c r="D128" s="475">
        <v>467000</v>
      </c>
      <c r="E128" s="475"/>
      <c r="F128" s="511" t="s">
        <v>963</v>
      </c>
      <c r="G128" s="483"/>
      <c r="H128" s="532"/>
      <c r="I128" s="532"/>
      <c r="J128" s="532"/>
      <c r="K128" s="532"/>
      <c r="L128" s="532"/>
    </row>
    <row r="129" spans="1:12" ht="15">
      <c r="A129" s="478"/>
      <c r="B129" s="464">
        <v>3</v>
      </c>
      <c r="C129" s="484" t="s">
        <v>964</v>
      </c>
      <c r="D129" s="475">
        <f>SUM(D130,D132:D134)</f>
        <v>144400</v>
      </c>
      <c r="E129" s="475">
        <f>SUM(E130:E134)</f>
        <v>25000</v>
      </c>
      <c r="F129" s="487"/>
      <c r="G129" s="483"/>
      <c r="H129" s="532"/>
      <c r="I129" s="532"/>
      <c r="J129" s="532"/>
      <c r="K129" s="532"/>
      <c r="L129" s="532"/>
    </row>
    <row r="130" spans="1:12" ht="51">
      <c r="A130" s="478"/>
      <c r="B130" s="479" t="s">
        <v>965</v>
      </c>
      <c r="C130" s="485" t="s">
        <v>966</v>
      </c>
      <c r="D130" s="486">
        <v>61400</v>
      </c>
      <c r="E130" s="486"/>
      <c r="F130" s="487" t="s">
        <v>967</v>
      </c>
      <c r="G130" s="483"/>
      <c r="H130" s="532"/>
      <c r="I130" s="532"/>
      <c r="J130" s="532"/>
      <c r="K130" s="532"/>
      <c r="L130" s="532"/>
    </row>
    <row r="131" spans="1:12">
      <c r="A131" s="478"/>
      <c r="B131" s="479"/>
      <c r="C131" s="535" t="s">
        <v>291</v>
      </c>
      <c r="D131" s="536">
        <v>46060</v>
      </c>
      <c r="E131" s="486"/>
      <c r="F131" s="487"/>
    </row>
    <row r="132" spans="1:12" ht="38.25">
      <c r="A132" s="478"/>
      <c r="B132" s="479" t="s">
        <v>968</v>
      </c>
      <c r="C132" s="485" t="s">
        <v>997</v>
      </c>
      <c r="D132" s="486">
        <v>25000</v>
      </c>
      <c r="E132" s="486">
        <v>25000</v>
      </c>
      <c r="F132" s="487" t="s">
        <v>969</v>
      </c>
    </row>
    <row r="133" spans="1:12" ht="51">
      <c r="A133" s="478"/>
      <c r="B133" s="479" t="s">
        <v>970</v>
      </c>
      <c r="C133" s="485" t="s">
        <v>998</v>
      </c>
      <c r="D133" s="481">
        <v>30000</v>
      </c>
      <c r="E133" s="481"/>
      <c r="F133" s="487" t="s">
        <v>946</v>
      </c>
    </row>
    <row r="134" spans="1:12" ht="25.5">
      <c r="A134" s="478"/>
      <c r="B134" s="479" t="s">
        <v>971</v>
      </c>
      <c r="C134" s="485" t="s">
        <v>999</v>
      </c>
      <c r="D134" s="481">
        <v>28000</v>
      </c>
      <c r="E134" s="481"/>
      <c r="F134" s="487" t="s">
        <v>972</v>
      </c>
    </row>
    <row r="135" spans="1:12" s="478" customFormat="1" ht="76.5">
      <c r="B135" s="464">
        <v>4</v>
      </c>
      <c r="C135" s="510" t="s">
        <v>973</v>
      </c>
      <c r="D135" s="475">
        <v>52388</v>
      </c>
      <c r="E135" s="475">
        <f>D135/2</f>
        <v>26194</v>
      </c>
      <c r="F135" s="487" t="s">
        <v>974</v>
      </c>
      <c r="H135" s="528"/>
      <c r="I135" s="528"/>
      <c r="J135" s="528"/>
      <c r="K135" s="528"/>
      <c r="L135" s="528"/>
    </row>
    <row r="136" spans="1:12" s="478" customFormat="1" ht="15">
      <c r="B136" s="464"/>
      <c r="C136" s="535" t="s">
        <v>291</v>
      </c>
      <c r="D136" s="537">
        <v>39300</v>
      </c>
      <c r="E136" s="537">
        <f>D136/2</f>
        <v>19650</v>
      </c>
      <c r="F136" s="487"/>
      <c r="H136" s="528"/>
      <c r="I136" s="528"/>
      <c r="J136" s="528"/>
      <c r="K136" s="528"/>
      <c r="L136" s="528"/>
    </row>
    <row r="137" spans="1:12" s="478" customFormat="1" ht="15">
      <c r="B137" s="464">
        <v>5</v>
      </c>
      <c r="C137" s="510" t="s">
        <v>677</v>
      </c>
      <c r="D137" s="475">
        <f>SUM(D138,D140,D141)</f>
        <v>138035</v>
      </c>
      <c r="E137" s="475">
        <f>SUM(E138,E140,E141)</f>
        <v>10000</v>
      </c>
      <c r="F137" s="487"/>
      <c r="H137" s="528"/>
      <c r="I137" s="528"/>
      <c r="J137" s="528"/>
      <c r="K137" s="528"/>
      <c r="L137" s="528"/>
    </row>
    <row r="138" spans="1:12" s="478" customFormat="1" ht="102">
      <c r="B138" s="479" t="s">
        <v>975</v>
      </c>
      <c r="C138" s="485" t="s">
        <v>976</v>
      </c>
      <c r="D138" s="481">
        <v>26035</v>
      </c>
      <c r="E138" s="475"/>
      <c r="F138" s="487" t="s">
        <v>977</v>
      </c>
      <c r="H138" s="528"/>
      <c r="I138" s="528"/>
      <c r="J138" s="528"/>
      <c r="K138" s="528"/>
      <c r="L138" s="528"/>
    </row>
    <row r="139" spans="1:12" s="478" customFormat="1" ht="15">
      <c r="B139" s="464"/>
      <c r="C139" s="535" t="s">
        <v>291</v>
      </c>
      <c r="D139" s="538">
        <v>19530</v>
      </c>
      <c r="E139" s="475"/>
      <c r="F139" s="487"/>
      <c r="H139" s="528"/>
      <c r="I139" s="528"/>
      <c r="J139" s="528"/>
      <c r="K139" s="528"/>
      <c r="L139" s="528"/>
    </row>
    <row r="140" spans="1:12" s="478" customFormat="1" ht="38.25">
      <c r="B140" s="479" t="s">
        <v>978</v>
      </c>
      <c r="C140" s="485" t="s">
        <v>979</v>
      </c>
      <c r="D140" s="481">
        <v>12000</v>
      </c>
      <c r="E140" s="481"/>
      <c r="F140" s="487" t="s">
        <v>980</v>
      </c>
      <c r="H140" s="528"/>
      <c r="I140" s="528"/>
      <c r="J140" s="528"/>
      <c r="K140" s="528"/>
      <c r="L140" s="528"/>
    </row>
    <row r="141" spans="1:12" s="478" customFormat="1" ht="51">
      <c r="B141" s="479" t="s">
        <v>981</v>
      </c>
      <c r="C141" s="485" t="s">
        <v>982</v>
      </c>
      <c r="D141" s="481">
        <v>100000</v>
      </c>
      <c r="E141" s="481">
        <v>10000</v>
      </c>
      <c r="F141" s="487" t="s">
        <v>983</v>
      </c>
      <c r="H141" s="528"/>
      <c r="I141" s="528"/>
      <c r="J141" s="528"/>
      <c r="K141" s="528"/>
      <c r="L141" s="528"/>
    </row>
    <row r="142" spans="1:12" s="478" customFormat="1">
      <c r="B142" s="479"/>
      <c r="C142" s="485"/>
      <c r="D142" s="481"/>
      <c r="E142" s="481"/>
      <c r="F142" s="487"/>
      <c r="H142" s="528"/>
      <c r="I142" s="528"/>
      <c r="J142" s="528"/>
      <c r="K142" s="528"/>
      <c r="L142" s="528"/>
    </row>
    <row r="143" spans="1:12" s="478" customFormat="1" ht="15.75">
      <c r="A143" s="476" t="s">
        <v>32</v>
      </c>
      <c r="B143" s="477"/>
      <c r="C143" s="465"/>
      <c r="D143" s="474">
        <f>SUM(D144,D146,D147)</f>
        <v>235225</v>
      </c>
      <c r="E143" s="474">
        <f>SUM(E144,E146,E147)</f>
        <v>85000</v>
      </c>
      <c r="F143" s="466"/>
      <c r="H143" s="528"/>
      <c r="I143" s="528"/>
      <c r="J143" s="528"/>
      <c r="K143" s="528"/>
      <c r="L143" s="528"/>
    </row>
    <row r="144" spans="1:12" s="478" customFormat="1" ht="89.25">
      <c r="B144" s="464">
        <v>1</v>
      </c>
      <c r="C144" s="510" t="s">
        <v>984</v>
      </c>
      <c r="D144" s="481">
        <v>95225</v>
      </c>
      <c r="E144" s="475"/>
      <c r="F144" s="487"/>
      <c r="H144" s="528"/>
      <c r="I144" s="528"/>
      <c r="J144" s="528"/>
      <c r="K144" s="528"/>
      <c r="L144" s="528"/>
    </row>
    <row r="145" spans="1:12" s="478" customFormat="1" ht="15">
      <c r="B145" s="464"/>
      <c r="C145" s="535" t="s">
        <v>291</v>
      </c>
      <c r="D145" s="537">
        <v>70840</v>
      </c>
      <c r="E145" s="537"/>
      <c r="F145" s="487"/>
      <c r="H145" s="528"/>
      <c r="I145" s="528"/>
      <c r="J145" s="528"/>
      <c r="K145" s="528"/>
      <c r="L145" s="528"/>
    </row>
    <row r="146" spans="1:12" s="478" customFormat="1" ht="76.5">
      <c r="B146" s="464">
        <v>2</v>
      </c>
      <c r="C146" s="510" t="s">
        <v>985</v>
      </c>
      <c r="D146" s="481">
        <v>125000</v>
      </c>
      <c r="E146" s="481">
        <v>85000</v>
      </c>
      <c r="F146" s="487" t="s">
        <v>986</v>
      </c>
      <c r="H146" s="528"/>
      <c r="I146" s="528"/>
      <c r="J146" s="528"/>
      <c r="K146" s="528"/>
      <c r="L146" s="528"/>
    </row>
    <row r="147" spans="1:12" s="478" customFormat="1" ht="38.25">
      <c r="B147" s="464">
        <v>3</v>
      </c>
      <c r="C147" s="510" t="s">
        <v>987</v>
      </c>
      <c r="D147" s="481">
        <v>15000</v>
      </c>
      <c r="E147" s="481"/>
      <c r="F147" s="487" t="s">
        <v>972</v>
      </c>
      <c r="H147" s="528"/>
      <c r="I147" s="528"/>
      <c r="J147" s="528"/>
      <c r="K147" s="528"/>
      <c r="L147" s="528"/>
    </row>
    <row r="148" spans="1:12" s="478" customFormat="1" ht="15">
      <c r="B148" s="464"/>
      <c r="C148" s="510"/>
      <c r="D148" s="481"/>
      <c r="E148" s="481"/>
      <c r="F148" s="487"/>
      <c r="H148" s="528"/>
      <c r="I148" s="528"/>
      <c r="J148" s="528"/>
      <c r="K148" s="528"/>
      <c r="L148" s="528"/>
    </row>
    <row r="149" spans="1:12" s="478" customFormat="1" ht="15.75">
      <c r="A149" s="476" t="s">
        <v>988</v>
      </c>
      <c r="B149" s="464"/>
      <c r="C149" s="510"/>
      <c r="D149" s="475"/>
      <c r="E149" s="475"/>
      <c r="F149" s="487"/>
      <c r="H149" s="528"/>
      <c r="I149" s="528"/>
      <c r="J149" s="528"/>
      <c r="K149" s="528"/>
      <c r="L149" s="528"/>
    </row>
    <row r="150" spans="1:12" s="478" customFormat="1" ht="15">
      <c r="B150" s="464">
        <v>1</v>
      </c>
      <c r="C150" s="510" t="s">
        <v>988</v>
      </c>
      <c r="D150" s="475">
        <f>SUM(D151,D152,D154,D156)</f>
        <v>363030</v>
      </c>
      <c r="E150" s="475">
        <f>SUM(E151,E152,E154,E156)</f>
        <v>25000</v>
      </c>
      <c r="F150" s="487"/>
      <c r="H150" s="528"/>
      <c r="I150" s="528"/>
      <c r="J150" s="528"/>
      <c r="K150" s="528"/>
      <c r="L150" s="528"/>
    </row>
    <row r="151" spans="1:12" ht="51">
      <c r="A151" s="478"/>
      <c r="B151" s="479" t="s">
        <v>864</v>
      </c>
      <c r="C151" s="485" t="s">
        <v>989</v>
      </c>
      <c r="D151" s="481">
        <v>25000</v>
      </c>
      <c r="E151" s="481">
        <v>25000</v>
      </c>
      <c r="F151" s="487" t="s">
        <v>990</v>
      </c>
    </row>
    <row r="152" spans="1:12" ht="51">
      <c r="A152" s="478"/>
      <c r="B152" s="479" t="s">
        <v>865</v>
      </c>
      <c r="C152" s="485" t="s">
        <v>991</v>
      </c>
      <c r="D152" s="481">
        <v>248158</v>
      </c>
      <c r="E152" s="481"/>
      <c r="F152" s="487" t="s">
        <v>992</v>
      </c>
    </row>
    <row r="153" spans="1:12">
      <c r="A153" s="478"/>
      <c r="B153" s="479"/>
      <c r="C153" s="535" t="s">
        <v>291</v>
      </c>
      <c r="D153" s="537">
        <v>184579</v>
      </c>
      <c r="E153" s="537"/>
      <c r="F153" s="487"/>
    </row>
    <row r="154" spans="1:12" ht="127.5">
      <c r="A154" s="478"/>
      <c r="B154" s="479" t="s">
        <v>866</v>
      </c>
      <c r="C154" s="485" t="s">
        <v>993</v>
      </c>
      <c r="D154" s="481">
        <v>73972</v>
      </c>
      <c r="E154" s="481"/>
      <c r="F154" s="487" t="s">
        <v>994</v>
      </c>
    </row>
    <row r="155" spans="1:12">
      <c r="A155" s="478"/>
      <c r="B155" s="479"/>
      <c r="C155" s="535" t="s">
        <v>291</v>
      </c>
      <c r="D155" s="537">
        <v>55020</v>
      </c>
      <c r="E155" s="537"/>
      <c r="F155" s="487"/>
    </row>
    <row r="156" spans="1:12" ht="25.5">
      <c r="A156" s="478"/>
      <c r="B156" s="479" t="s">
        <v>938</v>
      </c>
      <c r="C156" s="485" t="s">
        <v>995</v>
      </c>
      <c r="D156" s="481">
        <v>15900</v>
      </c>
      <c r="E156" s="483"/>
      <c r="F156" s="487" t="s">
        <v>996</v>
      </c>
    </row>
    <row r="157" spans="1:12" ht="15.75">
      <c r="A157" s="476" t="s">
        <v>699</v>
      </c>
      <c r="B157" s="622"/>
      <c r="D157" s="623">
        <f>D158+D160</f>
        <v>47236</v>
      </c>
      <c r="E157" s="623">
        <f>E158+E160</f>
        <v>0</v>
      </c>
      <c r="F157" s="624"/>
    </row>
    <row r="158" spans="1:12" ht="127.5">
      <c r="A158" s="2"/>
      <c r="B158" s="464">
        <v>1</v>
      </c>
      <c r="C158" s="487" t="s">
        <v>1104</v>
      </c>
      <c r="D158" s="481">
        <v>25352</v>
      </c>
      <c r="E158" s="425"/>
      <c r="F158" s="487" t="s">
        <v>1136</v>
      </c>
      <c r="G158" s="478" t="s">
        <v>1135</v>
      </c>
    </row>
    <row r="159" spans="1:12">
      <c r="A159" s="2"/>
      <c r="B159" s="622"/>
      <c r="C159" s="196" t="s">
        <v>291</v>
      </c>
      <c r="D159" s="365">
        <v>18786</v>
      </c>
      <c r="E159" s="425"/>
      <c r="F159" s="624"/>
    </row>
    <row r="160" spans="1:12" ht="76.5">
      <c r="A160" s="2"/>
      <c r="B160" s="464">
        <v>2</v>
      </c>
      <c r="C160" s="487" t="s">
        <v>1105</v>
      </c>
      <c r="D160" s="481">
        <v>21884</v>
      </c>
      <c r="E160" s="425"/>
      <c r="F160" s="624"/>
    </row>
    <row r="161" spans="1:12">
      <c r="A161" s="2"/>
      <c r="B161" s="622"/>
      <c r="C161" s="196" t="s">
        <v>291</v>
      </c>
      <c r="D161" s="365">
        <v>16244</v>
      </c>
      <c r="E161" s="425"/>
      <c r="F161" s="624"/>
    </row>
    <row r="162" spans="1:12" ht="15.75">
      <c r="A162" s="476" t="s">
        <v>712</v>
      </c>
      <c r="B162" s="622"/>
      <c r="D162" s="623">
        <f>D163+D164</f>
        <v>6000</v>
      </c>
      <c r="E162" s="623">
        <f>E163+E164</f>
        <v>0</v>
      </c>
      <c r="F162" s="624"/>
    </row>
    <row r="163" spans="1:12" ht="25.5">
      <c r="A163" s="2"/>
      <c r="B163" s="464">
        <v>1</v>
      </c>
      <c r="C163" s="487" t="s">
        <v>1148</v>
      </c>
      <c r="D163" s="481">
        <f>3000</f>
        <v>3000</v>
      </c>
      <c r="E163" s="481"/>
      <c r="F163" s="625"/>
    </row>
    <row r="164" spans="1:12" ht="25.5">
      <c r="A164" s="2"/>
      <c r="B164" s="464">
        <v>2</v>
      </c>
      <c r="C164" s="487" t="s">
        <v>1147</v>
      </c>
      <c r="D164" s="481">
        <f>3000</f>
        <v>3000</v>
      </c>
      <c r="E164" s="425"/>
      <c r="F164" s="625"/>
    </row>
    <row r="165" spans="1:12" s="478" customFormat="1" ht="15.75">
      <c r="A165" s="476" t="s">
        <v>55</v>
      </c>
      <c r="B165" s="622"/>
      <c r="C165" s="465"/>
      <c r="D165" s="623">
        <f>D166+D168</f>
        <v>71079</v>
      </c>
      <c r="E165" s="623">
        <f>E166+E168</f>
        <v>0</v>
      </c>
      <c r="F165" s="624"/>
      <c r="H165" s="528"/>
      <c r="I165" s="528"/>
      <c r="J165" s="528"/>
      <c r="K165" s="528"/>
      <c r="L165" s="528"/>
    </row>
    <row r="166" spans="1:12" s="478" customFormat="1" ht="103.5" customHeight="1">
      <c r="A166" s="2"/>
      <c r="B166" s="464">
        <v>1</v>
      </c>
      <c r="C166" s="487" t="s">
        <v>1149</v>
      </c>
      <c r="D166" s="481">
        <f>31459+1120</f>
        <v>32579</v>
      </c>
      <c r="E166" s="481"/>
      <c r="F166" s="487"/>
      <c r="H166" s="528"/>
      <c r="I166" s="528"/>
      <c r="J166" s="528"/>
      <c r="K166" s="528"/>
      <c r="L166" s="528"/>
    </row>
    <row r="167" spans="1:12" s="478" customFormat="1">
      <c r="A167" s="2"/>
      <c r="B167" s="622"/>
      <c r="C167" s="196" t="s">
        <v>291</v>
      </c>
      <c r="D167" s="365">
        <f>23600</f>
        <v>23600</v>
      </c>
      <c r="E167" s="365"/>
      <c r="F167" s="487"/>
      <c r="H167" s="528"/>
      <c r="I167" s="528"/>
      <c r="J167" s="528"/>
      <c r="K167" s="528"/>
      <c r="L167" s="528"/>
    </row>
    <row r="168" spans="1:12" s="478" customFormat="1" ht="51">
      <c r="A168" s="2"/>
      <c r="B168" s="464">
        <v>2</v>
      </c>
      <c r="C168" s="494" t="s">
        <v>1106</v>
      </c>
      <c r="D168" s="481">
        <v>38500</v>
      </c>
      <c r="E168" s="425"/>
      <c r="F168" s="453" t="s">
        <v>1150</v>
      </c>
      <c r="H168" s="528"/>
      <c r="I168" s="528"/>
      <c r="J168" s="528"/>
      <c r="K168" s="528"/>
      <c r="L168" s="528"/>
    </row>
    <row r="169" spans="1:12" s="478" customFormat="1" ht="15.75">
      <c r="A169" s="476" t="s">
        <v>729</v>
      </c>
      <c r="B169" s="622"/>
      <c r="C169" s="465"/>
      <c r="D169" s="623">
        <f>D170+D172+D173+D175</f>
        <v>155416</v>
      </c>
      <c r="E169" s="623">
        <f>E170+E172+E173+E175</f>
        <v>0</v>
      </c>
      <c r="F169" s="624"/>
      <c r="H169" s="528"/>
      <c r="I169" s="528"/>
      <c r="J169" s="528"/>
      <c r="K169" s="528"/>
      <c r="L169" s="528"/>
    </row>
    <row r="170" spans="1:12" s="478" customFormat="1" ht="76.5">
      <c r="A170" s="2"/>
      <c r="B170" s="464">
        <v>1</v>
      </c>
      <c r="C170" s="487" t="s">
        <v>1107</v>
      </c>
      <c r="D170" s="481">
        <v>22619</v>
      </c>
      <c r="E170" s="425"/>
      <c r="F170" s="487" t="s">
        <v>1136</v>
      </c>
      <c r="H170" s="528"/>
      <c r="I170" s="528"/>
      <c r="J170" s="528"/>
      <c r="K170" s="528"/>
      <c r="L170" s="528"/>
    </row>
    <row r="171" spans="1:12" s="478" customFormat="1">
      <c r="A171" s="2"/>
      <c r="B171" s="622"/>
      <c r="C171" s="196" t="s">
        <v>291</v>
      </c>
      <c r="D171" s="365">
        <v>16968</v>
      </c>
      <c r="E171" s="425"/>
      <c r="F171" s="624"/>
      <c r="H171" s="528"/>
      <c r="I171" s="528"/>
      <c r="J171" s="528"/>
      <c r="K171" s="528"/>
      <c r="L171" s="528"/>
    </row>
    <row r="172" spans="1:12" s="478" customFormat="1" ht="89.25">
      <c r="A172" s="2"/>
      <c r="B172" s="464">
        <v>2</v>
      </c>
      <c r="C172" s="494" t="s">
        <v>1108</v>
      </c>
      <c r="D172" s="481">
        <v>110000</v>
      </c>
      <c r="E172" s="425"/>
      <c r="F172" s="487" t="s">
        <v>1151</v>
      </c>
      <c r="H172" s="528"/>
      <c r="I172" s="528"/>
      <c r="J172" s="528"/>
      <c r="K172" s="528"/>
      <c r="L172" s="528"/>
    </row>
    <row r="173" spans="1:12" s="478" customFormat="1" ht="89.25">
      <c r="A173" s="2"/>
      <c r="B173" s="464">
        <v>3</v>
      </c>
      <c r="C173" s="487" t="s">
        <v>1109</v>
      </c>
      <c r="D173" s="481">
        <v>12797</v>
      </c>
      <c r="E173" s="425"/>
      <c r="F173" s="487"/>
      <c r="H173" s="528"/>
      <c r="I173" s="528"/>
      <c r="J173" s="528"/>
      <c r="K173" s="528"/>
      <c r="L173" s="528"/>
    </row>
    <row r="174" spans="1:12" s="478" customFormat="1" ht="25.5">
      <c r="A174" s="2"/>
      <c r="B174" s="622"/>
      <c r="C174" s="196" t="s">
        <v>291</v>
      </c>
      <c r="D174" s="189">
        <v>9600</v>
      </c>
      <c r="E174" s="425"/>
      <c r="F174" s="487" t="s">
        <v>1110</v>
      </c>
      <c r="H174" s="528"/>
      <c r="I174" s="528"/>
      <c r="J174" s="528"/>
      <c r="K174" s="528"/>
      <c r="L174" s="528"/>
    </row>
    <row r="175" spans="1:12" s="478" customFormat="1" ht="76.5">
      <c r="A175" s="2"/>
      <c r="B175" s="464">
        <v>4</v>
      </c>
      <c r="C175" s="487" t="s">
        <v>1111</v>
      </c>
      <c r="D175" s="481">
        <v>10000</v>
      </c>
      <c r="E175" s="425"/>
      <c r="F175" s="487" t="s">
        <v>1137</v>
      </c>
      <c r="H175" s="528"/>
      <c r="I175" s="528"/>
      <c r="J175" s="528"/>
      <c r="K175" s="528"/>
      <c r="L175" s="528"/>
    </row>
    <row r="176" spans="1:12" s="478" customFormat="1" ht="15.75">
      <c r="A176" s="476" t="s">
        <v>744</v>
      </c>
      <c r="B176" s="622"/>
      <c r="C176" s="465"/>
      <c r="D176" s="623">
        <f>D177</f>
        <v>25000</v>
      </c>
      <c r="E176" s="623">
        <f>E177</f>
        <v>0</v>
      </c>
      <c r="F176" s="624"/>
      <c r="H176" s="528"/>
      <c r="I176" s="528"/>
      <c r="J176" s="528"/>
      <c r="K176" s="528"/>
      <c r="L176" s="528"/>
    </row>
    <row r="177" spans="1:12" s="478" customFormat="1" ht="38.25">
      <c r="A177" s="2"/>
      <c r="B177" s="464">
        <v>1</v>
      </c>
      <c r="C177" s="487" t="s">
        <v>1112</v>
      </c>
      <c r="D177" s="481">
        <v>25000</v>
      </c>
      <c r="E177" s="481"/>
      <c r="F177" s="487" t="s">
        <v>1139</v>
      </c>
      <c r="H177" s="528"/>
      <c r="I177" s="528"/>
      <c r="J177" s="528"/>
      <c r="K177" s="528"/>
      <c r="L177" s="528"/>
    </row>
    <row r="178" spans="1:12" s="478" customFormat="1" ht="15.75">
      <c r="A178" s="476" t="s">
        <v>749</v>
      </c>
      <c r="B178" s="622"/>
      <c r="C178" s="465"/>
      <c r="D178" s="623">
        <f>D179+D180+D181</f>
        <v>225300</v>
      </c>
      <c r="E178" s="623">
        <f>E179+E180+E181</f>
        <v>0</v>
      </c>
      <c r="F178" s="624"/>
      <c r="H178" s="528"/>
      <c r="I178" s="528"/>
      <c r="J178" s="528"/>
      <c r="K178" s="528"/>
      <c r="L178" s="528"/>
    </row>
    <row r="179" spans="1:12" s="478" customFormat="1" ht="25.5">
      <c r="A179" s="2"/>
      <c r="B179" s="464">
        <v>1</v>
      </c>
      <c r="C179" s="487" t="s">
        <v>1146</v>
      </c>
      <c r="D179" s="481">
        <f>170000</f>
        <v>170000</v>
      </c>
      <c r="E179" s="481"/>
      <c r="F179" s="487"/>
      <c r="H179" s="528"/>
      <c r="I179" s="528"/>
      <c r="J179" s="528"/>
      <c r="K179" s="528"/>
      <c r="L179" s="528"/>
    </row>
    <row r="180" spans="1:12" s="478" customFormat="1" ht="191.25">
      <c r="A180" s="2"/>
      <c r="B180" s="464">
        <v>2</v>
      </c>
      <c r="C180" s="487" t="s">
        <v>1113</v>
      </c>
      <c r="D180" s="481">
        <v>30300</v>
      </c>
      <c r="E180" s="425"/>
      <c r="F180" s="487" t="s">
        <v>1152</v>
      </c>
      <c r="H180" s="528"/>
      <c r="I180" s="528"/>
      <c r="J180" s="528"/>
      <c r="K180" s="528"/>
      <c r="L180" s="528"/>
    </row>
    <row r="181" spans="1:12" s="478" customFormat="1" ht="63.75">
      <c r="A181" s="2"/>
      <c r="B181" s="464">
        <v>3</v>
      </c>
      <c r="C181" s="494" t="s">
        <v>1114</v>
      </c>
      <c r="D181" s="481">
        <v>25000</v>
      </c>
      <c r="E181" s="425"/>
      <c r="F181" s="487" t="s">
        <v>1140</v>
      </c>
      <c r="H181" s="528"/>
      <c r="I181" s="528"/>
      <c r="J181" s="528"/>
      <c r="K181" s="528"/>
      <c r="L181" s="528"/>
    </row>
  </sheetData>
  <autoFilter ref="A3:F181"/>
  <printOptions gridLines="1"/>
  <pageMargins left="0.11811023622047245" right="0.11811023622047245" top="0.35433070866141736" bottom="0.55118110236220474" header="0.31496062992125984" footer="0.31496062992125984"/>
  <pageSetup paperSize="9" scale="75" orientation="portrait" r:id="rId1"/>
  <headerFooter>
    <oddFooter>&amp;C&amp;P/&amp;N&amp;R&amp;D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4"/>
  <sheetViews>
    <sheetView showZeros="0" zoomScaleNormal="100" workbookViewId="0"/>
  </sheetViews>
  <sheetFormatPr defaultColWidth="9.140625" defaultRowHeight="12.75"/>
  <cols>
    <col min="1" max="1" width="36" style="2" customWidth="1"/>
    <col min="2" max="2" width="11.42578125" style="2" customWidth="1"/>
    <col min="3" max="4" width="11.42578125" style="2" hidden="1" customWidth="1"/>
    <col min="5" max="7" width="11.42578125" style="2" customWidth="1"/>
    <col min="8" max="16384" width="9.140625" style="2"/>
  </cols>
  <sheetData>
    <row r="1" spans="1:8" ht="15">
      <c r="A1" s="851" t="s">
        <v>1234</v>
      </c>
      <c r="B1" s="851"/>
      <c r="C1" s="851"/>
      <c r="D1" s="851"/>
      <c r="E1" s="851"/>
    </row>
    <row r="2" spans="1:8">
      <c r="A2" s="852"/>
      <c r="B2" s="852"/>
      <c r="C2" s="852"/>
      <c r="D2" s="852"/>
      <c r="E2" s="852"/>
      <c r="F2" s="816" t="s">
        <v>2</v>
      </c>
      <c r="G2" s="853"/>
    </row>
    <row r="3" spans="1:8">
      <c r="B3" s="895">
        <v>2016</v>
      </c>
      <c r="C3" s="896"/>
      <c r="D3" s="896"/>
      <c r="E3" s="897"/>
      <c r="F3" s="793">
        <v>2017</v>
      </c>
      <c r="G3" s="898" t="s">
        <v>1224</v>
      </c>
      <c r="H3" s="899"/>
    </row>
    <row r="4" spans="1:8" ht="25.5">
      <c r="A4" s="432" t="s">
        <v>1235</v>
      </c>
      <c r="B4" s="794" t="s">
        <v>18</v>
      </c>
      <c r="C4" s="795" t="s">
        <v>19</v>
      </c>
      <c r="D4" s="795" t="s">
        <v>1036</v>
      </c>
      <c r="E4" s="796" t="s">
        <v>20</v>
      </c>
      <c r="F4" s="797" t="s">
        <v>1223</v>
      </c>
      <c r="G4" s="798" t="s">
        <v>2</v>
      </c>
      <c r="H4" s="798" t="s">
        <v>21</v>
      </c>
    </row>
    <row r="5" spans="1:8">
      <c r="A5" s="101"/>
      <c r="B5" s="101"/>
      <c r="C5" s="101"/>
      <c r="D5" s="101"/>
      <c r="E5" s="101"/>
      <c r="F5" s="101"/>
      <c r="G5" s="101"/>
    </row>
    <row r="6" spans="1:8">
      <c r="A6" s="4" t="s">
        <v>1236</v>
      </c>
      <c r="B6" s="28">
        <v>365135000</v>
      </c>
      <c r="C6" s="28">
        <v>6180000</v>
      </c>
      <c r="D6" s="28">
        <v>6173000</v>
      </c>
      <c r="E6" s="85">
        <f>SUM(B6:D6)</f>
        <v>377488000</v>
      </c>
      <c r="F6" s="85">
        <f>F8+F12</f>
        <v>395910000</v>
      </c>
      <c r="G6" s="85">
        <f>IF(F6=0,0,F6-E6)</f>
        <v>18422000</v>
      </c>
      <c r="H6" s="29">
        <f>IF(F6=0,"",G6/E6)</f>
        <v>4.8801551307591236E-2</v>
      </c>
    </row>
    <row r="7" spans="1:8">
      <c r="A7" s="101"/>
      <c r="B7" s="13"/>
      <c r="C7" s="13"/>
      <c r="D7" s="13"/>
      <c r="E7" s="854">
        <f t="shared" ref="E7:E52" si="0">SUM(B7:D7)</f>
        <v>0</v>
      </c>
      <c r="F7" s="854"/>
      <c r="G7" s="854">
        <f t="shared" ref="G7:G52" si="1">IF(F7=0,0,F7-E7)</f>
        <v>0</v>
      </c>
      <c r="H7" s="14" t="str">
        <f t="shared" ref="H7:H52" si="2">IF(F7=0,"",G7/E7)</f>
        <v/>
      </c>
    </row>
    <row r="8" spans="1:8">
      <c r="A8" s="855" t="s">
        <v>22</v>
      </c>
      <c r="B8" s="28">
        <v>354100000</v>
      </c>
      <c r="C8" s="28">
        <v>6000000</v>
      </c>
      <c r="D8" s="28">
        <v>6000000</v>
      </c>
      <c r="E8" s="85">
        <f t="shared" si="0"/>
        <v>366100000</v>
      </c>
      <c r="F8" s="85">
        <f>F9+F10</f>
        <v>384480000</v>
      </c>
      <c r="G8" s="85">
        <f t="shared" si="1"/>
        <v>18380000</v>
      </c>
      <c r="H8" s="29">
        <f t="shared" si="2"/>
        <v>5.0204862059546572E-2</v>
      </c>
    </row>
    <row r="9" spans="1:8">
      <c r="A9" s="566" t="s">
        <v>23</v>
      </c>
      <c r="B9" s="809">
        <v>326300000</v>
      </c>
      <c r="C9" s="809">
        <v>6000000</v>
      </c>
      <c r="D9" s="809">
        <v>6000000</v>
      </c>
      <c r="E9" s="167">
        <f t="shared" si="0"/>
        <v>338300000</v>
      </c>
      <c r="F9" s="167">
        <f>'LK tulud'!F7</f>
        <v>358000000</v>
      </c>
      <c r="G9" s="167">
        <f t="shared" si="1"/>
        <v>19700000</v>
      </c>
      <c r="H9" s="825">
        <f t="shared" si="2"/>
        <v>5.8232338161395211E-2</v>
      </c>
    </row>
    <row r="10" spans="1:8">
      <c r="A10" s="566" t="s">
        <v>25</v>
      </c>
      <c r="B10" s="809">
        <v>27800000</v>
      </c>
      <c r="C10" s="809"/>
      <c r="D10" s="809"/>
      <c r="E10" s="167">
        <f t="shared" si="0"/>
        <v>27800000</v>
      </c>
      <c r="F10" s="167">
        <f>'LK tulud'!F10</f>
        <v>26480000</v>
      </c>
      <c r="G10" s="167">
        <f t="shared" si="1"/>
        <v>-1320000</v>
      </c>
      <c r="H10" s="825">
        <f t="shared" si="2"/>
        <v>-4.7482014388489209E-2</v>
      </c>
    </row>
    <row r="11" spans="1:8">
      <c r="A11" s="565"/>
      <c r="B11" s="809"/>
      <c r="C11" s="809"/>
      <c r="D11" s="809"/>
      <c r="E11" s="167">
        <f t="shared" si="0"/>
        <v>0</v>
      </c>
      <c r="F11" s="167"/>
      <c r="G11" s="167">
        <f t="shared" si="1"/>
        <v>0</v>
      </c>
      <c r="H11" s="825" t="str">
        <f t="shared" si="2"/>
        <v/>
      </c>
    </row>
    <row r="12" spans="1:8">
      <c r="A12" s="855" t="s">
        <v>26</v>
      </c>
      <c r="B12" s="28">
        <v>11035000</v>
      </c>
      <c r="C12" s="28">
        <v>180000</v>
      </c>
      <c r="D12" s="28">
        <v>173000</v>
      </c>
      <c r="E12" s="85">
        <f t="shared" si="0"/>
        <v>11388000</v>
      </c>
      <c r="F12" s="85">
        <f>SUM(F13:F15)</f>
        <v>11430000</v>
      </c>
      <c r="G12" s="85">
        <f t="shared" si="1"/>
        <v>42000</v>
      </c>
      <c r="H12" s="29">
        <f t="shared" si="2"/>
        <v>3.6880927291886197E-3</v>
      </c>
    </row>
    <row r="13" spans="1:8">
      <c r="A13" s="566" t="s">
        <v>27</v>
      </c>
      <c r="B13" s="809">
        <v>3285000</v>
      </c>
      <c r="C13" s="809">
        <v>180000</v>
      </c>
      <c r="D13" s="28"/>
      <c r="E13" s="167">
        <f t="shared" si="0"/>
        <v>3465000</v>
      </c>
      <c r="F13" s="167">
        <f>'LK tulud'!F14</f>
        <v>3730000</v>
      </c>
      <c r="G13" s="167">
        <f t="shared" si="1"/>
        <v>265000</v>
      </c>
      <c r="H13" s="825">
        <f t="shared" si="2"/>
        <v>7.647907647907648E-2</v>
      </c>
    </row>
    <row r="14" spans="1:8">
      <c r="A14" s="566" t="s">
        <v>28</v>
      </c>
      <c r="B14" s="809">
        <v>900000</v>
      </c>
      <c r="C14" s="809"/>
      <c r="D14" s="809">
        <v>100000</v>
      </c>
      <c r="E14" s="167">
        <f t="shared" si="0"/>
        <v>1000000</v>
      </c>
      <c r="F14" s="167">
        <f>'LK tulud'!F17</f>
        <v>1050000</v>
      </c>
      <c r="G14" s="167">
        <f t="shared" si="1"/>
        <v>50000</v>
      </c>
      <c r="H14" s="825">
        <f t="shared" si="2"/>
        <v>0.05</v>
      </c>
    </row>
    <row r="15" spans="1:8">
      <c r="A15" s="566" t="s">
        <v>29</v>
      </c>
      <c r="B15" s="809">
        <v>6850000</v>
      </c>
      <c r="C15" s="809"/>
      <c r="D15" s="809"/>
      <c r="E15" s="167">
        <f t="shared" si="0"/>
        <v>6850000</v>
      </c>
      <c r="F15" s="167">
        <f>'LK tulud'!F20</f>
        <v>6650000</v>
      </c>
      <c r="G15" s="167">
        <f t="shared" si="1"/>
        <v>-200000</v>
      </c>
      <c r="H15" s="825">
        <f t="shared" si="2"/>
        <v>-2.9197080291970802E-2</v>
      </c>
    </row>
    <row r="16" spans="1:8">
      <c r="A16" s="856"/>
      <c r="B16" s="809"/>
      <c r="C16" s="809"/>
      <c r="D16" s="809">
        <v>0</v>
      </c>
      <c r="E16" s="167">
        <f t="shared" si="0"/>
        <v>0</v>
      </c>
      <c r="F16" s="167"/>
      <c r="G16" s="167">
        <f t="shared" si="1"/>
        <v>0</v>
      </c>
      <c r="H16" s="825" t="str">
        <f t="shared" si="2"/>
        <v/>
      </c>
    </row>
    <row r="17" spans="1:8">
      <c r="A17" s="4" t="s">
        <v>30</v>
      </c>
      <c r="B17" s="28">
        <v>559000</v>
      </c>
      <c r="C17" s="809"/>
      <c r="D17" s="720">
        <v>40790</v>
      </c>
      <c r="E17" s="85">
        <f t="shared" si="0"/>
        <v>599790</v>
      </c>
      <c r="F17" s="85">
        <f>'LK tulud'!F23</f>
        <v>507800</v>
      </c>
      <c r="G17" s="85">
        <f t="shared" si="1"/>
        <v>-91990</v>
      </c>
      <c r="H17" s="29">
        <f t="shared" si="2"/>
        <v>-0.15337034628786742</v>
      </c>
    </row>
    <row r="18" spans="1:8">
      <c r="A18" s="857"/>
      <c r="B18" s="809"/>
      <c r="C18" s="809"/>
      <c r="D18" s="809">
        <v>0</v>
      </c>
      <c r="E18" s="167">
        <f t="shared" si="0"/>
        <v>0</v>
      </c>
      <c r="F18" s="167"/>
      <c r="G18" s="167">
        <f t="shared" si="1"/>
        <v>0</v>
      </c>
      <c r="H18" s="825" t="str">
        <f t="shared" si="2"/>
        <v/>
      </c>
    </row>
    <row r="19" spans="1:8">
      <c r="A19" s="4" t="s">
        <v>1166</v>
      </c>
      <c r="B19" s="28">
        <v>62485514</v>
      </c>
      <c r="C19" s="28">
        <v>29069</v>
      </c>
      <c r="D19" s="28">
        <v>1396854</v>
      </c>
      <c r="E19" s="85">
        <f t="shared" si="0"/>
        <v>63911437</v>
      </c>
      <c r="F19" s="85">
        <f ca="1">SUM(F20:F23)</f>
        <v>66699583</v>
      </c>
      <c r="G19" s="85">
        <f t="shared" ca="1" si="1"/>
        <v>2788146</v>
      </c>
      <c r="H19" s="29">
        <f t="shared" ca="1" si="2"/>
        <v>4.3625149595681915E-2</v>
      </c>
    </row>
    <row r="20" spans="1:8">
      <c r="A20" s="858" t="s">
        <v>1237</v>
      </c>
      <c r="B20" s="809">
        <v>47508162</v>
      </c>
      <c r="C20" s="809">
        <v>117022</v>
      </c>
      <c r="D20" s="809">
        <v>969094</v>
      </c>
      <c r="E20" s="167">
        <f t="shared" si="0"/>
        <v>48594278</v>
      </c>
      <c r="F20" s="167">
        <f ca="1">Sheet10!F1</f>
        <v>51359350</v>
      </c>
      <c r="G20" s="167">
        <f t="shared" ca="1" si="1"/>
        <v>2765072</v>
      </c>
      <c r="H20" s="825">
        <f t="shared" ca="1" si="2"/>
        <v>5.6901184950211625E-2</v>
      </c>
    </row>
    <row r="21" spans="1:8">
      <c r="A21" s="858" t="s">
        <v>57</v>
      </c>
      <c r="B21" s="809">
        <v>8199980</v>
      </c>
      <c r="C21" s="809">
        <v>36458</v>
      </c>
      <c r="D21" s="809">
        <v>-21902</v>
      </c>
      <c r="E21" s="167">
        <f t="shared" si="0"/>
        <v>8214536</v>
      </c>
      <c r="F21" s="167">
        <f ca="1">Sheet10!F15</f>
        <v>8336455</v>
      </c>
      <c r="G21" s="167">
        <f t="shared" ca="1" si="1"/>
        <v>121919</v>
      </c>
      <c r="H21" s="825">
        <f t="shared" ca="1" si="2"/>
        <v>1.4841860818432107E-2</v>
      </c>
    </row>
    <row r="22" spans="1:8">
      <c r="A22" s="858" t="s">
        <v>33</v>
      </c>
      <c r="B22" s="809">
        <v>3187236</v>
      </c>
      <c r="C22" s="809">
        <v>-79138</v>
      </c>
      <c r="D22" s="809">
        <v>107827</v>
      </c>
      <c r="E22" s="167">
        <f t="shared" si="0"/>
        <v>3215925</v>
      </c>
      <c r="F22" s="167">
        <f ca="1">Sheet10!F14+'LK tulud'!F28</f>
        <v>3175628</v>
      </c>
      <c r="G22" s="167">
        <f t="shared" ca="1" si="1"/>
        <v>-40297</v>
      </c>
      <c r="H22" s="825">
        <f t="shared" ca="1" si="2"/>
        <v>-1.253045391294884E-2</v>
      </c>
    </row>
    <row r="23" spans="1:8">
      <c r="A23" s="858" t="s">
        <v>61</v>
      </c>
      <c r="B23" s="809">
        <v>3590136</v>
      </c>
      <c r="C23" s="809">
        <v>-45273</v>
      </c>
      <c r="D23" s="809">
        <v>341835</v>
      </c>
      <c r="E23" s="167">
        <f t="shared" si="0"/>
        <v>3886698</v>
      </c>
      <c r="F23" s="167">
        <f ca="1">Sheet10!F13</f>
        <v>3828150</v>
      </c>
      <c r="G23" s="167">
        <f t="shared" ca="1" si="1"/>
        <v>-58548</v>
      </c>
      <c r="H23" s="825">
        <f t="shared" ca="1" si="2"/>
        <v>-1.5063686450555201E-2</v>
      </c>
    </row>
    <row r="24" spans="1:8">
      <c r="A24" s="101"/>
      <c r="B24" s="809"/>
      <c r="C24" s="809"/>
      <c r="D24" s="809"/>
      <c r="E24" s="167">
        <f t="shared" si="0"/>
        <v>0</v>
      </c>
      <c r="F24" s="167"/>
      <c r="G24" s="167">
        <f t="shared" si="1"/>
        <v>0</v>
      </c>
      <c r="H24" s="825" t="str">
        <f t="shared" si="2"/>
        <v/>
      </c>
    </row>
    <row r="25" spans="1:8">
      <c r="A25" s="4" t="s">
        <v>36</v>
      </c>
      <c r="B25" s="781">
        <v>996000</v>
      </c>
      <c r="C25" s="781">
        <v>25193</v>
      </c>
      <c r="D25" s="781">
        <v>221738</v>
      </c>
      <c r="E25" s="231">
        <f t="shared" si="0"/>
        <v>1242931</v>
      </c>
      <c r="F25" s="231">
        <f ca="1">SUM(F26:F28)</f>
        <v>992900</v>
      </c>
      <c r="G25" s="231">
        <f t="shared" ca="1" si="1"/>
        <v>-250031</v>
      </c>
      <c r="H25" s="232">
        <f t="shared" ca="1" si="2"/>
        <v>-0.20116241368185361</v>
      </c>
    </row>
    <row r="26" spans="1:8">
      <c r="A26" s="30" t="s">
        <v>1242</v>
      </c>
      <c r="B26" s="781"/>
      <c r="C26" s="781"/>
      <c r="D26" s="809">
        <v>29000</v>
      </c>
      <c r="E26" s="167">
        <f t="shared" si="0"/>
        <v>29000</v>
      </c>
      <c r="F26" s="231"/>
      <c r="G26" s="231"/>
      <c r="H26" s="232"/>
    </row>
    <row r="27" spans="1:8">
      <c r="A27" s="858" t="s">
        <v>37</v>
      </c>
      <c r="B27" s="809">
        <v>716000</v>
      </c>
      <c r="C27" s="781"/>
      <c r="D27" s="809"/>
      <c r="E27" s="167">
        <f t="shared" si="0"/>
        <v>716000</v>
      </c>
      <c r="F27" s="167">
        <f>'LK tulud'!F36</f>
        <v>755100</v>
      </c>
      <c r="G27" s="167">
        <f t="shared" si="1"/>
        <v>39100</v>
      </c>
      <c r="H27" s="825">
        <f t="shared" si="2"/>
        <v>5.4608938547486031E-2</v>
      </c>
    </row>
    <row r="28" spans="1:8">
      <c r="A28" s="858" t="s">
        <v>39</v>
      </c>
      <c r="B28" s="809">
        <v>280000</v>
      </c>
      <c r="C28" s="809">
        <v>25193</v>
      </c>
      <c r="D28" s="809">
        <v>192738</v>
      </c>
      <c r="E28" s="167">
        <f t="shared" si="0"/>
        <v>497931</v>
      </c>
      <c r="F28" s="167">
        <f ca="1">'LK tulud'!F43+Sheet10!F12</f>
        <v>237800</v>
      </c>
      <c r="G28" s="167">
        <f t="shared" ca="1" si="1"/>
        <v>-260131</v>
      </c>
      <c r="H28" s="825">
        <f t="shared" ca="1" si="2"/>
        <v>-0.52242378964153668</v>
      </c>
    </row>
    <row r="29" spans="1:8">
      <c r="A29" s="101"/>
      <c r="B29" s="809"/>
      <c r="C29" s="809"/>
      <c r="D29" s="809">
        <v>0</v>
      </c>
      <c r="E29" s="167">
        <f t="shared" si="0"/>
        <v>0</v>
      </c>
      <c r="F29" s="167"/>
      <c r="G29" s="167">
        <f t="shared" si="1"/>
        <v>0</v>
      </c>
      <c r="H29" s="825" t="str">
        <f t="shared" si="2"/>
        <v/>
      </c>
    </row>
    <row r="30" spans="1:8">
      <c r="A30" s="4" t="s">
        <v>42</v>
      </c>
      <c r="B30" s="781">
        <v>50000</v>
      </c>
      <c r="C30" s="809"/>
      <c r="D30" s="720">
        <v>-10000</v>
      </c>
      <c r="E30" s="231">
        <f t="shared" si="0"/>
        <v>40000</v>
      </c>
      <c r="F30" s="231">
        <f>F31</f>
        <v>10000</v>
      </c>
      <c r="G30" s="231">
        <f t="shared" si="1"/>
        <v>-30000</v>
      </c>
      <c r="H30" s="232">
        <f t="shared" si="2"/>
        <v>-0.75</v>
      </c>
    </row>
    <row r="31" spans="1:8">
      <c r="A31" s="858" t="s">
        <v>43</v>
      </c>
      <c r="B31" s="809">
        <v>50000</v>
      </c>
      <c r="C31" s="809"/>
      <c r="D31" s="809">
        <v>-10000</v>
      </c>
      <c r="E31" s="167">
        <f t="shared" si="0"/>
        <v>40000</v>
      </c>
      <c r="F31" s="167">
        <f>'LK tulud'!F58</f>
        <v>10000</v>
      </c>
      <c r="G31" s="167">
        <f t="shared" si="1"/>
        <v>-30000</v>
      </c>
      <c r="H31" s="825">
        <f t="shared" si="2"/>
        <v>-0.75</v>
      </c>
    </row>
    <row r="32" spans="1:8">
      <c r="A32" s="101"/>
      <c r="B32" s="809"/>
      <c r="C32" s="809"/>
      <c r="D32" s="809">
        <v>0</v>
      </c>
      <c r="E32" s="167">
        <f t="shared" si="0"/>
        <v>0</v>
      </c>
      <c r="F32" s="167"/>
      <c r="G32" s="167">
        <f t="shared" si="1"/>
        <v>0</v>
      </c>
      <c r="H32" s="825" t="str">
        <f t="shared" si="2"/>
        <v/>
      </c>
    </row>
    <row r="33" spans="1:8">
      <c r="A33" s="4" t="s">
        <v>44</v>
      </c>
      <c r="B33" s="781">
        <v>1418868</v>
      </c>
      <c r="C33" s="781">
        <v>302684</v>
      </c>
      <c r="D33" s="781">
        <v>14900</v>
      </c>
      <c r="E33" s="231">
        <f t="shared" si="0"/>
        <v>1736452</v>
      </c>
      <c r="F33" s="231">
        <f>SUM(F34:F36)</f>
        <v>10740677</v>
      </c>
      <c r="G33" s="231">
        <f t="shared" si="1"/>
        <v>9004225</v>
      </c>
      <c r="H33" s="232">
        <f t="shared" si="2"/>
        <v>5.1854154333088394</v>
      </c>
    </row>
    <row r="34" spans="1:8">
      <c r="A34" s="858" t="s">
        <v>45</v>
      </c>
      <c r="B34" s="809">
        <v>2927000</v>
      </c>
      <c r="C34" s="809">
        <v>309484</v>
      </c>
      <c r="D34" s="809">
        <v>14900</v>
      </c>
      <c r="E34" s="167">
        <f t="shared" si="0"/>
        <v>3251384</v>
      </c>
      <c r="F34" s="167">
        <f>'LK tulud'!F63</f>
        <v>16653204</v>
      </c>
      <c r="G34" s="167">
        <f t="shared" si="1"/>
        <v>13401820</v>
      </c>
      <c r="H34" s="825">
        <f t="shared" si="2"/>
        <v>4.1218816356357788</v>
      </c>
    </row>
    <row r="35" spans="1:8">
      <c r="A35" s="858" t="s">
        <v>46</v>
      </c>
      <c r="B35" s="809">
        <v>-1498132</v>
      </c>
      <c r="C35" s="809">
        <v>-6800</v>
      </c>
      <c r="D35" s="809"/>
      <c r="E35" s="167">
        <f t="shared" si="0"/>
        <v>-1504932</v>
      </c>
      <c r="F35" s="167">
        <f>'LK tulud'!F67</f>
        <v>-5902527</v>
      </c>
      <c r="G35" s="167">
        <f t="shared" si="1"/>
        <v>-4397595</v>
      </c>
      <c r="H35" s="825">
        <f t="shared" si="2"/>
        <v>2.9221220626579805</v>
      </c>
    </row>
    <row r="36" spans="1:8">
      <c r="A36" s="858" t="s">
        <v>47</v>
      </c>
      <c r="B36" s="809">
        <v>-10000</v>
      </c>
      <c r="C36" s="809"/>
      <c r="D36" s="809"/>
      <c r="E36" s="167">
        <f t="shared" si="0"/>
        <v>-10000</v>
      </c>
      <c r="F36" s="167">
        <f>'LK tulud'!F68</f>
        <v>-10000</v>
      </c>
      <c r="G36" s="167">
        <f t="shared" si="1"/>
        <v>0</v>
      </c>
      <c r="H36" s="825">
        <f t="shared" si="2"/>
        <v>0</v>
      </c>
    </row>
    <row r="37" spans="1:8">
      <c r="A37" s="101"/>
      <c r="B37" s="809"/>
      <c r="C37" s="809"/>
      <c r="D37" s="809"/>
      <c r="E37" s="167">
        <f t="shared" si="0"/>
        <v>0</v>
      </c>
      <c r="F37" s="167"/>
      <c r="G37" s="167">
        <f t="shared" si="1"/>
        <v>0</v>
      </c>
      <c r="H37" s="825" t="str">
        <f t="shared" si="2"/>
        <v/>
      </c>
    </row>
    <row r="38" spans="1:8">
      <c r="A38" s="4" t="s">
        <v>48</v>
      </c>
      <c r="B38" s="781">
        <v>147150</v>
      </c>
      <c r="C38" s="781">
        <v>1160</v>
      </c>
      <c r="D38" s="781">
        <v>23566</v>
      </c>
      <c r="E38" s="231">
        <f t="shared" si="0"/>
        <v>171876</v>
      </c>
      <c r="F38" s="231">
        <f ca="1">SUM(F39:F41)</f>
        <v>257150</v>
      </c>
      <c r="G38" s="231">
        <f t="shared" ca="1" si="1"/>
        <v>85274</v>
      </c>
      <c r="H38" s="232">
        <f t="shared" ca="1" si="2"/>
        <v>0.49613674974981964</v>
      </c>
    </row>
    <row r="39" spans="1:8">
      <c r="A39" s="858" t="s">
        <v>49</v>
      </c>
      <c r="B39" s="809">
        <v>310000</v>
      </c>
      <c r="C39" s="781"/>
      <c r="D39" s="781"/>
      <c r="E39" s="167">
        <f t="shared" si="0"/>
        <v>310000</v>
      </c>
      <c r="F39" s="167">
        <f>'LK tulud'!F71</f>
        <v>350000</v>
      </c>
      <c r="G39" s="167">
        <f t="shared" si="1"/>
        <v>40000</v>
      </c>
      <c r="H39" s="825">
        <f t="shared" si="2"/>
        <v>0.12903225806451613</v>
      </c>
    </row>
    <row r="40" spans="1:8">
      <c r="A40" s="858" t="s">
        <v>814</v>
      </c>
      <c r="B40" s="809">
        <v>67150</v>
      </c>
      <c r="C40" s="809">
        <v>1160</v>
      </c>
      <c r="D40" s="809">
        <v>23566</v>
      </c>
      <c r="E40" s="167">
        <f t="shared" si="0"/>
        <v>91876</v>
      </c>
      <c r="F40" s="167">
        <f>'LK tulud'!F73</f>
        <v>67150</v>
      </c>
      <c r="G40" s="167">
        <f t="shared" si="1"/>
        <v>-24726</v>
      </c>
      <c r="H40" s="825">
        <f t="shared" si="2"/>
        <v>-0.26912360137576735</v>
      </c>
    </row>
    <row r="41" spans="1:8">
      <c r="A41" s="859" t="s">
        <v>159</v>
      </c>
      <c r="B41" s="809">
        <v>-230000</v>
      </c>
      <c r="C41" s="809"/>
      <c r="D41" s="809"/>
      <c r="E41" s="167">
        <f t="shared" si="0"/>
        <v>-230000</v>
      </c>
      <c r="F41" s="167">
        <f ca="1">Sheet10!F17</f>
        <v>-160000</v>
      </c>
      <c r="G41" s="167">
        <f t="shared" ca="1" si="1"/>
        <v>70000</v>
      </c>
      <c r="H41" s="825">
        <f t="shared" ca="1" si="2"/>
        <v>-0.30434782608695654</v>
      </c>
    </row>
    <row r="42" spans="1:8">
      <c r="A42" s="101"/>
      <c r="B42" s="809"/>
      <c r="C42" s="809"/>
      <c r="D42" s="809"/>
      <c r="E42" s="167">
        <f t="shared" si="0"/>
        <v>0</v>
      </c>
      <c r="F42" s="167"/>
      <c r="G42" s="167">
        <f t="shared" si="1"/>
        <v>0</v>
      </c>
      <c r="H42" s="825" t="str">
        <f t="shared" si="2"/>
        <v/>
      </c>
    </row>
    <row r="43" spans="1:8">
      <c r="A43" s="4" t="s">
        <v>51</v>
      </c>
      <c r="B43" s="28">
        <v>8900000</v>
      </c>
      <c r="C43" s="28">
        <v>145817</v>
      </c>
      <c r="D43" s="809"/>
      <c r="E43" s="85">
        <f t="shared" si="0"/>
        <v>9045817</v>
      </c>
      <c r="F43" s="85">
        <f>'LK tulud'!F81</f>
        <v>8900000</v>
      </c>
      <c r="G43" s="85">
        <f t="shared" si="1"/>
        <v>-145817</v>
      </c>
      <c r="H43" s="29">
        <f t="shared" si="2"/>
        <v>-1.6119826434693518E-2</v>
      </c>
    </row>
    <row r="44" spans="1:8">
      <c r="A44" s="4"/>
      <c r="B44" s="809"/>
      <c r="C44" s="809"/>
      <c r="D44" s="809"/>
      <c r="E44" s="167">
        <f t="shared" si="0"/>
        <v>0</v>
      </c>
      <c r="F44" s="167"/>
      <c r="G44" s="167">
        <f t="shared" si="1"/>
        <v>0</v>
      </c>
      <c r="H44" s="825" t="str">
        <f t="shared" si="2"/>
        <v/>
      </c>
    </row>
    <row r="45" spans="1:8">
      <c r="A45" s="860" t="s">
        <v>1238</v>
      </c>
      <c r="B45" s="231">
        <f>B6+B17+B19+B25+B30+B33+B38+B43</f>
        <v>439691532</v>
      </c>
      <c r="C45" s="231">
        <f>C6+C17+C19+C25+C30+C33+C38+C43</f>
        <v>6683923</v>
      </c>
      <c r="D45" s="231">
        <f>D6+D17+D19+D25+D30+D33+D38+D43</f>
        <v>7860848</v>
      </c>
      <c r="E45" s="231">
        <f t="shared" si="0"/>
        <v>454236303</v>
      </c>
      <c r="F45" s="231">
        <f ca="1">F6+F17+F19+F25+F30+F33+F38+F43</f>
        <v>484018110</v>
      </c>
      <c r="G45" s="231">
        <f t="shared" ca="1" si="1"/>
        <v>29781807</v>
      </c>
      <c r="H45" s="232">
        <f t="shared" ca="1" si="2"/>
        <v>6.5564568052589145E-2</v>
      </c>
    </row>
    <row r="46" spans="1:8">
      <c r="A46" s="4"/>
      <c r="B46" s="809"/>
      <c r="C46" s="809"/>
      <c r="D46" s="809"/>
      <c r="E46" s="167"/>
      <c r="F46" s="167"/>
      <c r="G46" s="167">
        <f t="shared" si="1"/>
        <v>0</v>
      </c>
      <c r="H46" s="825" t="str">
        <f t="shared" si="2"/>
        <v/>
      </c>
    </row>
    <row r="47" spans="1:8">
      <c r="A47" s="4" t="s">
        <v>283</v>
      </c>
      <c r="B47" s="781">
        <v>100410416</v>
      </c>
      <c r="C47" s="781">
        <v>11253239</v>
      </c>
      <c r="D47" s="781">
        <v>84674</v>
      </c>
      <c r="E47" s="231">
        <f t="shared" si="0"/>
        <v>111748329</v>
      </c>
      <c r="F47" s="231">
        <f>SUM(F48:F50)</f>
        <v>115417495</v>
      </c>
      <c r="G47" s="231">
        <f t="shared" si="1"/>
        <v>3669166</v>
      </c>
      <c r="H47" s="232">
        <f t="shared" si="2"/>
        <v>3.2834191194035661E-2</v>
      </c>
    </row>
    <row r="48" spans="1:8">
      <c r="A48" s="101" t="s">
        <v>1239</v>
      </c>
      <c r="B48" s="809">
        <v>79307980</v>
      </c>
      <c r="C48" s="809">
        <v>10584251</v>
      </c>
      <c r="D48" s="781"/>
      <c r="E48" s="167">
        <f t="shared" si="0"/>
        <v>89892231</v>
      </c>
      <c r="F48" s="167">
        <f>Toetused!F5</f>
        <v>92524096</v>
      </c>
      <c r="G48" s="167">
        <f t="shared" si="1"/>
        <v>2631865</v>
      </c>
      <c r="H48" s="825">
        <f t="shared" si="2"/>
        <v>2.9278002901051595E-2</v>
      </c>
    </row>
    <row r="49" spans="1:8">
      <c r="A49" s="858" t="s">
        <v>298</v>
      </c>
      <c r="B49" s="809">
        <v>20635804</v>
      </c>
      <c r="C49" s="809">
        <v>668988</v>
      </c>
      <c r="D49" s="809">
        <v>84256</v>
      </c>
      <c r="E49" s="167">
        <f t="shared" si="0"/>
        <v>21389048</v>
      </c>
      <c r="F49" s="167">
        <f>Toetused!F27</f>
        <v>21632864</v>
      </c>
      <c r="G49" s="167">
        <f t="shared" si="1"/>
        <v>243816</v>
      </c>
      <c r="H49" s="825">
        <f t="shared" si="2"/>
        <v>1.1399104812893027E-2</v>
      </c>
    </row>
    <row r="50" spans="1:8">
      <c r="A50" s="858" t="s">
        <v>1240</v>
      </c>
      <c r="B50" s="809">
        <v>466632</v>
      </c>
      <c r="C50" s="809"/>
      <c r="D50" s="809">
        <v>418</v>
      </c>
      <c r="E50" s="167">
        <f t="shared" si="0"/>
        <v>467050</v>
      </c>
      <c r="F50" s="167">
        <f>Toetused!F16</f>
        <v>1260535</v>
      </c>
      <c r="G50" s="167">
        <f t="shared" si="1"/>
        <v>793485</v>
      </c>
      <c r="H50" s="825">
        <f t="shared" si="2"/>
        <v>1.6989294508082646</v>
      </c>
    </row>
    <row r="51" spans="1:8">
      <c r="A51" s="101"/>
      <c r="B51" s="809"/>
      <c r="C51" s="809"/>
      <c r="D51" s="809"/>
      <c r="E51" s="167">
        <f t="shared" si="0"/>
        <v>0</v>
      </c>
      <c r="F51" s="167"/>
      <c r="G51" s="167">
        <f t="shared" si="1"/>
        <v>0</v>
      </c>
      <c r="H51" s="825" t="str">
        <f t="shared" si="2"/>
        <v/>
      </c>
    </row>
    <row r="52" spans="1:8">
      <c r="A52" s="4" t="s">
        <v>1241</v>
      </c>
      <c r="B52" s="781">
        <v>540101948</v>
      </c>
      <c r="C52" s="781">
        <v>17937162</v>
      </c>
      <c r="D52" s="781">
        <v>7945522</v>
      </c>
      <c r="E52" s="231">
        <f t="shared" si="0"/>
        <v>565984632</v>
      </c>
      <c r="F52" s="231">
        <f ca="1">F45+F47</f>
        <v>599435605</v>
      </c>
      <c r="G52" s="231">
        <f t="shared" ca="1" si="1"/>
        <v>33450973</v>
      </c>
      <c r="H52" s="232">
        <f t="shared" ca="1" si="2"/>
        <v>5.9102263751924629E-2</v>
      </c>
    </row>
    <row r="53" spans="1:8">
      <c r="E53" s="167"/>
      <c r="F53" s="167"/>
      <c r="G53" s="167"/>
    </row>
    <row r="54" spans="1:8">
      <c r="F54" s="167"/>
      <c r="G54" s="167"/>
    </row>
  </sheetData>
  <mergeCells count="2">
    <mergeCell ref="B3:E3"/>
    <mergeCell ref="G3:H3"/>
  </mergeCells>
  <pageMargins left="1.1811023622047245" right="0.47244094488188981" top="0.47244094488188981" bottom="0.98425196850393704" header="0.51181102362204722" footer="0.51181102362204722"/>
  <pageSetup paperSize="9" scale="90" orientation="portrait"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87"/>
  <sheetViews>
    <sheetView showZeros="0" zoomScaleNormal="100" workbookViewId="0"/>
  </sheetViews>
  <sheetFormatPr defaultColWidth="9.140625" defaultRowHeight="12.75"/>
  <cols>
    <col min="1" max="1" width="34" style="6" customWidth="1"/>
    <col min="2" max="2" width="11.7109375" style="6" bestFit="1" customWidth="1"/>
    <col min="3" max="4" width="9.7109375" style="6" hidden="1" customWidth="1"/>
    <col min="5" max="5" width="12.5703125" style="6" bestFit="1" customWidth="1"/>
    <col min="6" max="6" width="11.28515625" style="6" customWidth="1"/>
    <col min="7" max="7" width="10.7109375" style="6" bestFit="1" customWidth="1"/>
    <col min="8" max="8" width="6.28515625" style="6" bestFit="1" customWidth="1"/>
    <col min="9" max="16384" width="9.140625" style="6"/>
  </cols>
  <sheetData>
    <row r="1" spans="1:8" ht="15">
      <c r="A1" s="7" t="s">
        <v>1244</v>
      </c>
      <c r="H1" s="1"/>
    </row>
    <row r="2" spans="1:8" ht="15">
      <c r="A2" s="168"/>
      <c r="H2" s="1"/>
    </row>
    <row r="3" spans="1:8" ht="24.75" customHeight="1">
      <c r="A3" s="7"/>
      <c r="B3" s="895">
        <v>2016</v>
      </c>
      <c r="C3" s="896"/>
      <c r="D3" s="896"/>
      <c r="E3" s="897"/>
      <c r="F3" s="793">
        <v>2017</v>
      </c>
      <c r="G3" s="898" t="s">
        <v>1224</v>
      </c>
      <c r="H3" s="899"/>
    </row>
    <row r="4" spans="1:8" ht="29.25" customHeight="1">
      <c r="A4" s="7"/>
      <c r="B4" s="794" t="s">
        <v>18</v>
      </c>
      <c r="C4" s="795" t="s">
        <v>19</v>
      </c>
      <c r="D4" s="795" t="s">
        <v>1036</v>
      </c>
      <c r="E4" s="796" t="s">
        <v>20</v>
      </c>
      <c r="F4" s="797" t="s">
        <v>1223</v>
      </c>
      <c r="G4" s="798" t="s">
        <v>2</v>
      </c>
      <c r="H4" s="798" t="s">
        <v>21</v>
      </c>
    </row>
    <row r="5" spans="1:8" ht="12.75" customHeight="1">
      <c r="A5" s="8"/>
      <c r="B5" s="34"/>
      <c r="G5" s="11">
        <f t="shared" ref="G5:G6" si="0">IF(F5=0,0,F5-E5)</f>
        <v>0</v>
      </c>
      <c r="H5" s="12" t="str">
        <f t="shared" ref="H5:H6" si="1">IF(F5=0,"",G5/E5)</f>
        <v/>
      </c>
    </row>
    <row r="6" spans="1:8">
      <c r="A6" s="10" t="s">
        <v>22</v>
      </c>
      <c r="B6" s="11">
        <f>B7+B10</f>
        <v>354100000</v>
      </c>
      <c r="C6" s="11">
        <f>C7</f>
        <v>6000000</v>
      </c>
      <c r="D6" s="862">
        <f>D7</f>
        <v>6000000</v>
      </c>
      <c r="E6" s="11">
        <f>SUM(B6:D6)</f>
        <v>366100000</v>
      </c>
      <c r="F6" s="11">
        <f>F7+F10</f>
        <v>384480000</v>
      </c>
      <c r="G6" s="11">
        <f t="shared" si="0"/>
        <v>18380000</v>
      </c>
      <c r="H6" s="12">
        <f t="shared" si="1"/>
        <v>5.0204862059546572E-2</v>
      </c>
    </row>
    <row r="7" spans="1:8" ht="12.75" customHeight="1">
      <c r="A7" s="9" t="s">
        <v>23</v>
      </c>
      <c r="B7" s="13">
        <f>B8</f>
        <v>326300000</v>
      </c>
      <c r="C7" s="13">
        <f>C8</f>
        <v>6000000</v>
      </c>
      <c r="D7" s="863">
        <f>D8</f>
        <v>6000000</v>
      </c>
      <c r="E7" s="13">
        <f t="shared" ref="E7:E70" si="2">SUM(B7:D7)</f>
        <v>338300000</v>
      </c>
      <c r="F7" s="13">
        <f>F8</f>
        <v>358000000</v>
      </c>
      <c r="G7" s="13">
        <f t="shared" ref="G7:G70" si="3">IF(F7=0,0,F7-E7)</f>
        <v>19700000</v>
      </c>
      <c r="H7" s="14">
        <f t="shared" ref="H7:H70" si="4">IF(F7=0,"",G7/E7)</f>
        <v>5.8232338161395211E-2</v>
      </c>
    </row>
    <row r="8" spans="1:8" ht="12.75" customHeight="1">
      <c r="A8" s="15" t="s">
        <v>24</v>
      </c>
      <c r="B8" s="16">
        <v>326300000</v>
      </c>
      <c r="C8" s="16">
        <v>6000000</v>
      </c>
      <c r="D8" s="864">
        <v>6000000</v>
      </c>
      <c r="E8" s="16">
        <f t="shared" si="2"/>
        <v>338300000</v>
      </c>
      <c r="F8" s="16">
        <v>358000000</v>
      </c>
      <c r="G8" s="16">
        <f t="shared" si="3"/>
        <v>19700000</v>
      </c>
      <c r="H8" s="17">
        <f t="shared" si="4"/>
        <v>5.8232338161395211E-2</v>
      </c>
    </row>
    <row r="9" spans="1:8">
      <c r="A9" s="15"/>
      <c r="B9" s="18"/>
      <c r="C9" s="18"/>
      <c r="D9" s="863"/>
      <c r="E9" s="18">
        <f t="shared" si="2"/>
        <v>0</v>
      </c>
      <c r="F9" s="18"/>
      <c r="G9" s="18">
        <f t="shared" si="3"/>
        <v>0</v>
      </c>
      <c r="H9" s="19" t="str">
        <f t="shared" si="4"/>
        <v/>
      </c>
    </row>
    <row r="10" spans="1:8" ht="12.75" customHeight="1">
      <c r="A10" s="9" t="s">
        <v>25</v>
      </c>
      <c r="B10" s="13">
        <f>B11</f>
        <v>27800000</v>
      </c>
      <c r="C10" s="13"/>
      <c r="D10" s="863"/>
      <c r="E10" s="13">
        <f t="shared" si="2"/>
        <v>27800000</v>
      </c>
      <c r="F10" s="13">
        <f>F11</f>
        <v>26480000</v>
      </c>
      <c r="G10" s="13">
        <f t="shared" si="3"/>
        <v>-1320000</v>
      </c>
      <c r="H10" s="14">
        <f t="shared" si="4"/>
        <v>-4.7482014388489209E-2</v>
      </c>
    </row>
    <row r="11" spans="1:8" ht="12.75" customHeight="1">
      <c r="A11" s="15" t="s">
        <v>24</v>
      </c>
      <c r="B11" s="16">
        <v>27800000</v>
      </c>
      <c r="C11" s="16"/>
      <c r="D11" s="863"/>
      <c r="E11" s="16">
        <f t="shared" si="2"/>
        <v>27800000</v>
      </c>
      <c r="F11" s="16">
        <v>26480000</v>
      </c>
      <c r="G11" s="16">
        <f t="shared" si="3"/>
        <v>-1320000</v>
      </c>
      <c r="H11" s="17">
        <f t="shared" si="4"/>
        <v>-4.7482014388489209E-2</v>
      </c>
    </row>
    <row r="12" spans="1:8">
      <c r="A12" s="9"/>
      <c r="B12" s="18"/>
      <c r="C12" s="18"/>
      <c r="D12" s="863"/>
      <c r="E12" s="18">
        <f t="shared" si="2"/>
        <v>0</v>
      </c>
      <c r="F12" s="18"/>
      <c r="G12" s="18">
        <f t="shared" si="3"/>
        <v>0</v>
      </c>
      <c r="H12" s="19" t="str">
        <f t="shared" si="4"/>
        <v/>
      </c>
    </row>
    <row r="13" spans="1:8">
      <c r="A13" s="10" t="s">
        <v>26</v>
      </c>
      <c r="B13" s="11">
        <f>B14+B17+B20</f>
        <v>11035000</v>
      </c>
      <c r="C13" s="11">
        <f>C14</f>
        <v>180000</v>
      </c>
      <c r="D13" s="862">
        <f>D17+D14+D20</f>
        <v>173000</v>
      </c>
      <c r="E13" s="11">
        <f t="shared" si="2"/>
        <v>11388000</v>
      </c>
      <c r="F13" s="11">
        <f>F14+F17+F20</f>
        <v>11430000</v>
      </c>
      <c r="G13" s="11">
        <f t="shared" si="3"/>
        <v>42000</v>
      </c>
      <c r="H13" s="12">
        <f t="shared" si="4"/>
        <v>3.6880927291886197E-3</v>
      </c>
    </row>
    <row r="14" spans="1:8" ht="12.75" customHeight="1">
      <c r="A14" s="20" t="s">
        <v>27</v>
      </c>
      <c r="B14" s="21">
        <f>B15</f>
        <v>3285000</v>
      </c>
      <c r="C14" s="21">
        <f>C15</f>
        <v>180000</v>
      </c>
      <c r="D14" s="863">
        <f>D15</f>
        <v>210000</v>
      </c>
      <c r="E14" s="21">
        <f t="shared" si="2"/>
        <v>3675000</v>
      </c>
      <c r="F14" s="21">
        <f>F15</f>
        <v>3730000</v>
      </c>
      <c r="G14" s="21">
        <f t="shared" si="3"/>
        <v>55000</v>
      </c>
      <c r="H14" s="22">
        <f t="shared" si="4"/>
        <v>1.4965986394557823E-2</v>
      </c>
    </row>
    <row r="15" spans="1:8" ht="12.75" customHeight="1">
      <c r="A15" s="23" t="s">
        <v>14</v>
      </c>
      <c r="B15" s="24">
        <v>3285000</v>
      </c>
      <c r="C15" s="24">
        <f>115000+65000</f>
        <v>180000</v>
      </c>
      <c r="D15" s="864">
        <f>200000+10000</f>
        <v>210000</v>
      </c>
      <c r="E15" s="24">
        <f t="shared" si="2"/>
        <v>3675000</v>
      </c>
      <c r="F15" s="24">
        <v>3730000</v>
      </c>
      <c r="G15" s="24">
        <f t="shared" si="3"/>
        <v>55000</v>
      </c>
      <c r="H15" s="25">
        <f t="shared" si="4"/>
        <v>1.4965986394557823E-2</v>
      </c>
    </row>
    <row r="16" spans="1:8" ht="12.75" customHeight="1">
      <c r="A16" s="26"/>
      <c r="B16" s="20"/>
      <c r="C16" s="20"/>
      <c r="D16" s="864"/>
      <c r="E16" s="20">
        <f t="shared" si="2"/>
        <v>0</v>
      </c>
      <c r="F16" s="20"/>
      <c r="G16" s="20">
        <f t="shared" si="3"/>
        <v>0</v>
      </c>
      <c r="H16" s="22" t="str">
        <f t="shared" si="4"/>
        <v/>
      </c>
    </row>
    <row r="17" spans="1:8" ht="12.75" customHeight="1">
      <c r="A17" s="20" t="s">
        <v>28</v>
      </c>
      <c r="B17" s="21">
        <f>B18</f>
        <v>900000</v>
      </c>
      <c r="C17" s="21"/>
      <c r="D17" s="863">
        <f>D18</f>
        <v>100000</v>
      </c>
      <c r="E17" s="21">
        <f t="shared" si="2"/>
        <v>1000000</v>
      </c>
      <c r="F17" s="21">
        <f>F18</f>
        <v>1050000</v>
      </c>
      <c r="G17" s="21">
        <f t="shared" si="3"/>
        <v>50000</v>
      </c>
      <c r="H17" s="22">
        <f t="shared" si="4"/>
        <v>0.05</v>
      </c>
    </row>
    <row r="18" spans="1:8" ht="12.75" customHeight="1">
      <c r="A18" s="23" t="s">
        <v>16</v>
      </c>
      <c r="B18" s="24">
        <v>900000</v>
      </c>
      <c r="C18" s="24"/>
      <c r="D18" s="864">
        <v>100000</v>
      </c>
      <c r="E18" s="24">
        <f t="shared" si="2"/>
        <v>1000000</v>
      </c>
      <c r="F18" s="24">
        <v>1050000</v>
      </c>
      <c r="G18" s="24">
        <f t="shared" si="3"/>
        <v>50000</v>
      </c>
      <c r="H18" s="25">
        <f t="shared" si="4"/>
        <v>0.05</v>
      </c>
    </row>
    <row r="19" spans="1:8" ht="12.75" customHeight="1">
      <c r="A19" s="26"/>
      <c r="B19" s="20"/>
      <c r="C19" s="20"/>
      <c r="D19" s="864"/>
      <c r="E19" s="20">
        <f t="shared" si="2"/>
        <v>0</v>
      </c>
      <c r="F19" s="20"/>
      <c r="G19" s="20">
        <f t="shared" si="3"/>
        <v>0</v>
      </c>
      <c r="H19" s="22" t="str">
        <f t="shared" si="4"/>
        <v/>
      </c>
    </row>
    <row r="20" spans="1:8">
      <c r="A20" s="20" t="s">
        <v>29</v>
      </c>
      <c r="B20" s="21">
        <f>B21</f>
        <v>6850000</v>
      </c>
      <c r="C20" s="21"/>
      <c r="D20" s="863">
        <f>D21</f>
        <v>-137000</v>
      </c>
      <c r="E20" s="21">
        <f t="shared" si="2"/>
        <v>6713000</v>
      </c>
      <c r="F20" s="21">
        <f>F21</f>
        <v>6650000</v>
      </c>
      <c r="G20" s="21">
        <f t="shared" si="3"/>
        <v>-63000</v>
      </c>
      <c r="H20" s="22">
        <f t="shared" si="4"/>
        <v>-9.384775808133473E-3</v>
      </c>
    </row>
    <row r="21" spans="1:8" ht="12.75" customHeight="1">
      <c r="A21" s="23" t="s">
        <v>16</v>
      </c>
      <c r="B21" s="24">
        <v>6850000</v>
      </c>
      <c r="C21" s="24"/>
      <c r="D21" s="864">
        <v>-137000</v>
      </c>
      <c r="E21" s="24">
        <f t="shared" si="2"/>
        <v>6713000</v>
      </c>
      <c r="F21" s="24">
        <v>6650000</v>
      </c>
      <c r="G21" s="24">
        <f t="shared" si="3"/>
        <v>-63000</v>
      </c>
      <c r="H21" s="25">
        <f t="shared" si="4"/>
        <v>-9.384775808133473E-3</v>
      </c>
    </row>
    <row r="22" spans="1:8">
      <c r="A22" s="23"/>
      <c r="B22" s="20"/>
      <c r="C22" s="20"/>
      <c r="D22" s="864"/>
      <c r="E22" s="20">
        <f t="shared" si="2"/>
        <v>0</v>
      </c>
      <c r="F22" s="20"/>
      <c r="G22" s="20">
        <f t="shared" si="3"/>
        <v>0</v>
      </c>
      <c r="H22" s="22" t="str">
        <f t="shared" si="4"/>
        <v/>
      </c>
    </row>
    <row r="23" spans="1:8" ht="12.75" customHeight="1">
      <c r="A23" s="10" t="s">
        <v>30</v>
      </c>
      <c r="B23" s="11">
        <f>SUM(B24:B26)</f>
        <v>559000</v>
      </c>
      <c r="C23" s="11"/>
      <c r="D23" s="862">
        <f>SUM(D25:D25)</f>
        <v>40790</v>
      </c>
      <c r="E23" s="11">
        <f t="shared" si="2"/>
        <v>599790</v>
      </c>
      <c r="F23" s="11">
        <f>SUM(F24:F26)</f>
        <v>507800</v>
      </c>
      <c r="G23" s="11">
        <f t="shared" si="3"/>
        <v>-91990</v>
      </c>
      <c r="H23" s="12">
        <f t="shared" si="4"/>
        <v>-0.15337034628786742</v>
      </c>
    </row>
    <row r="24" spans="1:8">
      <c r="A24" s="23" t="s">
        <v>31</v>
      </c>
      <c r="B24" s="24">
        <v>2800</v>
      </c>
      <c r="C24" s="24"/>
      <c r="D24" s="862"/>
      <c r="E24" s="24">
        <f t="shared" si="2"/>
        <v>2800</v>
      </c>
      <c r="F24" s="24">
        <v>2800</v>
      </c>
      <c r="G24" s="24">
        <f t="shared" si="3"/>
        <v>0</v>
      </c>
      <c r="H24" s="25">
        <f t="shared" si="4"/>
        <v>0</v>
      </c>
    </row>
    <row r="25" spans="1:8">
      <c r="A25" s="23" t="s">
        <v>16</v>
      </c>
      <c r="B25" s="24">
        <v>76200</v>
      </c>
      <c r="C25" s="24"/>
      <c r="D25" s="864">
        <v>40790</v>
      </c>
      <c r="E25" s="24">
        <f t="shared" si="2"/>
        <v>116990</v>
      </c>
      <c r="F25" s="24">
        <v>25000</v>
      </c>
      <c r="G25" s="24">
        <f t="shared" si="3"/>
        <v>-91990</v>
      </c>
      <c r="H25" s="25">
        <f t="shared" si="4"/>
        <v>-0.78630652192495087</v>
      </c>
    </row>
    <row r="26" spans="1:8">
      <c r="A26" s="15" t="s">
        <v>32</v>
      </c>
      <c r="B26" s="16">
        <v>480000</v>
      </c>
      <c r="C26" s="16"/>
      <c r="D26" s="864"/>
      <c r="E26" s="16">
        <f t="shared" si="2"/>
        <v>480000</v>
      </c>
      <c r="F26" s="16">
        <f>SUM(C26:E26)</f>
        <v>480000</v>
      </c>
      <c r="G26" s="16">
        <f t="shared" si="3"/>
        <v>0</v>
      </c>
      <c r="H26" s="17">
        <f t="shared" si="4"/>
        <v>0</v>
      </c>
    </row>
    <row r="27" spans="1:8" ht="12.75" customHeight="1">
      <c r="A27" s="23"/>
      <c r="B27" s="18"/>
      <c r="C27" s="18"/>
      <c r="D27" s="864"/>
      <c r="E27" s="18">
        <f t="shared" si="2"/>
        <v>0</v>
      </c>
      <c r="F27" s="18"/>
      <c r="G27" s="18">
        <f t="shared" si="3"/>
        <v>0</v>
      </c>
      <c r="H27" s="19" t="str">
        <f t="shared" si="4"/>
        <v/>
      </c>
    </row>
    <row r="28" spans="1:8">
      <c r="A28" s="27" t="s">
        <v>33</v>
      </c>
      <c r="B28" s="28">
        <f>B29+B31</f>
        <v>631999</v>
      </c>
      <c r="C28" s="28">
        <f>C29+C31</f>
        <v>92512</v>
      </c>
      <c r="D28" s="862">
        <f>D29+D31</f>
        <v>71437</v>
      </c>
      <c r="E28" s="28">
        <f t="shared" si="2"/>
        <v>795948</v>
      </c>
      <c r="F28" s="28">
        <f>F29+F31</f>
        <v>742000</v>
      </c>
      <c r="G28" s="28">
        <f t="shared" si="3"/>
        <v>-53948</v>
      </c>
      <c r="H28" s="29">
        <f t="shared" si="4"/>
        <v>-6.7778297074683275E-2</v>
      </c>
    </row>
    <row r="29" spans="1:8">
      <c r="A29" s="30" t="s">
        <v>34</v>
      </c>
      <c r="B29" s="13">
        <f>B30</f>
        <v>556016</v>
      </c>
      <c r="C29" s="13"/>
      <c r="D29" s="863">
        <f>D30</f>
        <v>21437</v>
      </c>
      <c r="E29" s="13">
        <f t="shared" si="2"/>
        <v>577453</v>
      </c>
      <c r="F29" s="13">
        <f>F30</f>
        <v>557200</v>
      </c>
      <c r="G29" s="13">
        <f t="shared" si="3"/>
        <v>-20253</v>
      </c>
      <c r="H29" s="14">
        <f t="shared" si="4"/>
        <v>-3.5072984294825728E-2</v>
      </c>
    </row>
    <row r="30" spans="1:8">
      <c r="A30" s="15" t="s">
        <v>15</v>
      </c>
      <c r="B30" s="16">
        <v>556016</v>
      </c>
      <c r="C30" s="16"/>
      <c r="D30" s="864">
        <v>21437</v>
      </c>
      <c r="E30" s="16">
        <f t="shared" si="2"/>
        <v>577453</v>
      </c>
      <c r="F30" s="16">
        <v>557200</v>
      </c>
      <c r="G30" s="16">
        <f t="shared" si="3"/>
        <v>-20253</v>
      </c>
      <c r="H30" s="17">
        <f t="shared" si="4"/>
        <v>-3.5072984294825728E-2</v>
      </c>
    </row>
    <row r="31" spans="1:8" ht="12.75" customHeight="1">
      <c r="A31" s="30" t="s">
        <v>35</v>
      </c>
      <c r="B31" s="13">
        <f>B32</f>
        <v>75983</v>
      </c>
      <c r="C31" s="13">
        <f>C32</f>
        <v>92512</v>
      </c>
      <c r="D31" s="863">
        <f>D32</f>
        <v>50000</v>
      </c>
      <c r="E31" s="13">
        <f t="shared" si="2"/>
        <v>218495</v>
      </c>
      <c r="F31" s="13">
        <f>F32</f>
        <v>184800</v>
      </c>
      <c r="G31" s="13">
        <f t="shared" si="3"/>
        <v>-33695</v>
      </c>
      <c r="H31" s="14">
        <f t="shared" si="4"/>
        <v>-0.15421405524153869</v>
      </c>
    </row>
    <row r="32" spans="1:8" ht="12.75" customHeight="1">
      <c r="A32" s="15" t="s">
        <v>15</v>
      </c>
      <c r="B32" s="16">
        <v>75983</v>
      </c>
      <c r="C32" s="16">
        <v>92512</v>
      </c>
      <c r="D32" s="864">
        <v>50000</v>
      </c>
      <c r="E32" s="16">
        <f t="shared" si="2"/>
        <v>218495</v>
      </c>
      <c r="F32" s="16">
        <v>184800</v>
      </c>
      <c r="G32" s="16">
        <f t="shared" si="3"/>
        <v>-33695</v>
      </c>
      <c r="H32" s="17">
        <f t="shared" si="4"/>
        <v>-0.15421405524153869</v>
      </c>
    </row>
    <row r="33" spans="1:8">
      <c r="A33" s="20"/>
      <c r="B33" s="18"/>
      <c r="C33" s="18"/>
      <c r="D33" s="863"/>
      <c r="E33" s="18">
        <f t="shared" si="2"/>
        <v>0</v>
      </c>
      <c r="F33" s="18"/>
      <c r="G33" s="18">
        <f t="shared" si="3"/>
        <v>0</v>
      </c>
      <c r="H33" s="19" t="str">
        <f t="shared" si="4"/>
        <v/>
      </c>
    </row>
    <row r="34" spans="1:8">
      <c r="A34" s="10" t="s">
        <v>36</v>
      </c>
      <c r="B34" s="28">
        <f>B36+B43</f>
        <v>816000</v>
      </c>
      <c r="C34" s="28">
        <f>C36+C43</f>
        <v>25193</v>
      </c>
      <c r="D34" s="862">
        <f>D43+D41</f>
        <v>221738</v>
      </c>
      <c r="E34" s="28">
        <f t="shared" si="2"/>
        <v>1062931</v>
      </c>
      <c r="F34" s="28">
        <f>F36+F43</f>
        <v>862900</v>
      </c>
      <c r="G34" s="28">
        <f t="shared" si="3"/>
        <v>-200031</v>
      </c>
      <c r="H34" s="29">
        <f t="shared" si="4"/>
        <v>-0.18818813262573017</v>
      </c>
    </row>
    <row r="35" spans="1:8" ht="12.75" customHeight="1">
      <c r="A35" s="23"/>
      <c r="B35" s="18"/>
      <c r="C35" s="18"/>
      <c r="D35" s="864"/>
      <c r="E35" s="18">
        <f t="shared" si="2"/>
        <v>0</v>
      </c>
      <c r="F35" s="18"/>
      <c r="G35" s="18">
        <f t="shared" si="3"/>
        <v>0</v>
      </c>
      <c r="H35" s="19" t="str">
        <f t="shared" si="4"/>
        <v/>
      </c>
    </row>
    <row r="36" spans="1:8" ht="12.75" customHeight="1">
      <c r="A36" s="20" t="s">
        <v>37</v>
      </c>
      <c r="B36" s="31">
        <f>B37+B38+B39</f>
        <v>716000</v>
      </c>
      <c r="C36" s="31"/>
      <c r="D36" s="864"/>
      <c r="E36" s="31">
        <f t="shared" si="2"/>
        <v>716000</v>
      </c>
      <c r="F36" s="31">
        <f>F37+F38+F39</f>
        <v>755100</v>
      </c>
      <c r="G36" s="31">
        <f t="shared" si="3"/>
        <v>39100</v>
      </c>
      <c r="H36" s="19">
        <f t="shared" si="4"/>
        <v>5.4608938547486031E-2</v>
      </c>
    </row>
    <row r="37" spans="1:8">
      <c r="A37" s="15" t="s">
        <v>14</v>
      </c>
      <c r="B37" s="16">
        <v>1000</v>
      </c>
      <c r="C37" s="16"/>
      <c r="D37" s="864"/>
      <c r="E37" s="16">
        <f t="shared" si="2"/>
        <v>1000</v>
      </c>
      <c r="F37" s="16">
        <v>100</v>
      </c>
      <c r="G37" s="16">
        <f t="shared" si="3"/>
        <v>-900</v>
      </c>
      <c r="H37" s="17">
        <f t="shared" si="4"/>
        <v>-0.9</v>
      </c>
    </row>
    <row r="38" spans="1:8">
      <c r="A38" s="15" t="s">
        <v>16</v>
      </c>
      <c r="B38" s="16">
        <v>15000</v>
      </c>
      <c r="C38" s="16"/>
      <c r="D38" s="864"/>
      <c r="E38" s="16">
        <f t="shared" si="2"/>
        <v>15000</v>
      </c>
      <c r="F38" s="16">
        <v>15000</v>
      </c>
      <c r="G38" s="16">
        <f t="shared" si="3"/>
        <v>0</v>
      </c>
      <c r="H38" s="17">
        <f t="shared" si="4"/>
        <v>0</v>
      </c>
    </row>
    <row r="39" spans="1:8">
      <c r="A39" s="15" t="s">
        <v>38</v>
      </c>
      <c r="B39" s="16">
        <v>700000</v>
      </c>
      <c r="C39" s="16"/>
      <c r="D39" s="864"/>
      <c r="E39" s="16">
        <f t="shared" si="2"/>
        <v>700000</v>
      </c>
      <c r="F39" s="16">
        <v>740000</v>
      </c>
      <c r="G39" s="16">
        <f t="shared" si="3"/>
        <v>40000</v>
      </c>
      <c r="H39" s="17">
        <f t="shared" si="4"/>
        <v>5.7142857142857141E-2</v>
      </c>
    </row>
    <row r="40" spans="1:8">
      <c r="A40" s="26"/>
      <c r="B40" s="18"/>
      <c r="C40" s="18"/>
      <c r="D40" s="864"/>
      <c r="E40" s="18">
        <f t="shared" si="2"/>
        <v>0</v>
      </c>
      <c r="F40" s="18"/>
      <c r="G40" s="18">
        <f t="shared" si="3"/>
        <v>0</v>
      </c>
      <c r="H40" s="19" t="str">
        <f t="shared" si="4"/>
        <v/>
      </c>
    </row>
    <row r="41" spans="1:8">
      <c r="A41" s="20" t="s">
        <v>1242</v>
      </c>
      <c r="B41" s="18"/>
      <c r="C41" s="18"/>
      <c r="D41" s="863">
        <v>29000</v>
      </c>
      <c r="E41" s="18">
        <f t="shared" si="2"/>
        <v>29000</v>
      </c>
      <c r="F41" s="18"/>
      <c r="G41" s="18">
        <f t="shared" si="3"/>
        <v>0</v>
      </c>
      <c r="H41" s="19" t="str">
        <f t="shared" si="4"/>
        <v/>
      </c>
    </row>
    <row r="42" spans="1:8">
      <c r="A42" s="26"/>
      <c r="B42" s="18"/>
      <c r="C42" s="18"/>
      <c r="D42" s="864"/>
      <c r="E42" s="18">
        <f t="shared" si="2"/>
        <v>0</v>
      </c>
      <c r="F42" s="18"/>
      <c r="G42" s="18">
        <f t="shared" si="3"/>
        <v>0</v>
      </c>
      <c r="H42" s="19" t="str">
        <f t="shared" si="4"/>
        <v/>
      </c>
    </row>
    <row r="43" spans="1:8">
      <c r="A43" s="20" t="s">
        <v>39</v>
      </c>
      <c r="B43" s="21">
        <f>B44+B47</f>
        <v>100000</v>
      </c>
      <c r="C43" s="21">
        <f>C44+C47</f>
        <v>25193</v>
      </c>
      <c r="D43" s="863">
        <f>+D47+D44</f>
        <v>192738</v>
      </c>
      <c r="E43" s="21">
        <f t="shared" si="2"/>
        <v>317931</v>
      </c>
      <c r="F43" s="21">
        <f>F44+F47</f>
        <v>107800</v>
      </c>
      <c r="G43" s="21">
        <f t="shared" si="3"/>
        <v>-210131</v>
      </c>
      <c r="H43" s="22">
        <f t="shared" si="4"/>
        <v>-0.66093271810550092</v>
      </c>
    </row>
    <row r="44" spans="1:8">
      <c r="A44" s="32" t="s">
        <v>40</v>
      </c>
      <c r="B44" s="21">
        <f>B45</f>
        <v>35000</v>
      </c>
      <c r="C44" s="21">
        <f>C46</f>
        <v>11800</v>
      </c>
      <c r="D44" s="863">
        <f>D46</f>
        <v>17300</v>
      </c>
      <c r="E44" s="21">
        <f t="shared" si="2"/>
        <v>64100</v>
      </c>
      <c r="F44" s="21">
        <f>F45+F46</f>
        <v>42800</v>
      </c>
      <c r="G44" s="21">
        <f t="shared" si="3"/>
        <v>-21300</v>
      </c>
      <c r="H44" s="22">
        <f t="shared" si="4"/>
        <v>-0.33229329173166927</v>
      </c>
    </row>
    <row r="45" spans="1:8">
      <c r="A45" s="15" t="s">
        <v>14</v>
      </c>
      <c r="B45" s="16">
        <v>35000</v>
      </c>
      <c r="C45" s="16"/>
      <c r="D45" s="863"/>
      <c r="E45" s="16">
        <f t="shared" si="2"/>
        <v>35000</v>
      </c>
      <c r="F45" s="16">
        <v>31000</v>
      </c>
      <c r="G45" s="16">
        <f t="shared" si="3"/>
        <v>-4000</v>
      </c>
      <c r="H45" s="17">
        <f t="shared" si="4"/>
        <v>-0.11428571428571428</v>
      </c>
    </row>
    <row r="46" spans="1:8">
      <c r="A46" s="15" t="s">
        <v>32</v>
      </c>
      <c r="B46" s="15"/>
      <c r="C46" s="24">
        <v>11800</v>
      </c>
      <c r="D46" s="865">
        <v>17300</v>
      </c>
      <c r="E46" s="865">
        <f t="shared" si="2"/>
        <v>29100</v>
      </c>
      <c r="F46" s="865">
        <v>11800</v>
      </c>
      <c r="G46" s="21">
        <f t="shared" si="3"/>
        <v>-17300</v>
      </c>
      <c r="H46" s="17">
        <f t="shared" si="4"/>
        <v>-0.59450171821305842</v>
      </c>
    </row>
    <row r="47" spans="1:8">
      <c r="A47" s="30" t="s">
        <v>41</v>
      </c>
      <c r="B47" s="13">
        <v>65000</v>
      </c>
      <c r="C47" s="13">
        <f>SUM(C49:C56)</f>
        <v>13393</v>
      </c>
      <c r="D47" s="863">
        <f>SUM(D48:D55)</f>
        <v>175438</v>
      </c>
      <c r="E47" s="13">
        <f t="shared" si="2"/>
        <v>253831</v>
      </c>
      <c r="F47" s="13">
        <v>65000</v>
      </c>
      <c r="G47" s="13">
        <f t="shared" si="3"/>
        <v>-188831</v>
      </c>
      <c r="H47" s="14">
        <f t="shared" si="4"/>
        <v>-0.74392410698456846</v>
      </c>
    </row>
    <row r="48" spans="1:8">
      <c r="A48" s="23" t="s">
        <v>813</v>
      </c>
      <c r="B48" s="13"/>
      <c r="C48" s="13"/>
      <c r="D48" s="864">
        <v>22775</v>
      </c>
      <c r="E48" s="13">
        <f t="shared" si="2"/>
        <v>22775</v>
      </c>
      <c r="F48" s="13"/>
      <c r="G48" s="13">
        <f t="shared" si="3"/>
        <v>0</v>
      </c>
      <c r="H48" s="14" t="str">
        <f t="shared" si="4"/>
        <v/>
      </c>
    </row>
    <row r="49" spans="1:9">
      <c r="A49" s="15" t="s">
        <v>53</v>
      </c>
      <c r="B49" s="15"/>
      <c r="C49" s="24">
        <v>1218</v>
      </c>
      <c r="D49" s="864">
        <f>139+5708</f>
        <v>5847</v>
      </c>
      <c r="E49" s="16">
        <f t="shared" si="2"/>
        <v>7065</v>
      </c>
      <c r="F49" s="16"/>
      <c r="G49" s="15">
        <f t="shared" si="3"/>
        <v>0</v>
      </c>
      <c r="H49" s="35" t="str">
        <f t="shared" si="4"/>
        <v/>
      </c>
    </row>
    <row r="50" spans="1:9">
      <c r="A50" s="15" t="s">
        <v>54</v>
      </c>
      <c r="B50" s="15"/>
      <c r="C50" s="24">
        <v>5993</v>
      </c>
      <c r="D50" s="864">
        <v>1200</v>
      </c>
      <c r="E50" s="16">
        <f t="shared" si="2"/>
        <v>7193</v>
      </c>
      <c r="F50" s="16"/>
      <c r="G50" s="15">
        <f t="shared" si="3"/>
        <v>0</v>
      </c>
      <c r="H50" s="35" t="str">
        <f t="shared" si="4"/>
        <v/>
      </c>
    </row>
    <row r="51" spans="1:9">
      <c r="A51" s="23" t="s">
        <v>254</v>
      </c>
      <c r="B51" s="15"/>
      <c r="C51" s="24"/>
      <c r="D51" s="864">
        <f>1061+1026</f>
        <v>2087</v>
      </c>
      <c r="E51" s="16">
        <f t="shared" si="2"/>
        <v>2087</v>
      </c>
      <c r="F51" s="16"/>
      <c r="G51" s="15">
        <f t="shared" si="3"/>
        <v>0</v>
      </c>
      <c r="H51" s="35" t="str">
        <f t="shared" si="4"/>
        <v/>
      </c>
    </row>
    <row r="52" spans="1:9">
      <c r="A52" s="15" t="s">
        <v>662</v>
      </c>
      <c r="B52" s="15"/>
      <c r="C52" s="24"/>
      <c r="D52" s="865">
        <v>108720</v>
      </c>
      <c r="E52" s="16">
        <f t="shared" si="2"/>
        <v>108720</v>
      </c>
      <c r="F52" s="16"/>
      <c r="G52" s="15">
        <f t="shared" si="3"/>
        <v>0</v>
      </c>
      <c r="H52" s="35" t="str">
        <f t="shared" si="4"/>
        <v/>
      </c>
    </row>
    <row r="53" spans="1:9">
      <c r="A53" s="15" t="s">
        <v>622</v>
      </c>
      <c r="B53" s="15"/>
      <c r="C53" s="24"/>
      <c r="D53" s="865">
        <v>10080</v>
      </c>
      <c r="E53" s="16">
        <f t="shared" si="2"/>
        <v>10080</v>
      </c>
      <c r="F53" s="16"/>
      <c r="G53" s="15">
        <f t="shared" si="3"/>
        <v>0</v>
      </c>
      <c r="H53" s="35" t="str">
        <f t="shared" si="4"/>
        <v/>
      </c>
    </row>
    <row r="54" spans="1:9" ht="16.5" customHeight="1">
      <c r="A54" s="15" t="s">
        <v>15</v>
      </c>
      <c r="B54" s="15"/>
      <c r="C54" s="24"/>
      <c r="D54" s="865">
        <v>24300</v>
      </c>
      <c r="E54" s="16">
        <f t="shared" si="2"/>
        <v>24300</v>
      </c>
      <c r="F54" s="16"/>
      <c r="G54" s="15">
        <f t="shared" si="3"/>
        <v>0</v>
      </c>
      <c r="H54" s="35" t="str">
        <f t="shared" si="4"/>
        <v/>
      </c>
    </row>
    <row r="55" spans="1:9">
      <c r="A55" s="23" t="s">
        <v>721</v>
      </c>
      <c r="B55" s="15"/>
      <c r="C55" s="24"/>
      <c r="D55" s="864">
        <v>429</v>
      </c>
      <c r="E55" s="16">
        <f t="shared" si="2"/>
        <v>429</v>
      </c>
      <c r="F55" s="16"/>
      <c r="G55" s="15">
        <f t="shared" si="3"/>
        <v>0</v>
      </c>
      <c r="H55" s="35" t="str">
        <f t="shared" si="4"/>
        <v/>
      </c>
    </row>
    <row r="56" spans="1:9" s="543" customFormat="1">
      <c r="A56" s="15" t="s">
        <v>55</v>
      </c>
      <c r="B56" s="15"/>
      <c r="C56" s="24">
        <f>5182+1000</f>
        <v>6182</v>
      </c>
      <c r="D56" s="864"/>
      <c r="E56" s="16">
        <f t="shared" si="2"/>
        <v>6182</v>
      </c>
      <c r="F56" s="16"/>
      <c r="G56" s="15">
        <f t="shared" si="3"/>
        <v>0</v>
      </c>
      <c r="H56" s="35" t="str">
        <f t="shared" si="4"/>
        <v/>
      </c>
      <c r="I56" s="6"/>
    </row>
    <row r="57" spans="1:9" s="543" customFormat="1">
      <c r="A57" s="26"/>
      <c r="B57" s="18"/>
      <c r="C57" s="18"/>
      <c r="D57" s="864"/>
      <c r="E57" s="18">
        <f t="shared" si="2"/>
        <v>0</v>
      </c>
      <c r="F57" s="18"/>
      <c r="G57" s="18">
        <f t="shared" si="3"/>
        <v>0</v>
      </c>
      <c r="H57" s="19" t="str">
        <f t="shared" si="4"/>
        <v/>
      </c>
      <c r="I57" s="6"/>
    </row>
    <row r="58" spans="1:9" s="18" customFormat="1">
      <c r="A58" s="10" t="s">
        <v>42</v>
      </c>
      <c r="B58" s="11">
        <f>B59</f>
        <v>50000</v>
      </c>
      <c r="C58" s="11"/>
      <c r="D58" s="862">
        <f>D59</f>
        <v>-10000</v>
      </c>
      <c r="E58" s="11">
        <f t="shared" si="2"/>
        <v>40000</v>
      </c>
      <c r="F58" s="11">
        <f>F59</f>
        <v>10000</v>
      </c>
      <c r="G58" s="11">
        <f t="shared" si="3"/>
        <v>-30000</v>
      </c>
      <c r="H58" s="12">
        <f t="shared" si="4"/>
        <v>-0.75</v>
      </c>
      <c r="I58" s="6"/>
    </row>
    <row r="59" spans="1:9" s="18" customFormat="1">
      <c r="A59" s="20" t="s">
        <v>43</v>
      </c>
      <c r="B59" s="21">
        <f>B60</f>
        <v>50000</v>
      </c>
      <c r="C59" s="21"/>
      <c r="D59" s="863">
        <f>D60</f>
        <v>-10000</v>
      </c>
      <c r="E59" s="21">
        <f t="shared" si="2"/>
        <v>40000</v>
      </c>
      <c r="F59" s="21">
        <f>F60</f>
        <v>10000</v>
      </c>
      <c r="G59" s="21">
        <f t="shared" si="3"/>
        <v>-30000</v>
      </c>
      <c r="H59" s="22">
        <f t="shared" si="4"/>
        <v>-0.75</v>
      </c>
      <c r="I59" s="6"/>
    </row>
    <row r="60" spans="1:9" s="18" customFormat="1">
      <c r="A60" s="15" t="s">
        <v>24</v>
      </c>
      <c r="B60" s="16">
        <v>50000</v>
      </c>
      <c r="C60" s="16"/>
      <c r="D60" s="864">
        <v>-10000</v>
      </c>
      <c r="E60" s="16">
        <f t="shared" si="2"/>
        <v>40000</v>
      </c>
      <c r="F60" s="16">
        <v>10000</v>
      </c>
      <c r="G60" s="16">
        <f t="shared" si="3"/>
        <v>-30000</v>
      </c>
      <c r="H60" s="17">
        <f t="shared" si="4"/>
        <v>-0.75</v>
      </c>
      <c r="I60" s="6"/>
    </row>
    <row r="61" spans="1:9" s="18" customFormat="1">
      <c r="A61" s="20"/>
      <c r="D61" s="863"/>
      <c r="E61" s="18">
        <f t="shared" si="2"/>
        <v>0</v>
      </c>
      <c r="G61" s="18">
        <f t="shared" si="3"/>
        <v>0</v>
      </c>
      <c r="H61" s="19" t="str">
        <f t="shared" si="4"/>
        <v/>
      </c>
      <c r="I61" s="6"/>
    </row>
    <row r="62" spans="1:9" s="18" customFormat="1" ht="18" customHeight="1">
      <c r="A62" s="10" t="s">
        <v>44</v>
      </c>
      <c r="B62" s="11">
        <f>B63+B67+B68</f>
        <v>1418868</v>
      </c>
      <c r="C62" s="11">
        <f t="shared" ref="C62:D62" si="5">C63+C67+C68</f>
        <v>302684</v>
      </c>
      <c r="D62" s="11">
        <f t="shared" si="5"/>
        <v>14900</v>
      </c>
      <c r="E62" s="11">
        <f t="shared" si="2"/>
        <v>1736452</v>
      </c>
      <c r="F62" s="11">
        <f>SUM(F63,F67:F68)</f>
        <v>10740677</v>
      </c>
      <c r="G62" s="11">
        <f t="shared" si="3"/>
        <v>9004225</v>
      </c>
      <c r="H62" s="12">
        <f t="shared" si="4"/>
        <v>5.1854154333088394</v>
      </c>
      <c r="I62" s="6"/>
    </row>
    <row r="63" spans="1:9" s="18" customFormat="1">
      <c r="A63" s="30" t="s">
        <v>45</v>
      </c>
      <c r="B63" s="13">
        <v>2927000</v>
      </c>
      <c r="C63" s="13">
        <f>C64+C65</f>
        <v>309484</v>
      </c>
      <c r="D63" s="863">
        <f>D65+D66</f>
        <v>14900</v>
      </c>
      <c r="E63" s="13">
        <f t="shared" si="2"/>
        <v>3251384</v>
      </c>
      <c r="F63" s="13">
        <f>F64+F65</f>
        <v>16653204</v>
      </c>
      <c r="G63" s="13">
        <f t="shared" si="3"/>
        <v>13401820</v>
      </c>
      <c r="H63" s="14">
        <f t="shared" si="4"/>
        <v>4.1218816356357788</v>
      </c>
      <c r="I63" s="6"/>
    </row>
    <row r="64" spans="1:9">
      <c r="A64" s="15" t="s">
        <v>15</v>
      </c>
      <c r="B64" s="16">
        <v>2927000</v>
      </c>
      <c r="C64" s="16">
        <v>300000</v>
      </c>
      <c r="D64" s="863"/>
      <c r="E64" s="16">
        <f t="shared" si="2"/>
        <v>3227000</v>
      </c>
      <c r="F64" s="16">
        <f>17488700-844496</f>
        <v>16644204</v>
      </c>
      <c r="G64" s="16">
        <f t="shared" si="3"/>
        <v>13417204</v>
      </c>
      <c r="H64" s="17">
        <f t="shared" si="4"/>
        <v>4.1577948559033162</v>
      </c>
      <c r="I64" s="543"/>
    </row>
    <row r="65" spans="1:9">
      <c r="A65" s="15" t="s">
        <v>54</v>
      </c>
      <c r="B65" s="15"/>
      <c r="C65" s="16">
        <v>9484</v>
      </c>
      <c r="D65" s="864">
        <v>3000</v>
      </c>
      <c r="E65" s="16">
        <f t="shared" si="2"/>
        <v>12484</v>
      </c>
      <c r="F65" s="16">
        <v>9000</v>
      </c>
      <c r="G65" s="16">
        <f t="shared" si="3"/>
        <v>-3484</v>
      </c>
      <c r="H65" s="17">
        <f t="shared" si="4"/>
        <v>-0.27907721884011533</v>
      </c>
      <c r="I65" s="543"/>
    </row>
    <row r="66" spans="1:9">
      <c r="A66" s="23" t="s">
        <v>459</v>
      </c>
      <c r="B66" s="15"/>
      <c r="C66" s="16"/>
      <c r="D66" s="864">
        <v>11900</v>
      </c>
      <c r="E66" s="16">
        <f t="shared" si="2"/>
        <v>11900</v>
      </c>
      <c r="F66" s="16"/>
      <c r="G66" s="16">
        <f t="shared" si="3"/>
        <v>0</v>
      </c>
      <c r="H66" s="17" t="str">
        <f t="shared" si="4"/>
        <v/>
      </c>
      <c r="I66" s="543"/>
    </row>
    <row r="67" spans="1:9" ht="12.75" customHeight="1">
      <c r="A67" s="30" t="s">
        <v>46</v>
      </c>
      <c r="B67" s="13">
        <v>-1498132</v>
      </c>
      <c r="C67" s="13">
        <v>-6800</v>
      </c>
      <c r="D67" s="863"/>
      <c r="E67" s="13">
        <f t="shared" si="2"/>
        <v>-1504932</v>
      </c>
      <c r="F67" s="13">
        <v>-5902527</v>
      </c>
      <c r="G67" s="13">
        <f t="shared" si="3"/>
        <v>-4397595</v>
      </c>
      <c r="H67" s="14">
        <f t="shared" si="4"/>
        <v>2.9221220626579805</v>
      </c>
      <c r="I67" s="18"/>
    </row>
    <row r="68" spans="1:9">
      <c r="A68" s="30" t="s">
        <v>47</v>
      </c>
      <c r="B68" s="13">
        <v>-10000</v>
      </c>
      <c r="C68" s="13"/>
      <c r="D68" s="863"/>
      <c r="E68" s="13">
        <f t="shared" si="2"/>
        <v>-10000</v>
      </c>
      <c r="F68" s="13">
        <v>-10000</v>
      </c>
      <c r="G68" s="13">
        <f t="shared" si="3"/>
        <v>0</v>
      </c>
      <c r="H68" s="14">
        <f t="shared" si="4"/>
        <v>0</v>
      </c>
      <c r="I68" s="18"/>
    </row>
    <row r="69" spans="1:9">
      <c r="A69" s="30"/>
      <c r="B69" s="13"/>
      <c r="C69" s="13"/>
      <c r="D69" s="863"/>
      <c r="E69" s="13">
        <f t="shared" si="2"/>
        <v>0</v>
      </c>
      <c r="F69" s="13"/>
      <c r="G69" s="13">
        <f t="shared" si="3"/>
        <v>0</v>
      </c>
      <c r="H69" s="14" t="str">
        <f t="shared" si="4"/>
        <v/>
      </c>
      <c r="I69" s="18"/>
    </row>
    <row r="70" spans="1:9" ht="12.75" customHeight="1">
      <c r="A70" s="10" t="s">
        <v>48</v>
      </c>
      <c r="B70" s="11">
        <f>B71+B73</f>
        <v>377150</v>
      </c>
      <c r="C70" s="11">
        <f>C71+C73</f>
        <v>1160</v>
      </c>
      <c r="D70" s="862">
        <f>D73</f>
        <v>23566</v>
      </c>
      <c r="E70" s="11">
        <f t="shared" si="2"/>
        <v>401876</v>
      </c>
      <c r="F70" s="11">
        <f>F71+F73</f>
        <v>417150</v>
      </c>
      <c r="G70" s="11">
        <f t="shared" si="3"/>
        <v>15274</v>
      </c>
      <c r="H70" s="12">
        <f t="shared" si="4"/>
        <v>3.8006748350237388E-2</v>
      </c>
      <c r="I70" s="18"/>
    </row>
    <row r="71" spans="1:9" ht="12.75" customHeight="1">
      <c r="A71" s="20" t="s">
        <v>49</v>
      </c>
      <c r="B71" s="21">
        <f>B72</f>
        <v>310000</v>
      </c>
      <c r="C71" s="21"/>
      <c r="D71" s="862"/>
      <c r="E71" s="21">
        <f t="shared" ref="E71:E84" si="6">SUM(B71:D71)</f>
        <v>310000</v>
      </c>
      <c r="F71" s="21">
        <f>F72</f>
        <v>350000</v>
      </c>
      <c r="G71" s="21">
        <f t="shared" ref="G71:G84" si="7">IF(F71=0,0,F71-E71)</f>
        <v>40000</v>
      </c>
      <c r="H71" s="22">
        <f t="shared" ref="H71:H84" si="8">IF(F71=0,"",G71/E71)</f>
        <v>0.12903225806451613</v>
      </c>
      <c r="I71" s="18"/>
    </row>
    <row r="72" spans="1:9" ht="12.75" customHeight="1">
      <c r="A72" s="15" t="s">
        <v>24</v>
      </c>
      <c r="B72" s="16">
        <v>310000</v>
      </c>
      <c r="C72" s="16"/>
      <c r="D72" s="862"/>
      <c r="E72" s="16">
        <f t="shared" si="6"/>
        <v>310000</v>
      </c>
      <c r="F72" s="16">
        <v>350000</v>
      </c>
      <c r="G72" s="16">
        <f t="shared" si="7"/>
        <v>40000</v>
      </c>
      <c r="H72" s="17">
        <f t="shared" si="8"/>
        <v>0.12903225806451613</v>
      </c>
      <c r="I72" s="18"/>
    </row>
    <row r="73" spans="1:9">
      <c r="A73" s="20" t="s">
        <v>50</v>
      </c>
      <c r="B73" s="21">
        <v>67150</v>
      </c>
      <c r="C73" s="21">
        <f>C74+C78</f>
        <v>1160</v>
      </c>
      <c r="D73" s="863">
        <f>SUM(D74:D79)</f>
        <v>23566</v>
      </c>
      <c r="E73" s="21">
        <f t="shared" si="6"/>
        <v>91876</v>
      </c>
      <c r="F73" s="21">
        <v>67150</v>
      </c>
      <c r="G73" s="21">
        <f t="shared" si="7"/>
        <v>-24726</v>
      </c>
      <c r="H73" s="22">
        <f t="shared" si="8"/>
        <v>-0.26912360137576735</v>
      </c>
    </row>
    <row r="74" spans="1:9">
      <c r="A74" s="15" t="s">
        <v>53</v>
      </c>
      <c r="B74" s="15"/>
      <c r="C74" s="24">
        <v>120</v>
      </c>
      <c r="D74" s="864">
        <v>177</v>
      </c>
      <c r="E74" s="16">
        <f t="shared" si="6"/>
        <v>297</v>
      </c>
      <c r="F74" s="16"/>
      <c r="G74" s="15">
        <f t="shared" si="7"/>
        <v>0</v>
      </c>
      <c r="H74" s="35" t="str">
        <f t="shared" si="8"/>
        <v/>
      </c>
    </row>
    <row r="75" spans="1:9">
      <c r="A75" s="23" t="s">
        <v>699</v>
      </c>
      <c r="B75" s="15"/>
      <c r="C75" s="24"/>
      <c r="D75" s="864">
        <v>1100</v>
      </c>
      <c r="E75" s="16">
        <f t="shared" si="6"/>
        <v>1100</v>
      </c>
      <c r="F75" s="16"/>
      <c r="G75" s="15">
        <f t="shared" si="7"/>
        <v>0</v>
      </c>
      <c r="H75" s="35" t="str">
        <f t="shared" si="8"/>
        <v/>
      </c>
    </row>
    <row r="76" spans="1:9">
      <c r="A76" s="23" t="s">
        <v>1243</v>
      </c>
      <c r="B76" s="15"/>
      <c r="C76" s="24"/>
      <c r="D76" s="864">
        <f>10370+130</f>
        <v>10500</v>
      </c>
      <c r="E76" s="16">
        <f t="shared" si="6"/>
        <v>10500</v>
      </c>
      <c r="F76" s="16"/>
      <c r="G76" s="15">
        <f t="shared" si="7"/>
        <v>0</v>
      </c>
      <c r="H76" s="35" t="str">
        <f t="shared" si="8"/>
        <v/>
      </c>
    </row>
    <row r="77" spans="1:9">
      <c r="A77" s="23" t="s">
        <v>721</v>
      </c>
      <c r="B77" s="15"/>
      <c r="C77" s="24"/>
      <c r="D77" s="864">
        <v>689</v>
      </c>
      <c r="E77" s="16">
        <f t="shared" si="6"/>
        <v>689</v>
      </c>
      <c r="F77" s="16"/>
      <c r="G77" s="15">
        <f t="shared" si="7"/>
        <v>0</v>
      </c>
      <c r="H77" s="35" t="str">
        <f t="shared" si="8"/>
        <v/>
      </c>
    </row>
    <row r="78" spans="1:9">
      <c r="A78" s="15" t="s">
        <v>55</v>
      </c>
      <c r="B78" s="15"/>
      <c r="C78" s="24">
        <v>1040</v>
      </c>
      <c r="D78" s="864">
        <v>7500</v>
      </c>
      <c r="E78" s="16">
        <f t="shared" si="6"/>
        <v>8540</v>
      </c>
      <c r="F78" s="16"/>
      <c r="G78" s="15">
        <f t="shared" si="7"/>
        <v>0</v>
      </c>
      <c r="H78" s="35" t="str">
        <f t="shared" si="8"/>
        <v/>
      </c>
    </row>
    <row r="79" spans="1:9">
      <c r="A79" s="23" t="s">
        <v>729</v>
      </c>
      <c r="B79" s="18"/>
      <c r="C79" s="18"/>
      <c r="D79" s="864">
        <v>3600</v>
      </c>
      <c r="E79" s="16">
        <f t="shared" si="6"/>
        <v>3600</v>
      </c>
      <c r="F79" s="16"/>
      <c r="G79" s="18">
        <f t="shared" si="7"/>
        <v>0</v>
      </c>
      <c r="H79" s="19" t="str">
        <f t="shared" si="8"/>
        <v/>
      </c>
    </row>
    <row r="80" spans="1:9">
      <c r="A80" s="20"/>
      <c r="B80" s="18"/>
      <c r="C80" s="18"/>
      <c r="D80" s="864"/>
      <c r="E80" s="16">
        <f t="shared" si="6"/>
        <v>0</v>
      </c>
      <c r="F80" s="16"/>
      <c r="G80" s="18">
        <f t="shared" si="7"/>
        <v>0</v>
      </c>
      <c r="H80" s="19" t="str">
        <f t="shared" si="8"/>
        <v/>
      </c>
    </row>
    <row r="81" spans="1:8">
      <c r="A81" s="10" t="s">
        <v>51</v>
      </c>
      <c r="B81" s="11">
        <f>B82</f>
        <v>8900000</v>
      </c>
      <c r="C81" s="11">
        <f>C82</f>
        <v>145817</v>
      </c>
      <c r="D81" s="864"/>
      <c r="E81" s="11">
        <f t="shared" si="6"/>
        <v>9045817</v>
      </c>
      <c r="F81" s="11">
        <f>F82</f>
        <v>8900000</v>
      </c>
      <c r="G81" s="11">
        <f t="shared" si="7"/>
        <v>-145817</v>
      </c>
      <c r="H81" s="12">
        <f t="shared" si="8"/>
        <v>-1.6119826434693518E-2</v>
      </c>
    </row>
    <row r="82" spans="1:8">
      <c r="A82" s="15" t="s">
        <v>14</v>
      </c>
      <c r="B82" s="16">
        <v>8900000</v>
      </c>
      <c r="C82" s="16">
        <v>145817</v>
      </c>
      <c r="D82" s="864"/>
      <c r="E82" s="16">
        <f t="shared" si="6"/>
        <v>9045817</v>
      </c>
      <c r="F82" s="16">
        <f>8300000+600000</f>
        <v>8900000</v>
      </c>
      <c r="G82" s="16">
        <f t="shared" si="7"/>
        <v>-145817</v>
      </c>
      <c r="H82" s="17">
        <f t="shared" si="8"/>
        <v>-1.6119826434693518E-2</v>
      </c>
    </row>
    <row r="83" spans="1:8">
      <c r="A83" s="26"/>
      <c r="B83" s="18"/>
      <c r="C83" s="18"/>
      <c r="D83" s="864"/>
      <c r="E83" s="18">
        <f t="shared" si="6"/>
        <v>0</v>
      </c>
      <c r="F83" s="18"/>
      <c r="G83" s="18">
        <f t="shared" si="7"/>
        <v>0</v>
      </c>
      <c r="H83" s="19" t="str">
        <f t="shared" si="8"/>
        <v/>
      </c>
    </row>
    <row r="84" spans="1:8">
      <c r="A84" s="10" t="s">
        <v>52</v>
      </c>
      <c r="B84" s="28">
        <f>B6+B13+B23+B28+B34+B58+B62+B70+B81</f>
        <v>377888017</v>
      </c>
      <c r="C84" s="28">
        <f>C6+C13+C23+C28+C34+C58+C62+C70+C81</f>
        <v>6747366</v>
      </c>
      <c r="D84" s="862">
        <f>D6+D13+D23+D28+D34+D58+D62+D70</f>
        <v>6535431</v>
      </c>
      <c r="E84" s="28">
        <f t="shared" si="6"/>
        <v>391170814</v>
      </c>
      <c r="F84" s="28">
        <f>F6+F13+F23+F28+F34+F58+F62+F70+F81</f>
        <v>418090527</v>
      </c>
      <c r="G84" s="28">
        <f t="shared" si="7"/>
        <v>26919713</v>
      </c>
      <c r="H84" s="29">
        <f t="shared" si="8"/>
        <v>6.8818306572330318E-2</v>
      </c>
    </row>
    <row r="85" spans="1:8">
      <c r="B85" s="33"/>
      <c r="C85" s="33"/>
      <c r="D85" s="33"/>
      <c r="G85" s="33"/>
      <c r="H85" s="36"/>
    </row>
    <row r="86" spans="1:8">
      <c r="B86" s="33"/>
    </row>
    <row r="87" spans="1:8">
      <c r="B87" s="33"/>
    </row>
  </sheetData>
  <mergeCells count="2">
    <mergeCell ref="B3:E3"/>
    <mergeCell ref="G3:H3"/>
  </mergeCells>
  <pageMargins left="1.1811023622047245" right="0.47244094488188981" top="0.47244094488188981" bottom="0.98425196850393704" header="0.51181102362204722" footer="0.51181102362204722"/>
  <pageSetup paperSize="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13"/>
  <sheetViews>
    <sheetView showZeros="0" zoomScaleNormal="100" workbookViewId="0">
      <pane xSplit="1" ySplit="4" topLeftCell="B5" activePane="bottomRight" state="frozen"/>
      <selection pane="topRight" activeCell="B1" sqref="B1"/>
      <selection pane="bottomLeft" activeCell="A4" sqref="A4"/>
      <selection pane="bottomRight"/>
    </sheetView>
  </sheetViews>
  <sheetFormatPr defaultColWidth="9.140625" defaultRowHeight="12.75"/>
  <cols>
    <col min="1" max="1" width="52.7109375" style="2" customWidth="1"/>
    <col min="2" max="2" width="11.140625" style="2" bestFit="1" customWidth="1"/>
    <col min="3" max="4" width="10.42578125" style="2" hidden="1" customWidth="1"/>
    <col min="5" max="5" width="12.5703125" style="2" customWidth="1"/>
    <col min="6" max="6" width="11.140625" style="2" bestFit="1" customWidth="1"/>
    <col min="7" max="7" width="10.7109375" style="2" customWidth="1"/>
    <col min="8" max="8" width="9.140625" style="2" customWidth="1"/>
    <col min="9" max="16384" width="9.140625" style="2"/>
  </cols>
  <sheetData>
    <row r="1" spans="1:8" ht="15">
      <c r="A1" s="168" t="s">
        <v>1245</v>
      </c>
      <c r="H1" s="1"/>
    </row>
    <row r="2" spans="1:8">
      <c r="F2" s="418"/>
      <c r="H2" s="1"/>
    </row>
    <row r="3" spans="1:8" ht="26.25" customHeight="1">
      <c r="A3" s="84"/>
      <c r="B3" s="895">
        <v>2016</v>
      </c>
      <c r="C3" s="896"/>
      <c r="D3" s="896"/>
      <c r="E3" s="897"/>
      <c r="F3" s="793">
        <v>2017</v>
      </c>
      <c r="G3" s="898" t="s">
        <v>1224</v>
      </c>
      <c r="H3" s="899"/>
    </row>
    <row r="4" spans="1:8" ht="25.5">
      <c r="A4" s="84"/>
      <c r="B4" s="794" t="s">
        <v>18</v>
      </c>
      <c r="C4" s="795" t="s">
        <v>19</v>
      </c>
      <c r="D4" s="795" t="s">
        <v>1036</v>
      </c>
      <c r="E4" s="796" t="s">
        <v>20</v>
      </c>
      <c r="F4" s="797" t="s">
        <v>1223</v>
      </c>
      <c r="G4" s="798" t="s">
        <v>2</v>
      </c>
      <c r="H4" s="798" t="s">
        <v>21</v>
      </c>
    </row>
    <row r="5" spans="1:8">
      <c r="A5" s="4" t="s">
        <v>238</v>
      </c>
      <c r="B5" s="85">
        <f>B6+B7</f>
        <v>79307980</v>
      </c>
      <c r="C5" s="86">
        <f>C6+C7</f>
        <v>10584251</v>
      </c>
      <c r="D5" s="86"/>
      <c r="E5" s="86">
        <f>SUM(B5:D5)</f>
        <v>89892231</v>
      </c>
      <c r="F5" s="85">
        <f>F6+F7</f>
        <v>92524096</v>
      </c>
      <c r="G5" s="85">
        <f t="shared" ref="G5:G82" si="0">IF(F5=0,0,F5-E5)</f>
        <v>2631865</v>
      </c>
      <c r="H5" s="29">
        <f t="shared" ref="H5:H82" si="1">IF(F5=0,"",G5/E5)</f>
        <v>2.9278002901051595E-2</v>
      </c>
    </row>
    <row r="6" spans="1:8">
      <c r="A6" s="87" t="s">
        <v>239</v>
      </c>
      <c r="B6" s="88">
        <v>76000000</v>
      </c>
      <c r="C6" s="89">
        <v>10000000</v>
      </c>
      <c r="D6" s="89"/>
      <c r="E6" s="89">
        <f t="shared" ref="E6:E65" si="2">SUM(B6:D6)</f>
        <v>86000000</v>
      </c>
      <c r="F6" s="88">
        <f>86600000</f>
        <v>86600000</v>
      </c>
      <c r="G6" s="88">
        <f t="shared" si="0"/>
        <v>600000</v>
      </c>
      <c r="H6" s="90">
        <f t="shared" si="1"/>
        <v>6.9767441860465115E-3</v>
      </c>
    </row>
    <row r="7" spans="1:8">
      <c r="A7" s="91" t="s">
        <v>240</v>
      </c>
      <c r="B7" s="88">
        <f>B8+B9+B10</f>
        <v>3307980</v>
      </c>
      <c r="C7" s="88">
        <f>SUM(C8:C11)</f>
        <v>584251</v>
      </c>
      <c r="D7" s="88"/>
      <c r="E7" s="88">
        <f t="shared" si="2"/>
        <v>3892231</v>
      </c>
      <c r="F7" s="88">
        <f>F8+F9+F10+F12+F13+F14</f>
        <v>5924096</v>
      </c>
      <c r="G7" s="88">
        <f t="shared" si="0"/>
        <v>2031865</v>
      </c>
      <c r="H7" s="90">
        <f t="shared" si="1"/>
        <v>0.52203093804041945</v>
      </c>
    </row>
    <row r="8" spans="1:8">
      <c r="A8" s="92" t="s">
        <v>241</v>
      </c>
      <c r="B8" s="93">
        <v>2882869</v>
      </c>
      <c r="C8" s="93">
        <v>554869</v>
      </c>
      <c r="D8" s="93"/>
      <c r="E8" s="93">
        <f t="shared" si="2"/>
        <v>3437738</v>
      </c>
      <c r="F8" s="93">
        <v>3391514</v>
      </c>
      <c r="G8" s="93">
        <f t="shared" si="0"/>
        <v>-46224</v>
      </c>
      <c r="H8" s="94">
        <f t="shared" si="1"/>
        <v>-1.3446050862514828E-2</v>
      </c>
    </row>
    <row r="9" spans="1:8">
      <c r="A9" s="95" t="s">
        <v>242</v>
      </c>
      <c r="B9" s="93">
        <v>340111</v>
      </c>
      <c r="C9" s="93">
        <v>12471</v>
      </c>
      <c r="D9" s="93"/>
      <c r="E9" s="93">
        <f t="shared" si="2"/>
        <v>352582</v>
      </c>
      <c r="F9" s="93">
        <v>352582</v>
      </c>
      <c r="G9" s="93">
        <f>IF(F9=0,0,F9-E9)</f>
        <v>0</v>
      </c>
      <c r="H9" s="94">
        <f t="shared" si="1"/>
        <v>0</v>
      </c>
    </row>
    <row r="10" spans="1:8" ht="24">
      <c r="A10" s="96" t="s">
        <v>243</v>
      </c>
      <c r="B10" s="93">
        <v>85000</v>
      </c>
      <c r="C10" s="97"/>
      <c r="D10" s="97"/>
      <c r="E10" s="97">
        <f t="shared" si="2"/>
        <v>85000</v>
      </c>
      <c r="G10" s="93">
        <f t="shared" si="0"/>
        <v>0</v>
      </c>
      <c r="H10" s="94" t="str">
        <f t="shared" si="1"/>
        <v/>
      </c>
    </row>
    <row r="11" spans="1:8" ht="24">
      <c r="A11" s="98" t="s">
        <v>244</v>
      </c>
      <c r="B11" s="99"/>
      <c r="C11" s="99">
        <v>16911</v>
      </c>
      <c r="D11" s="99"/>
      <c r="E11" s="99">
        <f t="shared" si="2"/>
        <v>16911</v>
      </c>
      <c r="G11" s="99">
        <f t="shared" si="0"/>
        <v>0</v>
      </c>
      <c r="H11" s="100" t="str">
        <f t="shared" si="1"/>
        <v/>
      </c>
    </row>
    <row r="12" spans="1:8">
      <c r="A12" s="98" t="s">
        <v>1246</v>
      </c>
      <c r="B12" s="99"/>
      <c r="C12" s="99"/>
      <c r="D12" s="99"/>
      <c r="E12" s="99"/>
      <c r="F12" s="97">
        <v>1500000</v>
      </c>
      <c r="G12" s="99"/>
      <c r="H12" s="100"/>
    </row>
    <row r="13" spans="1:8" ht="24">
      <c r="A13" s="98" t="s">
        <v>1247</v>
      </c>
      <c r="B13" s="89"/>
      <c r="C13" s="102"/>
      <c r="D13" s="102"/>
      <c r="E13" s="102">
        <f t="shared" si="2"/>
        <v>0</v>
      </c>
      <c r="F13" s="97">
        <v>300000</v>
      </c>
      <c r="G13" s="89">
        <f t="shared" si="0"/>
        <v>300000</v>
      </c>
      <c r="H13" s="103" t="e">
        <f t="shared" si="1"/>
        <v>#DIV/0!</v>
      </c>
    </row>
    <row r="14" spans="1:8" ht="24">
      <c r="A14" s="98" t="s">
        <v>1248</v>
      </c>
      <c r="B14" s="89"/>
      <c r="C14" s="102"/>
      <c r="D14" s="102"/>
      <c r="E14" s="102"/>
      <c r="F14" s="97">
        <v>380000</v>
      </c>
      <c r="G14" s="89"/>
      <c r="H14" s="103"/>
    </row>
    <row r="15" spans="1:8">
      <c r="A15" s="98"/>
      <c r="B15" s="89"/>
      <c r="C15" s="102"/>
      <c r="D15" s="102"/>
      <c r="E15" s="102"/>
      <c r="G15" s="89"/>
      <c r="H15" s="103"/>
    </row>
    <row r="16" spans="1:8">
      <c r="A16" s="4" t="s">
        <v>245</v>
      </c>
      <c r="B16" s="86">
        <f>B20</f>
        <v>466632</v>
      </c>
      <c r="C16" s="86"/>
      <c r="D16" s="86">
        <f>D17+D20</f>
        <v>418</v>
      </c>
      <c r="E16" s="86">
        <f t="shared" si="2"/>
        <v>467050</v>
      </c>
      <c r="F16" s="86">
        <f>F20</f>
        <v>1260535</v>
      </c>
      <c r="G16" s="86">
        <f t="shared" si="0"/>
        <v>793485</v>
      </c>
      <c r="H16" s="104">
        <f t="shared" si="1"/>
        <v>1.6989294508082646</v>
      </c>
    </row>
    <row r="17" spans="1:8">
      <c r="A17" s="600" t="s">
        <v>1076</v>
      </c>
      <c r="B17" s="86"/>
      <c r="C17" s="86"/>
      <c r="D17" s="601">
        <f>D18</f>
        <v>418</v>
      </c>
      <c r="E17" s="86">
        <f t="shared" si="2"/>
        <v>418</v>
      </c>
      <c r="F17" s="86"/>
      <c r="G17" s="86"/>
      <c r="H17" s="104"/>
    </row>
    <row r="18" spans="1:8">
      <c r="A18" s="602" t="s">
        <v>8</v>
      </c>
      <c r="B18" s="86"/>
      <c r="C18" s="86"/>
      <c r="D18" s="603">
        <f>D19</f>
        <v>418</v>
      </c>
      <c r="E18" s="86">
        <f t="shared" si="2"/>
        <v>418</v>
      </c>
      <c r="F18" s="86"/>
      <c r="G18" s="86"/>
      <c r="H18" s="104"/>
    </row>
    <row r="19" spans="1:8" ht="24">
      <c r="A19" s="604" t="s">
        <v>1077</v>
      </c>
      <c r="B19" s="86"/>
      <c r="C19" s="86"/>
      <c r="D19" s="605">
        <v>418</v>
      </c>
      <c r="E19" s="86">
        <f t="shared" si="2"/>
        <v>418</v>
      </c>
      <c r="F19" s="86"/>
      <c r="G19" s="86"/>
      <c r="H19" s="104"/>
    </row>
    <row r="20" spans="1:8">
      <c r="A20" s="105" t="s">
        <v>240</v>
      </c>
      <c r="B20" s="106">
        <f>B21+B24</f>
        <v>466632</v>
      </c>
      <c r="C20" s="106"/>
      <c r="D20" s="106"/>
      <c r="E20" s="106">
        <f t="shared" si="2"/>
        <v>466632</v>
      </c>
      <c r="F20" s="106">
        <f>F21+F24</f>
        <v>1260535</v>
      </c>
      <c r="G20" s="106">
        <f t="shared" si="0"/>
        <v>793903</v>
      </c>
      <c r="H20" s="107">
        <f t="shared" si="1"/>
        <v>1.7013471000702909</v>
      </c>
    </row>
    <row r="21" spans="1:8">
      <c r="A21" s="108" t="s">
        <v>54</v>
      </c>
      <c r="B21" s="109">
        <f>B22</f>
        <v>39118</v>
      </c>
      <c r="C21" s="110"/>
      <c r="D21" s="110"/>
      <c r="E21" s="109">
        <f t="shared" si="2"/>
        <v>39118</v>
      </c>
      <c r="F21" s="109">
        <f>F22</f>
        <v>49244</v>
      </c>
      <c r="G21" s="109">
        <f t="shared" si="0"/>
        <v>10126</v>
      </c>
      <c r="H21" s="111">
        <f t="shared" si="1"/>
        <v>0.25885781481670844</v>
      </c>
    </row>
    <row r="22" spans="1:8" ht="24">
      <c r="A22" s="112" t="s">
        <v>246</v>
      </c>
      <c r="B22" s="113">
        <v>39118</v>
      </c>
      <c r="C22" s="114"/>
      <c r="D22" s="114"/>
      <c r="E22" s="113">
        <f t="shared" si="2"/>
        <v>39118</v>
      </c>
      <c r="F22" s="113">
        <v>49244</v>
      </c>
      <c r="G22" s="113">
        <f t="shared" si="0"/>
        <v>10126</v>
      </c>
      <c r="H22" s="115">
        <f t="shared" si="1"/>
        <v>0.25885781481670844</v>
      </c>
    </row>
    <row r="23" spans="1:8">
      <c r="A23" s="112"/>
      <c r="B23" s="113"/>
      <c r="C23" s="114"/>
      <c r="D23" s="114"/>
      <c r="E23" s="114">
        <f t="shared" si="2"/>
        <v>0</v>
      </c>
      <c r="F23" s="113"/>
      <c r="G23" s="113"/>
      <c r="H23" s="115"/>
    </row>
    <row r="24" spans="1:8">
      <c r="A24" s="108" t="s">
        <v>8</v>
      </c>
      <c r="B24" s="109">
        <f>SUM(B25)</f>
        <v>427514</v>
      </c>
      <c r="C24" s="110"/>
      <c r="D24" s="110"/>
      <c r="E24" s="110">
        <f t="shared" si="2"/>
        <v>427514</v>
      </c>
      <c r="F24" s="109">
        <f>SUM(F25)</f>
        <v>1211291</v>
      </c>
      <c r="G24" s="109">
        <f t="shared" si="0"/>
        <v>783777</v>
      </c>
      <c r="H24" s="111">
        <f t="shared" si="1"/>
        <v>1.833336452139579</v>
      </c>
    </row>
    <row r="25" spans="1:8">
      <c r="A25" s="112" t="s">
        <v>247</v>
      </c>
      <c r="B25" s="113">
        <v>427514</v>
      </c>
      <c r="C25" s="114"/>
      <c r="D25" s="114"/>
      <c r="E25" s="114">
        <f t="shared" si="2"/>
        <v>427514</v>
      </c>
      <c r="F25" s="113">
        <v>1211291</v>
      </c>
      <c r="G25" s="113">
        <f t="shared" si="0"/>
        <v>783777</v>
      </c>
      <c r="H25" s="115">
        <f t="shared" si="1"/>
        <v>1.833336452139579</v>
      </c>
    </row>
    <row r="26" spans="1:8">
      <c r="A26" s="101"/>
      <c r="B26" s="89"/>
      <c r="C26" s="102"/>
      <c r="D26" s="102"/>
      <c r="E26" s="102">
        <f t="shared" si="2"/>
        <v>0</v>
      </c>
      <c r="G26" s="89">
        <f t="shared" si="0"/>
        <v>0</v>
      </c>
      <c r="H26" s="103" t="str">
        <f t="shared" si="1"/>
        <v/>
      </c>
    </row>
    <row r="27" spans="1:8">
      <c r="A27" s="4" t="s">
        <v>248</v>
      </c>
      <c r="B27" s="116">
        <f>B28+B78</f>
        <v>20635804</v>
      </c>
      <c r="C27" s="116">
        <f>C28+C78</f>
        <v>668988</v>
      </c>
      <c r="D27" s="116">
        <f>D28+D78</f>
        <v>84256</v>
      </c>
      <c r="E27" s="116">
        <f t="shared" si="2"/>
        <v>21389048</v>
      </c>
      <c r="F27" s="116">
        <f>F28+F78</f>
        <v>21632864</v>
      </c>
      <c r="G27" s="116">
        <f t="shared" si="0"/>
        <v>243816</v>
      </c>
      <c r="H27" s="117">
        <f t="shared" si="1"/>
        <v>1.1399104812893027E-2</v>
      </c>
    </row>
    <row r="28" spans="1:8">
      <c r="A28" s="101" t="s">
        <v>239</v>
      </c>
      <c r="B28" s="88">
        <f>B30+B40+B46+B54+B62+B67+B74</f>
        <v>153510</v>
      </c>
      <c r="C28" s="88">
        <f>C30+C40+C46+C54+C62+C67+C74+C35+C43+C50</f>
        <v>498392</v>
      </c>
      <c r="D28" s="88">
        <f>D30+D40+D46+D54+D62+D67+D74+D35+D50</f>
        <v>84256</v>
      </c>
      <c r="E28" s="88">
        <f t="shared" si="2"/>
        <v>736158</v>
      </c>
      <c r="F28" s="88">
        <f>F30+F40+F46+F54+F62+F67+F74+F35</f>
        <v>1211161</v>
      </c>
      <c r="G28" s="88">
        <f t="shared" si="0"/>
        <v>475003</v>
      </c>
      <c r="H28" s="90">
        <f t="shared" si="1"/>
        <v>0.64524599338728916</v>
      </c>
    </row>
    <row r="29" spans="1:8">
      <c r="A29" s="118"/>
      <c r="B29" s="89"/>
      <c r="C29" s="93"/>
      <c r="D29" s="93"/>
      <c r="E29" s="93">
        <f t="shared" si="2"/>
        <v>0</v>
      </c>
      <c r="G29" s="89">
        <f t="shared" si="0"/>
        <v>0</v>
      </c>
      <c r="H29" s="103" t="str">
        <f t="shared" si="1"/>
        <v/>
      </c>
    </row>
    <row r="30" spans="1:8">
      <c r="A30" s="119" t="s">
        <v>17</v>
      </c>
      <c r="B30" s="120">
        <f>B31+B32</f>
        <v>19451</v>
      </c>
      <c r="C30" s="121">
        <f>SUM(C31:C33)</f>
        <v>38794</v>
      </c>
      <c r="D30" s="121"/>
      <c r="E30" s="121">
        <f t="shared" si="2"/>
        <v>58245</v>
      </c>
      <c r="G30" s="120">
        <f t="shared" si="0"/>
        <v>0</v>
      </c>
      <c r="H30" s="103" t="str">
        <f t="shared" si="1"/>
        <v/>
      </c>
    </row>
    <row r="31" spans="1:8">
      <c r="A31" s="122" t="s">
        <v>249</v>
      </c>
      <c r="B31" s="93">
        <v>248</v>
      </c>
      <c r="C31" s="123"/>
      <c r="D31" s="123"/>
      <c r="E31" s="123">
        <f t="shared" si="2"/>
        <v>248</v>
      </c>
      <c r="G31" s="93">
        <f t="shared" si="0"/>
        <v>0</v>
      </c>
      <c r="H31" s="94" t="str">
        <f t="shared" si="1"/>
        <v/>
      </c>
    </row>
    <row r="32" spans="1:8" ht="13.5" customHeight="1">
      <c r="A32" s="122" t="s">
        <v>250</v>
      </c>
      <c r="B32" s="93">
        <v>19203</v>
      </c>
      <c r="C32" s="123">
        <v>4114</v>
      </c>
      <c r="D32" s="123"/>
      <c r="E32" s="123">
        <f t="shared" si="2"/>
        <v>23317</v>
      </c>
      <c r="G32" s="93">
        <f t="shared" si="0"/>
        <v>0</v>
      </c>
      <c r="H32" s="94" t="str">
        <f t="shared" si="1"/>
        <v/>
      </c>
    </row>
    <row r="33" spans="1:8" ht="13.5" customHeight="1">
      <c r="A33" s="122" t="s">
        <v>251</v>
      </c>
      <c r="B33" s="123"/>
      <c r="C33" s="123">
        <v>34680</v>
      </c>
      <c r="D33" s="123"/>
      <c r="E33" s="123">
        <f t="shared" si="2"/>
        <v>34680</v>
      </c>
      <c r="G33" s="123">
        <f t="shared" si="0"/>
        <v>0</v>
      </c>
      <c r="H33" s="124" t="str">
        <f t="shared" si="1"/>
        <v/>
      </c>
    </row>
    <row r="34" spans="1:8">
      <c r="A34" s="125"/>
      <c r="B34" s="126"/>
      <c r="C34" s="127"/>
      <c r="D34" s="127"/>
      <c r="E34" s="127">
        <f t="shared" si="2"/>
        <v>0</v>
      </c>
      <c r="G34" s="126">
        <f t="shared" si="0"/>
        <v>0</v>
      </c>
      <c r="H34" s="29" t="str">
        <f t="shared" si="1"/>
        <v/>
      </c>
    </row>
    <row r="35" spans="1:8">
      <c r="A35" s="119" t="s">
        <v>53</v>
      </c>
      <c r="B35" s="121"/>
      <c r="C35" s="121">
        <f>C36</f>
        <v>186245</v>
      </c>
      <c r="D35" s="121">
        <f>D36+D37+D38</f>
        <v>60836</v>
      </c>
      <c r="E35" s="121">
        <f t="shared" si="2"/>
        <v>247081</v>
      </c>
      <c r="F35" s="167">
        <f>F36+F37+F38</f>
        <v>449736</v>
      </c>
      <c r="G35" s="121">
        <f t="shared" si="0"/>
        <v>202655</v>
      </c>
      <c r="H35" s="128">
        <f t="shared" si="1"/>
        <v>0.82019661568473501</v>
      </c>
    </row>
    <row r="36" spans="1:8">
      <c r="A36" s="129" t="s">
        <v>252</v>
      </c>
      <c r="B36" s="130"/>
      <c r="C36" s="130">
        <v>186245</v>
      </c>
      <c r="D36" s="130"/>
      <c r="E36" s="130">
        <f t="shared" si="2"/>
        <v>186245</v>
      </c>
      <c r="F36" s="130">
        <v>187135</v>
      </c>
      <c r="G36" s="130">
        <f t="shared" si="0"/>
        <v>890</v>
      </c>
      <c r="H36" s="94">
        <f t="shared" si="1"/>
        <v>4.7786517758866007E-3</v>
      </c>
    </row>
    <row r="37" spans="1:8" ht="24">
      <c r="A37" s="553" t="s">
        <v>1034</v>
      </c>
      <c r="B37" s="130"/>
      <c r="C37" s="554"/>
      <c r="D37" s="130">
        <v>45692</v>
      </c>
      <c r="E37" s="130">
        <f t="shared" si="2"/>
        <v>45692</v>
      </c>
      <c r="F37" s="130">
        <v>104720</v>
      </c>
      <c r="G37" s="130"/>
      <c r="H37" s="94"/>
    </row>
    <row r="38" spans="1:8">
      <c r="A38" s="555" t="s">
        <v>1035</v>
      </c>
      <c r="B38" s="130"/>
      <c r="C38" s="556"/>
      <c r="D38" s="130">
        <v>15144</v>
      </c>
      <c r="E38" s="130">
        <f t="shared" si="2"/>
        <v>15144</v>
      </c>
      <c r="F38" s="130">
        <v>157881</v>
      </c>
      <c r="G38" s="130"/>
      <c r="H38" s="94"/>
    </row>
    <row r="39" spans="1:8">
      <c r="A39" s="131"/>
      <c r="B39" s="132"/>
      <c r="C39" s="132"/>
      <c r="D39" s="132"/>
      <c r="E39" s="132">
        <f t="shared" si="2"/>
        <v>0</v>
      </c>
      <c r="G39" s="132">
        <f t="shared" si="0"/>
        <v>0</v>
      </c>
      <c r="H39" s="133" t="str">
        <f t="shared" si="1"/>
        <v/>
      </c>
    </row>
    <row r="40" spans="1:8">
      <c r="A40" s="134" t="s">
        <v>54</v>
      </c>
      <c r="B40" s="89">
        <f>B41</f>
        <v>28547</v>
      </c>
      <c r="C40" s="135"/>
      <c r="D40" s="135"/>
      <c r="E40" s="89">
        <f t="shared" si="2"/>
        <v>28547</v>
      </c>
      <c r="F40" s="89">
        <f>F41</f>
        <v>20897</v>
      </c>
      <c r="G40" s="89">
        <f t="shared" si="0"/>
        <v>-7650</v>
      </c>
      <c r="H40" s="103">
        <f t="shared" si="1"/>
        <v>-0.26797912214943775</v>
      </c>
    </row>
    <row r="41" spans="1:8" ht="36">
      <c r="A41" s="122" t="s">
        <v>253</v>
      </c>
      <c r="B41" s="136">
        <v>28547</v>
      </c>
      <c r="C41" s="123"/>
      <c r="D41" s="123"/>
      <c r="E41" s="136">
        <f t="shared" si="2"/>
        <v>28547</v>
      </c>
      <c r="F41" s="136">
        <v>20897</v>
      </c>
      <c r="G41" s="136">
        <f t="shared" si="0"/>
        <v>-7650</v>
      </c>
      <c r="H41" s="137">
        <f t="shared" si="1"/>
        <v>-0.26797912214943775</v>
      </c>
    </row>
    <row r="42" spans="1:8">
      <c r="A42" s="122"/>
      <c r="B42" s="136"/>
      <c r="C42" s="123"/>
      <c r="D42" s="123"/>
      <c r="E42" s="123">
        <f t="shared" si="2"/>
        <v>0</v>
      </c>
      <c r="G42" s="136">
        <f t="shared" si="0"/>
        <v>0</v>
      </c>
      <c r="H42" s="137" t="str">
        <f t="shared" si="1"/>
        <v/>
      </c>
    </row>
    <row r="43" spans="1:8">
      <c r="A43" s="134" t="s">
        <v>254</v>
      </c>
      <c r="B43" s="134"/>
      <c r="C43" s="135">
        <f>C44</f>
        <v>25296</v>
      </c>
      <c r="D43" s="135"/>
      <c r="E43" s="135">
        <f t="shared" si="2"/>
        <v>25296</v>
      </c>
      <c r="G43" s="134">
        <f t="shared" si="0"/>
        <v>0</v>
      </c>
      <c r="H43" s="138" t="str">
        <f t="shared" si="1"/>
        <v/>
      </c>
    </row>
    <row r="44" spans="1:8" ht="24">
      <c r="A44" s="122" t="s">
        <v>255</v>
      </c>
      <c r="B44" s="122"/>
      <c r="C44" s="123">
        <v>25296</v>
      </c>
      <c r="D44" s="123"/>
      <c r="E44" s="123">
        <f t="shared" si="2"/>
        <v>25296</v>
      </c>
      <c r="G44" s="122">
        <f t="shared" si="0"/>
        <v>0</v>
      </c>
      <c r="H44" s="124" t="str">
        <f t="shared" si="1"/>
        <v/>
      </c>
    </row>
    <row r="45" spans="1:8">
      <c r="A45" s="131"/>
      <c r="B45" s="139"/>
      <c r="C45" s="132"/>
      <c r="D45" s="132"/>
      <c r="E45" s="132">
        <f t="shared" si="2"/>
        <v>0</v>
      </c>
      <c r="G45" s="139">
        <f t="shared" si="0"/>
        <v>0</v>
      </c>
      <c r="H45" s="140" t="str">
        <f t="shared" si="1"/>
        <v/>
      </c>
    </row>
    <row r="46" spans="1:8">
      <c r="A46" s="134" t="s">
        <v>459</v>
      </c>
      <c r="B46" s="102">
        <f>B47</f>
        <v>12569</v>
      </c>
      <c r="C46" s="135">
        <f>SUM(C47:C48)</f>
        <v>26010</v>
      </c>
      <c r="D46" s="135"/>
      <c r="E46" s="135">
        <f t="shared" si="2"/>
        <v>38579</v>
      </c>
      <c r="G46" s="102">
        <f t="shared" si="0"/>
        <v>0</v>
      </c>
      <c r="H46" s="111" t="str">
        <f t="shared" si="1"/>
        <v/>
      </c>
    </row>
    <row r="47" spans="1:8">
      <c r="A47" s="141" t="s">
        <v>256</v>
      </c>
      <c r="B47" s="136">
        <v>12569</v>
      </c>
      <c r="C47" s="97"/>
      <c r="D47" s="97"/>
      <c r="E47" s="97">
        <f t="shared" si="2"/>
        <v>12569</v>
      </c>
      <c r="G47" s="136">
        <f t="shared" si="0"/>
        <v>0</v>
      </c>
      <c r="H47" s="137" t="str">
        <f t="shared" si="1"/>
        <v/>
      </c>
    </row>
    <row r="48" spans="1:8" ht="24">
      <c r="A48" s="141" t="s">
        <v>257</v>
      </c>
      <c r="B48" s="141"/>
      <c r="C48" s="97">
        <v>26010</v>
      </c>
      <c r="D48" s="97"/>
      <c r="E48" s="97">
        <f t="shared" si="2"/>
        <v>26010</v>
      </c>
      <c r="G48" s="141">
        <f t="shared" si="0"/>
        <v>0</v>
      </c>
      <c r="H48" s="124" t="str">
        <f t="shared" si="1"/>
        <v/>
      </c>
    </row>
    <row r="49" spans="1:8">
      <c r="A49" s="141"/>
      <c r="B49" s="136"/>
      <c r="C49" s="97"/>
      <c r="D49" s="97"/>
      <c r="E49" s="97">
        <f t="shared" si="2"/>
        <v>0</v>
      </c>
      <c r="G49" s="136">
        <f t="shared" si="0"/>
        <v>0</v>
      </c>
      <c r="H49" s="137" t="str">
        <f t="shared" si="1"/>
        <v/>
      </c>
    </row>
    <row r="50" spans="1:8">
      <c r="A50" s="134" t="s">
        <v>558</v>
      </c>
      <c r="B50" s="134"/>
      <c r="C50" s="135">
        <f>C51</f>
        <v>21930</v>
      </c>
      <c r="D50" s="135">
        <f>D52</f>
        <v>6000</v>
      </c>
      <c r="E50" s="135">
        <f t="shared" si="2"/>
        <v>27930</v>
      </c>
      <c r="G50" s="134">
        <f t="shared" si="0"/>
        <v>0</v>
      </c>
      <c r="H50" s="138" t="str">
        <f t="shared" si="1"/>
        <v/>
      </c>
    </row>
    <row r="51" spans="1:8" ht="25.5">
      <c r="A51" s="142" t="s">
        <v>258</v>
      </c>
      <c r="B51" s="142"/>
      <c r="C51" s="143">
        <v>21930</v>
      </c>
      <c r="D51" s="143"/>
      <c r="E51" s="143">
        <f t="shared" si="2"/>
        <v>21930</v>
      </c>
      <c r="G51" s="142">
        <f t="shared" si="0"/>
        <v>0</v>
      </c>
      <c r="H51" s="144" t="str">
        <f t="shared" si="1"/>
        <v/>
      </c>
    </row>
    <row r="52" spans="1:8" ht="25.5">
      <c r="A52" s="142" t="s">
        <v>1007</v>
      </c>
      <c r="B52" s="142"/>
      <c r="C52" s="143"/>
      <c r="D52" s="143">
        <v>6000</v>
      </c>
      <c r="E52" s="143">
        <f t="shared" si="2"/>
        <v>6000</v>
      </c>
      <c r="G52" s="142"/>
      <c r="H52" s="144"/>
    </row>
    <row r="53" spans="1:8">
      <c r="A53" s="142"/>
      <c r="B53" s="142"/>
      <c r="C53" s="143"/>
      <c r="D53" s="143"/>
      <c r="E53" s="143">
        <f t="shared" si="2"/>
        <v>0</v>
      </c>
      <c r="G53" s="142">
        <f t="shared" si="0"/>
        <v>0</v>
      </c>
      <c r="H53" s="144" t="str">
        <f t="shared" si="1"/>
        <v/>
      </c>
    </row>
    <row r="54" spans="1:8">
      <c r="A54" s="134" t="s">
        <v>802</v>
      </c>
      <c r="B54" s="89">
        <f>SUM(B55)</f>
        <v>20000</v>
      </c>
      <c r="C54" s="135">
        <f>SUM(C55:C58)</f>
        <v>36650</v>
      </c>
      <c r="D54" s="89">
        <f>SUM(D55:D60)</f>
        <v>10200</v>
      </c>
      <c r="E54" s="135">
        <f t="shared" si="2"/>
        <v>66850</v>
      </c>
      <c r="F54" s="89">
        <f>SUM(F55:F60)</f>
        <v>474636</v>
      </c>
      <c r="G54" s="89">
        <f t="shared" si="0"/>
        <v>407786</v>
      </c>
      <c r="H54" s="103">
        <f t="shared" si="1"/>
        <v>6.1000149588631265</v>
      </c>
    </row>
    <row r="55" spans="1:8" ht="24">
      <c r="A55" s="141" t="s">
        <v>259</v>
      </c>
      <c r="B55" s="136">
        <v>20000</v>
      </c>
      <c r="C55" s="97"/>
      <c r="D55" s="97"/>
      <c r="E55" s="97">
        <f t="shared" si="2"/>
        <v>20000</v>
      </c>
      <c r="F55" s="97">
        <v>60000</v>
      </c>
      <c r="G55" s="97">
        <f t="shared" si="0"/>
        <v>40000</v>
      </c>
      <c r="H55" s="137">
        <f t="shared" si="1"/>
        <v>2</v>
      </c>
    </row>
    <row r="56" spans="1:8" ht="24">
      <c r="A56" s="141" t="s">
        <v>260</v>
      </c>
      <c r="B56" s="141"/>
      <c r="C56" s="97">
        <v>19125</v>
      </c>
      <c r="D56" s="97"/>
      <c r="E56" s="97">
        <f t="shared" si="2"/>
        <v>19125</v>
      </c>
      <c r="F56" s="97">
        <v>51000</v>
      </c>
      <c r="G56" s="97">
        <f t="shared" si="0"/>
        <v>31875</v>
      </c>
      <c r="H56" s="124">
        <f t="shared" si="1"/>
        <v>1.6666666666666667</v>
      </c>
    </row>
    <row r="57" spans="1:8">
      <c r="A57" s="141" t="s">
        <v>261</v>
      </c>
      <c r="B57" s="141"/>
      <c r="C57" s="97">
        <v>1800</v>
      </c>
      <c r="D57" s="97"/>
      <c r="E57" s="97">
        <f t="shared" si="2"/>
        <v>1800</v>
      </c>
      <c r="F57" s="97">
        <v>3000</v>
      </c>
      <c r="G57" s="97">
        <f t="shared" si="0"/>
        <v>1200</v>
      </c>
      <c r="H57" s="124">
        <f t="shared" si="1"/>
        <v>0.66666666666666663</v>
      </c>
    </row>
    <row r="58" spans="1:8">
      <c r="A58" s="141" t="s">
        <v>262</v>
      </c>
      <c r="B58" s="141"/>
      <c r="C58" s="97">
        <v>15725</v>
      </c>
      <c r="D58" s="97"/>
      <c r="E58" s="97">
        <f t="shared" si="2"/>
        <v>15725</v>
      </c>
      <c r="F58" s="97">
        <v>20636</v>
      </c>
      <c r="G58" s="97">
        <f t="shared" si="0"/>
        <v>4911</v>
      </c>
      <c r="H58" s="124">
        <f t="shared" si="1"/>
        <v>0.31230524642289348</v>
      </c>
    </row>
    <row r="59" spans="1:8">
      <c r="A59" s="507" t="s">
        <v>891</v>
      </c>
      <c r="B59" s="89"/>
      <c r="C59" s="147"/>
      <c r="D59" s="606">
        <v>5100</v>
      </c>
      <c r="E59" s="147">
        <f t="shared" si="2"/>
        <v>5100</v>
      </c>
      <c r="F59" s="97">
        <v>85000</v>
      </c>
      <c r="G59" s="97">
        <f>IF(F59=0,0,F59-E59)</f>
        <v>79900</v>
      </c>
      <c r="H59" s="124"/>
    </row>
    <row r="60" spans="1:8" ht="36">
      <c r="A60" s="507" t="s">
        <v>892</v>
      </c>
      <c r="B60" s="89"/>
      <c r="C60" s="147"/>
      <c r="D60" s="606">
        <v>5100</v>
      </c>
      <c r="E60" s="147">
        <f t="shared" si="2"/>
        <v>5100</v>
      </c>
      <c r="F60" s="97">
        <v>255000</v>
      </c>
      <c r="G60" s="97">
        <f>IF(F60=0,0,F60-E60)</f>
        <v>249900</v>
      </c>
      <c r="H60" s="124"/>
    </row>
    <row r="61" spans="1:8">
      <c r="A61" s="141"/>
      <c r="B61" s="3"/>
      <c r="C61" s="97"/>
      <c r="D61" s="97"/>
      <c r="E61" s="97">
        <f t="shared" si="2"/>
        <v>0</v>
      </c>
      <c r="F61" s="3"/>
      <c r="G61" s="3">
        <f t="shared" si="0"/>
        <v>0</v>
      </c>
      <c r="H61" s="36" t="str">
        <f t="shared" si="1"/>
        <v/>
      </c>
    </row>
    <row r="62" spans="1:8">
      <c r="A62" s="134" t="s">
        <v>622</v>
      </c>
      <c r="B62" s="89">
        <f>B63</f>
        <v>6118</v>
      </c>
      <c r="C62" s="135">
        <f>SUM(C63:C64)</f>
        <v>32538</v>
      </c>
      <c r="D62" s="89">
        <f>D65</f>
        <v>3758</v>
      </c>
      <c r="E62" s="135">
        <f t="shared" si="2"/>
        <v>42414</v>
      </c>
      <c r="F62" s="89"/>
      <c r="G62" s="89">
        <f t="shared" si="0"/>
        <v>0</v>
      </c>
      <c r="H62" s="103" t="str">
        <f t="shared" si="1"/>
        <v/>
      </c>
    </row>
    <row r="63" spans="1:8" ht="24">
      <c r="A63" s="145" t="s">
        <v>263</v>
      </c>
      <c r="B63" s="136">
        <v>6118</v>
      </c>
      <c r="C63" s="97"/>
      <c r="D63" s="97"/>
      <c r="E63" s="97">
        <f t="shared" si="2"/>
        <v>6118</v>
      </c>
      <c r="F63" s="136"/>
      <c r="G63" s="136">
        <f t="shared" si="0"/>
        <v>0</v>
      </c>
      <c r="H63" s="137" t="str">
        <f t="shared" si="1"/>
        <v/>
      </c>
    </row>
    <row r="64" spans="1:8" ht="24">
      <c r="A64" s="145" t="s">
        <v>264</v>
      </c>
      <c r="B64" s="145"/>
      <c r="C64" s="97">
        <v>32538</v>
      </c>
      <c r="D64" s="97"/>
      <c r="E64" s="97">
        <f t="shared" si="2"/>
        <v>32538</v>
      </c>
      <c r="F64" s="145"/>
      <c r="G64" s="145">
        <f t="shared" si="0"/>
        <v>0</v>
      </c>
      <c r="H64" s="124" t="str">
        <f t="shared" si="1"/>
        <v/>
      </c>
    </row>
    <row r="65" spans="1:8" ht="24">
      <c r="A65" s="604" t="s">
        <v>1077</v>
      </c>
      <c r="B65" s="145"/>
      <c r="C65" s="97"/>
      <c r="D65" s="605">
        <v>3758</v>
      </c>
      <c r="E65" s="97">
        <f t="shared" si="2"/>
        <v>3758</v>
      </c>
      <c r="F65" s="145"/>
      <c r="G65" s="145"/>
      <c r="H65" s="124"/>
    </row>
    <row r="66" spans="1:8">
      <c r="A66" s="146"/>
      <c r="B66" s="3"/>
      <c r="C66" s="147"/>
      <c r="D66" s="147"/>
      <c r="E66" s="147">
        <f t="shared" ref="E66:E109" si="3">SUM(B66:D66)</f>
        <v>0</v>
      </c>
      <c r="F66" s="3"/>
      <c r="G66" s="3">
        <f t="shared" si="0"/>
        <v>0</v>
      </c>
      <c r="H66" s="36" t="str">
        <f t="shared" si="1"/>
        <v/>
      </c>
    </row>
    <row r="67" spans="1:8">
      <c r="A67" s="134" t="s">
        <v>662</v>
      </c>
      <c r="B67" s="89">
        <f>SUM(B68:B68)</f>
        <v>24484</v>
      </c>
      <c r="C67" s="135">
        <f>SUM(C68:C71)</f>
        <v>107979</v>
      </c>
      <c r="D67" s="89">
        <f>SUM(D68:D72)</f>
        <v>3462</v>
      </c>
      <c r="E67" s="135">
        <f t="shared" si="3"/>
        <v>135925</v>
      </c>
      <c r="F67" s="135">
        <f>SUM(F68:F72)</f>
        <v>176363</v>
      </c>
      <c r="G67" s="135">
        <f t="shared" si="0"/>
        <v>40438</v>
      </c>
      <c r="H67" s="103">
        <f t="shared" si="1"/>
        <v>0.29750229906198272</v>
      </c>
    </row>
    <row r="68" spans="1:8">
      <c r="A68" s="148" t="s">
        <v>265</v>
      </c>
      <c r="B68" s="136">
        <v>24484</v>
      </c>
      <c r="C68" s="149"/>
      <c r="D68" s="149"/>
      <c r="E68" s="149">
        <f t="shared" si="3"/>
        <v>24484</v>
      </c>
      <c r="F68" s="149">
        <v>44352</v>
      </c>
      <c r="G68" s="149">
        <f t="shared" si="0"/>
        <v>19868</v>
      </c>
      <c r="H68" s="137">
        <f t="shared" si="1"/>
        <v>0.81146871426237543</v>
      </c>
    </row>
    <row r="69" spans="1:8">
      <c r="A69" s="148" t="s">
        <v>266</v>
      </c>
      <c r="B69" s="148"/>
      <c r="C69" s="149">
        <v>11878</v>
      </c>
      <c r="D69" s="149"/>
      <c r="E69" s="149">
        <f t="shared" si="3"/>
        <v>11878</v>
      </c>
      <c r="F69" s="149">
        <v>14310</v>
      </c>
      <c r="G69" s="149">
        <f t="shared" si="0"/>
        <v>2432</v>
      </c>
      <c r="H69" s="150">
        <f t="shared" si="1"/>
        <v>0.20474827412022226</v>
      </c>
    </row>
    <row r="70" spans="1:8" ht="24">
      <c r="A70" s="148" t="s">
        <v>267</v>
      </c>
      <c r="B70" s="148"/>
      <c r="C70" s="149">
        <v>67310</v>
      </c>
      <c r="D70" s="149"/>
      <c r="E70" s="149">
        <f t="shared" si="3"/>
        <v>67310</v>
      </c>
      <c r="F70" s="149">
        <v>79803</v>
      </c>
      <c r="G70" s="149">
        <f t="shared" si="0"/>
        <v>12493</v>
      </c>
      <c r="H70" s="150">
        <f t="shared" si="1"/>
        <v>0.18560392215124052</v>
      </c>
    </row>
    <row r="71" spans="1:8" ht="24">
      <c r="A71" s="151" t="s">
        <v>268</v>
      </c>
      <c r="B71" s="151"/>
      <c r="C71" s="152">
        <v>28791</v>
      </c>
      <c r="D71" s="152"/>
      <c r="E71" s="152">
        <f t="shared" si="3"/>
        <v>28791</v>
      </c>
      <c r="F71" s="152">
        <v>37561</v>
      </c>
      <c r="G71" s="152">
        <f t="shared" si="0"/>
        <v>8770</v>
      </c>
      <c r="H71" s="508">
        <f t="shared" si="1"/>
        <v>0.30460907922614705</v>
      </c>
    </row>
    <row r="72" spans="1:8">
      <c r="A72" s="151" t="s">
        <v>893</v>
      </c>
      <c r="B72" s="151"/>
      <c r="C72" s="152"/>
      <c r="D72" s="607">
        <v>3462</v>
      </c>
      <c r="E72" s="152">
        <f t="shared" si="3"/>
        <v>3462</v>
      </c>
      <c r="F72" s="152">
        <v>337</v>
      </c>
      <c r="G72" s="152">
        <f t="shared" si="0"/>
        <v>-3125</v>
      </c>
      <c r="H72" s="153"/>
    </row>
    <row r="73" spans="1:8">
      <c r="A73" s="148"/>
      <c r="B73" s="136"/>
      <c r="C73" s="149"/>
      <c r="D73" s="149"/>
      <c r="E73" s="149">
        <f t="shared" si="3"/>
        <v>0</v>
      </c>
      <c r="F73" s="136"/>
      <c r="G73" s="136">
        <f t="shared" si="0"/>
        <v>0</v>
      </c>
      <c r="H73" s="137" t="str">
        <f t="shared" si="1"/>
        <v/>
      </c>
    </row>
    <row r="74" spans="1:8">
      <c r="A74" s="134" t="s">
        <v>32</v>
      </c>
      <c r="B74" s="89">
        <f>SUM(B75)</f>
        <v>42341</v>
      </c>
      <c r="C74" s="135">
        <f>SUM(C75:C76)</f>
        <v>22950</v>
      </c>
      <c r="D74" s="135"/>
      <c r="E74" s="135">
        <f t="shared" si="3"/>
        <v>65291</v>
      </c>
      <c r="F74" s="89">
        <f>SUM(F75)</f>
        <v>89529</v>
      </c>
      <c r="G74" s="89">
        <f t="shared" si="0"/>
        <v>24238</v>
      </c>
      <c r="H74" s="103">
        <f t="shared" si="1"/>
        <v>0.37123033802514893</v>
      </c>
    </row>
    <row r="75" spans="1:8">
      <c r="A75" s="148" t="s">
        <v>269</v>
      </c>
      <c r="B75" s="136">
        <v>42341</v>
      </c>
      <c r="C75" s="149"/>
      <c r="D75" s="149"/>
      <c r="E75" s="149">
        <f t="shared" si="3"/>
        <v>42341</v>
      </c>
      <c r="F75" s="136">
        <v>89529</v>
      </c>
      <c r="G75" s="136">
        <f t="shared" si="0"/>
        <v>47188</v>
      </c>
      <c r="H75" s="137">
        <f t="shared" si="1"/>
        <v>1.1144753312392244</v>
      </c>
    </row>
    <row r="76" spans="1:8" ht="24">
      <c r="A76" s="148" t="s">
        <v>270</v>
      </c>
      <c r="B76" s="148"/>
      <c r="C76" s="149">
        <v>22950</v>
      </c>
      <c r="D76" s="149"/>
      <c r="E76" s="149">
        <f t="shared" si="3"/>
        <v>22950</v>
      </c>
      <c r="G76" s="148">
        <f t="shared" si="0"/>
        <v>0</v>
      </c>
      <c r="H76" s="150" t="str">
        <f t="shared" si="1"/>
        <v/>
      </c>
    </row>
    <row r="77" spans="1:8">
      <c r="A77" s="146"/>
      <c r="B77" s="89"/>
      <c r="C77" s="147"/>
      <c r="D77" s="147"/>
      <c r="E77" s="147">
        <f t="shared" si="3"/>
        <v>0</v>
      </c>
      <c r="G77" s="89">
        <f t="shared" si="0"/>
        <v>0</v>
      </c>
      <c r="H77" s="103" t="str">
        <f t="shared" si="1"/>
        <v/>
      </c>
    </row>
    <row r="78" spans="1:8">
      <c r="A78" s="154" t="s">
        <v>240</v>
      </c>
      <c r="B78" s="88">
        <f>B80+B84+B90</f>
        <v>20482294</v>
      </c>
      <c r="C78" s="88">
        <f>C80+C84+C90+C103+C106</f>
        <v>170596</v>
      </c>
      <c r="D78" s="88"/>
      <c r="E78" s="88">
        <f t="shared" si="3"/>
        <v>20652890</v>
      </c>
      <c r="F78" s="88">
        <f>F80+F84+F90+F103+F87</f>
        <v>20421703</v>
      </c>
      <c r="G78" s="88">
        <f t="shared" si="0"/>
        <v>-231187</v>
      </c>
      <c r="H78" s="90">
        <f t="shared" si="1"/>
        <v>-1.119392975995127E-2</v>
      </c>
    </row>
    <row r="79" spans="1:8">
      <c r="A79" s="154"/>
      <c r="B79" s="88"/>
      <c r="C79" s="88"/>
      <c r="D79" s="88"/>
      <c r="E79" s="88">
        <f t="shared" si="3"/>
        <v>0</v>
      </c>
      <c r="G79" s="88">
        <f t="shared" si="0"/>
        <v>0</v>
      </c>
      <c r="H79" s="90" t="str">
        <f t="shared" si="1"/>
        <v/>
      </c>
    </row>
    <row r="80" spans="1:8">
      <c r="A80" s="134" t="s">
        <v>53</v>
      </c>
      <c r="B80" s="89">
        <f>B81+B82</f>
        <v>2847500</v>
      </c>
      <c r="C80" s="135"/>
      <c r="D80" s="135"/>
      <c r="E80" s="135">
        <f t="shared" si="3"/>
        <v>2847500</v>
      </c>
      <c r="G80" s="89">
        <f t="shared" si="0"/>
        <v>0</v>
      </c>
      <c r="H80" s="103" t="str">
        <f t="shared" si="1"/>
        <v/>
      </c>
    </row>
    <row r="81" spans="1:8">
      <c r="A81" s="148" t="s">
        <v>271</v>
      </c>
      <c r="B81" s="136">
        <v>2125000</v>
      </c>
      <c r="C81" s="149"/>
      <c r="D81" s="149"/>
      <c r="E81" s="149">
        <f t="shared" si="3"/>
        <v>2125000</v>
      </c>
      <c r="G81" s="136">
        <f t="shared" si="0"/>
        <v>0</v>
      </c>
      <c r="H81" s="137" t="str">
        <f t="shared" si="1"/>
        <v/>
      </c>
    </row>
    <row r="82" spans="1:8">
      <c r="A82" s="148" t="s">
        <v>272</v>
      </c>
      <c r="B82" s="136">
        <v>722500</v>
      </c>
      <c r="C82" s="149"/>
      <c r="D82" s="149"/>
      <c r="E82" s="149">
        <f t="shared" si="3"/>
        <v>722500</v>
      </c>
      <c r="G82" s="136">
        <f t="shared" si="0"/>
        <v>0</v>
      </c>
      <c r="H82" s="137" t="str">
        <f t="shared" si="1"/>
        <v/>
      </c>
    </row>
    <row r="83" spans="1:8">
      <c r="A83" s="154"/>
      <c r="B83" s="88"/>
      <c r="C83" s="88"/>
      <c r="D83" s="88"/>
      <c r="E83" s="88">
        <f t="shared" si="3"/>
        <v>0</v>
      </c>
      <c r="G83" s="88">
        <f t="shared" ref="G83:G109" si="4">IF(F83=0,0,F83-E83)</f>
        <v>0</v>
      </c>
      <c r="H83" s="90" t="str">
        <f t="shared" ref="H83:H109" si="5">IF(F83=0,"",G83/E83)</f>
        <v/>
      </c>
    </row>
    <row r="84" spans="1:8">
      <c r="A84" s="134" t="s">
        <v>54</v>
      </c>
      <c r="B84" s="89">
        <f>B85</f>
        <v>221667</v>
      </c>
      <c r="C84" s="135"/>
      <c r="D84" s="135"/>
      <c r="E84" s="89">
        <f t="shared" si="3"/>
        <v>221667</v>
      </c>
      <c r="F84" s="89">
        <f>F85</f>
        <v>279053</v>
      </c>
      <c r="G84" s="89">
        <f t="shared" si="4"/>
        <v>57386</v>
      </c>
      <c r="H84" s="103">
        <f t="shared" si="5"/>
        <v>0.2588838212273365</v>
      </c>
    </row>
    <row r="85" spans="1:8" ht="24">
      <c r="A85" s="155" t="s">
        <v>246</v>
      </c>
      <c r="B85" s="136">
        <v>221667</v>
      </c>
      <c r="C85" s="97"/>
      <c r="D85" s="97"/>
      <c r="E85" s="136">
        <f t="shared" si="3"/>
        <v>221667</v>
      </c>
      <c r="F85" s="136">
        <v>279053</v>
      </c>
      <c r="G85" s="136">
        <f t="shared" si="4"/>
        <v>57386</v>
      </c>
      <c r="H85" s="137">
        <f t="shared" si="5"/>
        <v>0.2588838212273365</v>
      </c>
    </row>
    <row r="86" spans="1:8">
      <c r="A86" s="3"/>
      <c r="B86" s="89"/>
      <c r="C86" s="156"/>
      <c r="D86" s="156"/>
      <c r="E86" s="156">
        <f t="shared" si="3"/>
        <v>0</v>
      </c>
      <c r="G86" s="89">
        <f t="shared" si="4"/>
        <v>0</v>
      </c>
      <c r="H86" s="103" t="str">
        <f t="shared" si="5"/>
        <v/>
      </c>
    </row>
    <row r="87" spans="1:8">
      <c r="A87" s="134" t="s">
        <v>15</v>
      </c>
      <c r="B87" s="89"/>
      <c r="C87" s="156"/>
      <c r="D87" s="156"/>
      <c r="E87" s="156">
        <f t="shared" si="3"/>
        <v>0</v>
      </c>
      <c r="F87" s="89">
        <f>SUM(F88)</f>
        <v>67859</v>
      </c>
      <c r="G87" s="89">
        <f t="shared" si="4"/>
        <v>67859</v>
      </c>
      <c r="H87" s="103"/>
    </row>
    <row r="88" spans="1:8">
      <c r="A88" s="155" t="s">
        <v>894</v>
      </c>
      <c r="B88" s="93"/>
      <c r="C88" s="97"/>
      <c r="D88" s="97"/>
      <c r="E88" s="97">
        <f t="shared" si="3"/>
        <v>0</v>
      </c>
      <c r="F88" s="93">
        <v>67859</v>
      </c>
      <c r="G88" s="93">
        <f t="shared" si="4"/>
        <v>67859</v>
      </c>
      <c r="H88" s="94"/>
    </row>
    <row r="89" spans="1:8">
      <c r="A89" s="154"/>
      <c r="B89" s="88"/>
      <c r="C89" s="88"/>
      <c r="D89" s="88"/>
      <c r="E89" s="88">
        <f t="shared" si="3"/>
        <v>0</v>
      </c>
      <c r="F89" s="88"/>
      <c r="G89" s="88"/>
      <c r="H89" s="90"/>
    </row>
    <row r="90" spans="1:8">
      <c r="A90" s="134" t="s">
        <v>622</v>
      </c>
      <c r="B90" s="89">
        <f>SUM(B91,B95)</f>
        <v>17413127</v>
      </c>
      <c r="C90" s="135"/>
      <c r="D90" s="135"/>
      <c r="E90" s="135">
        <f t="shared" si="3"/>
        <v>17413127</v>
      </c>
      <c r="F90" s="89">
        <f>SUM(F91,F95)</f>
        <v>20047591</v>
      </c>
      <c r="G90" s="89">
        <f t="shared" si="4"/>
        <v>2634464</v>
      </c>
      <c r="H90" s="103">
        <f t="shared" ref="H90:H99" si="6">IF(F90=0,"",G90/E90)</f>
        <v>0.15129183862266668</v>
      </c>
    </row>
    <row r="91" spans="1:8">
      <c r="A91" s="155" t="s">
        <v>273</v>
      </c>
      <c r="B91" s="93">
        <f>SUM(B92:B94)</f>
        <v>15760727</v>
      </c>
      <c r="C91" s="97"/>
      <c r="D91" s="97"/>
      <c r="E91" s="97">
        <f t="shared" si="3"/>
        <v>15760727</v>
      </c>
      <c r="F91" s="93">
        <f>SUM(F92:F94)</f>
        <v>17608410</v>
      </c>
      <c r="G91" s="93">
        <f t="shared" si="4"/>
        <v>1847683</v>
      </c>
      <c r="H91" s="94">
        <f t="shared" si="6"/>
        <v>0.1172333611260445</v>
      </c>
    </row>
    <row r="92" spans="1:8">
      <c r="A92" s="157" t="s">
        <v>274</v>
      </c>
      <c r="B92" s="158">
        <v>5846232</v>
      </c>
      <c r="C92" s="159"/>
      <c r="D92" s="159"/>
      <c r="E92" s="159">
        <f t="shared" si="3"/>
        <v>5846232</v>
      </c>
      <c r="F92" s="159">
        <v>5428644</v>
      </c>
      <c r="G92" s="158">
        <f t="shared" si="4"/>
        <v>-417588</v>
      </c>
      <c r="H92" s="160">
        <f t="shared" si="6"/>
        <v>-7.1428571428571425E-2</v>
      </c>
    </row>
    <row r="93" spans="1:8">
      <c r="A93" s="161" t="s">
        <v>9</v>
      </c>
      <c r="B93" s="158">
        <v>8479036</v>
      </c>
      <c r="C93" s="159"/>
      <c r="D93" s="159"/>
      <c r="E93" s="159">
        <f t="shared" si="3"/>
        <v>8479036</v>
      </c>
      <c r="F93" s="159">
        <v>7873390</v>
      </c>
      <c r="G93" s="158">
        <f t="shared" si="4"/>
        <v>-605646</v>
      </c>
      <c r="H93" s="160">
        <f t="shared" si="6"/>
        <v>-7.1428638821677368E-2</v>
      </c>
    </row>
    <row r="94" spans="1:8">
      <c r="A94" s="161" t="s">
        <v>10</v>
      </c>
      <c r="B94" s="158">
        <v>1435459</v>
      </c>
      <c r="C94" s="159"/>
      <c r="D94" s="159"/>
      <c r="E94" s="159">
        <f t="shared" si="3"/>
        <v>1435459</v>
      </c>
      <c r="F94" s="159">
        <v>4306376</v>
      </c>
      <c r="G94" s="158">
        <f t="shared" si="4"/>
        <v>2870917</v>
      </c>
      <c r="H94" s="160">
        <f t="shared" si="6"/>
        <v>1.9999993033587167</v>
      </c>
    </row>
    <row r="95" spans="1:8">
      <c r="A95" s="155" t="s">
        <v>275</v>
      </c>
      <c r="B95" s="162">
        <f>SUM(B96:B98)</f>
        <v>1652400</v>
      </c>
      <c r="C95" s="162">
        <f>SUM(C96:C99)</f>
        <v>0</v>
      </c>
      <c r="D95" s="162"/>
      <c r="E95" s="162">
        <f t="shared" si="3"/>
        <v>1652400</v>
      </c>
      <c r="F95" s="162">
        <f>SUM(F96:F101)</f>
        <v>2439181</v>
      </c>
      <c r="G95" s="162">
        <f t="shared" si="4"/>
        <v>786781</v>
      </c>
      <c r="H95" s="163">
        <f t="shared" si="6"/>
        <v>0.47614439603001696</v>
      </c>
    </row>
    <row r="96" spans="1:8">
      <c r="A96" s="157" t="s">
        <v>276</v>
      </c>
      <c r="B96" s="158">
        <v>1147500</v>
      </c>
      <c r="C96" s="159"/>
      <c r="D96" s="159"/>
      <c r="E96" s="159">
        <f t="shared" si="3"/>
        <v>1147500</v>
      </c>
      <c r="F96" s="158">
        <v>1147500</v>
      </c>
      <c r="G96" s="158">
        <f t="shared" si="4"/>
        <v>0</v>
      </c>
      <c r="H96" s="160">
        <f t="shared" si="6"/>
        <v>0</v>
      </c>
    </row>
    <row r="97" spans="1:8">
      <c r="A97" s="161" t="s">
        <v>277</v>
      </c>
      <c r="B97" s="158">
        <v>357000</v>
      </c>
      <c r="C97" s="159">
        <v>-244297</v>
      </c>
      <c r="D97" s="159"/>
      <c r="E97" s="159">
        <f t="shared" si="3"/>
        <v>112703</v>
      </c>
      <c r="F97" s="158">
        <v>601297</v>
      </c>
      <c r="G97" s="158">
        <f t="shared" si="4"/>
        <v>488594</v>
      </c>
      <c r="H97" s="160">
        <f t="shared" si="6"/>
        <v>4.3352350869098428</v>
      </c>
    </row>
    <row r="98" spans="1:8">
      <c r="A98" s="161" t="s">
        <v>11</v>
      </c>
      <c r="B98" s="158">
        <v>147900</v>
      </c>
      <c r="C98" s="159"/>
      <c r="D98" s="159"/>
      <c r="E98" s="159">
        <f t="shared" si="3"/>
        <v>147900</v>
      </c>
      <c r="F98" s="158"/>
      <c r="G98" s="158">
        <f t="shared" si="4"/>
        <v>0</v>
      </c>
      <c r="H98" s="160" t="str">
        <f t="shared" si="6"/>
        <v/>
      </c>
    </row>
    <row r="99" spans="1:8" ht="22.5">
      <c r="A99" s="161" t="s">
        <v>278</v>
      </c>
      <c r="B99" s="161"/>
      <c r="C99" s="159">
        <v>244297</v>
      </c>
      <c r="D99" s="159"/>
      <c r="E99" s="159">
        <f t="shared" si="3"/>
        <v>244297</v>
      </c>
      <c r="F99" s="159">
        <v>488594</v>
      </c>
      <c r="G99" s="159">
        <f t="shared" si="4"/>
        <v>244297</v>
      </c>
      <c r="H99" s="164">
        <f t="shared" si="6"/>
        <v>1</v>
      </c>
    </row>
    <row r="100" spans="1:8">
      <c r="A100" s="161" t="s">
        <v>895</v>
      </c>
      <c r="B100" s="161"/>
      <c r="C100" s="159"/>
      <c r="D100" s="159"/>
      <c r="E100" s="159">
        <f t="shared" si="3"/>
        <v>0</v>
      </c>
      <c r="F100" s="159">
        <v>19890</v>
      </c>
      <c r="G100" s="159">
        <f t="shared" si="4"/>
        <v>19890</v>
      </c>
      <c r="H100" s="164"/>
    </row>
    <row r="101" spans="1:8">
      <c r="A101" s="161" t="s">
        <v>896</v>
      </c>
      <c r="B101" s="134"/>
      <c r="C101" s="135"/>
      <c r="D101" s="135"/>
      <c r="E101" s="135">
        <f t="shared" si="3"/>
        <v>0</v>
      </c>
      <c r="F101" s="159">
        <v>181900</v>
      </c>
      <c r="G101" s="159">
        <f t="shared" si="4"/>
        <v>181900</v>
      </c>
      <c r="H101" s="138"/>
    </row>
    <row r="102" spans="1:8">
      <c r="A102" s="161"/>
      <c r="B102" s="161"/>
      <c r="C102" s="159"/>
      <c r="D102" s="159"/>
      <c r="E102" s="159">
        <f t="shared" si="3"/>
        <v>0</v>
      </c>
      <c r="F102" s="93"/>
      <c r="G102" s="93"/>
      <c r="H102" s="150"/>
    </row>
    <row r="103" spans="1:8">
      <c r="A103" s="134" t="s">
        <v>662</v>
      </c>
      <c r="B103" s="134"/>
      <c r="C103" s="135">
        <f>SUM(C104)</f>
        <v>62857</v>
      </c>
      <c r="D103" s="135"/>
      <c r="E103" s="135">
        <f t="shared" si="3"/>
        <v>62857</v>
      </c>
      <c r="F103" s="135">
        <f>SUM(F104)</f>
        <v>27200</v>
      </c>
      <c r="G103" s="89">
        <f t="shared" ref="G103:G104" si="7">IF(F103=0,0,F103-E103)</f>
        <v>-35657</v>
      </c>
      <c r="H103" s="103">
        <f t="shared" ref="H103:H104" si="8">IF(F103=0,"",G103/E103)</f>
        <v>-0.56727174379941769</v>
      </c>
    </row>
    <row r="104" spans="1:8" ht="24">
      <c r="A104" s="148" t="s">
        <v>267</v>
      </c>
      <c r="B104" s="148"/>
      <c r="C104" s="149">
        <v>62857</v>
      </c>
      <c r="D104" s="149"/>
      <c r="E104" s="149">
        <f t="shared" si="3"/>
        <v>62857</v>
      </c>
      <c r="F104" s="149">
        <v>27200</v>
      </c>
      <c r="G104" s="93">
        <f t="shared" si="7"/>
        <v>-35657</v>
      </c>
      <c r="H104" s="94">
        <f t="shared" si="8"/>
        <v>-0.56727174379941769</v>
      </c>
    </row>
    <row r="105" spans="1:8">
      <c r="A105" s="148"/>
      <c r="B105" s="148"/>
      <c r="C105" s="149"/>
      <c r="D105" s="149"/>
      <c r="E105" s="149">
        <f t="shared" si="3"/>
        <v>0</v>
      </c>
      <c r="G105" s="148">
        <f t="shared" si="4"/>
        <v>0</v>
      </c>
      <c r="H105" s="150" t="str">
        <f t="shared" si="5"/>
        <v/>
      </c>
    </row>
    <row r="106" spans="1:8">
      <c r="A106" s="134" t="s">
        <v>279</v>
      </c>
      <c r="B106" s="134"/>
      <c r="C106" s="135">
        <f>C107</f>
        <v>107739</v>
      </c>
      <c r="D106" s="135"/>
      <c r="E106" s="135">
        <f t="shared" si="3"/>
        <v>107739</v>
      </c>
      <c r="G106" s="134">
        <f t="shared" si="4"/>
        <v>0</v>
      </c>
      <c r="H106" s="138" t="str">
        <f t="shared" si="5"/>
        <v/>
      </c>
    </row>
    <row r="107" spans="1:8">
      <c r="A107" s="148" t="s">
        <v>280</v>
      </c>
      <c r="B107" s="148"/>
      <c r="C107" s="149">
        <v>107739</v>
      </c>
      <c r="D107" s="149"/>
      <c r="E107" s="149">
        <f t="shared" si="3"/>
        <v>107739</v>
      </c>
      <c r="G107" s="148">
        <f t="shared" si="4"/>
        <v>0</v>
      </c>
      <c r="H107" s="150" t="str">
        <f t="shared" si="5"/>
        <v/>
      </c>
    </row>
    <row r="108" spans="1:8">
      <c r="A108" s="5"/>
      <c r="B108" s="136"/>
      <c r="C108" s="165"/>
      <c r="D108" s="165"/>
      <c r="E108" s="149">
        <f t="shared" si="3"/>
        <v>0</v>
      </c>
      <c r="G108" s="136">
        <f t="shared" si="4"/>
        <v>0</v>
      </c>
      <c r="H108" s="137" t="str">
        <f t="shared" si="5"/>
        <v/>
      </c>
    </row>
    <row r="109" spans="1:8">
      <c r="A109" s="166" t="s">
        <v>4</v>
      </c>
      <c r="B109" s="116">
        <f>B5+B27+B16</f>
        <v>100410416</v>
      </c>
      <c r="C109" s="116">
        <f>C5+C27+C16</f>
        <v>11253239</v>
      </c>
      <c r="D109" s="116">
        <f>D5+D27+D16</f>
        <v>84674</v>
      </c>
      <c r="E109" s="116">
        <f t="shared" si="3"/>
        <v>111748329</v>
      </c>
      <c r="F109" s="116">
        <f>F5+F27+F16</f>
        <v>115417495</v>
      </c>
      <c r="G109" s="116">
        <f t="shared" si="4"/>
        <v>3669166</v>
      </c>
      <c r="H109" s="117">
        <f t="shared" si="5"/>
        <v>3.2834191194035661E-2</v>
      </c>
    </row>
    <row r="113" spans="6:6">
      <c r="F113" s="167"/>
    </row>
  </sheetData>
  <mergeCells count="2">
    <mergeCell ref="B3:E3"/>
    <mergeCell ref="G3:H3"/>
  </mergeCells>
  <pageMargins left="1.1811023622047245" right="0.47244094488188981" top="0.47244094488188981" bottom="0.98425196850393704" header="0.51181102362204722" footer="0.51181102362204722"/>
  <pageSetup paperSize="9" scale="70" orientation="portrait"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842"/>
  <sheetViews>
    <sheetView showZeros="0" zoomScaleNormal="100" workbookViewId="0">
      <pane xSplit="1" ySplit="4" topLeftCell="B5" activePane="bottomRight" state="frozen"/>
      <selection pane="topRight" activeCell="B1" sqref="B1"/>
      <selection pane="bottomLeft" activeCell="A5" sqref="A5"/>
      <selection pane="bottomRight"/>
    </sheetView>
  </sheetViews>
  <sheetFormatPr defaultColWidth="9.140625" defaultRowHeight="12.75"/>
  <cols>
    <col min="1" max="1" width="37.28515625" style="39" customWidth="1"/>
    <col min="2" max="2" width="10.7109375" style="83" bestFit="1" customWidth="1"/>
    <col min="3" max="4" width="10.42578125" style="83" hidden="1" customWidth="1"/>
    <col min="5" max="5" width="10.7109375" style="83" bestFit="1" customWidth="1"/>
    <col min="6" max="6" width="12.28515625" style="38" customWidth="1"/>
    <col min="7" max="7" width="11.5703125" style="38" customWidth="1"/>
    <col min="8" max="8" width="9.140625" style="38"/>
    <col min="9" max="9" width="16.85546875" style="38" customWidth="1"/>
    <col min="10" max="16384" width="9.140625" style="38"/>
  </cols>
  <sheetData>
    <row r="1" spans="1:8" ht="15">
      <c r="A1" s="168" t="s">
        <v>1262</v>
      </c>
      <c r="H1" s="1"/>
    </row>
    <row r="2" spans="1:8" ht="15">
      <c r="B2" s="37"/>
      <c r="C2" s="37"/>
      <c r="D2" s="37"/>
      <c r="E2" s="37"/>
      <c r="F2" s="419"/>
    </row>
    <row r="3" spans="1:8" ht="12.75" customHeight="1">
      <c r="B3" s="895">
        <v>2016</v>
      </c>
      <c r="C3" s="896"/>
      <c r="D3" s="896"/>
      <c r="E3" s="897"/>
      <c r="F3" s="793">
        <v>2017</v>
      </c>
      <c r="G3" s="898" t="s">
        <v>1224</v>
      </c>
      <c r="H3" s="899"/>
    </row>
    <row r="4" spans="1:8" ht="38.25">
      <c r="B4" s="794" t="s">
        <v>18</v>
      </c>
      <c r="C4" s="795" t="s">
        <v>19</v>
      </c>
      <c r="D4" s="795" t="s">
        <v>1036</v>
      </c>
      <c r="E4" s="796" t="s">
        <v>20</v>
      </c>
      <c r="F4" s="797" t="s">
        <v>1223</v>
      </c>
      <c r="G4" s="798" t="s">
        <v>2</v>
      </c>
      <c r="H4" s="798" t="s">
        <v>21</v>
      </c>
    </row>
    <row r="6" spans="1:8" s="42" customFormat="1">
      <c r="A6" s="40" t="s">
        <v>56</v>
      </c>
      <c r="B6" s="41">
        <f>B7</f>
        <v>27617</v>
      </c>
      <c r="C6" s="41">
        <f>C7</f>
        <v>-170</v>
      </c>
      <c r="D6" s="41"/>
      <c r="E6" s="41">
        <f>SUM(B6:D6)</f>
        <v>27447</v>
      </c>
      <c r="F6" s="41">
        <f>F7</f>
        <v>27484</v>
      </c>
      <c r="G6" s="41">
        <f>F6-E6</f>
        <v>37</v>
      </c>
      <c r="H6" s="43">
        <f t="shared" ref="H6:H69" si="0">IF(F6=0,"",G6/E6)</f>
        <v>1.3480526104856633E-3</v>
      </c>
    </row>
    <row r="7" spans="1:8" s="46" customFormat="1">
      <c r="A7" s="44" t="s">
        <v>57</v>
      </c>
      <c r="B7" s="45">
        <f>B9+B8</f>
        <v>27617</v>
      </c>
      <c r="C7" s="45">
        <f>C9+C8</f>
        <v>-170</v>
      </c>
      <c r="D7" s="45"/>
      <c r="E7" s="45">
        <f t="shared" ref="E7:E68" si="1">SUM(B7:D7)</f>
        <v>27447</v>
      </c>
      <c r="F7" s="45">
        <f>F9+F8</f>
        <v>27484</v>
      </c>
      <c r="G7" s="45">
        <f t="shared" ref="G7:G70" si="2">F7-E7</f>
        <v>37</v>
      </c>
      <c r="H7" s="47">
        <f t="shared" si="0"/>
        <v>1.3480526104856633E-3</v>
      </c>
    </row>
    <row r="8" spans="1:8" s="42" customFormat="1">
      <c r="A8" s="48" t="s">
        <v>58</v>
      </c>
      <c r="B8" s="49">
        <v>21047</v>
      </c>
      <c r="C8" s="49"/>
      <c r="D8" s="49"/>
      <c r="E8" s="49">
        <f t="shared" si="1"/>
        <v>21047</v>
      </c>
      <c r="F8" s="563">
        <v>21084</v>
      </c>
      <c r="G8" s="49">
        <f t="shared" si="2"/>
        <v>37</v>
      </c>
      <c r="H8" s="50">
        <f t="shared" si="0"/>
        <v>1.7579702570437593E-3</v>
      </c>
    </row>
    <row r="9" spans="1:8">
      <c r="A9" s="48" t="s">
        <v>59</v>
      </c>
      <c r="B9" s="49">
        <v>6570</v>
      </c>
      <c r="C9" s="49">
        <v>-170</v>
      </c>
      <c r="D9" s="49"/>
      <c r="E9" s="49">
        <f t="shared" si="1"/>
        <v>6400</v>
      </c>
      <c r="F9" s="488">
        <v>6400</v>
      </c>
      <c r="G9" s="49">
        <f t="shared" si="2"/>
        <v>0</v>
      </c>
      <c r="H9" s="50">
        <f t="shared" si="0"/>
        <v>0</v>
      </c>
    </row>
    <row r="10" spans="1:8" s="42" customFormat="1">
      <c r="A10" s="48"/>
      <c r="B10" s="49"/>
      <c r="C10" s="49"/>
      <c r="D10" s="49"/>
      <c r="E10" s="49">
        <f t="shared" si="1"/>
        <v>0</v>
      </c>
      <c r="F10" s="563"/>
      <c r="G10" s="49">
        <f t="shared" si="2"/>
        <v>0</v>
      </c>
      <c r="H10" s="50" t="str">
        <f t="shared" si="0"/>
        <v/>
      </c>
    </row>
    <row r="11" spans="1:8">
      <c r="A11" s="40" t="s">
        <v>60</v>
      </c>
      <c r="B11" s="41">
        <f>B12+B15</f>
        <v>671159</v>
      </c>
      <c r="C11" s="41">
        <f>C12</f>
        <v>-100000</v>
      </c>
      <c r="D11" s="41"/>
      <c r="E11" s="41">
        <f t="shared" si="1"/>
        <v>571159</v>
      </c>
      <c r="F11" s="41">
        <f>F15+F12</f>
        <v>580490</v>
      </c>
      <c r="G11" s="41">
        <f t="shared" si="2"/>
        <v>9331</v>
      </c>
      <c r="H11" s="43">
        <f t="shared" si="0"/>
        <v>1.633695695944562E-2</v>
      </c>
    </row>
    <row r="12" spans="1:8" s="42" customFormat="1">
      <c r="A12" s="44" t="s">
        <v>61</v>
      </c>
      <c r="B12" s="45">
        <f>B13+B14</f>
        <v>240996</v>
      </c>
      <c r="C12" s="45">
        <f>C13+C14</f>
        <v>-100000</v>
      </c>
      <c r="D12" s="45"/>
      <c r="E12" s="45">
        <f t="shared" si="1"/>
        <v>140996</v>
      </c>
      <c r="F12" s="45">
        <f>F13+F14</f>
        <v>143340</v>
      </c>
      <c r="G12" s="45">
        <f t="shared" si="2"/>
        <v>2344</v>
      </c>
      <c r="H12" s="47">
        <f t="shared" si="0"/>
        <v>1.6624585094612614E-2</v>
      </c>
    </row>
    <row r="13" spans="1:8">
      <c r="A13" s="51" t="s">
        <v>62</v>
      </c>
      <c r="B13" s="52">
        <v>129800</v>
      </c>
      <c r="C13" s="52">
        <v>-100000</v>
      </c>
      <c r="D13" s="52"/>
      <c r="E13" s="52">
        <f t="shared" si="1"/>
        <v>29800</v>
      </c>
      <c r="F13" s="52">
        <v>32140</v>
      </c>
      <c r="G13" s="52">
        <f t="shared" si="2"/>
        <v>2340</v>
      </c>
      <c r="H13" s="53">
        <f t="shared" si="0"/>
        <v>7.8523489932885909E-2</v>
      </c>
    </row>
    <row r="14" spans="1:8" ht="25.5">
      <c r="A14" s="51" t="s">
        <v>63</v>
      </c>
      <c r="B14" s="52">
        <v>111196</v>
      </c>
      <c r="C14" s="52"/>
      <c r="D14" s="52"/>
      <c r="E14" s="52">
        <f t="shared" si="1"/>
        <v>111196</v>
      </c>
      <c r="F14" s="52">
        <v>111200</v>
      </c>
      <c r="G14" s="52">
        <f t="shared" si="2"/>
        <v>4</v>
      </c>
      <c r="H14" s="53">
        <f t="shared" si="0"/>
        <v>3.5972516997014278E-5</v>
      </c>
    </row>
    <row r="15" spans="1:8">
      <c r="A15" s="44" t="s">
        <v>57</v>
      </c>
      <c r="B15" s="45">
        <f>B16+B17</f>
        <v>430163</v>
      </c>
      <c r="C15" s="45"/>
      <c r="D15" s="45"/>
      <c r="E15" s="45">
        <f t="shared" si="1"/>
        <v>430163</v>
      </c>
      <c r="F15" s="45">
        <f>F16+F17</f>
        <v>437150</v>
      </c>
      <c r="G15" s="45">
        <f t="shared" si="2"/>
        <v>6987</v>
      </c>
      <c r="H15" s="47">
        <f t="shared" si="0"/>
        <v>1.6242680100334059E-2</v>
      </c>
    </row>
    <row r="16" spans="1:8" s="46" customFormat="1">
      <c r="A16" s="48" t="s">
        <v>58</v>
      </c>
      <c r="B16" s="49">
        <v>362421</v>
      </c>
      <c r="C16" s="49"/>
      <c r="D16" s="49"/>
      <c r="E16" s="49">
        <f t="shared" si="1"/>
        <v>362421</v>
      </c>
      <c r="F16" s="49">
        <v>376150</v>
      </c>
      <c r="G16" s="49">
        <f t="shared" si="2"/>
        <v>13729</v>
      </c>
      <c r="H16" s="50">
        <f t="shared" si="0"/>
        <v>3.788135897202425E-2</v>
      </c>
    </row>
    <row r="17" spans="1:8">
      <c r="A17" s="48" t="s">
        <v>59</v>
      </c>
      <c r="B17" s="49">
        <v>67742</v>
      </c>
      <c r="C17" s="49"/>
      <c r="D17" s="49"/>
      <c r="E17" s="49">
        <f t="shared" si="1"/>
        <v>67742</v>
      </c>
      <c r="F17" s="49">
        <v>61000</v>
      </c>
      <c r="G17" s="49">
        <f t="shared" si="2"/>
        <v>-6742</v>
      </c>
      <c r="H17" s="50">
        <f t="shared" si="0"/>
        <v>-9.9524667119364654E-2</v>
      </c>
    </row>
    <row r="18" spans="1:8" s="42" customFormat="1">
      <c r="A18" s="48"/>
      <c r="B18" s="49"/>
      <c r="C18" s="49"/>
      <c r="D18" s="49"/>
      <c r="E18" s="49">
        <f t="shared" si="1"/>
        <v>0</v>
      </c>
      <c r="G18" s="49">
        <f t="shared" si="2"/>
        <v>0</v>
      </c>
      <c r="H18" s="50" t="str">
        <f t="shared" si="0"/>
        <v/>
      </c>
    </row>
    <row r="19" spans="1:8">
      <c r="A19" s="40" t="s">
        <v>64</v>
      </c>
      <c r="B19" s="41">
        <f>B20+B22</f>
        <v>34893</v>
      </c>
      <c r="C19" s="41"/>
      <c r="D19" s="41"/>
      <c r="E19" s="41">
        <f t="shared" si="1"/>
        <v>34893</v>
      </c>
      <c r="F19" s="41">
        <f>F20+F22</f>
        <v>29066</v>
      </c>
      <c r="G19" s="41">
        <f t="shared" si="2"/>
        <v>-5827</v>
      </c>
      <c r="H19" s="43">
        <f t="shared" si="0"/>
        <v>-0.1669962456653197</v>
      </c>
    </row>
    <row r="20" spans="1:8">
      <c r="A20" s="44" t="s">
        <v>65</v>
      </c>
      <c r="B20" s="45">
        <f>B21</f>
        <v>6300</v>
      </c>
      <c r="C20" s="45"/>
      <c r="D20" s="45"/>
      <c r="E20" s="45">
        <f t="shared" si="1"/>
        <v>6300</v>
      </c>
      <c r="F20" s="45">
        <f>F21</f>
        <v>6300</v>
      </c>
      <c r="G20" s="45">
        <f t="shared" si="2"/>
        <v>0</v>
      </c>
      <c r="H20" s="47">
        <f t="shared" si="0"/>
        <v>0</v>
      </c>
    </row>
    <row r="21" spans="1:8">
      <c r="A21" s="48" t="s">
        <v>66</v>
      </c>
      <c r="B21" s="49">
        <v>6300</v>
      </c>
      <c r="C21" s="49"/>
      <c r="D21" s="49"/>
      <c r="E21" s="49">
        <f t="shared" si="1"/>
        <v>6300</v>
      </c>
      <c r="F21" s="488">
        <v>6300</v>
      </c>
      <c r="G21" s="49">
        <f t="shared" si="2"/>
        <v>0</v>
      </c>
      <c r="H21" s="50">
        <f t="shared" si="0"/>
        <v>0</v>
      </c>
    </row>
    <row r="22" spans="1:8">
      <c r="A22" s="44" t="s">
        <v>57</v>
      </c>
      <c r="B22" s="45">
        <f>B23+B24</f>
        <v>28593</v>
      </c>
      <c r="C22" s="45"/>
      <c r="D22" s="45"/>
      <c r="E22" s="45">
        <f t="shared" si="1"/>
        <v>28593</v>
      </c>
      <c r="F22" s="45">
        <f>F23+F24</f>
        <v>22766</v>
      </c>
      <c r="G22" s="45">
        <f t="shared" si="2"/>
        <v>-5827</v>
      </c>
      <c r="H22" s="47">
        <f t="shared" si="0"/>
        <v>-0.20379113769104326</v>
      </c>
    </row>
    <row r="23" spans="1:8">
      <c r="A23" s="48" t="s">
        <v>58</v>
      </c>
      <c r="B23" s="49">
        <v>17093</v>
      </c>
      <c r="C23" s="49"/>
      <c r="D23" s="49"/>
      <c r="E23" s="49">
        <f t="shared" si="1"/>
        <v>17093</v>
      </c>
      <c r="F23" s="488">
        <v>12566</v>
      </c>
      <c r="G23" s="49">
        <f t="shared" si="2"/>
        <v>-4527</v>
      </c>
      <c r="H23" s="50">
        <f t="shared" si="0"/>
        <v>-0.26484525829286842</v>
      </c>
    </row>
    <row r="24" spans="1:8">
      <c r="A24" s="48" t="s">
        <v>59</v>
      </c>
      <c r="B24" s="49">
        <v>11500</v>
      </c>
      <c r="C24" s="49"/>
      <c r="D24" s="49"/>
      <c r="E24" s="49">
        <f t="shared" si="1"/>
        <v>11500</v>
      </c>
      <c r="F24" s="488">
        <v>10200</v>
      </c>
      <c r="G24" s="49">
        <f t="shared" si="2"/>
        <v>-1300</v>
      </c>
      <c r="H24" s="50">
        <f t="shared" si="0"/>
        <v>-0.11304347826086956</v>
      </c>
    </row>
    <row r="25" spans="1:8">
      <c r="A25" s="44"/>
      <c r="B25" s="45"/>
      <c r="C25" s="45"/>
      <c r="D25" s="45"/>
      <c r="E25" s="45">
        <f t="shared" si="1"/>
        <v>0</v>
      </c>
      <c r="F25" s="488"/>
      <c r="G25" s="45">
        <f t="shared" si="2"/>
        <v>0</v>
      </c>
      <c r="H25" s="47" t="str">
        <f t="shared" si="0"/>
        <v/>
      </c>
    </row>
    <row r="26" spans="1:8">
      <c r="A26" s="40" t="s">
        <v>67</v>
      </c>
      <c r="B26" s="41">
        <f>B27+B29</f>
        <v>221343</v>
      </c>
      <c r="C26" s="41"/>
      <c r="D26" s="41"/>
      <c r="E26" s="41">
        <f t="shared" si="1"/>
        <v>221343</v>
      </c>
      <c r="F26" s="41">
        <f>F27+F29</f>
        <v>215185</v>
      </c>
      <c r="G26" s="41">
        <f t="shared" si="2"/>
        <v>-6158</v>
      </c>
      <c r="H26" s="43">
        <f t="shared" si="0"/>
        <v>-2.7821074079595921E-2</v>
      </c>
    </row>
    <row r="27" spans="1:8">
      <c r="A27" s="44" t="s">
        <v>65</v>
      </c>
      <c r="B27" s="45">
        <f>B28</f>
        <v>195500</v>
      </c>
      <c r="C27" s="45"/>
      <c r="D27" s="45"/>
      <c r="E27" s="45">
        <f t="shared" si="1"/>
        <v>195500</v>
      </c>
      <c r="F27" s="45">
        <f>F28</f>
        <v>190321</v>
      </c>
      <c r="G27" s="45">
        <f t="shared" si="2"/>
        <v>-5179</v>
      </c>
      <c r="H27" s="47">
        <f t="shared" si="0"/>
        <v>-2.6491048593350382E-2</v>
      </c>
    </row>
    <row r="28" spans="1:8">
      <c r="A28" s="48" t="s">
        <v>66</v>
      </c>
      <c r="B28" s="49">
        <v>195500</v>
      </c>
      <c r="C28" s="49"/>
      <c r="D28" s="49"/>
      <c r="E28" s="49">
        <f t="shared" si="1"/>
        <v>195500</v>
      </c>
      <c r="F28" s="488">
        <v>190321</v>
      </c>
      <c r="G28" s="49">
        <f t="shared" si="2"/>
        <v>-5179</v>
      </c>
      <c r="H28" s="50">
        <f t="shared" si="0"/>
        <v>-2.6491048593350382E-2</v>
      </c>
    </row>
    <row r="29" spans="1:8">
      <c r="A29" s="44" t="s">
        <v>57</v>
      </c>
      <c r="B29" s="45">
        <f>B30+B31</f>
        <v>25843</v>
      </c>
      <c r="C29" s="45"/>
      <c r="D29" s="45"/>
      <c r="E29" s="45">
        <f t="shared" si="1"/>
        <v>25843</v>
      </c>
      <c r="F29" s="45">
        <f>F30+F31</f>
        <v>24864</v>
      </c>
      <c r="G29" s="45">
        <f t="shared" si="2"/>
        <v>-979</v>
      </c>
      <c r="H29" s="47">
        <f t="shared" si="0"/>
        <v>-3.7882598769492709E-2</v>
      </c>
    </row>
    <row r="30" spans="1:8">
      <c r="A30" s="48" t="s">
        <v>58</v>
      </c>
      <c r="B30" s="49">
        <v>23763</v>
      </c>
      <c r="C30" s="49"/>
      <c r="D30" s="49"/>
      <c r="E30" s="49">
        <f t="shared" si="1"/>
        <v>23763</v>
      </c>
      <c r="F30" s="49">
        <v>22784</v>
      </c>
      <c r="G30" s="49">
        <f t="shared" si="2"/>
        <v>-979</v>
      </c>
      <c r="H30" s="50">
        <f t="shared" si="0"/>
        <v>-4.1198501872659173E-2</v>
      </c>
    </row>
    <row r="31" spans="1:8">
      <c r="A31" s="48" t="s">
        <v>59</v>
      </c>
      <c r="B31" s="49">
        <v>2080</v>
      </c>
      <c r="C31" s="49"/>
      <c r="D31" s="49"/>
      <c r="E31" s="49">
        <f t="shared" si="1"/>
        <v>2080</v>
      </c>
      <c r="F31" s="488">
        <v>2080</v>
      </c>
      <c r="G31" s="49">
        <f t="shared" si="2"/>
        <v>0</v>
      </c>
      <c r="H31" s="50">
        <f t="shared" si="0"/>
        <v>0</v>
      </c>
    </row>
    <row r="32" spans="1:8" s="42" customFormat="1">
      <c r="A32" s="48"/>
      <c r="B32" s="49"/>
      <c r="C32" s="49"/>
      <c r="D32" s="49"/>
      <c r="E32" s="49">
        <f t="shared" si="1"/>
        <v>0</v>
      </c>
      <c r="G32" s="49">
        <f t="shared" si="2"/>
        <v>0</v>
      </c>
      <c r="H32" s="50" t="str">
        <f t="shared" si="0"/>
        <v/>
      </c>
    </row>
    <row r="33" spans="1:8">
      <c r="A33" s="40" t="s">
        <v>68</v>
      </c>
      <c r="B33" s="41">
        <f>B35+B48+B63+B82+B96+B114+B90</f>
        <v>29027000</v>
      </c>
      <c r="C33" s="41">
        <f>C35+C48+C63+C82+C114+C90+C96</f>
        <v>307718</v>
      </c>
      <c r="D33" s="41">
        <f>D35+D48+D63+D82+D96+D114+D90</f>
        <v>726135</v>
      </c>
      <c r="E33" s="41">
        <f t="shared" si="1"/>
        <v>30060853</v>
      </c>
      <c r="F33" s="41">
        <f>F35+F48+F63+F82+F96+F114+F90</f>
        <v>31341000</v>
      </c>
      <c r="G33" s="41">
        <f t="shared" si="2"/>
        <v>1280147</v>
      </c>
      <c r="H33" s="43">
        <f t="shared" si="0"/>
        <v>4.2585185456979549E-2</v>
      </c>
    </row>
    <row r="34" spans="1:8">
      <c r="A34" s="54"/>
      <c r="B34" s="55"/>
      <c r="C34" s="55"/>
      <c r="D34" s="55"/>
      <c r="E34" s="55">
        <f t="shared" si="1"/>
        <v>0</v>
      </c>
      <c r="G34" s="55">
        <f t="shared" si="2"/>
        <v>0</v>
      </c>
      <c r="H34" s="56" t="str">
        <f t="shared" si="0"/>
        <v/>
      </c>
    </row>
    <row r="35" spans="1:8">
      <c r="A35" s="44" t="s">
        <v>69</v>
      </c>
      <c r="B35" s="45">
        <f>B36+B38+B42+B45+B40</f>
        <v>3909340</v>
      </c>
      <c r="C35" s="45">
        <f>C36+C38+C42+C45+C40</f>
        <v>87580</v>
      </c>
      <c r="D35" s="45">
        <f>D36+D38+D42+D45+D40</f>
        <v>360000</v>
      </c>
      <c r="E35" s="45">
        <f t="shared" si="1"/>
        <v>4356920</v>
      </c>
      <c r="F35" s="45">
        <f>F36+F38+F42+F45+F40</f>
        <v>4480660</v>
      </c>
      <c r="G35" s="45">
        <f t="shared" si="2"/>
        <v>123740</v>
      </c>
      <c r="H35" s="47">
        <f t="shared" si="0"/>
        <v>2.8400796893218144E-2</v>
      </c>
    </row>
    <row r="36" spans="1:8">
      <c r="A36" s="44" t="s">
        <v>70</v>
      </c>
      <c r="B36" s="45">
        <f>B37</f>
        <v>3579120</v>
      </c>
      <c r="C36" s="45">
        <f t="shared" ref="C36" si="3">C37</f>
        <v>0</v>
      </c>
      <c r="D36" s="45">
        <f>D37</f>
        <v>360000</v>
      </c>
      <c r="E36" s="45">
        <f t="shared" si="1"/>
        <v>3939120</v>
      </c>
      <c r="F36" s="45">
        <f>F37</f>
        <v>4047660</v>
      </c>
      <c r="G36" s="45">
        <f t="shared" si="2"/>
        <v>108540</v>
      </c>
      <c r="H36" s="47">
        <f t="shared" si="0"/>
        <v>2.7554377627490405E-2</v>
      </c>
    </row>
    <row r="37" spans="1:8" ht="51">
      <c r="A37" s="51" t="s">
        <v>71</v>
      </c>
      <c r="B37" s="52">
        <v>3579120</v>
      </c>
      <c r="C37" s="52"/>
      <c r="D37" s="52">
        <v>360000</v>
      </c>
      <c r="E37" s="52">
        <f t="shared" si="1"/>
        <v>3939120</v>
      </c>
      <c r="F37" s="52">
        <f>1371420+2676240</f>
        <v>4047660</v>
      </c>
      <c r="G37" s="52">
        <f t="shared" si="2"/>
        <v>108540</v>
      </c>
      <c r="H37" s="53">
        <f t="shared" si="0"/>
        <v>2.7554377627490405E-2</v>
      </c>
    </row>
    <row r="38" spans="1:8">
      <c r="A38" s="44" t="s">
        <v>72</v>
      </c>
      <c r="B38" s="45">
        <f>B39</f>
        <v>99660</v>
      </c>
      <c r="C38" s="45">
        <f t="shared" ref="C38" si="4">C39</f>
        <v>57480</v>
      </c>
      <c r="D38" s="45"/>
      <c r="E38" s="45">
        <f t="shared" si="1"/>
        <v>157140</v>
      </c>
      <c r="F38" s="45">
        <f t="shared" ref="F38" si="5">F39</f>
        <v>170200</v>
      </c>
      <c r="G38" s="45">
        <f t="shared" si="2"/>
        <v>13060</v>
      </c>
      <c r="H38" s="47">
        <f t="shared" si="0"/>
        <v>8.3110602010945653E-2</v>
      </c>
    </row>
    <row r="39" spans="1:8" ht="25.5">
      <c r="A39" s="51" t="s">
        <v>73</v>
      </c>
      <c r="B39" s="52">
        <v>99660</v>
      </c>
      <c r="C39" s="52">
        <v>57480</v>
      </c>
      <c r="D39" s="52"/>
      <c r="E39" s="52">
        <f t="shared" si="1"/>
        <v>157140</v>
      </c>
      <c r="F39" s="52">
        <v>170200</v>
      </c>
      <c r="G39" s="52">
        <f t="shared" si="2"/>
        <v>13060</v>
      </c>
      <c r="H39" s="53">
        <f t="shared" si="0"/>
        <v>8.3110602010945653E-2</v>
      </c>
    </row>
    <row r="40" spans="1:8">
      <c r="A40" s="44" t="s">
        <v>74</v>
      </c>
      <c r="B40" s="45">
        <f>B41</f>
        <v>92760</v>
      </c>
      <c r="C40" s="45">
        <f t="shared" ref="C40" si="6">C41</f>
        <v>30100</v>
      </c>
      <c r="D40" s="45"/>
      <c r="E40" s="45">
        <f t="shared" si="1"/>
        <v>122860</v>
      </c>
      <c r="F40" s="45">
        <f>F41</f>
        <v>125000</v>
      </c>
      <c r="G40" s="45">
        <f t="shared" si="2"/>
        <v>2140</v>
      </c>
      <c r="H40" s="47">
        <f t="shared" si="0"/>
        <v>1.7418199576754029E-2</v>
      </c>
    </row>
    <row r="41" spans="1:8" ht="25.5">
      <c r="A41" s="51" t="s">
        <v>73</v>
      </c>
      <c r="B41" s="52">
        <v>92760</v>
      </c>
      <c r="C41" s="52">
        <v>30100</v>
      </c>
      <c r="D41" s="52"/>
      <c r="E41" s="52">
        <f t="shared" si="1"/>
        <v>122860</v>
      </c>
      <c r="F41" s="52">
        <v>125000</v>
      </c>
      <c r="G41" s="52">
        <f t="shared" si="2"/>
        <v>2140</v>
      </c>
      <c r="H41" s="53">
        <f t="shared" si="0"/>
        <v>1.7418199576754029E-2</v>
      </c>
    </row>
    <row r="42" spans="1:8">
      <c r="A42" s="44" t="s">
        <v>57</v>
      </c>
      <c r="B42" s="45">
        <f>B43+B44</f>
        <v>137600</v>
      </c>
      <c r="C42" s="45">
        <f t="shared" ref="C42" si="7">C43+C44</f>
        <v>0</v>
      </c>
      <c r="D42" s="45"/>
      <c r="E42" s="45">
        <f t="shared" si="1"/>
        <v>137600</v>
      </c>
      <c r="F42" s="45">
        <f>F43+F44</f>
        <v>137600</v>
      </c>
      <c r="G42" s="45">
        <f t="shared" si="2"/>
        <v>0</v>
      </c>
      <c r="H42" s="47">
        <f t="shared" si="0"/>
        <v>0</v>
      </c>
    </row>
    <row r="43" spans="1:8">
      <c r="A43" s="48" t="s">
        <v>58</v>
      </c>
      <c r="B43" s="49">
        <v>76000</v>
      </c>
      <c r="C43" s="49"/>
      <c r="D43" s="49"/>
      <c r="E43" s="49">
        <f t="shared" si="1"/>
        <v>76000</v>
      </c>
      <c r="F43" s="49">
        <v>75500</v>
      </c>
      <c r="G43" s="49">
        <f t="shared" si="2"/>
        <v>-500</v>
      </c>
      <c r="H43" s="50">
        <f t="shared" si="0"/>
        <v>-6.5789473684210523E-3</v>
      </c>
    </row>
    <row r="44" spans="1:8">
      <c r="A44" s="48" t="s">
        <v>59</v>
      </c>
      <c r="B44" s="49">
        <v>61600</v>
      </c>
      <c r="C44" s="49"/>
      <c r="D44" s="49"/>
      <c r="E44" s="49">
        <f t="shared" si="1"/>
        <v>61600</v>
      </c>
      <c r="F44" s="49">
        <v>62100</v>
      </c>
      <c r="G44" s="49">
        <f t="shared" si="2"/>
        <v>500</v>
      </c>
      <c r="H44" s="50">
        <f t="shared" si="0"/>
        <v>8.1168831168831161E-3</v>
      </c>
    </row>
    <row r="45" spans="1:8">
      <c r="A45" s="44" t="s">
        <v>61</v>
      </c>
      <c r="B45" s="45">
        <f>B46</f>
        <v>200</v>
      </c>
      <c r="C45" s="45">
        <f t="shared" ref="C45" si="8">C46</f>
        <v>0</v>
      </c>
      <c r="D45" s="45"/>
      <c r="E45" s="45">
        <f t="shared" si="1"/>
        <v>200</v>
      </c>
      <c r="F45" s="45">
        <f>F46</f>
        <v>200</v>
      </c>
      <c r="G45" s="45">
        <f t="shared" si="2"/>
        <v>0</v>
      </c>
      <c r="H45" s="47">
        <f t="shared" si="0"/>
        <v>0</v>
      </c>
    </row>
    <row r="46" spans="1:8">
      <c r="A46" s="57" t="s">
        <v>63</v>
      </c>
      <c r="B46" s="58">
        <v>200</v>
      </c>
      <c r="C46" s="58"/>
      <c r="D46" s="58"/>
      <c r="E46" s="58">
        <f t="shared" si="1"/>
        <v>200</v>
      </c>
      <c r="F46" s="58">
        <v>200</v>
      </c>
      <c r="G46" s="58">
        <f t="shared" si="2"/>
        <v>0</v>
      </c>
      <c r="H46" s="59">
        <f t="shared" si="0"/>
        <v>0</v>
      </c>
    </row>
    <row r="47" spans="1:8">
      <c r="A47" s="48"/>
      <c r="B47" s="49"/>
      <c r="C47" s="49"/>
      <c r="D47" s="49"/>
      <c r="E47" s="49">
        <f t="shared" si="1"/>
        <v>0</v>
      </c>
      <c r="G47" s="49">
        <f t="shared" si="2"/>
        <v>0</v>
      </c>
      <c r="H47" s="50" t="str">
        <f t="shared" si="0"/>
        <v/>
      </c>
    </row>
    <row r="48" spans="1:8">
      <c r="A48" s="44" t="s">
        <v>75</v>
      </c>
      <c r="B48" s="45">
        <f>B49+B56</f>
        <v>19018465</v>
      </c>
      <c r="C48" s="45">
        <f>C49+C56+C60</f>
        <v>-19820</v>
      </c>
      <c r="D48" s="45">
        <f t="shared" ref="D48" si="9">D49+D56+D60</f>
        <v>-46829</v>
      </c>
      <c r="E48" s="45">
        <f t="shared" si="1"/>
        <v>18951816</v>
      </c>
      <c r="F48" s="45">
        <f>F49+F56</f>
        <v>20117930</v>
      </c>
      <c r="G48" s="45">
        <f>F48-E48</f>
        <v>1166114</v>
      </c>
      <c r="H48" s="47">
        <f t="shared" si="0"/>
        <v>6.1530462305037156E-2</v>
      </c>
    </row>
    <row r="49" spans="1:8">
      <c r="A49" s="44" t="s">
        <v>70</v>
      </c>
      <c r="B49" s="45">
        <f>SUM(B50:B55)</f>
        <v>18868055</v>
      </c>
      <c r="C49" s="45">
        <f>SUM(C50:C55)</f>
        <v>-42680</v>
      </c>
      <c r="D49" s="546">
        <f>SUM(D50:D55)</f>
        <v>-56053</v>
      </c>
      <c r="E49" s="45">
        <f t="shared" si="1"/>
        <v>18769322</v>
      </c>
      <c r="F49" s="45">
        <f>SUM(F50:F55)</f>
        <v>19940170</v>
      </c>
      <c r="G49" s="45">
        <f t="shared" ref="G49:G61" si="10">F49-E49</f>
        <v>1170848</v>
      </c>
      <c r="H49" s="47">
        <f t="shared" si="0"/>
        <v>6.2380942689352341E-2</v>
      </c>
    </row>
    <row r="50" spans="1:8" ht="25.5">
      <c r="A50" s="51" t="s">
        <v>76</v>
      </c>
      <c r="B50" s="52">
        <v>5464990</v>
      </c>
      <c r="C50" s="52"/>
      <c r="D50" s="547">
        <v>1280</v>
      </c>
      <c r="E50" s="52">
        <f t="shared" si="1"/>
        <v>5466270</v>
      </c>
      <c r="F50" s="52">
        <v>5357330</v>
      </c>
      <c r="G50" s="52">
        <f t="shared" si="10"/>
        <v>-108940</v>
      </c>
      <c r="H50" s="53">
        <f t="shared" si="0"/>
        <v>-1.9929494884080003E-2</v>
      </c>
    </row>
    <row r="51" spans="1:8">
      <c r="A51" s="51" t="s">
        <v>77</v>
      </c>
      <c r="B51" s="52">
        <f>10659010+616000+1682445</f>
        <v>12957455</v>
      </c>
      <c r="C51" s="52">
        <v>-42040</v>
      </c>
      <c r="D51" s="547">
        <v>-60130</v>
      </c>
      <c r="E51" s="52">
        <f t="shared" si="1"/>
        <v>12855285</v>
      </c>
      <c r="F51" s="52">
        <v>14135070</v>
      </c>
      <c r="G51" s="52">
        <f t="shared" si="10"/>
        <v>1279785</v>
      </c>
      <c r="H51" s="53">
        <f t="shared" si="0"/>
        <v>9.9553218773446098E-2</v>
      </c>
    </row>
    <row r="52" spans="1:8">
      <c r="A52" s="60" t="s">
        <v>78</v>
      </c>
      <c r="B52" s="58">
        <v>34880</v>
      </c>
      <c r="C52" s="58">
        <v>4210</v>
      </c>
      <c r="D52" s="548">
        <v>2200</v>
      </c>
      <c r="E52" s="58">
        <f t="shared" si="1"/>
        <v>41290</v>
      </c>
      <c r="F52" s="58">
        <v>46260</v>
      </c>
      <c r="G52" s="58">
        <f t="shared" si="10"/>
        <v>4970</v>
      </c>
      <c r="H52" s="59">
        <f t="shared" si="0"/>
        <v>0.12036812787599903</v>
      </c>
    </row>
    <row r="53" spans="1:8">
      <c r="A53" s="61" t="s">
        <v>79</v>
      </c>
      <c r="B53" s="58">
        <v>14810</v>
      </c>
      <c r="C53" s="58">
        <v>250</v>
      </c>
      <c r="D53" s="549">
        <v>-1100</v>
      </c>
      <c r="E53" s="58">
        <f t="shared" si="1"/>
        <v>13960</v>
      </c>
      <c r="F53" s="58">
        <v>14050</v>
      </c>
      <c r="G53" s="58">
        <f t="shared" si="10"/>
        <v>90</v>
      </c>
      <c r="H53" s="59">
        <f t="shared" si="0"/>
        <v>6.4469914040114614E-3</v>
      </c>
    </row>
    <row r="54" spans="1:8">
      <c r="A54" s="48" t="s">
        <v>80</v>
      </c>
      <c r="B54" s="49">
        <v>155550</v>
      </c>
      <c r="C54" s="49">
        <v>11150</v>
      </c>
      <c r="D54" s="550">
        <v>15980</v>
      </c>
      <c r="E54" s="49">
        <f t="shared" si="1"/>
        <v>182680</v>
      </c>
      <c r="F54" s="49">
        <v>168780</v>
      </c>
      <c r="G54" s="49">
        <f t="shared" si="10"/>
        <v>-13900</v>
      </c>
      <c r="H54" s="50">
        <f t="shared" si="0"/>
        <v>-7.6089336544777758E-2</v>
      </c>
    </row>
    <row r="55" spans="1:8">
      <c r="A55" s="48" t="s">
        <v>66</v>
      </c>
      <c r="B55" s="49">
        <v>240370</v>
      </c>
      <c r="C55" s="49">
        <f>12600-28850</f>
        <v>-16250</v>
      </c>
      <c r="D55" s="550">
        <f>-14193-90</f>
        <v>-14283</v>
      </c>
      <c r="E55" s="49">
        <f t="shared" si="1"/>
        <v>209837</v>
      </c>
      <c r="F55" s="49">
        <f>202600+16080</f>
        <v>218680</v>
      </c>
      <c r="G55" s="49">
        <f t="shared" si="10"/>
        <v>8843</v>
      </c>
      <c r="H55" s="50">
        <f t="shared" si="0"/>
        <v>4.2142234210363283E-2</v>
      </c>
    </row>
    <row r="56" spans="1:8">
      <c r="A56" s="44" t="s">
        <v>57</v>
      </c>
      <c r="B56" s="45">
        <f>B57+B58+B59</f>
        <v>150410</v>
      </c>
      <c r="C56" s="45">
        <f t="shared" ref="C56:D56" si="11">C57+C58+C59</f>
        <v>22790</v>
      </c>
      <c r="D56" s="45">
        <f t="shared" si="11"/>
        <v>9224</v>
      </c>
      <c r="E56" s="45">
        <f t="shared" si="1"/>
        <v>182424</v>
      </c>
      <c r="F56" s="45">
        <f>F57+F58+F59</f>
        <v>177760</v>
      </c>
      <c r="G56" s="45">
        <f>F56-E56</f>
        <v>-4664</v>
      </c>
      <c r="H56" s="47">
        <f t="shared" si="0"/>
        <v>-2.5566811384466957E-2</v>
      </c>
    </row>
    <row r="57" spans="1:8">
      <c r="A57" s="48" t="s">
        <v>58</v>
      </c>
      <c r="B57" s="49">
        <v>14220</v>
      </c>
      <c r="C57" s="49">
        <v>2980</v>
      </c>
      <c r="D57" s="550">
        <v>1480</v>
      </c>
      <c r="E57" s="45">
        <f t="shared" si="1"/>
        <v>18680</v>
      </c>
      <c r="F57" s="49">
        <f>18450+230</f>
        <v>18680</v>
      </c>
      <c r="G57" s="49">
        <f t="shared" si="10"/>
        <v>0</v>
      </c>
      <c r="H57" s="50">
        <f t="shared" si="0"/>
        <v>0</v>
      </c>
    </row>
    <row r="58" spans="1:8">
      <c r="A58" s="48" t="s">
        <v>59</v>
      </c>
      <c r="B58" s="49">
        <f>126190+10000</f>
        <v>136190</v>
      </c>
      <c r="C58" s="49">
        <v>19410</v>
      </c>
      <c r="D58" s="550">
        <f>5390+704+930+720</f>
        <v>7744</v>
      </c>
      <c r="E58" s="45">
        <f t="shared" si="1"/>
        <v>163344</v>
      </c>
      <c r="F58" s="49">
        <v>159080</v>
      </c>
      <c r="G58" s="49">
        <f t="shared" si="10"/>
        <v>-4264</v>
      </c>
      <c r="H58" s="50">
        <f t="shared" si="0"/>
        <v>-2.6104417670682729E-2</v>
      </c>
    </row>
    <row r="59" spans="1:8">
      <c r="A59" s="48" t="s">
        <v>81</v>
      </c>
      <c r="B59" s="49"/>
      <c r="C59" s="49">
        <v>400</v>
      </c>
      <c r="D59" s="49"/>
      <c r="E59" s="45">
        <f t="shared" si="1"/>
        <v>400</v>
      </c>
      <c r="G59" s="49">
        <f t="shared" si="10"/>
        <v>-400</v>
      </c>
      <c r="H59" s="50" t="str">
        <f t="shared" si="0"/>
        <v/>
      </c>
    </row>
    <row r="60" spans="1:8">
      <c r="A60" s="44" t="s">
        <v>61</v>
      </c>
      <c r="B60" s="49"/>
      <c r="C60" s="49">
        <f>C61</f>
        <v>70</v>
      </c>
      <c r="D60" s="49"/>
      <c r="E60" s="45">
        <f t="shared" si="1"/>
        <v>70</v>
      </c>
      <c r="G60" s="49">
        <f t="shared" si="10"/>
        <v>-70</v>
      </c>
      <c r="H60" s="50" t="str">
        <f t="shared" si="0"/>
        <v/>
      </c>
    </row>
    <row r="61" spans="1:8">
      <c r="A61" s="48" t="s">
        <v>63</v>
      </c>
      <c r="B61" s="49"/>
      <c r="C61" s="49">
        <v>70</v>
      </c>
      <c r="D61" s="49"/>
      <c r="E61" s="45">
        <f t="shared" si="1"/>
        <v>70</v>
      </c>
      <c r="G61" s="49">
        <f t="shared" si="10"/>
        <v>-70</v>
      </c>
      <c r="H61" s="50" t="str">
        <f t="shared" si="0"/>
        <v/>
      </c>
    </row>
    <row r="62" spans="1:8">
      <c r="A62" s="48"/>
      <c r="B62" s="49"/>
      <c r="C62" s="49"/>
      <c r="D62" s="49"/>
      <c r="E62" s="49">
        <f t="shared" si="1"/>
        <v>0</v>
      </c>
      <c r="F62" s="488"/>
      <c r="G62" s="49">
        <f t="shared" si="2"/>
        <v>0</v>
      </c>
      <c r="H62" s="50" t="str">
        <f t="shared" si="0"/>
        <v/>
      </c>
    </row>
    <row r="63" spans="1:8">
      <c r="A63" s="62" t="s">
        <v>82</v>
      </c>
      <c r="B63" s="63">
        <f>B64+B75+B80</f>
        <v>3707465</v>
      </c>
      <c r="C63" s="63">
        <f>C64+C75+C80</f>
        <v>215531</v>
      </c>
      <c r="D63" s="63">
        <f>D64+D75+D80</f>
        <v>284488</v>
      </c>
      <c r="E63" s="63">
        <f t="shared" si="1"/>
        <v>4207484</v>
      </c>
      <c r="F63" s="63">
        <f>F64+F75+F79</f>
        <v>4152530</v>
      </c>
      <c r="G63" s="63">
        <f t="shared" si="2"/>
        <v>-54954</v>
      </c>
      <c r="H63" s="64">
        <f t="shared" si="0"/>
        <v>-1.3061012234389959E-2</v>
      </c>
    </row>
    <row r="64" spans="1:8">
      <c r="A64" s="44" t="s">
        <v>70</v>
      </c>
      <c r="B64" s="45">
        <f>B65+B66+B67+B68+B69+B70+B71+B72+B73+B74</f>
        <v>3181835</v>
      </c>
      <c r="C64" s="45">
        <f>C65+C66+C67+C68+C69+C70+C71+C72+C73+C74</f>
        <v>212640</v>
      </c>
      <c r="D64" s="45">
        <f>D65+D66+D67+D68+D69+D70+D71+D72+D73+D74</f>
        <v>280678</v>
      </c>
      <c r="E64" s="45">
        <f t="shared" si="1"/>
        <v>3675153</v>
      </c>
      <c r="F64" s="45">
        <f>SUM(F65:F74)</f>
        <v>3628100</v>
      </c>
      <c r="G64" s="45">
        <f t="shared" si="2"/>
        <v>-47053</v>
      </c>
      <c r="H64" s="47">
        <f t="shared" si="0"/>
        <v>-1.2803004391925997E-2</v>
      </c>
    </row>
    <row r="65" spans="1:8" ht="25.5">
      <c r="A65" s="51" t="s">
        <v>76</v>
      </c>
      <c r="B65" s="52">
        <f>23470+14220</f>
        <v>37690</v>
      </c>
      <c r="C65" s="52">
        <v>5310</v>
      </c>
      <c r="D65" s="547">
        <v>1540</v>
      </c>
      <c r="E65" s="52">
        <f t="shared" si="1"/>
        <v>44540</v>
      </c>
      <c r="F65" s="52">
        <v>46990</v>
      </c>
      <c r="G65" s="52">
        <f t="shared" si="2"/>
        <v>2450</v>
      </c>
      <c r="H65" s="53">
        <f t="shared" si="0"/>
        <v>5.5006735518634935E-2</v>
      </c>
    </row>
    <row r="66" spans="1:8">
      <c r="A66" s="51" t="s">
        <v>77</v>
      </c>
      <c r="B66" s="52">
        <f>52210+33830+5000+13555</f>
        <v>104595</v>
      </c>
      <c r="C66" s="52">
        <v>430</v>
      </c>
      <c r="D66" s="547">
        <v>-1240</v>
      </c>
      <c r="E66" s="52">
        <f t="shared" si="1"/>
        <v>103785</v>
      </c>
      <c r="F66" s="52">
        <v>117170</v>
      </c>
      <c r="G66" s="52">
        <f t="shared" si="2"/>
        <v>13385</v>
      </c>
      <c r="H66" s="53">
        <f t="shared" si="0"/>
        <v>0.12896854073324662</v>
      </c>
    </row>
    <row r="67" spans="1:8">
      <c r="A67" s="51" t="s">
        <v>83</v>
      </c>
      <c r="B67" s="52">
        <v>10900</v>
      </c>
      <c r="C67" s="52"/>
      <c r="D67" s="547">
        <v>500</v>
      </c>
      <c r="E67" s="52">
        <f t="shared" si="1"/>
        <v>11400</v>
      </c>
      <c r="F67" s="52">
        <v>11200</v>
      </c>
      <c r="G67" s="52">
        <f t="shared" si="2"/>
        <v>-200</v>
      </c>
      <c r="H67" s="53">
        <f t="shared" si="0"/>
        <v>-1.7543859649122806E-2</v>
      </c>
    </row>
    <row r="68" spans="1:8">
      <c r="A68" s="48" t="s">
        <v>84</v>
      </c>
      <c r="B68" s="49">
        <f>1012000+50000</f>
        <v>1062000</v>
      </c>
      <c r="C68" s="49">
        <v>71840</v>
      </c>
      <c r="D68" s="550">
        <v>54537</v>
      </c>
      <c r="E68" s="49">
        <f t="shared" si="1"/>
        <v>1188377</v>
      </c>
      <c r="F68" s="49">
        <f>1158630+29750</f>
        <v>1188380</v>
      </c>
      <c r="G68" s="49">
        <f t="shared" si="2"/>
        <v>3</v>
      </c>
      <c r="H68" s="50">
        <f t="shared" si="0"/>
        <v>2.5244514156702798E-6</v>
      </c>
    </row>
    <row r="69" spans="1:8">
      <c r="A69" s="48" t="s">
        <v>85</v>
      </c>
      <c r="B69" s="49">
        <f>237500+15000</f>
        <v>252500</v>
      </c>
      <c r="C69" s="49"/>
      <c r="D69" s="550">
        <f>34600+2500+980-6000</f>
        <v>32080</v>
      </c>
      <c r="E69" s="49">
        <f t="shared" ref="E69:E132" si="12">SUM(B69:D69)</f>
        <v>284580</v>
      </c>
      <c r="F69" s="49">
        <f>260000+24580</f>
        <v>284580</v>
      </c>
      <c r="G69" s="49">
        <f t="shared" si="2"/>
        <v>0</v>
      </c>
      <c r="H69" s="50">
        <f t="shared" si="0"/>
        <v>0</v>
      </c>
    </row>
    <row r="70" spans="1:8">
      <c r="A70" s="48" t="s">
        <v>80</v>
      </c>
      <c r="B70" s="49">
        <v>1662760</v>
      </c>
      <c r="C70" s="49">
        <v>119590</v>
      </c>
      <c r="D70" s="550">
        <f>1200+180054</f>
        <v>181254</v>
      </c>
      <c r="E70" s="49">
        <f t="shared" si="12"/>
        <v>1963604</v>
      </c>
      <c r="F70" s="49">
        <f>3070+1809860+100740</f>
        <v>1913670</v>
      </c>
      <c r="G70" s="49">
        <f t="shared" si="2"/>
        <v>-49934</v>
      </c>
      <c r="H70" s="50">
        <f t="shared" ref="H70:H135" si="13">IF(F70=0,"",G70/E70)</f>
        <v>-2.5429770972151208E-2</v>
      </c>
    </row>
    <row r="71" spans="1:8" ht="25.5">
      <c r="A71" s="51" t="s">
        <v>86</v>
      </c>
      <c r="B71" s="52">
        <v>21360</v>
      </c>
      <c r="C71" s="52">
        <v>9820</v>
      </c>
      <c r="D71" s="547">
        <v>3493</v>
      </c>
      <c r="E71" s="52">
        <f t="shared" si="12"/>
        <v>34673</v>
      </c>
      <c r="F71" s="52">
        <v>26590</v>
      </c>
      <c r="G71" s="52">
        <f t="shared" ref="G71:G136" si="14">F71-E71</f>
        <v>-8083</v>
      </c>
      <c r="H71" s="53">
        <f t="shared" si="13"/>
        <v>-0.2331208721483575</v>
      </c>
    </row>
    <row r="72" spans="1:8">
      <c r="A72" s="48" t="s">
        <v>87</v>
      </c>
      <c r="B72" s="49">
        <v>1800</v>
      </c>
      <c r="C72" s="49"/>
      <c r="D72" s="49"/>
      <c r="E72" s="49">
        <f t="shared" si="12"/>
        <v>1800</v>
      </c>
      <c r="F72" s="49">
        <v>2640</v>
      </c>
      <c r="G72" s="49">
        <f t="shared" si="14"/>
        <v>840</v>
      </c>
      <c r="H72" s="50">
        <f t="shared" si="13"/>
        <v>0.46666666666666667</v>
      </c>
    </row>
    <row r="73" spans="1:8">
      <c r="A73" s="48" t="s">
        <v>88</v>
      </c>
      <c r="B73" s="49">
        <v>2500</v>
      </c>
      <c r="C73" s="49"/>
      <c r="D73" s="49"/>
      <c r="E73" s="49">
        <f t="shared" si="12"/>
        <v>2500</v>
      </c>
      <c r="F73" s="49">
        <v>2500</v>
      </c>
      <c r="G73" s="49">
        <f t="shared" si="14"/>
        <v>0</v>
      </c>
      <c r="H73" s="50">
        <f t="shared" si="13"/>
        <v>0</v>
      </c>
    </row>
    <row r="74" spans="1:8">
      <c r="A74" s="48" t="s">
        <v>66</v>
      </c>
      <c r="B74" s="49">
        <v>25730</v>
      </c>
      <c r="C74" s="49">
        <v>5650</v>
      </c>
      <c r="D74" s="550">
        <f>6855+1659</f>
        <v>8514</v>
      </c>
      <c r="E74" s="49">
        <f t="shared" si="12"/>
        <v>39894</v>
      </c>
      <c r="F74" s="38">
        <f>8230+26150</f>
        <v>34380</v>
      </c>
      <c r="G74" s="49">
        <f t="shared" si="14"/>
        <v>-5514</v>
      </c>
      <c r="H74" s="50">
        <f t="shared" si="13"/>
        <v>-0.13821627312377802</v>
      </c>
    </row>
    <row r="75" spans="1:8">
      <c r="A75" s="44" t="s">
        <v>57</v>
      </c>
      <c r="B75" s="45">
        <f>B76+B77</f>
        <v>525390</v>
      </c>
      <c r="C75" s="45">
        <f>C76+C77</f>
        <v>2891</v>
      </c>
      <c r="D75" s="45">
        <f>D76+D77+D78</f>
        <v>3810</v>
      </c>
      <c r="E75" s="45">
        <f t="shared" si="12"/>
        <v>532091</v>
      </c>
      <c r="F75" s="45">
        <f>F76+F77</f>
        <v>524190</v>
      </c>
      <c r="G75" s="45">
        <f t="shared" si="14"/>
        <v>-7901</v>
      </c>
      <c r="H75" s="47">
        <f t="shared" si="13"/>
        <v>-1.484896380506342E-2</v>
      </c>
    </row>
    <row r="76" spans="1:8">
      <c r="A76" s="48" t="s">
        <v>58</v>
      </c>
      <c r="B76" s="49">
        <v>61910</v>
      </c>
      <c r="C76" s="49">
        <v>2891</v>
      </c>
      <c r="D76" s="550">
        <v>1370</v>
      </c>
      <c r="E76" s="49">
        <f t="shared" si="12"/>
        <v>66171</v>
      </c>
      <c r="F76" s="49">
        <v>64250</v>
      </c>
      <c r="G76" s="49">
        <f t="shared" si="14"/>
        <v>-1921</v>
      </c>
      <c r="H76" s="50">
        <f t="shared" si="13"/>
        <v>-2.9030844327575522E-2</v>
      </c>
    </row>
    <row r="77" spans="1:8">
      <c r="A77" s="48" t="s">
        <v>59</v>
      </c>
      <c r="B77" s="49">
        <v>463480</v>
      </c>
      <c r="C77" s="49"/>
      <c r="D77" s="547"/>
      <c r="E77" s="49">
        <f t="shared" si="12"/>
        <v>463480</v>
      </c>
      <c r="F77" s="49">
        <v>459940</v>
      </c>
      <c r="G77" s="49">
        <f t="shared" si="14"/>
        <v>-3540</v>
      </c>
      <c r="H77" s="50">
        <f t="shared" si="13"/>
        <v>-7.6378700267541212E-3</v>
      </c>
    </row>
    <row r="78" spans="1:8">
      <c r="A78" s="514" t="s">
        <v>81</v>
      </c>
      <c r="B78" s="49"/>
      <c r="C78" s="49"/>
      <c r="D78" s="547">
        <v>2440</v>
      </c>
      <c r="E78" s="49">
        <f t="shared" si="12"/>
        <v>2440</v>
      </c>
      <c r="F78" s="49"/>
      <c r="G78" s="49"/>
      <c r="H78" s="50"/>
    </row>
    <row r="79" spans="1:8">
      <c r="A79" s="44" t="s">
        <v>61</v>
      </c>
      <c r="B79" s="45">
        <f>B80</f>
        <v>240</v>
      </c>
      <c r="C79" s="45"/>
      <c r="D79" s="45"/>
      <c r="E79" s="45">
        <f t="shared" si="12"/>
        <v>240</v>
      </c>
      <c r="F79" s="45">
        <f>F80</f>
        <v>240</v>
      </c>
      <c r="G79" s="45">
        <f t="shared" si="14"/>
        <v>0</v>
      </c>
      <c r="H79" s="47">
        <f t="shared" si="13"/>
        <v>0</v>
      </c>
    </row>
    <row r="80" spans="1:8">
      <c r="A80" s="48" t="s">
        <v>63</v>
      </c>
      <c r="B80" s="49">
        <v>240</v>
      </c>
      <c r="C80" s="49"/>
      <c r="D80" s="49"/>
      <c r="E80" s="49">
        <f t="shared" si="12"/>
        <v>240</v>
      </c>
      <c r="F80" s="49">
        <v>240</v>
      </c>
      <c r="G80" s="49">
        <f t="shared" si="14"/>
        <v>0</v>
      </c>
      <c r="H80" s="50">
        <f t="shared" si="13"/>
        <v>0</v>
      </c>
    </row>
    <row r="81" spans="1:8">
      <c r="A81" s="48"/>
      <c r="B81" s="49"/>
      <c r="C81" s="49"/>
      <c r="D81" s="49"/>
      <c r="E81" s="49">
        <f t="shared" si="12"/>
        <v>0</v>
      </c>
      <c r="G81" s="49">
        <f t="shared" si="14"/>
        <v>0</v>
      </c>
      <c r="H81" s="50" t="str">
        <f t="shared" si="13"/>
        <v/>
      </c>
    </row>
    <row r="82" spans="1:8">
      <c r="A82" s="62" t="s">
        <v>89</v>
      </c>
      <c r="B82" s="63">
        <f>B83+B87</f>
        <v>61000</v>
      </c>
      <c r="C82" s="63">
        <f>C83+C87</f>
        <v>0</v>
      </c>
      <c r="D82" s="551">
        <f>D83</f>
        <v>72660</v>
      </c>
      <c r="E82" s="63">
        <f t="shared" si="12"/>
        <v>133660</v>
      </c>
      <c r="F82" s="63">
        <f>F83+F87</f>
        <v>60000</v>
      </c>
      <c r="G82" s="63">
        <f t="shared" si="14"/>
        <v>-73660</v>
      </c>
      <c r="H82" s="64">
        <f t="shared" si="13"/>
        <v>-0.55109980547658233</v>
      </c>
    </row>
    <row r="83" spans="1:8">
      <c r="A83" s="44" t="s">
        <v>70</v>
      </c>
      <c r="B83" s="45">
        <f>B85+B84</f>
        <v>36000</v>
      </c>
      <c r="C83" s="45">
        <f>C85+C84</f>
        <v>0</v>
      </c>
      <c r="D83" s="546">
        <f>D85+D84+D86</f>
        <v>72660</v>
      </c>
      <c r="E83" s="45">
        <f t="shared" si="12"/>
        <v>108660</v>
      </c>
      <c r="F83" s="45">
        <f t="shared" ref="F83" si="15">F85+F84+F86</f>
        <v>35000</v>
      </c>
      <c r="G83" s="45">
        <f t="shared" si="14"/>
        <v>-73660</v>
      </c>
      <c r="H83" s="47">
        <f t="shared" si="13"/>
        <v>-0.67789434934658566</v>
      </c>
    </row>
    <row r="84" spans="1:8">
      <c r="A84" s="51" t="s">
        <v>90</v>
      </c>
      <c r="B84" s="52">
        <v>19000</v>
      </c>
      <c r="C84" s="52">
        <v>10000</v>
      </c>
      <c r="D84" s="547">
        <v>74000</v>
      </c>
      <c r="E84" s="52">
        <f t="shared" si="12"/>
        <v>103000</v>
      </c>
      <c r="F84" s="52">
        <v>35000</v>
      </c>
      <c r="G84" s="52">
        <f t="shared" si="14"/>
        <v>-68000</v>
      </c>
      <c r="H84" s="53">
        <f t="shared" si="13"/>
        <v>-0.66019417475728159</v>
      </c>
    </row>
    <row r="85" spans="1:8" ht="25.5">
      <c r="A85" s="51" t="s">
        <v>80</v>
      </c>
      <c r="B85" s="52">
        <v>17000</v>
      </c>
      <c r="C85" s="52">
        <v>-10000</v>
      </c>
      <c r="D85" s="547">
        <v>-6000</v>
      </c>
      <c r="E85" s="52">
        <f t="shared" si="12"/>
        <v>1000</v>
      </c>
      <c r="F85" s="52">
        <v>0</v>
      </c>
      <c r="G85" s="52">
        <f t="shared" si="14"/>
        <v>-1000</v>
      </c>
      <c r="H85" s="53" t="str">
        <f t="shared" si="13"/>
        <v/>
      </c>
    </row>
    <row r="86" spans="1:8">
      <c r="A86" s="514" t="s">
        <v>93</v>
      </c>
      <c r="B86" s="52"/>
      <c r="C86" s="52"/>
      <c r="D86" s="547">
        <v>4660</v>
      </c>
      <c r="E86" s="52">
        <f t="shared" si="12"/>
        <v>4660</v>
      </c>
      <c r="F86" s="52"/>
      <c r="G86" s="52"/>
      <c r="H86" s="53"/>
    </row>
    <row r="87" spans="1:8">
      <c r="A87" s="44" t="s">
        <v>57</v>
      </c>
      <c r="B87" s="45">
        <f>B88</f>
        <v>25000</v>
      </c>
      <c r="C87" s="45">
        <f>C88</f>
        <v>0</v>
      </c>
      <c r="D87" s="45"/>
      <c r="E87" s="45">
        <f t="shared" si="12"/>
        <v>25000</v>
      </c>
      <c r="F87" s="45">
        <f>F88</f>
        <v>25000</v>
      </c>
      <c r="G87" s="45">
        <f t="shared" si="14"/>
        <v>0</v>
      </c>
      <c r="H87" s="47">
        <f t="shared" si="13"/>
        <v>0</v>
      </c>
    </row>
    <row r="88" spans="1:8">
      <c r="A88" s="48" t="s">
        <v>59</v>
      </c>
      <c r="B88" s="49">
        <v>25000</v>
      </c>
      <c r="C88" s="49"/>
      <c r="D88" s="49"/>
      <c r="E88" s="49">
        <f t="shared" si="12"/>
        <v>25000</v>
      </c>
      <c r="F88" s="49">
        <v>25000</v>
      </c>
      <c r="G88" s="49">
        <f t="shared" si="14"/>
        <v>0</v>
      </c>
      <c r="H88" s="50">
        <f t="shared" si="13"/>
        <v>0</v>
      </c>
    </row>
    <row r="89" spans="1:8">
      <c r="A89" s="48"/>
      <c r="B89" s="49"/>
      <c r="C89" s="49"/>
      <c r="D89" s="49"/>
      <c r="E89" s="49">
        <f t="shared" si="12"/>
        <v>0</v>
      </c>
      <c r="G89" s="49">
        <f t="shared" si="14"/>
        <v>0</v>
      </c>
      <c r="H89" s="50" t="str">
        <f t="shared" si="13"/>
        <v/>
      </c>
    </row>
    <row r="90" spans="1:8">
      <c r="A90" s="44" t="s">
        <v>91</v>
      </c>
      <c r="B90" s="45">
        <f>B91+B93</f>
        <v>2450</v>
      </c>
      <c r="C90" s="45">
        <f>C91+C93</f>
        <v>-2375</v>
      </c>
      <c r="D90" s="45"/>
      <c r="E90" s="45">
        <f t="shared" si="12"/>
        <v>75</v>
      </c>
      <c r="G90" s="45">
        <f t="shared" si="14"/>
        <v>-75</v>
      </c>
      <c r="H90" s="47" t="str">
        <f t="shared" si="13"/>
        <v/>
      </c>
    </row>
    <row r="91" spans="1:8">
      <c r="A91" s="44" t="s">
        <v>70</v>
      </c>
      <c r="B91" s="45">
        <f>B92</f>
        <v>1800</v>
      </c>
      <c r="C91" s="45">
        <f>C92</f>
        <v>-1744</v>
      </c>
      <c r="D91" s="45"/>
      <c r="E91" s="45">
        <f t="shared" si="12"/>
        <v>56</v>
      </c>
      <c r="G91" s="45">
        <f t="shared" si="14"/>
        <v>-56</v>
      </c>
      <c r="H91" s="47" t="str">
        <f t="shared" si="13"/>
        <v/>
      </c>
    </row>
    <row r="92" spans="1:8">
      <c r="A92" s="48" t="s">
        <v>80</v>
      </c>
      <c r="B92" s="49">
        <v>1800</v>
      </c>
      <c r="C92" s="49">
        <v>-1744</v>
      </c>
      <c r="D92" s="49"/>
      <c r="E92" s="49">
        <f t="shared" si="12"/>
        <v>56</v>
      </c>
      <c r="G92" s="49">
        <f t="shared" si="14"/>
        <v>-56</v>
      </c>
      <c r="H92" s="50" t="str">
        <f t="shared" si="13"/>
        <v/>
      </c>
    </row>
    <row r="93" spans="1:8">
      <c r="A93" s="44" t="s">
        <v>61</v>
      </c>
      <c r="B93" s="45">
        <f>B94</f>
        <v>650</v>
      </c>
      <c r="C93" s="45">
        <f>C94</f>
        <v>-631</v>
      </c>
      <c r="D93" s="45"/>
      <c r="E93" s="45">
        <f t="shared" si="12"/>
        <v>19</v>
      </c>
      <c r="G93" s="45">
        <f t="shared" si="14"/>
        <v>-19</v>
      </c>
      <c r="H93" s="47" t="str">
        <f t="shared" si="13"/>
        <v/>
      </c>
    </row>
    <row r="94" spans="1:8">
      <c r="A94" s="57" t="s">
        <v>63</v>
      </c>
      <c r="B94" s="58">
        <v>650</v>
      </c>
      <c r="C94" s="58">
        <v>-631</v>
      </c>
      <c r="D94" s="58"/>
      <c r="E94" s="58">
        <f t="shared" si="12"/>
        <v>19</v>
      </c>
      <c r="G94" s="58">
        <f t="shared" si="14"/>
        <v>-19</v>
      </c>
      <c r="H94" s="59" t="str">
        <f t="shared" si="13"/>
        <v/>
      </c>
    </row>
    <row r="95" spans="1:8">
      <c r="A95" s="48"/>
      <c r="B95" s="49"/>
      <c r="C95" s="49"/>
      <c r="D95" s="49"/>
      <c r="E95" s="49">
        <f t="shared" si="12"/>
        <v>0</v>
      </c>
      <c r="G95" s="49">
        <f t="shared" si="14"/>
        <v>0</v>
      </c>
      <c r="H95" s="50" t="str">
        <f t="shared" si="13"/>
        <v/>
      </c>
    </row>
    <row r="96" spans="1:8">
      <c r="A96" s="44" t="s">
        <v>92</v>
      </c>
      <c r="B96" s="45">
        <f>B100+B110+B97+B103</f>
        <v>2068740</v>
      </c>
      <c r="C96" s="45">
        <f>C100+C110+C97+C103</f>
        <v>26802</v>
      </c>
      <c r="D96" s="45">
        <f>D100+D110+D97+D103</f>
        <v>55816</v>
      </c>
      <c r="E96" s="45">
        <f t="shared" si="12"/>
        <v>2151358</v>
      </c>
      <c r="F96" s="45">
        <f>F100+F110+F97+F103</f>
        <v>2270340</v>
      </c>
      <c r="G96" s="45">
        <f t="shared" si="14"/>
        <v>118982</v>
      </c>
      <c r="H96" s="47">
        <f t="shared" si="13"/>
        <v>5.5305532598479659E-2</v>
      </c>
    </row>
    <row r="97" spans="1:8">
      <c r="A97" s="44" t="s">
        <v>70</v>
      </c>
      <c r="B97" s="45">
        <f>B98+B99</f>
        <v>580</v>
      </c>
      <c r="C97" s="45">
        <f>C98+C99</f>
        <v>520</v>
      </c>
      <c r="D97" s="45">
        <f>D98+D99</f>
        <v>1800</v>
      </c>
      <c r="E97" s="45">
        <f t="shared" si="12"/>
        <v>2900</v>
      </c>
      <c r="F97" s="45">
        <f>F98+F99</f>
        <v>540</v>
      </c>
      <c r="G97" s="45">
        <f t="shared" si="14"/>
        <v>-2360</v>
      </c>
      <c r="H97" s="47">
        <f t="shared" si="13"/>
        <v>-0.81379310344827582</v>
      </c>
    </row>
    <row r="98" spans="1:8" ht="25.5">
      <c r="A98" s="51" t="s">
        <v>80</v>
      </c>
      <c r="B98" s="52">
        <v>500</v>
      </c>
      <c r="C98" s="52">
        <v>520</v>
      </c>
      <c r="D98" s="52"/>
      <c r="E98" s="52">
        <f t="shared" si="12"/>
        <v>1020</v>
      </c>
      <c r="F98" s="52">
        <v>500</v>
      </c>
      <c r="G98" s="52">
        <f t="shared" si="14"/>
        <v>-520</v>
      </c>
      <c r="H98" s="53">
        <f t="shared" si="13"/>
        <v>-0.50980392156862742</v>
      </c>
    </row>
    <row r="99" spans="1:8">
      <c r="A99" s="51" t="s">
        <v>93</v>
      </c>
      <c r="B99" s="52">
        <v>80</v>
      </c>
      <c r="C99" s="52"/>
      <c r="D99" s="52">
        <v>1800</v>
      </c>
      <c r="E99" s="52">
        <f t="shared" si="12"/>
        <v>1880</v>
      </c>
      <c r="F99" s="52">
        <v>40</v>
      </c>
      <c r="G99" s="52">
        <f t="shared" si="14"/>
        <v>-1840</v>
      </c>
      <c r="H99" s="53">
        <f t="shared" si="13"/>
        <v>-0.97872340425531912</v>
      </c>
    </row>
    <row r="100" spans="1:8">
      <c r="A100" s="44" t="s">
        <v>72</v>
      </c>
      <c r="B100" s="45">
        <f>B101+B102</f>
        <v>632400</v>
      </c>
      <c r="C100" s="45">
        <f>C101+C102</f>
        <v>7295</v>
      </c>
      <c r="D100" s="546">
        <f>D101+D102</f>
        <v>46145</v>
      </c>
      <c r="E100" s="45">
        <f t="shared" si="12"/>
        <v>685840</v>
      </c>
      <c r="F100" s="45">
        <f>F101+F102</f>
        <v>718060</v>
      </c>
      <c r="G100" s="45">
        <f t="shared" si="14"/>
        <v>32220</v>
      </c>
      <c r="H100" s="47">
        <f t="shared" si="13"/>
        <v>4.6978887204012595E-2</v>
      </c>
    </row>
    <row r="101" spans="1:8">
      <c r="A101" s="51" t="s">
        <v>94</v>
      </c>
      <c r="B101" s="52">
        <v>622430</v>
      </c>
      <c r="C101" s="52">
        <v>7295</v>
      </c>
      <c r="D101" s="547">
        <f>33073+12618</f>
        <v>45691</v>
      </c>
      <c r="E101" s="52">
        <f t="shared" si="12"/>
        <v>675416</v>
      </c>
      <c r="F101" s="52">
        <v>707270</v>
      </c>
      <c r="G101" s="52">
        <f t="shared" si="14"/>
        <v>31854</v>
      </c>
      <c r="H101" s="53">
        <f t="shared" si="13"/>
        <v>4.7162045317256325E-2</v>
      </c>
    </row>
    <row r="102" spans="1:8">
      <c r="A102" s="48" t="s">
        <v>66</v>
      </c>
      <c r="B102" s="49">
        <v>9970</v>
      </c>
      <c r="C102" s="49"/>
      <c r="D102" s="550">
        <v>454</v>
      </c>
      <c r="E102" s="49">
        <f t="shared" si="12"/>
        <v>10424</v>
      </c>
      <c r="F102" s="49">
        <v>10790</v>
      </c>
      <c r="G102" s="49">
        <f t="shared" si="14"/>
        <v>366</v>
      </c>
      <c r="H102" s="50">
        <f t="shared" si="13"/>
        <v>3.5111281657712969E-2</v>
      </c>
    </row>
    <row r="103" spans="1:8">
      <c r="A103" s="44" t="s">
        <v>74</v>
      </c>
      <c r="B103" s="45">
        <f>SUM(B104:B109)</f>
        <v>1305660</v>
      </c>
      <c r="C103" s="45">
        <f>SUM(C104:C109)</f>
        <v>18820</v>
      </c>
      <c r="D103" s="45">
        <f>SUM(D104:D109)</f>
        <v>17628</v>
      </c>
      <c r="E103" s="45">
        <f t="shared" si="12"/>
        <v>1342108</v>
      </c>
      <c r="F103" s="45">
        <f>SUM(F104:F109)</f>
        <v>1427250</v>
      </c>
      <c r="G103" s="45">
        <f t="shared" si="14"/>
        <v>85142</v>
      </c>
      <c r="H103" s="47">
        <f t="shared" si="13"/>
        <v>6.3439007889081953E-2</v>
      </c>
    </row>
    <row r="104" spans="1:8">
      <c r="A104" s="51" t="s">
        <v>84</v>
      </c>
      <c r="B104" s="52">
        <v>1132050</v>
      </c>
      <c r="C104" s="52"/>
      <c r="D104" s="547">
        <v>14690</v>
      </c>
      <c r="E104" s="52">
        <f t="shared" si="12"/>
        <v>1146740</v>
      </c>
      <c r="F104" s="52">
        <v>1243990</v>
      </c>
      <c r="G104" s="52">
        <f t="shared" si="14"/>
        <v>97250</v>
      </c>
      <c r="H104" s="53">
        <f t="shared" si="13"/>
        <v>8.4805622896210131E-2</v>
      </c>
    </row>
    <row r="105" spans="1:8">
      <c r="A105" s="48" t="s">
        <v>95</v>
      </c>
      <c r="B105" s="49">
        <v>15100</v>
      </c>
      <c r="C105" s="49">
        <v>17000</v>
      </c>
      <c r="D105" s="550">
        <v>-2394</v>
      </c>
      <c r="E105" s="49">
        <f t="shared" si="12"/>
        <v>29706</v>
      </c>
      <c r="F105" s="49">
        <v>20100</v>
      </c>
      <c r="G105" s="49">
        <f t="shared" si="14"/>
        <v>-9606</v>
      </c>
      <c r="H105" s="50">
        <f t="shared" si="13"/>
        <v>-0.32336901636033127</v>
      </c>
    </row>
    <row r="106" spans="1:8">
      <c r="A106" s="48" t="s">
        <v>96</v>
      </c>
      <c r="B106" s="49">
        <v>200</v>
      </c>
      <c r="C106" s="49"/>
      <c r="D106" s="49"/>
      <c r="E106" s="49">
        <f t="shared" si="12"/>
        <v>200</v>
      </c>
      <c r="F106" s="49">
        <v>200</v>
      </c>
      <c r="G106" s="49">
        <f t="shared" si="14"/>
        <v>0</v>
      </c>
      <c r="H106" s="50">
        <f t="shared" si="13"/>
        <v>0</v>
      </c>
    </row>
    <row r="107" spans="1:8">
      <c r="A107" s="48" t="s">
        <v>97</v>
      </c>
      <c r="B107" s="49">
        <v>13970</v>
      </c>
      <c r="C107" s="49">
        <v>120</v>
      </c>
      <c r="D107" s="550">
        <v>1830</v>
      </c>
      <c r="E107" s="49">
        <f t="shared" si="12"/>
        <v>15920</v>
      </c>
      <c r="F107" s="49">
        <v>13970</v>
      </c>
      <c r="G107" s="49">
        <f t="shared" si="14"/>
        <v>-1950</v>
      </c>
      <c r="H107" s="50">
        <f t="shared" si="13"/>
        <v>-0.12248743718592965</v>
      </c>
    </row>
    <row r="108" spans="1:8">
      <c r="A108" s="48" t="s">
        <v>98</v>
      </c>
      <c r="B108" s="49">
        <v>360</v>
      </c>
      <c r="C108" s="49"/>
      <c r="D108" s="49"/>
      <c r="E108" s="49">
        <f t="shared" si="12"/>
        <v>360</v>
      </c>
      <c r="F108" s="49">
        <v>1080</v>
      </c>
      <c r="G108" s="49">
        <f t="shared" si="14"/>
        <v>720</v>
      </c>
      <c r="H108" s="50">
        <f t="shared" si="13"/>
        <v>2</v>
      </c>
    </row>
    <row r="109" spans="1:8">
      <c r="A109" s="48" t="s">
        <v>99</v>
      </c>
      <c r="B109" s="49">
        <v>143980</v>
      </c>
      <c r="C109" s="49">
        <v>1700</v>
      </c>
      <c r="D109" s="550">
        <v>3502</v>
      </c>
      <c r="E109" s="49">
        <f t="shared" si="12"/>
        <v>149182</v>
      </c>
      <c r="F109" s="49">
        <v>147910</v>
      </c>
      <c r="G109" s="49">
        <f t="shared" si="14"/>
        <v>-1272</v>
      </c>
      <c r="H109" s="50">
        <f t="shared" si="13"/>
        <v>-8.5264978348594343E-3</v>
      </c>
    </row>
    <row r="110" spans="1:8">
      <c r="A110" s="38" t="s">
        <v>57</v>
      </c>
      <c r="B110" s="65">
        <f>B111+B112</f>
        <v>130100</v>
      </c>
      <c r="C110" s="65">
        <f>C111+C112</f>
        <v>167</v>
      </c>
      <c r="D110" s="552">
        <f>D111+D112</f>
        <v>-9757</v>
      </c>
      <c r="E110" s="65">
        <f t="shared" si="12"/>
        <v>120510</v>
      </c>
      <c r="F110" s="65">
        <f>F111+F112</f>
        <v>124490</v>
      </c>
      <c r="G110" s="65">
        <f t="shared" si="14"/>
        <v>3980</v>
      </c>
      <c r="H110" s="66">
        <f t="shared" si="13"/>
        <v>3.3026304870965063E-2</v>
      </c>
    </row>
    <row r="111" spans="1:8">
      <c r="A111" s="48" t="s">
        <v>58</v>
      </c>
      <c r="B111" s="49">
        <v>90590</v>
      </c>
      <c r="C111" s="49"/>
      <c r="D111" s="550">
        <v>-9607</v>
      </c>
      <c r="E111" s="49">
        <f t="shared" si="12"/>
        <v>80983</v>
      </c>
      <c r="F111" s="49">
        <v>84420</v>
      </c>
      <c r="G111" s="49">
        <f t="shared" si="14"/>
        <v>3437</v>
      </c>
      <c r="H111" s="50">
        <f t="shared" si="13"/>
        <v>4.2441006137090502E-2</v>
      </c>
    </row>
    <row r="112" spans="1:8">
      <c r="A112" s="48" t="s">
        <v>59</v>
      </c>
      <c r="B112" s="49">
        <v>39510</v>
      </c>
      <c r="C112" s="49">
        <v>167</v>
      </c>
      <c r="D112" s="550">
        <v>-150</v>
      </c>
      <c r="E112" s="49">
        <f t="shared" si="12"/>
        <v>39527</v>
      </c>
      <c r="F112" s="49">
        <v>40070</v>
      </c>
      <c r="G112" s="49">
        <f t="shared" si="14"/>
        <v>543</v>
      </c>
      <c r="H112" s="50">
        <f t="shared" si="13"/>
        <v>1.3737445290560882E-2</v>
      </c>
    </row>
    <row r="113" spans="1:8">
      <c r="A113" s="51"/>
      <c r="B113" s="52"/>
      <c r="C113" s="52"/>
      <c r="D113" s="52"/>
      <c r="E113" s="52">
        <f t="shared" si="12"/>
        <v>0</v>
      </c>
      <c r="G113" s="52">
        <f t="shared" si="14"/>
        <v>0</v>
      </c>
      <c r="H113" s="53" t="str">
        <f t="shared" si="13"/>
        <v/>
      </c>
    </row>
    <row r="114" spans="1:8">
      <c r="A114" s="44" t="s">
        <v>100</v>
      </c>
      <c r="B114" s="45">
        <f>B115+B119</f>
        <v>259540</v>
      </c>
      <c r="C114" s="45">
        <f>C115+C119</f>
        <v>0</v>
      </c>
      <c r="D114" s="45">
        <f>D115+D119</f>
        <v>0</v>
      </c>
      <c r="E114" s="45">
        <f t="shared" si="12"/>
        <v>259540</v>
      </c>
      <c r="F114" s="45">
        <f>F115+F119</f>
        <v>259540</v>
      </c>
      <c r="G114" s="45">
        <f t="shared" si="14"/>
        <v>0</v>
      </c>
      <c r="H114" s="47">
        <f t="shared" si="13"/>
        <v>0</v>
      </c>
    </row>
    <row r="115" spans="1:8">
      <c r="A115" s="67" t="s">
        <v>70</v>
      </c>
      <c r="B115" s="65">
        <f>B116+B117+B118</f>
        <v>178790</v>
      </c>
      <c r="C115" s="65">
        <f>C116+C117+C118</f>
        <v>0</v>
      </c>
      <c r="D115" s="65">
        <f>D116+D117+D118</f>
        <v>615</v>
      </c>
      <c r="E115" s="65">
        <f t="shared" si="12"/>
        <v>179405</v>
      </c>
      <c r="F115" s="65">
        <f>F116+F117+F118</f>
        <v>179400</v>
      </c>
      <c r="G115" s="65">
        <f t="shared" si="14"/>
        <v>-5</v>
      </c>
      <c r="H115" s="66">
        <f t="shared" si="13"/>
        <v>-2.7869903291435577E-5</v>
      </c>
    </row>
    <row r="116" spans="1:8">
      <c r="A116" s="48" t="s">
        <v>80</v>
      </c>
      <c r="B116" s="49">
        <f>80000+1500</f>
        <v>81500</v>
      </c>
      <c r="C116" s="49"/>
      <c r="D116" s="49"/>
      <c r="E116" s="49">
        <f t="shared" si="12"/>
        <v>81500</v>
      </c>
      <c r="F116" s="49">
        <v>81800</v>
      </c>
      <c r="G116" s="49">
        <f t="shared" si="14"/>
        <v>300</v>
      </c>
      <c r="H116" s="50">
        <f t="shared" si="13"/>
        <v>3.6809815950920245E-3</v>
      </c>
    </row>
    <row r="117" spans="1:8">
      <c r="A117" s="48" t="s">
        <v>86</v>
      </c>
      <c r="B117" s="49">
        <v>3100</v>
      </c>
      <c r="C117" s="49"/>
      <c r="D117" s="550">
        <v>-460</v>
      </c>
      <c r="E117" s="49">
        <f t="shared" si="12"/>
        <v>2640</v>
      </c>
      <c r="F117" s="49">
        <v>2900</v>
      </c>
      <c r="G117" s="49">
        <f t="shared" si="14"/>
        <v>260</v>
      </c>
      <c r="H117" s="50">
        <f t="shared" si="13"/>
        <v>9.8484848484848481E-2</v>
      </c>
    </row>
    <row r="118" spans="1:8">
      <c r="A118" s="48" t="s">
        <v>93</v>
      </c>
      <c r="B118" s="49">
        <f>81850+10000+2340</f>
        <v>94190</v>
      </c>
      <c r="C118" s="49"/>
      <c r="D118" s="550">
        <v>1075</v>
      </c>
      <c r="E118" s="49">
        <f t="shared" si="12"/>
        <v>95265</v>
      </c>
      <c r="F118" s="49">
        <v>94700</v>
      </c>
      <c r="G118" s="49">
        <f t="shared" si="14"/>
        <v>-565</v>
      </c>
      <c r="H118" s="50">
        <f t="shared" si="13"/>
        <v>-5.9308245420668657E-3</v>
      </c>
    </row>
    <row r="119" spans="1:8">
      <c r="A119" s="44" t="s">
        <v>57</v>
      </c>
      <c r="B119" s="45">
        <f>B120+B121</f>
        <v>80750</v>
      </c>
      <c r="C119" s="45">
        <f>C120+C121</f>
        <v>0</v>
      </c>
      <c r="D119" s="45">
        <f>D120+D121</f>
        <v>-615</v>
      </c>
      <c r="E119" s="45">
        <f t="shared" si="12"/>
        <v>80135</v>
      </c>
      <c r="F119" s="45">
        <f>F120+F121</f>
        <v>80140</v>
      </c>
      <c r="G119" s="45">
        <f t="shared" si="14"/>
        <v>5</v>
      </c>
      <c r="H119" s="47">
        <f t="shared" si="13"/>
        <v>6.2394708928682847E-5</v>
      </c>
    </row>
    <row r="120" spans="1:8">
      <c r="A120" s="48" t="s">
        <v>58</v>
      </c>
      <c r="B120" s="49">
        <v>54645</v>
      </c>
      <c r="C120" s="49">
        <v>200</v>
      </c>
      <c r="D120" s="49"/>
      <c r="E120" s="49">
        <f t="shared" si="12"/>
        <v>54845</v>
      </c>
      <c r="F120" s="49">
        <v>54850</v>
      </c>
      <c r="G120" s="49">
        <f t="shared" si="14"/>
        <v>5</v>
      </c>
      <c r="H120" s="50">
        <f t="shared" si="13"/>
        <v>9.116601331023795E-5</v>
      </c>
    </row>
    <row r="121" spans="1:8">
      <c r="A121" s="48" t="s">
        <v>59</v>
      </c>
      <c r="B121" s="49">
        <v>26105</v>
      </c>
      <c r="C121" s="49">
        <v>-200</v>
      </c>
      <c r="D121" s="550">
        <v>-615</v>
      </c>
      <c r="E121" s="49">
        <f t="shared" si="12"/>
        <v>25290</v>
      </c>
      <c r="F121" s="49">
        <v>25290</v>
      </c>
      <c r="G121" s="49">
        <f t="shared" si="14"/>
        <v>0</v>
      </c>
      <c r="H121" s="50">
        <f t="shared" si="13"/>
        <v>0</v>
      </c>
    </row>
    <row r="122" spans="1:8">
      <c r="A122" s="51"/>
      <c r="B122" s="52"/>
      <c r="C122" s="52"/>
      <c r="D122" s="52"/>
      <c r="E122" s="52">
        <f t="shared" si="12"/>
        <v>0</v>
      </c>
      <c r="G122" s="52">
        <f t="shared" si="14"/>
        <v>0</v>
      </c>
      <c r="H122" s="53" t="str">
        <f t="shared" si="13"/>
        <v/>
      </c>
    </row>
    <row r="123" spans="1:8">
      <c r="A123" s="40" t="s">
        <v>101</v>
      </c>
      <c r="B123" s="41">
        <f>B125+B135+B144+B150+B163+B179+B192+B203+B212</f>
        <v>4963500</v>
      </c>
      <c r="C123" s="41">
        <f t="shared" ref="C123:D123" si="16">C125+C135+C144+C150+C163+C179+C192+C203+C212</f>
        <v>43000</v>
      </c>
      <c r="D123" s="41">
        <f t="shared" si="16"/>
        <v>112000</v>
      </c>
      <c r="E123" s="41">
        <f t="shared" si="12"/>
        <v>5118500</v>
      </c>
      <c r="F123" s="41">
        <f>F125+F135+F144+F150+F163+F179+F192+F203+F212</f>
        <v>5182750</v>
      </c>
      <c r="G123" s="41">
        <f t="shared" si="14"/>
        <v>64250</v>
      </c>
      <c r="H123" s="43">
        <f t="shared" si="13"/>
        <v>1.2552505616879945E-2</v>
      </c>
    </row>
    <row r="124" spans="1:8">
      <c r="A124" s="54"/>
      <c r="B124" s="55"/>
      <c r="C124" s="55"/>
      <c r="D124" s="55"/>
      <c r="E124" s="55">
        <f t="shared" si="12"/>
        <v>0</v>
      </c>
      <c r="G124" s="55">
        <f t="shared" si="14"/>
        <v>0</v>
      </c>
      <c r="H124" s="56" t="str">
        <f t="shared" si="13"/>
        <v/>
      </c>
    </row>
    <row r="125" spans="1:8">
      <c r="A125" s="44" t="s">
        <v>102</v>
      </c>
      <c r="B125" s="45">
        <f>B128+B131+B126</f>
        <v>73000</v>
      </c>
      <c r="C125" s="45">
        <f>C128+C131+C126</f>
        <v>10000</v>
      </c>
      <c r="D125" s="45">
        <f t="shared" ref="D125" si="17">D128+D131+D126</f>
        <v>18000</v>
      </c>
      <c r="E125" s="45">
        <f t="shared" si="12"/>
        <v>101000</v>
      </c>
      <c r="F125" s="45">
        <f>F128+F131+F126</f>
        <v>85000</v>
      </c>
      <c r="G125" s="45">
        <f t="shared" si="14"/>
        <v>-16000</v>
      </c>
      <c r="H125" s="47">
        <f t="shared" si="13"/>
        <v>-0.15841584158415842</v>
      </c>
    </row>
    <row r="126" spans="1:8">
      <c r="A126" s="44" t="s">
        <v>72</v>
      </c>
      <c r="B126" s="45">
        <f>B127</f>
        <v>800</v>
      </c>
      <c r="C126" s="45">
        <f>C127</f>
        <v>0</v>
      </c>
      <c r="D126" s="45">
        <f t="shared" ref="D126" si="18">D127</f>
        <v>0</v>
      </c>
      <c r="E126" s="45">
        <f t="shared" si="12"/>
        <v>800</v>
      </c>
      <c r="F126" s="45">
        <f>F127</f>
        <v>800</v>
      </c>
      <c r="G126" s="45">
        <f t="shared" si="14"/>
        <v>0</v>
      </c>
      <c r="H126" s="47">
        <f t="shared" si="13"/>
        <v>0</v>
      </c>
    </row>
    <row r="127" spans="1:8">
      <c r="A127" s="48" t="s">
        <v>103</v>
      </c>
      <c r="B127" s="49">
        <v>800</v>
      </c>
      <c r="C127" s="49"/>
      <c r="D127" s="49"/>
      <c r="E127" s="49">
        <f t="shared" si="12"/>
        <v>800</v>
      </c>
      <c r="F127" s="49">
        <v>800</v>
      </c>
      <c r="G127" s="49">
        <f t="shared" si="14"/>
        <v>0</v>
      </c>
      <c r="H127" s="50">
        <f t="shared" si="13"/>
        <v>0</v>
      </c>
    </row>
    <row r="128" spans="1:8">
      <c r="A128" s="44" t="s">
        <v>57</v>
      </c>
      <c r="B128" s="45">
        <f>B129+B130</f>
        <v>64200</v>
      </c>
      <c r="C128" s="45">
        <f>C129+C130</f>
        <v>0</v>
      </c>
      <c r="D128" s="45"/>
      <c r="E128" s="45">
        <f t="shared" si="12"/>
        <v>64200</v>
      </c>
      <c r="F128" s="45">
        <f>F129+F130</f>
        <v>69200</v>
      </c>
      <c r="G128" s="45">
        <f t="shared" si="14"/>
        <v>5000</v>
      </c>
      <c r="H128" s="47">
        <f t="shared" si="13"/>
        <v>7.7881619937694699E-2</v>
      </c>
    </row>
    <row r="129" spans="1:8">
      <c r="A129" s="48" t="s">
        <v>58</v>
      </c>
      <c r="B129" s="49">
        <v>62200</v>
      </c>
      <c r="C129" s="49"/>
      <c r="D129" s="49"/>
      <c r="E129" s="49">
        <f t="shared" si="12"/>
        <v>62200</v>
      </c>
      <c r="F129" s="49">
        <v>67200</v>
      </c>
      <c r="G129" s="49">
        <f t="shared" si="14"/>
        <v>5000</v>
      </c>
      <c r="H129" s="50">
        <f t="shared" si="13"/>
        <v>8.0385852090032156E-2</v>
      </c>
    </row>
    <row r="130" spans="1:8">
      <c r="A130" s="48" t="s">
        <v>59</v>
      </c>
      <c r="B130" s="49">
        <v>2000</v>
      </c>
      <c r="C130" s="49"/>
      <c r="D130" s="49"/>
      <c r="E130" s="49">
        <f t="shared" si="12"/>
        <v>2000</v>
      </c>
      <c r="F130" s="49">
        <v>2000</v>
      </c>
      <c r="G130" s="49">
        <f t="shared" si="14"/>
        <v>0</v>
      </c>
      <c r="H130" s="50">
        <f t="shared" si="13"/>
        <v>0</v>
      </c>
    </row>
    <row r="131" spans="1:8">
      <c r="A131" s="44" t="s">
        <v>61</v>
      </c>
      <c r="B131" s="45">
        <f>B132+B133</f>
        <v>8000</v>
      </c>
      <c r="C131" s="45">
        <f>C132+C133</f>
        <v>10000</v>
      </c>
      <c r="D131" s="45">
        <f t="shared" ref="D131" si="19">D132+D133</f>
        <v>18000</v>
      </c>
      <c r="E131" s="45">
        <f t="shared" si="12"/>
        <v>36000</v>
      </c>
      <c r="F131" s="45">
        <f>F132+F133</f>
        <v>15000</v>
      </c>
      <c r="G131" s="45">
        <f t="shared" si="14"/>
        <v>-21000</v>
      </c>
      <c r="H131" s="47">
        <f t="shared" si="13"/>
        <v>-0.58333333333333337</v>
      </c>
    </row>
    <row r="132" spans="1:8">
      <c r="A132" s="57" t="s">
        <v>104</v>
      </c>
      <c r="B132" s="58">
        <v>3000</v>
      </c>
      <c r="C132" s="58">
        <v>10000</v>
      </c>
      <c r="D132" s="58">
        <v>23000</v>
      </c>
      <c r="E132" s="58">
        <f t="shared" si="12"/>
        <v>36000</v>
      </c>
      <c r="F132" s="58">
        <v>15000</v>
      </c>
      <c r="G132" s="58">
        <f t="shared" si="14"/>
        <v>-21000</v>
      </c>
      <c r="H132" s="59">
        <f t="shared" si="13"/>
        <v>-0.58333333333333337</v>
      </c>
    </row>
    <row r="133" spans="1:8">
      <c r="A133" s="51" t="s">
        <v>105</v>
      </c>
      <c r="B133" s="52">
        <v>5000</v>
      </c>
      <c r="C133" s="52"/>
      <c r="D133" s="52">
        <v>-5000</v>
      </c>
      <c r="E133" s="52">
        <f t="shared" ref="E133:E196" si="20">SUM(B133:D133)</f>
        <v>0</v>
      </c>
      <c r="F133" s="52"/>
      <c r="G133" s="52">
        <f t="shared" si="14"/>
        <v>0</v>
      </c>
      <c r="H133" s="53" t="str">
        <f t="shared" si="13"/>
        <v/>
      </c>
    </row>
    <row r="134" spans="1:8">
      <c r="A134" s="48"/>
      <c r="B134" s="49"/>
      <c r="C134" s="49"/>
      <c r="D134" s="49"/>
      <c r="E134" s="49">
        <f t="shared" si="20"/>
        <v>0</v>
      </c>
      <c r="G134" s="49">
        <f t="shared" si="14"/>
        <v>0</v>
      </c>
      <c r="H134" s="50" t="str">
        <f t="shared" si="13"/>
        <v/>
      </c>
    </row>
    <row r="135" spans="1:8">
      <c r="A135" s="44" t="s">
        <v>106</v>
      </c>
      <c r="B135" s="45">
        <f>B136+B141</f>
        <v>154700</v>
      </c>
      <c r="C135" s="45">
        <f>C136+C141</f>
        <v>0</v>
      </c>
      <c r="D135" s="45">
        <f t="shared" ref="D135" si="21">D136+D141</f>
        <v>-4000</v>
      </c>
      <c r="E135" s="45">
        <f t="shared" si="20"/>
        <v>150700</v>
      </c>
      <c r="F135" s="45">
        <f t="shared" ref="F135" si="22">F136+F141</f>
        <v>153300</v>
      </c>
      <c r="G135" s="45">
        <f t="shared" si="14"/>
        <v>2600</v>
      </c>
      <c r="H135" s="47">
        <f t="shared" si="13"/>
        <v>1.7252820172528202E-2</v>
      </c>
    </row>
    <row r="136" spans="1:8">
      <c r="A136" s="44" t="s">
        <v>72</v>
      </c>
      <c r="B136" s="45">
        <f>B137+B138+B139</f>
        <v>125000</v>
      </c>
      <c r="C136" s="45">
        <f>C137+C138+C139+C140</f>
        <v>0</v>
      </c>
      <c r="D136" s="45">
        <f>D137+D138+D139+D140</f>
        <v>-4000</v>
      </c>
      <c r="E136" s="45">
        <f t="shared" si="20"/>
        <v>121000</v>
      </c>
      <c r="F136" s="45">
        <f>F137+F138+F139+F140</f>
        <v>124900</v>
      </c>
      <c r="G136" s="45">
        <f t="shared" si="14"/>
        <v>3900</v>
      </c>
      <c r="H136" s="47">
        <f t="shared" ref="H136:H200" si="23">IF(F136=0,"",G136/E136)</f>
        <v>3.2231404958677684E-2</v>
      </c>
    </row>
    <row r="137" spans="1:8">
      <c r="A137" s="51" t="s">
        <v>66</v>
      </c>
      <c r="B137" s="52">
        <f>99000+21000</f>
        <v>120000</v>
      </c>
      <c r="C137" s="52">
        <v>-4000</v>
      </c>
      <c r="D137" s="52">
        <v>-5000</v>
      </c>
      <c r="E137" s="52">
        <f t="shared" si="20"/>
        <v>111000</v>
      </c>
      <c r="F137" s="52">
        <v>116000</v>
      </c>
      <c r="G137" s="52">
        <f t="shared" ref="G137:G201" si="24">F137-E137</f>
        <v>5000</v>
      </c>
      <c r="H137" s="53">
        <f t="shared" si="23"/>
        <v>4.5045045045045043E-2</v>
      </c>
    </row>
    <row r="138" spans="1:8" ht="25.5">
      <c r="A138" s="51" t="s">
        <v>107</v>
      </c>
      <c r="B138" s="52">
        <v>4500</v>
      </c>
      <c r="C138" s="52">
        <v>3900</v>
      </c>
      <c r="D138" s="52">
        <v>700</v>
      </c>
      <c r="E138" s="52">
        <f t="shared" si="20"/>
        <v>9100</v>
      </c>
      <c r="F138" s="52">
        <v>8400</v>
      </c>
      <c r="G138" s="52">
        <f t="shared" si="24"/>
        <v>-700</v>
      </c>
      <c r="H138" s="53">
        <f t="shared" si="23"/>
        <v>-7.6923076923076927E-2</v>
      </c>
    </row>
    <row r="139" spans="1:8" ht="25.5">
      <c r="A139" s="51" t="s">
        <v>86</v>
      </c>
      <c r="B139" s="52">
        <v>500</v>
      </c>
      <c r="C139" s="52"/>
      <c r="D139" s="52"/>
      <c r="E139" s="52">
        <f t="shared" si="20"/>
        <v>500</v>
      </c>
      <c r="F139" s="52">
        <v>500</v>
      </c>
      <c r="G139" s="52">
        <f t="shared" si="24"/>
        <v>0</v>
      </c>
      <c r="H139" s="53">
        <f t="shared" si="23"/>
        <v>0</v>
      </c>
    </row>
    <row r="140" spans="1:8">
      <c r="A140" s="48" t="s">
        <v>108</v>
      </c>
      <c r="B140" s="52"/>
      <c r="C140" s="52">
        <v>100</v>
      </c>
      <c r="D140" s="52">
        <v>300</v>
      </c>
      <c r="E140" s="52">
        <f t="shared" si="20"/>
        <v>400</v>
      </c>
      <c r="F140" s="52"/>
      <c r="G140" s="52">
        <f t="shared" si="24"/>
        <v>-400</v>
      </c>
      <c r="H140" s="53" t="str">
        <f t="shared" si="23"/>
        <v/>
      </c>
    </row>
    <row r="141" spans="1:8">
      <c r="A141" s="44" t="s">
        <v>57</v>
      </c>
      <c r="B141" s="45">
        <f>SUM(B142)</f>
        <v>29700</v>
      </c>
      <c r="C141" s="45">
        <f>SUM(C142)</f>
        <v>0</v>
      </c>
      <c r="D141" s="45"/>
      <c r="E141" s="45">
        <f t="shared" si="20"/>
        <v>29700</v>
      </c>
      <c r="F141" s="45">
        <f>SUM(F142)</f>
        <v>28400</v>
      </c>
      <c r="G141" s="45">
        <f t="shared" si="24"/>
        <v>-1300</v>
      </c>
      <c r="H141" s="47">
        <f t="shared" si="23"/>
        <v>-4.3771043771043773E-2</v>
      </c>
    </row>
    <row r="142" spans="1:8">
      <c r="A142" s="48" t="s">
        <v>59</v>
      </c>
      <c r="B142" s="49">
        <v>29700</v>
      </c>
      <c r="C142" s="49"/>
      <c r="D142" s="49"/>
      <c r="E142" s="49">
        <f t="shared" si="20"/>
        <v>29700</v>
      </c>
      <c r="F142" s="49">
        <v>28400</v>
      </c>
      <c r="G142" s="49">
        <f t="shared" si="24"/>
        <v>-1300</v>
      </c>
      <c r="H142" s="50">
        <f t="shared" si="23"/>
        <v>-4.3771043771043773E-2</v>
      </c>
    </row>
    <row r="143" spans="1:8">
      <c r="A143" s="51"/>
      <c r="B143" s="52"/>
      <c r="C143" s="52"/>
      <c r="D143" s="52"/>
      <c r="E143" s="52">
        <f t="shared" si="20"/>
        <v>0</v>
      </c>
      <c r="G143" s="52">
        <f t="shared" si="24"/>
        <v>0</v>
      </c>
      <c r="H143" s="53" t="str">
        <f t="shared" si="23"/>
        <v/>
      </c>
    </row>
    <row r="144" spans="1:8">
      <c r="A144" s="68" t="s">
        <v>109</v>
      </c>
      <c r="B144" s="45">
        <f>B145</f>
        <v>28500</v>
      </c>
      <c r="C144" s="45"/>
      <c r="D144" s="45"/>
      <c r="E144" s="45">
        <f t="shared" si="20"/>
        <v>28500</v>
      </c>
      <c r="F144" s="45">
        <f>F145</f>
        <v>29000</v>
      </c>
      <c r="G144" s="45">
        <f t="shared" si="24"/>
        <v>500</v>
      </c>
      <c r="H144" s="47">
        <f t="shared" si="23"/>
        <v>1.7543859649122806E-2</v>
      </c>
    </row>
    <row r="145" spans="1:8">
      <c r="A145" s="44" t="s">
        <v>72</v>
      </c>
      <c r="B145" s="45">
        <f>B146+B147+B148</f>
        <v>28500</v>
      </c>
      <c r="C145" s="45"/>
      <c r="D145" s="45"/>
      <c r="E145" s="45">
        <f t="shared" si="20"/>
        <v>28500</v>
      </c>
      <c r="F145" s="45">
        <f>F146+F147+F148</f>
        <v>29000</v>
      </c>
      <c r="G145" s="45">
        <f t="shared" si="24"/>
        <v>500</v>
      </c>
      <c r="H145" s="47">
        <f t="shared" si="23"/>
        <v>1.7543859649122806E-2</v>
      </c>
    </row>
    <row r="146" spans="1:8">
      <c r="A146" s="48" t="s">
        <v>103</v>
      </c>
      <c r="B146" s="49">
        <v>27170</v>
      </c>
      <c r="C146" s="49"/>
      <c r="D146" s="49"/>
      <c r="E146" s="49">
        <f t="shared" si="20"/>
        <v>27170</v>
      </c>
      <c r="F146" s="49">
        <v>27670</v>
      </c>
      <c r="G146" s="49">
        <f t="shared" si="24"/>
        <v>500</v>
      </c>
      <c r="H146" s="50">
        <f t="shared" si="23"/>
        <v>1.8402649981597349E-2</v>
      </c>
    </row>
    <row r="147" spans="1:8">
      <c r="A147" s="51" t="s">
        <v>66</v>
      </c>
      <c r="B147" s="52">
        <v>760</v>
      </c>
      <c r="C147" s="52"/>
      <c r="D147" s="52"/>
      <c r="E147" s="52">
        <f t="shared" si="20"/>
        <v>760</v>
      </c>
      <c r="F147" s="52">
        <v>760</v>
      </c>
      <c r="G147" s="52">
        <f t="shared" si="24"/>
        <v>0</v>
      </c>
      <c r="H147" s="53">
        <f t="shared" si="23"/>
        <v>0</v>
      </c>
    </row>
    <row r="148" spans="1:8" ht="25.5">
      <c r="A148" s="51" t="s">
        <v>107</v>
      </c>
      <c r="B148" s="52">
        <v>570</v>
      </c>
      <c r="C148" s="52"/>
      <c r="D148" s="52"/>
      <c r="E148" s="52">
        <f t="shared" si="20"/>
        <v>570</v>
      </c>
      <c r="F148" s="52">
        <v>570</v>
      </c>
      <c r="G148" s="52">
        <f t="shared" si="24"/>
        <v>0</v>
      </c>
      <c r="H148" s="53">
        <f t="shared" si="23"/>
        <v>0</v>
      </c>
    </row>
    <row r="149" spans="1:8">
      <c r="A149" s="51"/>
      <c r="B149" s="52"/>
      <c r="C149" s="52"/>
      <c r="D149" s="52"/>
      <c r="E149" s="52">
        <f t="shared" si="20"/>
        <v>0</v>
      </c>
      <c r="G149" s="52">
        <f t="shared" si="24"/>
        <v>0</v>
      </c>
      <c r="H149" s="53" t="str">
        <f t="shared" si="23"/>
        <v/>
      </c>
    </row>
    <row r="150" spans="1:8">
      <c r="A150" s="44" t="s">
        <v>110</v>
      </c>
      <c r="B150" s="45">
        <f>B151+B157+B160</f>
        <v>798300</v>
      </c>
      <c r="C150" s="45">
        <f>C151+C157+C160</f>
        <v>8000</v>
      </c>
      <c r="D150" s="45"/>
      <c r="E150" s="45">
        <f t="shared" si="20"/>
        <v>806300</v>
      </c>
      <c r="F150" s="45">
        <f>F151+F157+F160</f>
        <v>806300</v>
      </c>
      <c r="G150" s="45">
        <f t="shared" si="24"/>
        <v>0</v>
      </c>
      <c r="H150" s="47">
        <f t="shared" si="23"/>
        <v>0</v>
      </c>
    </row>
    <row r="151" spans="1:8">
      <c r="A151" s="44" t="s">
        <v>72</v>
      </c>
      <c r="B151" s="45">
        <f>B152+B153+B154+B155+B156</f>
        <v>502200</v>
      </c>
      <c r="C151" s="45">
        <f>C152+C153+C154+C155+C156</f>
        <v>7500</v>
      </c>
      <c r="D151" s="45"/>
      <c r="E151" s="45">
        <f t="shared" si="20"/>
        <v>509700</v>
      </c>
      <c r="F151" s="45">
        <f>F152+F153+F154+F155+F156</f>
        <v>552900</v>
      </c>
      <c r="G151" s="45">
        <f t="shared" si="24"/>
        <v>43200</v>
      </c>
      <c r="H151" s="47">
        <f t="shared" si="23"/>
        <v>8.4755738669805764E-2</v>
      </c>
    </row>
    <row r="152" spans="1:8">
      <c r="A152" s="48" t="s">
        <v>95</v>
      </c>
      <c r="B152" s="49">
        <v>383000</v>
      </c>
      <c r="C152" s="49">
        <v>5000</v>
      </c>
      <c r="D152" s="49">
        <v>-64000</v>
      </c>
      <c r="E152" s="49">
        <f t="shared" si="20"/>
        <v>324000</v>
      </c>
      <c r="F152" s="49">
        <v>394750</v>
      </c>
      <c r="G152" s="49">
        <f t="shared" si="24"/>
        <v>70750</v>
      </c>
      <c r="H152" s="50">
        <f t="shared" si="23"/>
        <v>0.2183641975308642</v>
      </c>
    </row>
    <row r="153" spans="1:8">
      <c r="A153" s="51" t="s">
        <v>66</v>
      </c>
      <c r="B153" s="52">
        <v>34000</v>
      </c>
      <c r="C153" s="52">
        <v>1000</v>
      </c>
      <c r="D153" s="52">
        <v>64000</v>
      </c>
      <c r="E153" s="52">
        <f t="shared" si="20"/>
        <v>99000</v>
      </c>
      <c r="F153" s="52">
        <f>71000+650</f>
        <v>71650</v>
      </c>
      <c r="G153" s="52">
        <f t="shared" si="24"/>
        <v>-27350</v>
      </c>
      <c r="H153" s="53">
        <f t="shared" si="23"/>
        <v>-0.27626262626262627</v>
      </c>
    </row>
    <row r="154" spans="1:8" ht="25.5">
      <c r="A154" s="51" t="s">
        <v>107</v>
      </c>
      <c r="B154" s="52">
        <v>66000</v>
      </c>
      <c r="C154" s="52">
        <v>1000</v>
      </c>
      <c r="D154" s="52"/>
      <c r="E154" s="52">
        <f t="shared" si="20"/>
        <v>67000</v>
      </c>
      <c r="F154" s="52">
        <v>67000</v>
      </c>
      <c r="G154" s="52">
        <f t="shared" si="24"/>
        <v>0</v>
      </c>
      <c r="H154" s="53">
        <f t="shared" si="23"/>
        <v>0</v>
      </c>
    </row>
    <row r="155" spans="1:8" ht="25.5">
      <c r="A155" s="51" t="s">
        <v>86</v>
      </c>
      <c r="B155" s="52">
        <v>500</v>
      </c>
      <c r="C155" s="52"/>
      <c r="D155" s="52"/>
      <c r="E155" s="52">
        <f t="shared" si="20"/>
        <v>500</v>
      </c>
      <c r="F155" s="52">
        <v>300</v>
      </c>
      <c r="G155" s="52">
        <f t="shared" si="24"/>
        <v>-200</v>
      </c>
      <c r="H155" s="53">
        <f t="shared" si="23"/>
        <v>-0.4</v>
      </c>
    </row>
    <row r="156" spans="1:8">
      <c r="A156" s="51" t="s">
        <v>108</v>
      </c>
      <c r="B156" s="52">
        <v>18700</v>
      </c>
      <c r="C156" s="52">
        <v>500</v>
      </c>
      <c r="D156" s="52"/>
      <c r="E156" s="52">
        <f t="shared" si="20"/>
        <v>19200</v>
      </c>
      <c r="F156" s="52">
        <v>19200</v>
      </c>
      <c r="G156" s="52">
        <f t="shared" si="24"/>
        <v>0</v>
      </c>
      <c r="H156" s="53">
        <f t="shared" si="23"/>
        <v>0</v>
      </c>
    </row>
    <row r="157" spans="1:8">
      <c r="A157" s="44" t="s">
        <v>57</v>
      </c>
      <c r="B157" s="45">
        <f>B158+B159</f>
        <v>11100</v>
      </c>
      <c r="C157" s="45"/>
      <c r="D157" s="45"/>
      <c r="E157" s="45">
        <f t="shared" si="20"/>
        <v>11100</v>
      </c>
      <c r="F157" s="45">
        <f>F158+F159</f>
        <v>11400</v>
      </c>
      <c r="G157" s="45">
        <f t="shared" si="24"/>
        <v>300</v>
      </c>
      <c r="H157" s="47">
        <f t="shared" si="23"/>
        <v>2.7027027027027029E-2</v>
      </c>
    </row>
    <row r="158" spans="1:8">
      <c r="A158" s="48" t="s">
        <v>58</v>
      </c>
      <c r="B158" s="49">
        <v>10400</v>
      </c>
      <c r="C158" s="49"/>
      <c r="D158" s="49"/>
      <c r="E158" s="49">
        <f t="shared" si="20"/>
        <v>10400</v>
      </c>
      <c r="F158" s="49">
        <v>10400</v>
      </c>
      <c r="G158" s="49">
        <f t="shared" si="24"/>
        <v>0</v>
      </c>
      <c r="H158" s="50">
        <f t="shared" si="23"/>
        <v>0</v>
      </c>
    </row>
    <row r="159" spans="1:8">
      <c r="A159" s="48" t="s">
        <v>59</v>
      </c>
      <c r="B159" s="49">
        <v>700</v>
      </c>
      <c r="C159" s="49"/>
      <c r="D159" s="49"/>
      <c r="E159" s="49">
        <f t="shared" si="20"/>
        <v>700</v>
      </c>
      <c r="F159" s="49">
        <v>1000</v>
      </c>
      <c r="G159" s="49">
        <f t="shared" si="24"/>
        <v>300</v>
      </c>
      <c r="H159" s="50">
        <f t="shared" si="23"/>
        <v>0.42857142857142855</v>
      </c>
    </row>
    <row r="160" spans="1:8">
      <c r="A160" s="38" t="s">
        <v>61</v>
      </c>
      <c r="B160" s="65">
        <f>B161+B162</f>
        <v>285000</v>
      </c>
      <c r="C160" s="65">
        <f>C161+C162</f>
        <v>500</v>
      </c>
      <c r="D160" s="65"/>
      <c r="E160" s="65">
        <f t="shared" si="20"/>
        <v>285500</v>
      </c>
      <c r="F160" s="65">
        <f>F161+F162</f>
        <v>242000</v>
      </c>
      <c r="G160" s="65">
        <f t="shared" si="24"/>
        <v>-43500</v>
      </c>
      <c r="H160" s="66">
        <f t="shared" si="23"/>
        <v>-0.15236427320490367</v>
      </c>
    </row>
    <row r="161" spans="1:8">
      <c r="A161" s="48" t="s">
        <v>104</v>
      </c>
      <c r="B161" s="49">
        <f>274000+11000</f>
        <v>285000</v>
      </c>
      <c r="C161" s="49">
        <v>500</v>
      </c>
      <c r="D161" s="49"/>
      <c r="E161" s="49">
        <f t="shared" si="20"/>
        <v>285500</v>
      </c>
      <c r="F161" s="49">
        <f>6000+236000</f>
        <v>242000</v>
      </c>
      <c r="G161" s="49">
        <f t="shared" si="24"/>
        <v>-43500</v>
      </c>
      <c r="H161" s="50">
        <f t="shared" si="23"/>
        <v>-0.15236427320490367</v>
      </c>
    </row>
    <row r="162" spans="1:8">
      <c r="A162" s="51"/>
      <c r="B162" s="52"/>
      <c r="C162" s="52"/>
      <c r="D162" s="52"/>
      <c r="E162" s="52">
        <f t="shared" si="20"/>
        <v>0</v>
      </c>
      <c r="G162" s="52">
        <f t="shared" si="24"/>
        <v>0</v>
      </c>
      <c r="H162" s="53" t="str">
        <f t="shared" si="23"/>
        <v/>
      </c>
    </row>
    <row r="163" spans="1:8">
      <c r="A163" s="44" t="s">
        <v>111</v>
      </c>
      <c r="B163" s="45">
        <f>B164+B169+B171+B174</f>
        <v>1791100</v>
      </c>
      <c r="C163" s="45">
        <f>C164+C169+C171+C174</f>
        <v>0</v>
      </c>
      <c r="D163" s="45">
        <f>D164+D169+D171+D174</f>
        <v>48000</v>
      </c>
      <c r="E163" s="45">
        <f t="shared" si="20"/>
        <v>1839100</v>
      </c>
      <c r="F163" s="45">
        <f>F164+F169+F171+F174</f>
        <v>1940000</v>
      </c>
      <c r="G163" s="45">
        <f t="shared" si="24"/>
        <v>100900</v>
      </c>
      <c r="H163" s="47">
        <f t="shared" si="23"/>
        <v>5.4863792072209233E-2</v>
      </c>
    </row>
    <row r="164" spans="1:8">
      <c r="A164" s="44" t="s">
        <v>72</v>
      </c>
      <c r="B164" s="45">
        <f>SUM(B165:B168)</f>
        <v>1232500</v>
      </c>
      <c r="C164" s="45">
        <f>SUM(C165:C168)</f>
        <v>0</v>
      </c>
      <c r="D164" s="45">
        <f>SUM(D165:D168)</f>
        <v>-7000</v>
      </c>
      <c r="E164" s="45">
        <f t="shared" si="20"/>
        <v>1225500</v>
      </c>
      <c r="F164" s="45">
        <f>SUM(F165:F168)</f>
        <v>1285000</v>
      </c>
      <c r="G164" s="45">
        <f t="shared" si="24"/>
        <v>59500</v>
      </c>
      <c r="H164" s="47">
        <f t="shared" si="23"/>
        <v>4.8551611587107302E-2</v>
      </c>
    </row>
    <row r="165" spans="1:8">
      <c r="A165" s="48" t="s">
        <v>95</v>
      </c>
      <c r="B165" s="49">
        <f>945500+94500+35000</f>
        <v>1075000</v>
      </c>
      <c r="C165" s="49"/>
      <c r="D165" s="49">
        <v>5000</v>
      </c>
      <c r="E165" s="49">
        <f t="shared" si="20"/>
        <v>1080000</v>
      </c>
      <c r="F165" s="49">
        <v>1140000</v>
      </c>
      <c r="G165" s="49">
        <f t="shared" si="24"/>
        <v>60000</v>
      </c>
      <c r="H165" s="50">
        <f t="shared" si="23"/>
        <v>5.5555555555555552E-2</v>
      </c>
    </row>
    <row r="166" spans="1:8">
      <c r="A166" s="51" t="s">
        <v>66</v>
      </c>
      <c r="B166" s="52">
        <v>97500</v>
      </c>
      <c r="C166" s="52">
        <v>-6000</v>
      </c>
      <c r="D166" s="52"/>
      <c r="E166" s="52">
        <f t="shared" si="20"/>
        <v>91500</v>
      </c>
      <c r="F166" s="52">
        <v>86000</v>
      </c>
      <c r="G166" s="52">
        <f t="shared" si="24"/>
        <v>-5500</v>
      </c>
      <c r="H166" s="53">
        <f t="shared" si="23"/>
        <v>-6.0109289617486336E-2</v>
      </c>
    </row>
    <row r="167" spans="1:8">
      <c r="A167" s="51" t="s">
        <v>108</v>
      </c>
      <c r="B167" s="52">
        <f>5000+5000</f>
        <v>10000</v>
      </c>
      <c r="C167" s="52">
        <v>10000</v>
      </c>
      <c r="D167" s="52">
        <v>8000</v>
      </c>
      <c r="E167" s="52">
        <f t="shared" si="20"/>
        <v>28000</v>
      </c>
      <c r="F167" s="52">
        <v>33000</v>
      </c>
      <c r="G167" s="52">
        <f t="shared" si="24"/>
        <v>5000</v>
      </c>
      <c r="H167" s="53">
        <f t="shared" si="23"/>
        <v>0.17857142857142858</v>
      </c>
    </row>
    <row r="168" spans="1:8" ht="25.5">
      <c r="A168" s="51" t="s">
        <v>107</v>
      </c>
      <c r="B168" s="52">
        <v>50000</v>
      </c>
      <c r="C168" s="52">
        <v>-4000</v>
      </c>
      <c r="D168" s="52">
        <v>-20000</v>
      </c>
      <c r="E168" s="52">
        <f t="shared" si="20"/>
        <v>26000</v>
      </c>
      <c r="F168" s="52">
        <f>30000-4000</f>
        <v>26000</v>
      </c>
      <c r="G168" s="52">
        <f t="shared" si="24"/>
        <v>0</v>
      </c>
      <c r="H168" s="53">
        <f t="shared" si="23"/>
        <v>0</v>
      </c>
    </row>
    <row r="169" spans="1:8">
      <c r="A169" s="62" t="s">
        <v>33</v>
      </c>
      <c r="B169" s="63">
        <f>SUM(B170)</f>
        <v>45000</v>
      </c>
      <c r="C169" s="63"/>
      <c r="D169" s="63">
        <f>SUM(D170)</f>
        <v>2000</v>
      </c>
      <c r="E169" s="63">
        <f t="shared" si="20"/>
        <v>47000</v>
      </c>
      <c r="F169" s="63">
        <f>SUM(F170)</f>
        <v>48000</v>
      </c>
      <c r="G169" s="63">
        <f t="shared" si="24"/>
        <v>1000</v>
      </c>
      <c r="H169" s="64">
        <f t="shared" si="23"/>
        <v>2.1276595744680851E-2</v>
      </c>
    </row>
    <row r="170" spans="1:8">
      <c r="A170" s="48" t="s">
        <v>112</v>
      </c>
      <c r="B170" s="49">
        <f>35000+10000</f>
        <v>45000</v>
      </c>
      <c r="C170" s="49"/>
      <c r="D170" s="49">
        <v>2000</v>
      </c>
      <c r="E170" s="49">
        <f t="shared" si="20"/>
        <v>47000</v>
      </c>
      <c r="F170" s="49">
        <v>48000</v>
      </c>
      <c r="G170" s="49">
        <f t="shared" si="24"/>
        <v>1000</v>
      </c>
      <c r="H170" s="50">
        <f t="shared" si="23"/>
        <v>2.1276595744680851E-2</v>
      </c>
    </row>
    <row r="171" spans="1:8">
      <c r="A171" s="44" t="s">
        <v>57</v>
      </c>
      <c r="B171" s="45">
        <f>SUM(B172:B173)</f>
        <v>24100</v>
      </c>
      <c r="C171" s="45"/>
      <c r="D171" s="45">
        <f>SUM(D172:D173)</f>
        <v>500</v>
      </c>
      <c r="E171" s="45">
        <f t="shared" si="20"/>
        <v>24600</v>
      </c>
      <c r="F171" s="45">
        <f>SUM(F172:F173)</f>
        <v>25600</v>
      </c>
      <c r="G171" s="45">
        <f t="shared" si="24"/>
        <v>1000</v>
      </c>
      <c r="H171" s="47">
        <f t="shared" si="23"/>
        <v>4.065040650406504E-2</v>
      </c>
    </row>
    <row r="172" spans="1:8">
      <c r="A172" s="48" t="s">
        <v>59</v>
      </c>
      <c r="B172" s="49">
        <v>3600</v>
      </c>
      <c r="C172" s="49"/>
      <c r="D172" s="49">
        <v>-1000</v>
      </c>
      <c r="E172" s="49">
        <f t="shared" si="20"/>
        <v>2600</v>
      </c>
      <c r="F172" s="49">
        <v>3600</v>
      </c>
      <c r="G172" s="49">
        <f t="shared" si="24"/>
        <v>1000</v>
      </c>
      <c r="H172" s="50">
        <f t="shared" si="23"/>
        <v>0.38461538461538464</v>
      </c>
    </row>
    <row r="173" spans="1:8">
      <c r="A173" s="48" t="s">
        <v>81</v>
      </c>
      <c r="B173" s="49">
        <v>20500</v>
      </c>
      <c r="C173" s="49"/>
      <c r="D173" s="49">
        <v>1500</v>
      </c>
      <c r="E173" s="49">
        <f t="shared" si="20"/>
        <v>22000</v>
      </c>
      <c r="F173" s="49">
        <f>18000+4000</f>
        <v>22000</v>
      </c>
      <c r="G173" s="49">
        <f t="shared" si="24"/>
        <v>0</v>
      </c>
      <c r="H173" s="50">
        <f t="shared" si="23"/>
        <v>0</v>
      </c>
    </row>
    <row r="174" spans="1:8">
      <c r="A174" s="44" t="s">
        <v>61</v>
      </c>
      <c r="B174" s="45">
        <f>SUM(B175:B177)</f>
        <v>489500</v>
      </c>
      <c r="C174" s="45"/>
      <c r="D174" s="45">
        <f>SUM(D175:D177)</f>
        <v>52500</v>
      </c>
      <c r="E174" s="45">
        <f t="shared" si="20"/>
        <v>542000</v>
      </c>
      <c r="F174" s="45">
        <f>SUM(F175:F177)</f>
        <v>581400</v>
      </c>
      <c r="G174" s="45">
        <f t="shared" si="24"/>
        <v>39400</v>
      </c>
      <c r="H174" s="47">
        <f t="shared" si="23"/>
        <v>7.2693726937269373E-2</v>
      </c>
    </row>
    <row r="175" spans="1:8">
      <c r="A175" s="51" t="s">
        <v>105</v>
      </c>
      <c r="B175" s="52">
        <v>8000</v>
      </c>
      <c r="C175" s="52"/>
      <c r="D175" s="52">
        <v>-1000</v>
      </c>
      <c r="E175" s="52">
        <f t="shared" si="20"/>
        <v>7000</v>
      </c>
      <c r="F175" s="52">
        <v>7000</v>
      </c>
      <c r="G175" s="52">
        <f t="shared" si="24"/>
        <v>0</v>
      </c>
      <c r="H175" s="53">
        <f t="shared" si="23"/>
        <v>0</v>
      </c>
    </row>
    <row r="176" spans="1:8">
      <c r="A176" s="51" t="s">
        <v>113</v>
      </c>
      <c r="B176" s="52">
        <v>402500</v>
      </c>
      <c r="C176" s="52"/>
      <c r="D176" s="52">
        <v>47500</v>
      </c>
      <c r="E176" s="52">
        <f t="shared" si="20"/>
        <v>450000</v>
      </c>
      <c r="F176" s="52">
        <v>478400</v>
      </c>
      <c r="G176" s="52">
        <f t="shared" si="24"/>
        <v>28400</v>
      </c>
      <c r="H176" s="53">
        <f t="shared" si="23"/>
        <v>6.3111111111111118E-2</v>
      </c>
    </row>
    <row r="177" spans="1:8" ht="25.5">
      <c r="A177" s="51" t="s">
        <v>63</v>
      </c>
      <c r="B177" s="52">
        <v>79000</v>
      </c>
      <c r="C177" s="52"/>
      <c r="D177" s="52">
        <v>6000</v>
      </c>
      <c r="E177" s="52">
        <f t="shared" si="20"/>
        <v>85000</v>
      </c>
      <c r="F177" s="52">
        <v>96000</v>
      </c>
      <c r="G177" s="52">
        <f t="shared" si="24"/>
        <v>11000</v>
      </c>
      <c r="H177" s="53">
        <f t="shared" si="23"/>
        <v>0.12941176470588237</v>
      </c>
    </row>
    <row r="178" spans="1:8">
      <c r="A178" s="51"/>
      <c r="B178" s="52"/>
      <c r="C178" s="52"/>
      <c r="D178" s="52"/>
      <c r="E178" s="52">
        <f t="shared" si="20"/>
        <v>0</v>
      </c>
      <c r="G178" s="52">
        <f t="shared" si="24"/>
        <v>0</v>
      </c>
      <c r="H178" s="53" t="str">
        <f t="shared" si="23"/>
        <v/>
      </c>
    </row>
    <row r="179" spans="1:8">
      <c r="A179" s="44" t="s">
        <v>114</v>
      </c>
      <c r="B179" s="45">
        <f>B180+B185+B189</f>
        <v>1262000</v>
      </c>
      <c r="C179" s="45">
        <f>C180+C185+C189</f>
        <v>25000</v>
      </c>
      <c r="D179" s="45">
        <f>D180+D185+D189</f>
        <v>50000</v>
      </c>
      <c r="E179" s="45">
        <f t="shared" si="20"/>
        <v>1337000</v>
      </c>
      <c r="F179" s="45">
        <f>F180+F185+F189</f>
        <v>1290000</v>
      </c>
      <c r="G179" s="45">
        <f t="shared" si="24"/>
        <v>-47000</v>
      </c>
      <c r="H179" s="47">
        <f t="shared" si="23"/>
        <v>-3.5153328347045626E-2</v>
      </c>
    </row>
    <row r="180" spans="1:8">
      <c r="A180" s="44" t="s">
        <v>72</v>
      </c>
      <c r="B180" s="45">
        <f>SUM(B181:B184)</f>
        <v>1165010</v>
      </c>
      <c r="C180" s="45">
        <f t="shared" ref="C180:D180" si="25">SUM(C181:C184)</f>
        <v>26000</v>
      </c>
      <c r="D180" s="45">
        <f t="shared" si="25"/>
        <v>5000</v>
      </c>
      <c r="E180" s="45">
        <f t="shared" si="20"/>
        <v>1196010</v>
      </c>
      <c r="F180" s="45">
        <f>SUM(F181:F183)</f>
        <v>1154010</v>
      </c>
      <c r="G180" s="45">
        <f t="shared" si="24"/>
        <v>-42000</v>
      </c>
      <c r="H180" s="47">
        <f t="shared" si="23"/>
        <v>-3.5116763237765573E-2</v>
      </c>
    </row>
    <row r="181" spans="1:8">
      <c r="A181" s="48" t="s">
        <v>95</v>
      </c>
      <c r="B181" s="49">
        <f>1040010+62000</f>
        <v>1102010</v>
      </c>
      <c r="C181" s="49">
        <v>25000</v>
      </c>
      <c r="D181" s="49"/>
      <c r="E181" s="49">
        <f t="shared" si="20"/>
        <v>1127010</v>
      </c>
      <c r="F181" s="49">
        <f>1040010+50000</f>
        <v>1090010</v>
      </c>
      <c r="G181" s="49">
        <f t="shared" si="24"/>
        <v>-37000</v>
      </c>
      <c r="H181" s="50">
        <f t="shared" si="23"/>
        <v>-3.28302322073451E-2</v>
      </c>
    </row>
    <row r="182" spans="1:8">
      <c r="A182" s="51" t="s">
        <v>66</v>
      </c>
      <c r="B182" s="52">
        <v>40000</v>
      </c>
      <c r="C182" s="52">
        <v>1000</v>
      </c>
      <c r="D182" s="52">
        <v>1000</v>
      </c>
      <c r="E182" s="52">
        <f t="shared" si="20"/>
        <v>42000</v>
      </c>
      <c r="F182" s="52">
        <v>41000</v>
      </c>
      <c r="G182" s="52">
        <f t="shared" si="24"/>
        <v>-1000</v>
      </c>
      <c r="H182" s="53">
        <f t="shared" si="23"/>
        <v>-2.3809523809523808E-2</v>
      </c>
    </row>
    <row r="183" spans="1:8" ht="25.5">
      <c r="A183" s="51" t="s">
        <v>107</v>
      </c>
      <c r="B183" s="52">
        <v>23000</v>
      </c>
      <c r="C183" s="52"/>
      <c r="D183" s="52">
        <v>1800</v>
      </c>
      <c r="E183" s="52">
        <f t="shared" si="20"/>
        <v>24800</v>
      </c>
      <c r="F183" s="52">
        <v>23000</v>
      </c>
      <c r="G183" s="52">
        <f t="shared" si="24"/>
        <v>-1800</v>
      </c>
      <c r="H183" s="53">
        <f t="shared" si="23"/>
        <v>-7.2580645161290328E-2</v>
      </c>
    </row>
    <row r="184" spans="1:8" ht="25.5">
      <c r="A184" s="514" t="s">
        <v>86</v>
      </c>
      <c r="B184" s="52"/>
      <c r="C184" s="52"/>
      <c r="D184" s="52">
        <v>2200</v>
      </c>
      <c r="E184" s="52">
        <f t="shared" si="20"/>
        <v>2200</v>
      </c>
      <c r="F184" s="52"/>
      <c r="G184" s="52"/>
      <c r="H184" s="53"/>
    </row>
    <row r="185" spans="1:8">
      <c r="A185" s="44" t="s">
        <v>57</v>
      </c>
      <c r="B185" s="45">
        <f>SUM(B186:B188)</f>
        <v>56990</v>
      </c>
      <c r="C185" s="45">
        <f>SUM(C186:C188)</f>
        <v>-1000</v>
      </c>
      <c r="D185" s="45"/>
      <c r="E185" s="45">
        <f t="shared" si="20"/>
        <v>55990</v>
      </c>
      <c r="F185" s="45">
        <f>SUM(F186:F188)</f>
        <v>55990</v>
      </c>
      <c r="G185" s="45">
        <f t="shared" si="24"/>
        <v>0</v>
      </c>
      <c r="H185" s="47">
        <f t="shared" si="23"/>
        <v>0</v>
      </c>
    </row>
    <row r="186" spans="1:8">
      <c r="A186" s="48" t="s">
        <v>58</v>
      </c>
      <c r="B186" s="49">
        <v>32990</v>
      </c>
      <c r="C186" s="49"/>
      <c r="D186" s="49"/>
      <c r="E186" s="49">
        <f t="shared" si="20"/>
        <v>32990</v>
      </c>
      <c r="F186" s="49">
        <v>32990</v>
      </c>
      <c r="G186" s="49">
        <f t="shared" si="24"/>
        <v>0</v>
      </c>
      <c r="H186" s="50">
        <f t="shared" si="23"/>
        <v>0</v>
      </c>
    </row>
    <row r="187" spans="1:8">
      <c r="A187" s="48" t="s">
        <v>59</v>
      </c>
      <c r="B187" s="49">
        <v>22000</v>
      </c>
      <c r="C187" s="49"/>
      <c r="D187" s="49"/>
      <c r="E187" s="49">
        <f t="shared" si="20"/>
        <v>22000</v>
      </c>
      <c r="F187" s="49">
        <v>22000</v>
      </c>
      <c r="G187" s="49">
        <f t="shared" si="24"/>
        <v>0</v>
      </c>
      <c r="H187" s="50">
        <f t="shared" si="23"/>
        <v>0</v>
      </c>
    </row>
    <row r="188" spans="1:8">
      <c r="A188" s="48" t="s">
        <v>81</v>
      </c>
      <c r="B188" s="49">
        <v>2000</v>
      </c>
      <c r="C188" s="49">
        <v>-1000</v>
      </c>
      <c r="D188" s="49"/>
      <c r="E188" s="49">
        <f t="shared" si="20"/>
        <v>1000</v>
      </c>
      <c r="F188" s="49">
        <v>1000</v>
      </c>
      <c r="G188" s="49">
        <f t="shared" si="24"/>
        <v>0</v>
      </c>
      <c r="H188" s="50">
        <f t="shared" si="23"/>
        <v>0</v>
      </c>
    </row>
    <row r="189" spans="1:8">
      <c r="A189" s="44" t="s">
        <v>61</v>
      </c>
      <c r="B189" s="45">
        <f>SUM(B190)</f>
        <v>40000</v>
      </c>
      <c r="C189" s="45">
        <f>SUM(C190)</f>
        <v>0</v>
      </c>
      <c r="D189" s="45">
        <f>SUM(D190)</f>
        <v>45000</v>
      </c>
      <c r="E189" s="45">
        <f t="shared" si="20"/>
        <v>85000</v>
      </c>
      <c r="F189" s="45">
        <f>SUM(F190)</f>
        <v>80000</v>
      </c>
      <c r="G189" s="45">
        <f t="shared" si="24"/>
        <v>-5000</v>
      </c>
      <c r="H189" s="47">
        <f t="shared" si="23"/>
        <v>-5.8823529411764705E-2</v>
      </c>
    </row>
    <row r="190" spans="1:8">
      <c r="A190" s="51" t="s">
        <v>105</v>
      </c>
      <c r="B190" s="52">
        <v>40000</v>
      </c>
      <c r="C190" s="52"/>
      <c r="D190" s="52">
        <v>45000</v>
      </c>
      <c r="E190" s="52">
        <f t="shared" si="20"/>
        <v>85000</v>
      </c>
      <c r="F190" s="52">
        <f>40000+40000</f>
        <v>80000</v>
      </c>
      <c r="G190" s="52">
        <f t="shared" si="24"/>
        <v>-5000</v>
      </c>
      <c r="H190" s="53">
        <f t="shared" si="23"/>
        <v>-5.8823529411764705E-2</v>
      </c>
    </row>
    <row r="191" spans="1:8">
      <c r="A191" s="51"/>
      <c r="B191" s="52"/>
      <c r="C191" s="52"/>
      <c r="D191" s="52"/>
      <c r="E191" s="52">
        <f t="shared" si="20"/>
        <v>0</v>
      </c>
      <c r="G191" s="52">
        <f t="shared" si="24"/>
        <v>0</v>
      </c>
      <c r="H191" s="53" t="str">
        <f t="shared" si="23"/>
        <v/>
      </c>
    </row>
    <row r="192" spans="1:8">
      <c r="A192" s="44" t="s">
        <v>115</v>
      </c>
      <c r="B192" s="45">
        <f>B193+B198+B200</f>
        <v>474700</v>
      </c>
      <c r="C192" s="45"/>
      <c r="D192" s="45">
        <f>D193+D198+D200</f>
        <v>0</v>
      </c>
      <c r="E192" s="45">
        <f t="shared" si="20"/>
        <v>474700</v>
      </c>
      <c r="F192" s="45">
        <f>F193+F198+F200</f>
        <v>488000</v>
      </c>
      <c r="G192" s="45">
        <f t="shared" si="24"/>
        <v>13300</v>
      </c>
      <c r="H192" s="47">
        <f t="shared" si="23"/>
        <v>2.8017695386559932E-2</v>
      </c>
    </row>
    <row r="193" spans="1:8">
      <c r="A193" s="44" t="s">
        <v>72</v>
      </c>
      <c r="B193" s="45">
        <f>B194+B195+B197+B196</f>
        <v>412700</v>
      </c>
      <c r="C193" s="45"/>
      <c r="D193" s="45">
        <f>D194+D195+D197+D196</f>
        <v>-3000</v>
      </c>
      <c r="E193" s="45">
        <f t="shared" si="20"/>
        <v>409700</v>
      </c>
      <c r="F193" s="45">
        <f>F194+F195+F197+F196</f>
        <v>423000</v>
      </c>
      <c r="G193" s="45">
        <f t="shared" si="24"/>
        <v>13300</v>
      </c>
      <c r="H193" s="47">
        <f t="shared" si="23"/>
        <v>3.2462777642177205E-2</v>
      </c>
    </row>
    <row r="194" spans="1:8">
      <c r="A194" s="48" t="s">
        <v>95</v>
      </c>
      <c r="B194" s="49">
        <f>160000+35000</f>
        <v>195000</v>
      </c>
      <c r="C194" s="49"/>
      <c r="D194" s="49"/>
      <c r="E194" s="49">
        <f t="shared" si="20"/>
        <v>195000</v>
      </c>
      <c r="F194" s="49">
        <f>35000+160000</f>
        <v>195000</v>
      </c>
      <c r="G194" s="49">
        <f t="shared" si="24"/>
        <v>0</v>
      </c>
      <c r="H194" s="50">
        <f t="shared" si="23"/>
        <v>0</v>
      </c>
    </row>
    <row r="195" spans="1:8">
      <c r="A195" s="51" t="s">
        <v>66</v>
      </c>
      <c r="B195" s="52">
        <v>50000</v>
      </c>
      <c r="C195" s="52"/>
      <c r="D195" s="52">
        <v>-8000</v>
      </c>
      <c r="E195" s="52">
        <f t="shared" si="20"/>
        <v>42000</v>
      </c>
      <c r="F195" s="52">
        <v>50000</v>
      </c>
      <c r="G195" s="52">
        <f t="shared" si="24"/>
        <v>8000</v>
      </c>
      <c r="H195" s="53">
        <f t="shared" si="23"/>
        <v>0.19047619047619047</v>
      </c>
    </row>
    <row r="196" spans="1:8" ht="25.5">
      <c r="A196" s="51" t="s">
        <v>107</v>
      </c>
      <c r="B196" s="52">
        <v>163000</v>
      </c>
      <c r="C196" s="52"/>
      <c r="D196" s="52">
        <v>5000</v>
      </c>
      <c r="E196" s="52">
        <f t="shared" si="20"/>
        <v>168000</v>
      </c>
      <c r="F196" s="52">
        <f>152000+18000</f>
        <v>170000</v>
      </c>
      <c r="G196" s="52">
        <f t="shared" si="24"/>
        <v>2000</v>
      </c>
      <c r="H196" s="53">
        <f t="shared" si="23"/>
        <v>1.1904761904761904E-2</v>
      </c>
    </row>
    <row r="197" spans="1:8" ht="25.5">
      <c r="A197" s="51" t="s">
        <v>86</v>
      </c>
      <c r="B197" s="52">
        <v>4700</v>
      </c>
      <c r="C197" s="52"/>
      <c r="D197" s="52"/>
      <c r="E197" s="52">
        <f t="shared" ref="E197:E260" si="26">SUM(B197:D197)</f>
        <v>4700</v>
      </c>
      <c r="F197" s="52">
        <v>8000</v>
      </c>
      <c r="G197" s="52">
        <f t="shared" si="24"/>
        <v>3300</v>
      </c>
      <c r="H197" s="53">
        <f t="shared" si="23"/>
        <v>0.7021276595744681</v>
      </c>
    </row>
    <row r="198" spans="1:8">
      <c r="A198" s="62" t="s">
        <v>33</v>
      </c>
      <c r="B198" s="63">
        <f>B199</f>
        <v>7000</v>
      </c>
      <c r="C198" s="63"/>
      <c r="D198" s="63">
        <f>D199</f>
        <v>3000</v>
      </c>
      <c r="E198" s="63">
        <f t="shared" si="26"/>
        <v>10000</v>
      </c>
      <c r="F198" s="63">
        <f>F199</f>
        <v>10000</v>
      </c>
      <c r="G198" s="63">
        <f t="shared" si="24"/>
        <v>0</v>
      </c>
      <c r="H198" s="64">
        <f t="shared" si="23"/>
        <v>0</v>
      </c>
    </row>
    <row r="199" spans="1:8">
      <c r="A199" s="48" t="s">
        <v>112</v>
      </c>
      <c r="B199" s="49">
        <v>7000</v>
      </c>
      <c r="C199" s="49"/>
      <c r="D199" s="49">
        <v>3000</v>
      </c>
      <c r="E199" s="49">
        <f t="shared" si="26"/>
        <v>10000</v>
      </c>
      <c r="F199" s="49">
        <v>10000</v>
      </c>
      <c r="G199" s="49">
        <f t="shared" si="24"/>
        <v>0</v>
      </c>
      <c r="H199" s="50">
        <f t="shared" si="23"/>
        <v>0</v>
      </c>
    </row>
    <row r="200" spans="1:8">
      <c r="A200" s="44" t="s">
        <v>61</v>
      </c>
      <c r="B200" s="45">
        <f>SUM(B201)</f>
        <v>55000</v>
      </c>
      <c r="C200" s="45"/>
      <c r="D200" s="45"/>
      <c r="E200" s="45">
        <f t="shared" si="26"/>
        <v>55000</v>
      </c>
      <c r="F200" s="45">
        <f>SUM(F201)</f>
        <v>55000</v>
      </c>
      <c r="G200" s="45">
        <f t="shared" si="24"/>
        <v>0</v>
      </c>
      <c r="H200" s="47">
        <f t="shared" si="23"/>
        <v>0</v>
      </c>
    </row>
    <row r="201" spans="1:8">
      <c r="A201" s="51" t="s">
        <v>105</v>
      </c>
      <c r="B201" s="52">
        <f>38000+17000</f>
        <v>55000</v>
      </c>
      <c r="C201" s="52"/>
      <c r="D201" s="52"/>
      <c r="E201" s="52">
        <f t="shared" si="26"/>
        <v>55000</v>
      </c>
      <c r="F201" s="52">
        <v>55000</v>
      </c>
      <c r="G201" s="52">
        <f t="shared" si="24"/>
        <v>0</v>
      </c>
      <c r="H201" s="53">
        <f t="shared" ref="H201:H266" si="27">IF(F201=0,"",G201/E201)</f>
        <v>0</v>
      </c>
    </row>
    <row r="202" spans="1:8">
      <c r="A202" s="51"/>
      <c r="B202" s="52"/>
      <c r="C202" s="52"/>
      <c r="D202" s="52"/>
      <c r="E202" s="52">
        <f t="shared" si="26"/>
        <v>0</v>
      </c>
      <c r="G202" s="52">
        <f t="shared" ref="G202:G267" si="28">F202-E202</f>
        <v>0</v>
      </c>
      <c r="H202" s="53" t="str">
        <f t="shared" si="27"/>
        <v/>
      </c>
    </row>
    <row r="203" spans="1:8">
      <c r="A203" s="44" t="s">
        <v>116</v>
      </c>
      <c r="B203" s="45">
        <f>B204+B209</f>
        <v>185500</v>
      </c>
      <c r="C203" s="45">
        <f>C204+C209</f>
        <v>0</v>
      </c>
      <c r="D203" s="45">
        <f>D204+D209</f>
        <v>0</v>
      </c>
      <c r="E203" s="45">
        <f t="shared" si="26"/>
        <v>185500</v>
      </c>
      <c r="F203" s="45">
        <f>F204+F209</f>
        <v>191000</v>
      </c>
      <c r="G203" s="45">
        <f t="shared" si="28"/>
        <v>5500</v>
      </c>
      <c r="H203" s="47">
        <f t="shared" si="27"/>
        <v>2.9649595687331536E-2</v>
      </c>
    </row>
    <row r="204" spans="1:8">
      <c r="A204" s="44" t="s">
        <v>72</v>
      </c>
      <c r="B204" s="45">
        <f>B205+B206+B207+B208</f>
        <v>181500</v>
      </c>
      <c r="C204" s="45">
        <f t="shared" ref="C204:D204" si="29">C205+C206+C207+C208</f>
        <v>0</v>
      </c>
      <c r="D204" s="45">
        <f t="shared" si="29"/>
        <v>0</v>
      </c>
      <c r="E204" s="45">
        <f t="shared" si="26"/>
        <v>181500</v>
      </c>
      <c r="F204" s="45">
        <f>F205+F206+F207</f>
        <v>187000</v>
      </c>
      <c r="G204" s="45">
        <f t="shared" si="28"/>
        <v>5500</v>
      </c>
      <c r="H204" s="47">
        <f t="shared" si="27"/>
        <v>3.0303030303030304E-2</v>
      </c>
    </row>
    <row r="205" spans="1:8">
      <c r="A205" s="51" t="s">
        <v>85</v>
      </c>
      <c r="B205" s="52">
        <v>165000</v>
      </c>
      <c r="C205" s="52">
        <v>-1000</v>
      </c>
      <c r="D205" s="52">
        <v>-5500</v>
      </c>
      <c r="E205" s="52">
        <f t="shared" si="26"/>
        <v>158500</v>
      </c>
      <c r="F205" s="52">
        <v>166000</v>
      </c>
      <c r="G205" s="52">
        <f t="shared" si="28"/>
        <v>7500</v>
      </c>
      <c r="H205" s="53">
        <f t="shared" si="27"/>
        <v>4.7318611987381701E-2</v>
      </c>
    </row>
    <row r="206" spans="1:8" ht="25.5">
      <c r="A206" s="51" t="s">
        <v>107</v>
      </c>
      <c r="B206" s="52">
        <v>12000</v>
      </c>
      <c r="C206" s="52"/>
      <c r="D206" s="49">
        <v>4000</v>
      </c>
      <c r="E206" s="52">
        <f t="shared" si="26"/>
        <v>16000</v>
      </c>
      <c r="F206" s="52">
        <v>14000</v>
      </c>
      <c r="G206" s="52">
        <f t="shared" si="28"/>
        <v>-2000</v>
      </c>
      <c r="H206" s="53">
        <f t="shared" si="27"/>
        <v>-0.125</v>
      </c>
    </row>
    <row r="207" spans="1:8">
      <c r="A207" s="48" t="s">
        <v>95</v>
      </c>
      <c r="B207" s="49">
        <v>4500</v>
      </c>
      <c r="C207" s="49">
        <v>1000</v>
      </c>
      <c r="D207" s="49">
        <v>1350</v>
      </c>
      <c r="E207" s="49">
        <f t="shared" si="26"/>
        <v>6850</v>
      </c>
      <c r="F207" s="49">
        <v>7000</v>
      </c>
      <c r="G207" s="49">
        <f t="shared" si="28"/>
        <v>150</v>
      </c>
      <c r="H207" s="50">
        <f t="shared" si="27"/>
        <v>2.1897810218978103E-2</v>
      </c>
    </row>
    <row r="208" spans="1:8">
      <c r="A208" s="514" t="s">
        <v>108</v>
      </c>
      <c r="B208" s="49"/>
      <c r="C208" s="49"/>
      <c r="D208" s="45">
        <v>150</v>
      </c>
      <c r="E208" s="49">
        <f t="shared" si="26"/>
        <v>150</v>
      </c>
      <c r="F208" s="49"/>
      <c r="G208" s="49"/>
      <c r="H208" s="50"/>
    </row>
    <row r="209" spans="1:8">
      <c r="A209" s="44" t="s">
        <v>57</v>
      </c>
      <c r="B209" s="45">
        <f>B210</f>
        <v>4000</v>
      </c>
      <c r="C209" s="45"/>
      <c r="D209" s="45"/>
      <c r="E209" s="49">
        <f t="shared" si="26"/>
        <v>4000</v>
      </c>
      <c r="F209" s="45">
        <f>F210</f>
        <v>4000</v>
      </c>
      <c r="G209" s="45">
        <f t="shared" si="28"/>
        <v>0</v>
      </c>
      <c r="H209" s="47">
        <f t="shared" si="27"/>
        <v>0</v>
      </c>
    </row>
    <row r="210" spans="1:8">
      <c r="A210" s="48" t="s">
        <v>58</v>
      </c>
      <c r="B210" s="49">
        <v>4000</v>
      </c>
      <c r="C210" s="49"/>
      <c r="D210" s="49"/>
      <c r="E210" s="49">
        <f t="shared" si="26"/>
        <v>4000</v>
      </c>
      <c r="F210" s="49">
        <v>4000</v>
      </c>
      <c r="G210" s="49">
        <f t="shared" si="28"/>
        <v>0</v>
      </c>
      <c r="H210" s="50">
        <f t="shared" si="27"/>
        <v>0</v>
      </c>
    </row>
    <row r="211" spans="1:8">
      <c r="A211" s="51"/>
      <c r="B211" s="52"/>
      <c r="C211" s="52"/>
      <c r="D211" s="52"/>
      <c r="E211" s="52">
        <f t="shared" si="26"/>
        <v>0</v>
      </c>
      <c r="G211" s="52">
        <f t="shared" si="28"/>
        <v>0</v>
      </c>
      <c r="H211" s="53" t="str">
        <f t="shared" si="27"/>
        <v/>
      </c>
    </row>
    <row r="212" spans="1:8">
      <c r="A212" s="44" t="s">
        <v>117</v>
      </c>
      <c r="B212" s="45">
        <f>B213+B218</f>
        <v>195700</v>
      </c>
      <c r="C212" s="45">
        <f>C213+C218</f>
        <v>0</v>
      </c>
      <c r="D212" s="45"/>
      <c r="E212" s="45">
        <f t="shared" si="26"/>
        <v>195700</v>
      </c>
      <c r="F212" s="45">
        <f>F213+F218</f>
        <v>200150</v>
      </c>
      <c r="G212" s="45">
        <f t="shared" si="28"/>
        <v>4450</v>
      </c>
      <c r="H212" s="47">
        <f t="shared" si="27"/>
        <v>2.2738886050076648E-2</v>
      </c>
    </row>
    <row r="213" spans="1:8">
      <c r="A213" s="44" t="s">
        <v>72</v>
      </c>
      <c r="B213" s="45">
        <f>SUM(B214:B217)</f>
        <v>130752</v>
      </c>
      <c r="C213" s="45">
        <f>SUM(C214:C217)</f>
        <v>0</v>
      </c>
      <c r="D213" s="45"/>
      <c r="E213" s="45">
        <f t="shared" si="26"/>
        <v>130752</v>
      </c>
      <c r="F213" s="45">
        <f>SUM(F214:F217)</f>
        <v>133342</v>
      </c>
      <c r="G213" s="45">
        <f t="shared" si="28"/>
        <v>2590</v>
      </c>
      <c r="H213" s="47">
        <f t="shared" si="27"/>
        <v>1.9808492413117964E-2</v>
      </c>
    </row>
    <row r="214" spans="1:8">
      <c r="A214" s="57" t="s">
        <v>103</v>
      </c>
      <c r="B214" s="58">
        <v>11000</v>
      </c>
      <c r="C214" s="58">
        <v>2000</v>
      </c>
      <c r="D214" s="58">
        <v>1000</v>
      </c>
      <c r="E214" s="58">
        <f t="shared" si="26"/>
        <v>14000</v>
      </c>
      <c r="F214" s="58">
        <v>14000</v>
      </c>
      <c r="G214" s="58">
        <f t="shared" si="28"/>
        <v>0</v>
      </c>
      <c r="H214" s="59">
        <f t="shared" si="27"/>
        <v>0</v>
      </c>
    </row>
    <row r="215" spans="1:8">
      <c r="A215" s="57" t="s">
        <v>95</v>
      </c>
      <c r="B215" s="58">
        <v>36362</v>
      </c>
      <c r="C215" s="58">
        <v>-2000</v>
      </c>
      <c r="D215" s="58">
        <v>-1000</v>
      </c>
      <c r="E215" s="58">
        <f t="shared" si="26"/>
        <v>33362</v>
      </c>
      <c r="F215" s="58">
        <v>32842</v>
      </c>
      <c r="G215" s="58">
        <f t="shared" si="28"/>
        <v>-520</v>
      </c>
      <c r="H215" s="59">
        <f t="shared" si="27"/>
        <v>-1.5586595527846052E-2</v>
      </c>
    </row>
    <row r="216" spans="1:8" ht="25.5">
      <c r="A216" s="51" t="s">
        <v>107</v>
      </c>
      <c r="B216" s="52">
        <v>81890</v>
      </c>
      <c r="C216" s="52"/>
      <c r="D216" s="52"/>
      <c r="E216" s="52">
        <f t="shared" si="26"/>
        <v>81890</v>
      </c>
      <c r="F216" s="52">
        <v>85000</v>
      </c>
      <c r="G216" s="52">
        <f t="shared" si="28"/>
        <v>3110</v>
      </c>
      <c r="H216" s="53">
        <f t="shared" si="27"/>
        <v>3.7977775064110389E-2</v>
      </c>
    </row>
    <row r="217" spans="1:8" ht="25.5">
      <c r="A217" s="51" t="s">
        <v>86</v>
      </c>
      <c r="B217" s="52">
        <v>1500</v>
      </c>
      <c r="C217" s="52"/>
      <c r="D217" s="52"/>
      <c r="E217" s="52">
        <f t="shared" si="26"/>
        <v>1500</v>
      </c>
      <c r="F217" s="52">
        <v>1500</v>
      </c>
      <c r="G217" s="52">
        <f t="shared" si="28"/>
        <v>0</v>
      </c>
      <c r="H217" s="53">
        <f t="shared" si="27"/>
        <v>0</v>
      </c>
    </row>
    <row r="218" spans="1:8">
      <c r="A218" s="44" t="s">
        <v>57</v>
      </c>
      <c r="B218" s="45">
        <f>SUM(B219:B220)</f>
        <v>64948</v>
      </c>
      <c r="C218" s="45"/>
      <c r="D218" s="45"/>
      <c r="E218" s="45">
        <f t="shared" si="26"/>
        <v>64948</v>
      </c>
      <c r="F218" s="45">
        <f>SUM(F219:F220)</f>
        <v>66808</v>
      </c>
      <c r="G218" s="45">
        <f t="shared" si="28"/>
        <v>1860</v>
      </c>
      <c r="H218" s="47">
        <f t="shared" si="27"/>
        <v>2.8638295251585885E-2</v>
      </c>
    </row>
    <row r="219" spans="1:8">
      <c r="A219" s="48" t="s">
        <v>58</v>
      </c>
      <c r="B219" s="49">
        <v>50808</v>
      </c>
      <c r="C219" s="49"/>
      <c r="D219" s="49"/>
      <c r="E219" s="49">
        <f t="shared" si="26"/>
        <v>50808</v>
      </c>
      <c r="F219" s="49">
        <v>50808</v>
      </c>
      <c r="G219" s="49">
        <f t="shared" si="28"/>
        <v>0</v>
      </c>
      <c r="H219" s="50">
        <f t="shared" si="27"/>
        <v>0</v>
      </c>
    </row>
    <row r="220" spans="1:8">
      <c r="A220" s="48" t="s">
        <v>59</v>
      </c>
      <c r="B220" s="49">
        <v>14140</v>
      </c>
      <c r="C220" s="49"/>
      <c r="D220" s="49"/>
      <c r="E220" s="49">
        <f t="shared" si="26"/>
        <v>14140</v>
      </c>
      <c r="F220" s="49">
        <v>16000</v>
      </c>
      <c r="G220" s="49">
        <f t="shared" si="28"/>
        <v>1860</v>
      </c>
      <c r="H220" s="50">
        <f t="shared" si="27"/>
        <v>0.13154172560113153</v>
      </c>
    </row>
    <row r="221" spans="1:8">
      <c r="A221" s="48"/>
      <c r="B221" s="49"/>
      <c r="C221" s="49"/>
      <c r="D221" s="49"/>
      <c r="E221" s="49">
        <f t="shared" si="26"/>
        <v>0</v>
      </c>
      <c r="G221" s="49">
        <f t="shared" si="28"/>
        <v>0</v>
      </c>
      <c r="H221" s="50" t="str">
        <f t="shared" si="27"/>
        <v/>
      </c>
    </row>
    <row r="222" spans="1:8">
      <c r="A222" s="40" t="s">
        <v>118</v>
      </c>
      <c r="B222" s="41">
        <f>B224+B232+B243+B256+B267+B278+B290+B298</f>
        <v>4665001</v>
      </c>
      <c r="C222" s="41">
        <f>C224+C232+C243+C256+C267+C278+C290+C298</f>
        <v>-88745</v>
      </c>
      <c r="D222" s="41">
        <f>D224+D232+D243+D256+D267+D278+D290+D298</f>
        <v>-44052</v>
      </c>
      <c r="E222" s="41">
        <f t="shared" si="26"/>
        <v>4532204</v>
      </c>
      <c r="F222" s="41">
        <f>F224+F232+F243+F256+F267+F278+F290+F298</f>
        <v>4533720</v>
      </c>
      <c r="G222" s="41">
        <f t="shared" si="28"/>
        <v>1516</v>
      </c>
      <c r="H222" s="43">
        <f t="shared" si="27"/>
        <v>3.3449509333648706E-4</v>
      </c>
    </row>
    <row r="223" spans="1:8">
      <c r="A223" s="48"/>
      <c r="B223" s="49"/>
      <c r="C223" s="49"/>
      <c r="D223" s="49"/>
      <c r="E223" s="49">
        <f t="shared" si="26"/>
        <v>0</v>
      </c>
      <c r="F223" s="488"/>
      <c r="G223" s="49">
        <f t="shared" si="28"/>
        <v>0</v>
      </c>
      <c r="H223" s="50" t="str">
        <f t="shared" si="27"/>
        <v/>
      </c>
    </row>
    <row r="224" spans="1:8">
      <c r="A224" s="62" t="s">
        <v>119</v>
      </c>
      <c r="B224" s="63">
        <f>B225+B229</f>
        <v>36492</v>
      </c>
      <c r="C224" s="63"/>
      <c r="D224" s="557">
        <f>SUM(D225+D229)</f>
        <v>-3830</v>
      </c>
      <c r="E224" s="63">
        <f t="shared" si="26"/>
        <v>32662</v>
      </c>
      <c r="F224" s="488">
        <f>SUM(F225+F229)</f>
        <v>33410</v>
      </c>
      <c r="G224" s="63">
        <f t="shared" si="28"/>
        <v>748</v>
      </c>
      <c r="H224" s="64">
        <f t="shared" si="27"/>
        <v>2.2901230788071766E-2</v>
      </c>
    </row>
    <row r="225" spans="1:8">
      <c r="A225" s="44" t="s">
        <v>74</v>
      </c>
      <c r="B225" s="45">
        <f>B226+B227+B228</f>
        <v>27420</v>
      </c>
      <c r="C225" s="45"/>
      <c r="D225" s="557">
        <f>SUM(D226+D227+D228)</f>
        <v>-3750</v>
      </c>
      <c r="E225" s="45">
        <f t="shared" si="26"/>
        <v>23670</v>
      </c>
      <c r="F225" s="488">
        <f>SUM(F226+F227+F228)</f>
        <v>24420</v>
      </c>
      <c r="G225" s="45">
        <f t="shared" si="28"/>
        <v>750</v>
      </c>
      <c r="H225" s="47">
        <f t="shared" si="27"/>
        <v>3.1685678073510776E-2</v>
      </c>
    </row>
    <row r="226" spans="1:8">
      <c r="A226" s="51" t="s">
        <v>66</v>
      </c>
      <c r="B226" s="52">
        <v>18000</v>
      </c>
      <c r="C226" s="52"/>
      <c r="D226" s="558">
        <v>-2500</v>
      </c>
      <c r="E226" s="52">
        <f t="shared" si="26"/>
        <v>15500</v>
      </c>
      <c r="F226" s="52">
        <v>15500</v>
      </c>
      <c r="G226" s="52">
        <f t="shared" si="28"/>
        <v>0</v>
      </c>
      <c r="H226" s="53">
        <f t="shared" si="27"/>
        <v>0</v>
      </c>
    </row>
    <row r="227" spans="1:8">
      <c r="A227" s="51" t="s">
        <v>99</v>
      </c>
      <c r="B227" s="52">
        <v>7920</v>
      </c>
      <c r="C227" s="52"/>
      <c r="D227" s="557"/>
      <c r="E227" s="52">
        <f t="shared" si="26"/>
        <v>7920</v>
      </c>
      <c r="F227" s="488">
        <v>7920</v>
      </c>
      <c r="G227" s="52">
        <f t="shared" si="28"/>
        <v>0</v>
      </c>
      <c r="H227" s="53">
        <f t="shared" si="27"/>
        <v>0</v>
      </c>
    </row>
    <row r="228" spans="1:8">
      <c r="A228" s="51" t="s">
        <v>93</v>
      </c>
      <c r="B228" s="52">
        <v>1500</v>
      </c>
      <c r="C228" s="52"/>
      <c r="D228" s="558">
        <v>-1250</v>
      </c>
      <c r="E228" s="52">
        <f t="shared" si="26"/>
        <v>250</v>
      </c>
      <c r="F228" s="488">
        <v>1000</v>
      </c>
      <c r="G228" s="52">
        <f t="shared" si="28"/>
        <v>750</v>
      </c>
      <c r="H228" s="53">
        <f t="shared" si="27"/>
        <v>3</v>
      </c>
    </row>
    <row r="229" spans="1:8">
      <c r="A229" s="44" t="s">
        <v>57</v>
      </c>
      <c r="B229" s="45">
        <f>B230</f>
        <v>9072</v>
      </c>
      <c r="C229" s="45"/>
      <c r="D229" s="557">
        <f>SUM(D230)</f>
        <v>-80</v>
      </c>
      <c r="E229" s="45">
        <f t="shared" si="26"/>
        <v>8992</v>
      </c>
      <c r="F229" s="488">
        <f>SUM(F230)</f>
        <v>8990</v>
      </c>
      <c r="G229" s="45">
        <f t="shared" si="28"/>
        <v>-2</v>
      </c>
      <c r="H229" s="47">
        <f t="shared" si="27"/>
        <v>-2.2241992882562276E-4</v>
      </c>
    </row>
    <row r="230" spans="1:8">
      <c r="A230" s="48" t="s">
        <v>58</v>
      </c>
      <c r="B230" s="49">
        <v>9072</v>
      </c>
      <c r="C230" s="49"/>
      <c r="D230" s="557">
        <v>-80</v>
      </c>
      <c r="E230" s="49">
        <f t="shared" si="26"/>
        <v>8992</v>
      </c>
      <c r="F230" s="488">
        <v>8990</v>
      </c>
      <c r="G230" s="49">
        <f t="shared" si="28"/>
        <v>-2</v>
      </c>
      <c r="H230" s="50">
        <f t="shared" si="27"/>
        <v>-2.2241992882562276E-4</v>
      </c>
    </row>
    <row r="231" spans="1:8">
      <c r="A231" s="48"/>
      <c r="B231" s="49"/>
      <c r="C231" s="49"/>
      <c r="D231" s="49"/>
      <c r="E231" s="49">
        <f t="shared" si="26"/>
        <v>0</v>
      </c>
      <c r="F231" s="488"/>
      <c r="G231" s="49">
        <f t="shared" si="28"/>
        <v>0</v>
      </c>
      <c r="H231" s="50" t="str">
        <f t="shared" si="27"/>
        <v/>
      </c>
    </row>
    <row r="232" spans="1:8">
      <c r="A232" s="44" t="s">
        <v>120</v>
      </c>
      <c r="B232" s="45">
        <f>SUM(B233+B237+B240)</f>
        <v>1351337</v>
      </c>
      <c r="C232" s="45">
        <f t="shared" ref="C232" si="30">SUM(C233+C237+C240)</f>
        <v>12800</v>
      </c>
      <c r="D232" s="557">
        <f>D233+D237+D240</f>
        <v>20600</v>
      </c>
      <c r="E232" s="45">
        <f t="shared" si="26"/>
        <v>1384737</v>
      </c>
      <c r="F232" s="45">
        <f>SUM(F233+F237+F240)</f>
        <v>1359488</v>
      </c>
      <c r="G232" s="45">
        <f t="shared" si="28"/>
        <v>-25249</v>
      </c>
      <c r="H232" s="47">
        <f t="shared" si="27"/>
        <v>-1.8233787354566246E-2</v>
      </c>
    </row>
    <row r="233" spans="1:8">
      <c r="A233" s="44" t="s">
        <v>74</v>
      </c>
      <c r="B233" s="45">
        <f>SUM(B234:B236)</f>
        <v>371170</v>
      </c>
      <c r="C233" s="45">
        <f t="shared" ref="C233" si="31">SUM(C234:C236)</f>
        <v>12000</v>
      </c>
      <c r="D233" s="557">
        <f>D234+D235+D236</f>
        <v>20000</v>
      </c>
      <c r="E233" s="45">
        <f t="shared" si="26"/>
        <v>403170</v>
      </c>
      <c r="F233" s="45">
        <f>SUM(F234:F236)</f>
        <v>379000</v>
      </c>
      <c r="G233" s="45">
        <f t="shared" si="28"/>
        <v>-24170</v>
      </c>
      <c r="H233" s="47">
        <f t="shared" si="27"/>
        <v>-5.9949897065753897E-2</v>
      </c>
    </row>
    <row r="234" spans="1:8">
      <c r="A234" s="48" t="s">
        <v>121</v>
      </c>
      <c r="B234" s="49">
        <v>295170</v>
      </c>
      <c r="C234" s="49"/>
      <c r="D234" s="557"/>
      <c r="E234" s="49">
        <f t="shared" si="26"/>
        <v>295170</v>
      </c>
      <c r="F234" s="49">
        <v>270000</v>
      </c>
      <c r="G234" s="49">
        <f t="shared" si="28"/>
        <v>-25170</v>
      </c>
      <c r="H234" s="50">
        <f t="shared" si="27"/>
        <v>-8.5272893586746626E-2</v>
      </c>
    </row>
    <row r="235" spans="1:8">
      <c r="A235" s="48" t="s">
        <v>122</v>
      </c>
      <c r="B235" s="49">
        <v>31000</v>
      </c>
      <c r="C235" s="49"/>
      <c r="D235" s="557">
        <v>9000</v>
      </c>
      <c r="E235" s="49">
        <f t="shared" si="26"/>
        <v>40000</v>
      </c>
      <c r="F235" s="488">
        <v>41000</v>
      </c>
      <c r="G235" s="49">
        <f t="shared" si="28"/>
        <v>1000</v>
      </c>
      <c r="H235" s="50">
        <f t="shared" si="27"/>
        <v>2.5000000000000001E-2</v>
      </c>
    </row>
    <row r="236" spans="1:8">
      <c r="A236" s="48" t="s">
        <v>93</v>
      </c>
      <c r="B236" s="49">
        <v>45000</v>
      </c>
      <c r="C236" s="49">
        <v>12000</v>
      </c>
      <c r="D236" s="559">
        <v>11000</v>
      </c>
      <c r="E236" s="49">
        <f t="shared" si="26"/>
        <v>68000</v>
      </c>
      <c r="F236" s="49">
        <f>57000+11000</f>
        <v>68000</v>
      </c>
      <c r="G236" s="49">
        <f t="shared" si="28"/>
        <v>0</v>
      </c>
      <c r="H236" s="50">
        <f t="shared" si="27"/>
        <v>0</v>
      </c>
    </row>
    <row r="237" spans="1:8">
      <c r="A237" s="44" t="s">
        <v>57</v>
      </c>
      <c r="B237" s="45">
        <f>SUM(B238:B239)</f>
        <v>977767</v>
      </c>
      <c r="C237" s="45">
        <f t="shared" ref="C237" si="32">SUM(C238:C239)</f>
        <v>1200</v>
      </c>
      <c r="D237" s="45"/>
      <c r="E237" s="45">
        <f t="shared" si="26"/>
        <v>978967</v>
      </c>
      <c r="F237" s="45">
        <f>SUM(F238:F239)</f>
        <v>978488</v>
      </c>
      <c r="G237" s="45">
        <f t="shared" si="28"/>
        <v>-479</v>
      </c>
      <c r="H237" s="47">
        <f t="shared" si="27"/>
        <v>-4.8929126313757259E-4</v>
      </c>
    </row>
    <row r="238" spans="1:8">
      <c r="A238" s="48" t="s">
        <v>58</v>
      </c>
      <c r="B238" s="49">
        <v>967953</v>
      </c>
      <c r="C238" s="49"/>
      <c r="D238" s="49"/>
      <c r="E238" s="49">
        <f t="shared" si="26"/>
        <v>967953</v>
      </c>
      <c r="F238" s="488">
        <v>967468</v>
      </c>
      <c r="G238" s="49">
        <f t="shared" si="28"/>
        <v>-485</v>
      </c>
      <c r="H238" s="50">
        <f t="shared" si="27"/>
        <v>-5.01057386050769E-4</v>
      </c>
    </row>
    <row r="239" spans="1:8">
      <c r="A239" s="48" t="s">
        <v>59</v>
      </c>
      <c r="B239" s="49">
        <v>9814</v>
      </c>
      <c r="C239" s="49">
        <v>1200</v>
      </c>
      <c r="D239" s="49"/>
      <c r="E239" s="49">
        <f t="shared" si="26"/>
        <v>11014</v>
      </c>
      <c r="F239" s="488">
        <v>11020</v>
      </c>
      <c r="G239" s="49">
        <f t="shared" si="28"/>
        <v>6</v>
      </c>
      <c r="H239" s="50">
        <f t="shared" si="27"/>
        <v>5.4476121300163429E-4</v>
      </c>
    </row>
    <row r="240" spans="1:8">
      <c r="A240" s="44" t="s">
        <v>61</v>
      </c>
      <c r="B240" s="45">
        <f>SUM(B241)</f>
        <v>2400</v>
      </c>
      <c r="C240" s="45">
        <f t="shared" ref="C240" si="33">SUM(C241)</f>
        <v>-400</v>
      </c>
      <c r="D240" s="557">
        <f>D241</f>
        <v>600</v>
      </c>
      <c r="E240" s="45">
        <f t="shared" si="26"/>
        <v>2600</v>
      </c>
      <c r="F240" s="45">
        <f>SUM(F241)</f>
        <v>2000</v>
      </c>
      <c r="G240" s="45">
        <f t="shared" si="28"/>
        <v>-600</v>
      </c>
      <c r="H240" s="47">
        <f t="shared" si="27"/>
        <v>-0.23076923076923078</v>
      </c>
    </row>
    <row r="241" spans="1:10" ht="15">
      <c r="A241" s="51" t="s">
        <v>105</v>
      </c>
      <c r="B241" s="52">
        <v>2400</v>
      </c>
      <c r="C241" s="52">
        <v>-400</v>
      </c>
      <c r="D241" s="558">
        <v>600</v>
      </c>
      <c r="E241" s="52">
        <f t="shared" si="26"/>
        <v>2600</v>
      </c>
      <c r="F241" s="488">
        <v>2000</v>
      </c>
      <c r="G241" s="52">
        <f t="shared" si="28"/>
        <v>-600</v>
      </c>
      <c r="H241" s="53">
        <f t="shared" si="27"/>
        <v>-0.23076923076923078</v>
      </c>
      <c r="I241" s="869"/>
      <c r="J241" s="809"/>
    </row>
    <row r="242" spans="1:10">
      <c r="A242" s="44"/>
      <c r="B242" s="45"/>
      <c r="C242" s="45"/>
      <c r="D242" s="45"/>
      <c r="E242" s="45">
        <f t="shared" si="26"/>
        <v>0</v>
      </c>
      <c r="F242" s="488"/>
      <c r="G242" s="45">
        <f t="shared" si="28"/>
        <v>0</v>
      </c>
      <c r="H242" s="47" t="str">
        <f t="shared" si="27"/>
        <v/>
      </c>
      <c r="I242"/>
      <c r="J242" s="809"/>
    </row>
    <row r="243" spans="1:10" ht="15">
      <c r="A243" s="44" t="s">
        <v>123</v>
      </c>
      <c r="B243" s="45">
        <f>SUM(B244+B248+B253)</f>
        <v>1368345</v>
      </c>
      <c r="C243" s="45">
        <f t="shared" ref="C243" si="34">SUM(C244+C248+C253)</f>
        <v>-77000</v>
      </c>
      <c r="D243" s="557">
        <f>D244+D248+D252</f>
        <v>-21629</v>
      </c>
      <c r="E243" s="45">
        <f t="shared" si="26"/>
        <v>1269716</v>
      </c>
      <c r="F243" s="45">
        <f>SUM(F244+F248+F252)</f>
        <v>1292637</v>
      </c>
      <c r="G243" s="45">
        <f t="shared" si="28"/>
        <v>22921</v>
      </c>
      <c r="H243" s="47">
        <f t="shared" si="27"/>
        <v>1.80520683365414E-2</v>
      </c>
      <c r="I243" s="870"/>
      <c r="J243" s="809"/>
    </row>
    <row r="244" spans="1:10" ht="15">
      <c r="A244" s="44" t="s">
        <v>74</v>
      </c>
      <c r="B244" s="45">
        <f>SUM(B245+B246+B247)</f>
        <v>1287000</v>
      </c>
      <c r="C244" s="45">
        <f t="shared" ref="C244" si="35">SUM(C245+C246+C247)</f>
        <v>-75800</v>
      </c>
      <c r="D244" s="557">
        <f>D245+D246+D247</f>
        <v>-25000</v>
      </c>
      <c r="E244" s="45">
        <f t="shared" si="26"/>
        <v>1186200</v>
      </c>
      <c r="F244" s="45">
        <f>SUM(F245+F246+F247)</f>
        <v>1214500</v>
      </c>
      <c r="G244" s="45">
        <f t="shared" si="28"/>
        <v>28300</v>
      </c>
      <c r="H244" s="47">
        <f t="shared" si="27"/>
        <v>2.3857696847074693E-2</v>
      </c>
      <c r="I244" s="871"/>
      <c r="J244" s="809"/>
    </row>
    <row r="245" spans="1:10" ht="15">
      <c r="A245" s="48" t="s">
        <v>121</v>
      </c>
      <c r="B245" s="49">
        <v>1255000</v>
      </c>
      <c r="C245" s="49">
        <v>-75800</v>
      </c>
      <c r="D245" s="559">
        <v>-25000</v>
      </c>
      <c r="E245" s="49">
        <f t="shared" si="26"/>
        <v>1154200</v>
      </c>
      <c r="F245" s="488">
        <f>1216700-35000</f>
        <v>1181700</v>
      </c>
      <c r="G245" s="49">
        <f t="shared" si="28"/>
        <v>27500</v>
      </c>
      <c r="H245" s="50">
        <f t="shared" si="27"/>
        <v>2.3826026685149888E-2</v>
      </c>
      <c r="I245" s="871"/>
      <c r="J245" s="809"/>
    </row>
    <row r="246" spans="1:10" ht="15">
      <c r="A246" s="48" t="s">
        <v>122</v>
      </c>
      <c r="B246" s="49">
        <v>20000</v>
      </c>
      <c r="C246" s="49"/>
      <c r="D246" s="557"/>
      <c r="E246" s="49">
        <f t="shared" si="26"/>
        <v>20000</v>
      </c>
      <c r="F246" s="488">
        <f>35000-13000</f>
        <v>22000</v>
      </c>
      <c r="G246" s="49">
        <f t="shared" si="28"/>
        <v>2000</v>
      </c>
      <c r="H246" s="50">
        <f t="shared" si="27"/>
        <v>0.1</v>
      </c>
      <c r="I246" s="871"/>
      <c r="J246" s="809"/>
    </row>
    <row r="247" spans="1:10" ht="15">
      <c r="A247" s="48" t="s">
        <v>93</v>
      </c>
      <c r="B247" s="49">
        <v>12000</v>
      </c>
      <c r="C247" s="49"/>
      <c r="D247" s="557"/>
      <c r="E247" s="49">
        <f t="shared" si="26"/>
        <v>12000</v>
      </c>
      <c r="F247" s="488">
        <f>12300-1500</f>
        <v>10800</v>
      </c>
      <c r="G247" s="49">
        <f t="shared" si="28"/>
        <v>-1200</v>
      </c>
      <c r="H247" s="50">
        <f t="shared" si="27"/>
        <v>-0.1</v>
      </c>
      <c r="I247" s="872"/>
      <c r="J247" s="809"/>
    </row>
    <row r="248" spans="1:10" ht="15">
      <c r="A248" s="44" t="s">
        <v>57</v>
      </c>
      <c r="B248" s="45">
        <f>SUM(B249+B250+B251)</f>
        <v>75345</v>
      </c>
      <c r="C248" s="45">
        <f t="shared" ref="C248" si="36">SUM(C249+C250+C251)</f>
        <v>-1200</v>
      </c>
      <c r="D248" s="557">
        <f>D249+D251</f>
        <v>-129</v>
      </c>
      <c r="E248" s="45">
        <f t="shared" si="26"/>
        <v>74016</v>
      </c>
      <c r="F248" s="45">
        <f>SUM(F249+F250+F251)</f>
        <v>71637</v>
      </c>
      <c r="G248" s="45">
        <f t="shared" si="28"/>
        <v>-2379</v>
      </c>
      <c r="H248" s="47">
        <f t="shared" si="27"/>
        <v>-3.2141699092088194E-2</v>
      </c>
      <c r="I248" s="871"/>
      <c r="J248" s="809"/>
    </row>
    <row r="249" spans="1:10" ht="15">
      <c r="A249" s="48" t="s">
        <v>58</v>
      </c>
      <c r="B249" s="49">
        <v>34145</v>
      </c>
      <c r="C249" s="49">
        <v>-1200</v>
      </c>
      <c r="D249" s="557">
        <v>-29</v>
      </c>
      <c r="E249" s="49">
        <f t="shared" si="26"/>
        <v>32916</v>
      </c>
      <c r="F249" s="488">
        <f>38780-2743</f>
        <v>36037</v>
      </c>
      <c r="G249" s="49">
        <f t="shared" si="28"/>
        <v>3121</v>
      </c>
      <c r="H249" s="50">
        <f t="shared" si="27"/>
        <v>9.4817110219953815E-2</v>
      </c>
      <c r="I249" s="871"/>
      <c r="J249" s="809"/>
    </row>
    <row r="250" spans="1:10" ht="15">
      <c r="A250" s="48" t="s">
        <v>59</v>
      </c>
      <c r="B250" s="49">
        <v>40800</v>
      </c>
      <c r="C250" s="49"/>
      <c r="D250" s="49"/>
      <c r="E250" s="49">
        <f t="shared" si="26"/>
        <v>40800</v>
      </c>
      <c r="F250" s="488">
        <f>36300-1000</f>
        <v>35300</v>
      </c>
      <c r="G250" s="49">
        <f t="shared" si="28"/>
        <v>-5500</v>
      </c>
      <c r="H250" s="50">
        <f t="shared" si="27"/>
        <v>-0.13480392156862744</v>
      </c>
      <c r="I250" s="872"/>
      <c r="J250" s="809"/>
    </row>
    <row r="251" spans="1:10" ht="15">
      <c r="A251" s="48" t="s">
        <v>81</v>
      </c>
      <c r="B251" s="49">
        <v>400</v>
      </c>
      <c r="C251" s="49"/>
      <c r="D251" s="559">
        <v>-100</v>
      </c>
      <c r="E251" s="49">
        <f t="shared" si="26"/>
        <v>300</v>
      </c>
      <c r="F251" s="488">
        <v>300</v>
      </c>
      <c r="G251" s="49">
        <f t="shared" si="28"/>
        <v>0</v>
      </c>
      <c r="H251" s="50">
        <f t="shared" si="27"/>
        <v>0</v>
      </c>
      <c r="I251" s="871"/>
      <c r="J251" s="809"/>
    </row>
    <row r="252" spans="1:10">
      <c r="A252" s="44" t="s">
        <v>61</v>
      </c>
      <c r="B252" s="45">
        <f>SUM(B253)</f>
        <v>6000</v>
      </c>
      <c r="C252" s="45">
        <f t="shared" ref="C252" si="37">SUM(C253)</f>
        <v>0</v>
      </c>
      <c r="D252" s="557">
        <f>D253+D254</f>
        <v>3500</v>
      </c>
      <c r="E252" s="45">
        <f t="shared" si="26"/>
        <v>9500</v>
      </c>
      <c r="F252" s="45">
        <f>F253+F254</f>
        <v>6500</v>
      </c>
      <c r="G252" s="45">
        <f t="shared" si="28"/>
        <v>-3000</v>
      </c>
      <c r="H252" s="47">
        <f t="shared" si="27"/>
        <v>-0.31578947368421051</v>
      </c>
      <c r="I252"/>
      <c r="J252" s="809"/>
    </row>
    <row r="253" spans="1:10" ht="15">
      <c r="A253" s="51" t="s">
        <v>105</v>
      </c>
      <c r="B253" s="52">
        <v>6000</v>
      </c>
      <c r="C253" s="52"/>
      <c r="D253" s="557"/>
      <c r="E253" s="52">
        <f t="shared" si="26"/>
        <v>6000</v>
      </c>
      <c r="F253" s="488">
        <f>5000-500</f>
        <v>4500</v>
      </c>
      <c r="G253" s="52">
        <f t="shared" si="28"/>
        <v>-1500</v>
      </c>
      <c r="H253" s="53">
        <f t="shared" si="27"/>
        <v>-0.25</v>
      </c>
      <c r="I253" s="869"/>
      <c r="J253" s="809"/>
    </row>
    <row r="254" spans="1:10" ht="25.5">
      <c r="A254" s="51" t="s">
        <v>63</v>
      </c>
      <c r="B254" s="52"/>
      <c r="C254" s="52"/>
      <c r="D254" s="557">
        <v>3500</v>
      </c>
      <c r="E254" s="52">
        <f t="shared" si="26"/>
        <v>3500</v>
      </c>
      <c r="F254" s="488">
        <v>2000</v>
      </c>
      <c r="G254" s="52"/>
      <c r="H254" s="53"/>
      <c r="I254"/>
      <c r="J254" s="809"/>
    </row>
    <row r="255" spans="1:10" ht="15">
      <c r="A255" s="44"/>
      <c r="B255" s="45"/>
      <c r="C255" s="45"/>
      <c r="D255" s="45"/>
      <c r="E255" s="45">
        <f t="shared" si="26"/>
        <v>0</v>
      </c>
      <c r="F255" s="488"/>
      <c r="G255" s="45">
        <f t="shared" si="28"/>
        <v>0</v>
      </c>
      <c r="H255" s="47" t="str">
        <f t="shared" si="27"/>
        <v/>
      </c>
      <c r="I255" s="870"/>
      <c r="J255" s="809"/>
    </row>
    <row r="256" spans="1:10" ht="15">
      <c r="A256" s="44" t="s">
        <v>124</v>
      </c>
      <c r="B256" s="45">
        <f>SUM(B257+B261+B264)</f>
        <v>92040</v>
      </c>
      <c r="C256" s="45"/>
      <c r="D256" s="557"/>
      <c r="E256" s="45">
        <f t="shared" si="26"/>
        <v>92040</v>
      </c>
      <c r="F256" s="45">
        <f>F257+F261+F264</f>
        <v>92040</v>
      </c>
      <c r="G256" s="45">
        <f t="shared" si="28"/>
        <v>0</v>
      </c>
      <c r="H256" s="47">
        <f t="shared" si="27"/>
        <v>0</v>
      </c>
      <c r="I256" s="871"/>
      <c r="J256" s="809"/>
    </row>
    <row r="257" spans="1:10" ht="15">
      <c r="A257" s="44" t="s">
        <v>74</v>
      </c>
      <c r="B257" s="45">
        <f>SUM(B258+B259+B260)</f>
        <v>79493</v>
      </c>
      <c r="C257" s="45"/>
      <c r="D257" s="557"/>
      <c r="E257" s="45">
        <f t="shared" si="26"/>
        <v>79493</v>
      </c>
      <c r="F257" s="488">
        <f>F258+F259+F260</f>
        <v>79493</v>
      </c>
      <c r="G257" s="45">
        <f t="shared" si="28"/>
        <v>0</v>
      </c>
      <c r="H257" s="47">
        <f t="shared" si="27"/>
        <v>0</v>
      </c>
      <c r="I257" s="872"/>
      <c r="J257" s="809"/>
    </row>
    <row r="258" spans="1:10" ht="15">
      <c r="A258" s="48" t="s">
        <v>121</v>
      </c>
      <c r="B258" s="49">
        <f>75680+2350</f>
        <v>78030</v>
      </c>
      <c r="C258" s="49"/>
      <c r="D258" s="557">
        <v>105</v>
      </c>
      <c r="E258" s="49">
        <f t="shared" si="26"/>
        <v>78135</v>
      </c>
      <c r="F258" s="488">
        <v>78030</v>
      </c>
      <c r="G258" s="49">
        <f t="shared" si="28"/>
        <v>-105</v>
      </c>
      <c r="H258" s="50">
        <f t="shared" si="27"/>
        <v>-1.3438279900172777E-3</v>
      </c>
      <c r="I258" s="871"/>
      <c r="J258" s="809"/>
    </row>
    <row r="259" spans="1:10" ht="15">
      <c r="A259" s="48" t="s">
        <v>122</v>
      </c>
      <c r="B259" s="49">
        <v>570</v>
      </c>
      <c r="C259" s="49"/>
      <c r="D259" s="557">
        <v>100</v>
      </c>
      <c r="E259" s="49">
        <f t="shared" si="26"/>
        <v>670</v>
      </c>
      <c r="F259" s="488">
        <v>570</v>
      </c>
      <c r="G259" s="49">
        <f t="shared" si="28"/>
        <v>-100</v>
      </c>
      <c r="H259" s="50">
        <f t="shared" si="27"/>
        <v>-0.14925373134328357</v>
      </c>
      <c r="I259" s="871"/>
      <c r="J259" s="809"/>
    </row>
    <row r="260" spans="1:10">
      <c r="A260" s="48" t="s">
        <v>93</v>
      </c>
      <c r="B260" s="49">
        <v>893</v>
      </c>
      <c r="C260" s="49"/>
      <c r="D260" s="557">
        <v>-205</v>
      </c>
      <c r="E260" s="49">
        <f t="shared" si="26"/>
        <v>688</v>
      </c>
      <c r="F260" s="488">
        <v>893</v>
      </c>
      <c r="G260" s="49">
        <f t="shared" si="28"/>
        <v>205</v>
      </c>
      <c r="H260" s="50">
        <f t="shared" si="27"/>
        <v>0.29796511627906974</v>
      </c>
    </row>
    <row r="261" spans="1:10">
      <c r="A261" s="44" t="s">
        <v>125</v>
      </c>
      <c r="B261" s="45">
        <f>SUM(B262+B263)</f>
        <v>1279</v>
      </c>
      <c r="C261" s="45"/>
      <c r="D261" s="45"/>
      <c r="E261" s="45">
        <f t="shared" ref="E261:E324" si="38">SUM(B261:D261)</f>
        <v>1279</v>
      </c>
      <c r="F261" s="488">
        <f>F262+F263</f>
        <v>1279</v>
      </c>
      <c r="G261" s="45">
        <f t="shared" si="28"/>
        <v>0</v>
      </c>
      <c r="H261" s="47">
        <f t="shared" si="27"/>
        <v>0</v>
      </c>
    </row>
    <row r="262" spans="1:10">
      <c r="A262" s="48" t="s">
        <v>126</v>
      </c>
      <c r="B262" s="49">
        <v>474</v>
      </c>
      <c r="C262" s="49"/>
      <c r="D262" s="49"/>
      <c r="E262" s="49">
        <f t="shared" si="38"/>
        <v>474</v>
      </c>
      <c r="F262" s="488">
        <v>474</v>
      </c>
      <c r="G262" s="49">
        <f t="shared" si="28"/>
        <v>0</v>
      </c>
      <c r="H262" s="50">
        <f t="shared" si="27"/>
        <v>0</v>
      </c>
    </row>
    <row r="263" spans="1:10">
      <c r="A263" s="48" t="s">
        <v>59</v>
      </c>
      <c r="B263" s="49">
        <v>805</v>
      </c>
      <c r="C263" s="49"/>
      <c r="D263" s="49"/>
      <c r="E263" s="49">
        <f t="shared" si="38"/>
        <v>805</v>
      </c>
      <c r="F263" s="488">
        <v>805</v>
      </c>
      <c r="G263" s="49">
        <f t="shared" si="28"/>
        <v>0</v>
      </c>
      <c r="H263" s="50">
        <f t="shared" si="27"/>
        <v>0</v>
      </c>
    </row>
    <row r="264" spans="1:10">
      <c r="A264" s="44" t="s">
        <v>57</v>
      </c>
      <c r="B264" s="45">
        <f>SUM(B265)</f>
        <v>11268</v>
      </c>
      <c r="C264" s="45"/>
      <c r="D264" s="45"/>
      <c r="E264" s="45">
        <f t="shared" si="38"/>
        <v>11268</v>
      </c>
      <c r="F264" s="488">
        <f>F265</f>
        <v>11268</v>
      </c>
      <c r="G264" s="45">
        <f t="shared" si="28"/>
        <v>0</v>
      </c>
      <c r="H264" s="47">
        <f t="shared" si="27"/>
        <v>0</v>
      </c>
    </row>
    <row r="265" spans="1:10">
      <c r="A265" s="48" t="s">
        <v>58</v>
      </c>
      <c r="B265" s="49">
        <v>11268</v>
      </c>
      <c r="C265" s="49"/>
      <c r="D265" s="49"/>
      <c r="E265" s="49">
        <f t="shared" si="38"/>
        <v>11268</v>
      </c>
      <c r="F265" s="488">
        <v>11268</v>
      </c>
      <c r="G265" s="49">
        <f t="shared" si="28"/>
        <v>0</v>
      </c>
      <c r="H265" s="50">
        <f t="shared" si="27"/>
        <v>0</v>
      </c>
    </row>
    <row r="266" spans="1:10">
      <c r="A266" s="69"/>
      <c r="B266" s="70"/>
      <c r="C266" s="70"/>
      <c r="D266" s="70"/>
      <c r="E266" s="70">
        <f t="shared" si="38"/>
        <v>0</v>
      </c>
      <c r="F266" s="488"/>
      <c r="G266" s="70">
        <f t="shared" si="28"/>
        <v>0</v>
      </c>
      <c r="H266" s="71" t="str">
        <f t="shared" si="27"/>
        <v/>
      </c>
    </row>
    <row r="267" spans="1:10">
      <c r="A267" s="62" t="s">
        <v>127</v>
      </c>
      <c r="B267" s="63">
        <f>SUM(B268+B272+B275)</f>
        <v>251350</v>
      </c>
      <c r="C267" s="63">
        <f t="shared" ref="C267" si="39">SUM(C268+C272+C275)</f>
        <v>3000</v>
      </c>
      <c r="D267" s="560">
        <f>SUM(D268+D272+D275)</f>
        <v>1000</v>
      </c>
      <c r="E267" s="63">
        <f t="shared" si="38"/>
        <v>255350</v>
      </c>
      <c r="F267" s="63">
        <f>SUM(F268+F272+F275)</f>
        <v>265015</v>
      </c>
      <c r="G267" s="63">
        <f t="shared" si="28"/>
        <v>9665</v>
      </c>
      <c r="H267" s="64">
        <f t="shared" ref="H267:H331" si="40">IF(F267=0,"",G267/E267)</f>
        <v>3.7850009790483648E-2</v>
      </c>
    </row>
    <row r="268" spans="1:10">
      <c r="A268" s="44" t="s">
        <v>74</v>
      </c>
      <c r="B268" s="45">
        <f>SUM(B269+B270+B271)</f>
        <v>221069</v>
      </c>
      <c r="C268" s="45">
        <f t="shared" ref="C268" si="41">SUM(C269+C270+C271)</f>
        <v>2795</v>
      </c>
      <c r="D268" s="45"/>
      <c r="E268" s="45">
        <f t="shared" si="38"/>
        <v>223864</v>
      </c>
      <c r="F268" s="45">
        <f>SUM(F269+F270+F271)</f>
        <v>234550</v>
      </c>
      <c r="G268" s="45">
        <f t="shared" ref="G268:G332" si="42">F268-E268</f>
        <v>10686</v>
      </c>
      <c r="H268" s="47">
        <f t="shared" si="40"/>
        <v>4.7734338705642712E-2</v>
      </c>
    </row>
    <row r="269" spans="1:10">
      <c r="A269" s="48" t="s">
        <v>121</v>
      </c>
      <c r="B269" s="49">
        <v>220000</v>
      </c>
      <c r="C269" s="49">
        <v>2795</v>
      </c>
      <c r="D269" s="49"/>
      <c r="E269" s="49">
        <f t="shared" si="38"/>
        <v>222795</v>
      </c>
      <c r="F269" s="488">
        <f>458020-228020</f>
        <v>230000</v>
      </c>
      <c r="G269" s="49">
        <f t="shared" si="42"/>
        <v>7205</v>
      </c>
      <c r="H269" s="50">
        <f t="shared" si="40"/>
        <v>3.2339145851567587E-2</v>
      </c>
    </row>
    <row r="270" spans="1:10">
      <c r="A270" s="48" t="s">
        <v>122</v>
      </c>
      <c r="B270" s="49">
        <v>819</v>
      </c>
      <c r="C270" s="49"/>
      <c r="D270" s="49"/>
      <c r="E270" s="49">
        <f t="shared" si="38"/>
        <v>819</v>
      </c>
      <c r="F270" s="488">
        <f>4300</f>
        <v>4300</v>
      </c>
      <c r="G270" s="49">
        <f t="shared" si="42"/>
        <v>3481</v>
      </c>
      <c r="H270" s="50">
        <f t="shared" si="40"/>
        <v>4.2503052503052503</v>
      </c>
    </row>
    <row r="271" spans="1:10">
      <c r="A271" s="48" t="s">
        <v>93</v>
      </c>
      <c r="B271" s="49">
        <v>250</v>
      </c>
      <c r="C271" s="49"/>
      <c r="D271" s="49"/>
      <c r="E271" s="49">
        <f t="shared" si="38"/>
        <v>250</v>
      </c>
      <c r="F271" s="488">
        <f>250</f>
        <v>250</v>
      </c>
      <c r="G271" s="49">
        <f t="shared" si="42"/>
        <v>0</v>
      </c>
      <c r="H271" s="50">
        <f t="shared" si="40"/>
        <v>0</v>
      </c>
    </row>
    <row r="272" spans="1:10">
      <c r="A272" s="44" t="s">
        <v>57</v>
      </c>
      <c r="B272" s="45">
        <f>SUM(B273+B274)</f>
        <v>28281</v>
      </c>
      <c r="C272" s="45">
        <f t="shared" ref="C272" si="43">SUM(C273+C274)</f>
        <v>205</v>
      </c>
      <c r="D272" s="45"/>
      <c r="E272" s="45">
        <f t="shared" si="38"/>
        <v>28486</v>
      </c>
      <c r="F272" s="45">
        <f>SUM(F273+F274)</f>
        <v>27865</v>
      </c>
      <c r="G272" s="45">
        <f t="shared" si="42"/>
        <v>-621</v>
      </c>
      <c r="H272" s="47">
        <f t="shared" si="40"/>
        <v>-2.1800182545811977E-2</v>
      </c>
    </row>
    <row r="273" spans="1:8">
      <c r="A273" s="48" t="s">
        <v>58</v>
      </c>
      <c r="B273" s="49">
        <v>21181</v>
      </c>
      <c r="C273" s="49"/>
      <c r="D273" s="49"/>
      <c r="E273" s="49">
        <f t="shared" si="38"/>
        <v>21181</v>
      </c>
      <c r="F273" s="488">
        <f>88395-67630</f>
        <v>20765</v>
      </c>
      <c r="G273" s="49">
        <f t="shared" si="42"/>
        <v>-416</v>
      </c>
      <c r="H273" s="50">
        <f t="shared" si="40"/>
        <v>-1.964024361456022E-2</v>
      </c>
    </row>
    <row r="274" spans="1:8">
      <c r="A274" s="48" t="s">
        <v>59</v>
      </c>
      <c r="B274" s="49">
        <v>7100</v>
      </c>
      <c r="C274" s="49">
        <v>205</v>
      </c>
      <c r="D274" s="49"/>
      <c r="E274" s="49">
        <f t="shared" si="38"/>
        <v>7305</v>
      </c>
      <c r="F274" s="488">
        <f>11845-4745</f>
        <v>7100</v>
      </c>
      <c r="G274" s="49">
        <f t="shared" si="42"/>
        <v>-205</v>
      </c>
      <c r="H274" s="50">
        <f t="shared" si="40"/>
        <v>-2.8062970568104039E-2</v>
      </c>
    </row>
    <row r="275" spans="1:8">
      <c r="A275" s="38" t="s">
        <v>61</v>
      </c>
      <c r="B275" s="65">
        <f>SUM(B276)</f>
        <v>2000</v>
      </c>
      <c r="C275" s="65">
        <f t="shared" ref="C275" si="44">SUM(C276)</f>
        <v>0</v>
      </c>
      <c r="D275" s="561">
        <f>SUM(D276)</f>
        <v>1000</v>
      </c>
      <c r="E275" s="65">
        <f t="shared" si="38"/>
        <v>3000</v>
      </c>
      <c r="F275" s="65">
        <f>SUM(F276)</f>
        <v>2600</v>
      </c>
      <c r="G275" s="65">
        <f t="shared" si="42"/>
        <v>-400</v>
      </c>
      <c r="H275" s="66">
        <f t="shared" si="40"/>
        <v>-0.13333333333333333</v>
      </c>
    </row>
    <row r="276" spans="1:8">
      <c r="A276" s="51" t="s">
        <v>105</v>
      </c>
      <c r="B276" s="52">
        <v>2000</v>
      </c>
      <c r="C276" s="52"/>
      <c r="D276" s="557">
        <v>1000</v>
      </c>
      <c r="E276" s="52">
        <f t="shared" si="38"/>
        <v>3000</v>
      </c>
      <c r="F276" s="488">
        <f>2600</f>
        <v>2600</v>
      </c>
      <c r="G276" s="52">
        <f t="shared" si="42"/>
        <v>-400</v>
      </c>
      <c r="H276" s="53">
        <f t="shared" si="40"/>
        <v>-0.13333333333333333</v>
      </c>
    </row>
    <row r="277" spans="1:8">
      <c r="A277" s="48"/>
      <c r="B277" s="49"/>
      <c r="C277" s="49"/>
      <c r="D277" s="49"/>
      <c r="E277" s="49">
        <f t="shared" si="38"/>
        <v>0</v>
      </c>
      <c r="F277" s="488"/>
      <c r="G277" s="49">
        <f t="shared" si="42"/>
        <v>0</v>
      </c>
      <c r="H277" s="50" t="str">
        <f t="shared" si="40"/>
        <v/>
      </c>
    </row>
    <row r="278" spans="1:8">
      <c r="A278" s="44" t="s">
        <v>128</v>
      </c>
      <c r="B278" s="45">
        <f>SUM(B279+B283+B286)</f>
        <v>253748</v>
      </c>
      <c r="C278" s="45"/>
      <c r="D278" s="45"/>
      <c r="E278" s="45">
        <f t="shared" si="38"/>
        <v>253748</v>
      </c>
      <c r="F278" s="45">
        <f>SUM(F279+F283+F286)</f>
        <v>212527</v>
      </c>
      <c r="G278" s="45">
        <f t="shared" si="42"/>
        <v>-41221</v>
      </c>
      <c r="H278" s="47">
        <f t="shared" si="40"/>
        <v>-0.16244857102321988</v>
      </c>
    </row>
    <row r="279" spans="1:8">
      <c r="A279" s="44" t="s">
        <v>74</v>
      </c>
      <c r="B279" s="45">
        <f>SUM(B280+B281+B282)</f>
        <v>199515</v>
      </c>
      <c r="C279" s="45"/>
      <c r="D279" s="562">
        <f>SUM(D280+D281+D282)</f>
        <v>-8020</v>
      </c>
      <c r="E279" s="45">
        <f t="shared" si="38"/>
        <v>191495</v>
      </c>
      <c r="F279" s="45">
        <f>SUM(F280+F281+F282)</f>
        <v>146673</v>
      </c>
      <c r="G279" s="45">
        <f t="shared" si="42"/>
        <v>-44822</v>
      </c>
      <c r="H279" s="47">
        <f t="shared" si="40"/>
        <v>-0.23406355257317424</v>
      </c>
    </row>
    <row r="280" spans="1:8">
      <c r="A280" s="48" t="s">
        <v>121</v>
      </c>
      <c r="B280" s="49">
        <v>146600</v>
      </c>
      <c r="C280" s="49"/>
      <c r="D280" s="557">
        <v>-7870</v>
      </c>
      <c r="E280" s="49">
        <f t="shared" si="38"/>
        <v>138730</v>
      </c>
      <c r="F280" s="488">
        <v>98000</v>
      </c>
      <c r="G280" s="49">
        <f t="shared" si="42"/>
        <v>-40730</v>
      </c>
      <c r="H280" s="50">
        <f t="shared" si="40"/>
        <v>-0.29359186909824841</v>
      </c>
    </row>
    <row r="281" spans="1:8">
      <c r="A281" s="48" t="s">
        <v>122</v>
      </c>
      <c r="B281" s="49">
        <v>6500</v>
      </c>
      <c r="C281" s="49"/>
      <c r="D281" s="557"/>
      <c r="E281" s="49">
        <f t="shared" si="38"/>
        <v>6500</v>
      </c>
      <c r="F281" s="488">
        <v>6500</v>
      </c>
      <c r="G281" s="49">
        <f t="shared" si="42"/>
        <v>0</v>
      </c>
      <c r="H281" s="50">
        <f t="shared" si="40"/>
        <v>0</v>
      </c>
    </row>
    <row r="282" spans="1:8">
      <c r="A282" s="48" t="s">
        <v>93</v>
      </c>
      <c r="B282" s="49">
        <v>46415</v>
      </c>
      <c r="C282" s="49"/>
      <c r="D282" s="557">
        <v>-150</v>
      </c>
      <c r="E282" s="49">
        <f t="shared" si="38"/>
        <v>46265</v>
      </c>
      <c r="F282" s="488">
        <v>42173</v>
      </c>
      <c r="G282" s="49">
        <f t="shared" si="42"/>
        <v>-4092</v>
      </c>
      <c r="H282" s="50">
        <f t="shared" si="40"/>
        <v>-8.8446990165351777E-2</v>
      </c>
    </row>
    <row r="283" spans="1:8">
      <c r="A283" s="44" t="s">
        <v>57</v>
      </c>
      <c r="B283" s="45">
        <f>SUM(B284+B285)</f>
        <v>50533</v>
      </c>
      <c r="C283" s="45"/>
      <c r="D283" s="562">
        <f>SUM(D284+D285)</f>
        <v>8520</v>
      </c>
      <c r="E283" s="45">
        <f t="shared" si="38"/>
        <v>59053</v>
      </c>
      <c r="F283" s="45">
        <f>SUM(F284+F285)</f>
        <v>63554</v>
      </c>
      <c r="G283" s="45">
        <f t="shared" si="42"/>
        <v>4501</v>
      </c>
      <c r="H283" s="47">
        <f t="shared" si="40"/>
        <v>7.6219667078725892E-2</v>
      </c>
    </row>
    <row r="284" spans="1:8">
      <c r="A284" s="48" t="s">
        <v>58</v>
      </c>
      <c r="B284" s="49">
        <v>38733</v>
      </c>
      <c r="C284" s="49"/>
      <c r="D284" s="557">
        <v>6636</v>
      </c>
      <c r="E284" s="49">
        <f t="shared" si="38"/>
        <v>45369</v>
      </c>
      <c r="F284" s="488">
        <v>49954</v>
      </c>
      <c r="G284" s="49">
        <f t="shared" si="42"/>
        <v>4585</v>
      </c>
      <c r="H284" s="50">
        <f t="shared" si="40"/>
        <v>0.10106019528753113</v>
      </c>
    </row>
    <row r="285" spans="1:8">
      <c r="A285" s="48" t="s">
        <v>59</v>
      </c>
      <c r="B285" s="49">
        <v>11800</v>
      </c>
      <c r="C285" s="49"/>
      <c r="D285" s="557">
        <v>1884</v>
      </c>
      <c r="E285" s="49">
        <f t="shared" si="38"/>
        <v>13684</v>
      </c>
      <c r="F285" s="488">
        <v>13600</v>
      </c>
      <c r="G285" s="49">
        <f t="shared" si="42"/>
        <v>-84</v>
      </c>
      <c r="H285" s="50">
        <f t="shared" si="40"/>
        <v>-6.1385559777842732E-3</v>
      </c>
    </row>
    <row r="286" spans="1:8">
      <c r="A286" s="44" t="s">
        <v>61</v>
      </c>
      <c r="B286" s="45">
        <f>SUM(B287+B288)</f>
        <v>3700</v>
      </c>
      <c r="C286" s="45"/>
      <c r="D286" s="562">
        <f>SUM(D287+D288)</f>
        <v>-500</v>
      </c>
      <c r="E286" s="45">
        <f t="shared" si="38"/>
        <v>3200</v>
      </c>
      <c r="F286" s="45">
        <f>SUM(F287+F288)</f>
        <v>2300</v>
      </c>
      <c r="G286" s="45">
        <f t="shared" si="42"/>
        <v>-900</v>
      </c>
      <c r="H286" s="47">
        <f t="shared" si="40"/>
        <v>-0.28125</v>
      </c>
    </row>
    <row r="287" spans="1:8">
      <c r="A287" s="51" t="s">
        <v>105</v>
      </c>
      <c r="B287" s="52">
        <v>2700</v>
      </c>
      <c r="C287" s="52"/>
      <c r="D287" s="557">
        <v>50</v>
      </c>
      <c r="E287" s="52">
        <f t="shared" si="38"/>
        <v>2750</v>
      </c>
      <c r="F287" s="488">
        <v>2000</v>
      </c>
      <c r="G287" s="52">
        <f t="shared" si="42"/>
        <v>-750</v>
      </c>
      <c r="H287" s="53">
        <f t="shared" si="40"/>
        <v>-0.27272727272727271</v>
      </c>
    </row>
    <row r="288" spans="1:8">
      <c r="A288" s="48" t="s">
        <v>113</v>
      </c>
      <c r="B288" s="49">
        <v>1000</v>
      </c>
      <c r="C288" s="49"/>
      <c r="D288" s="557">
        <v>-550</v>
      </c>
      <c r="E288" s="49">
        <f t="shared" si="38"/>
        <v>450</v>
      </c>
      <c r="F288" s="488">
        <v>300</v>
      </c>
      <c r="G288" s="49">
        <f t="shared" si="42"/>
        <v>-150</v>
      </c>
      <c r="H288" s="50">
        <f t="shared" si="40"/>
        <v>-0.33333333333333331</v>
      </c>
    </row>
    <row r="289" spans="1:8">
      <c r="A289" s="48"/>
      <c r="B289" s="49"/>
      <c r="C289" s="49"/>
      <c r="D289" s="49"/>
      <c r="E289" s="49">
        <f t="shared" si="38"/>
        <v>0</v>
      </c>
      <c r="F289" s="488"/>
      <c r="G289" s="49">
        <f t="shared" si="42"/>
        <v>0</v>
      </c>
      <c r="H289" s="50" t="str">
        <f t="shared" si="40"/>
        <v/>
      </c>
    </row>
    <row r="290" spans="1:8">
      <c r="A290" s="38" t="s">
        <v>129</v>
      </c>
      <c r="B290" s="65">
        <f>SUM(B291+B295)</f>
        <v>133255</v>
      </c>
      <c r="C290" s="65">
        <f t="shared" ref="C290" si="45">SUM(C291+C295)</f>
        <v>-33145</v>
      </c>
      <c r="D290" s="561">
        <f>SUM(D291+D295)</f>
        <v>-40381</v>
      </c>
      <c r="E290" s="65">
        <f t="shared" si="38"/>
        <v>59729</v>
      </c>
      <c r="F290" s="65">
        <f>SUM(F291+F295)</f>
        <v>39475</v>
      </c>
      <c r="G290" s="65">
        <f t="shared" si="42"/>
        <v>-20254</v>
      </c>
      <c r="H290" s="66">
        <f t="shared" si="40"/>
        <v>-0.33909826047648545</v>
      </c>
    </row>
    <row r="291" spans="1:8">
      <c r="A291" s="44" t="s">
        <v>74</v>
      </c>
      <c r="B291" s="45">
        <f>SUM(B292+B293+B294)</f>
        <v>132055</v>
      </c>
      <c r="C291" s="45">
        <f t="shared" ref="C291" si="46">SUM(C292+C293+C294)</f>
        <v>-33145</v>
      </c>
      <c r="D291" s="562">
        <f>SUM(D292+D293+D294)</f>
        <v>-43990</v>
      </c>
      <c r="E291" s="45">
        <f t="shared" si="38"/>
        <v>54920</v>
      </c>
      <c r="F291" s="45">
        <f>SUM(F292+F293+F294)</f>
        <v>34663</v>
      </c>
      <c r="G291" s="45">
        <f t="shared" si="42"/>
        <v>-20257</v>
      </c>
      <c r="H291" s="47">
        <f t="shared" si="40"/>
        <v>-0.36884559359067737</v>
      </c>
    </row>
    <row r="292" spans="1:8">
      <c r="A292" s="48" t="s">
        <v>130</v>
      </c>
      <c r="B292" s="49">
        <v>77440</v>
      </c>
      <c r="C292" s="49">
        <v>-33145</v>
      </c>
      <c r="D292" s="557">
        <v>-185</v>
      </c>
      <c r="E292" s="49">
        <f t="shared" si="38"/>
        <v>44110</v>
      </c>
      <c r="F292" s="49"/>
      <c r="G292" s="49">
        <f t="shared" si="42"/>
        <v>-44110</v>
      </c>
      <c r="H292" s="50" t="str">
        <f t="shared" si="40"/>
        <v/>
      </c>
    </row>
    <row r="293" spans="1:8">
      <c r="A293" s="72" t="s">
        <v>131</v>
      </c>
      <c r="B293" s="73">
        <v>9000</v>
      </c>
      <c r="C293" s="73"/>
      <c r="D293" s="73"/>
      <c r="E293" s="73">
        <f t="shared" si="38"/>
        <v>9000</v>
      </c>
      <c r="F293" s="73">
        <v>19368</v>
      </c>
      <c r="G293" s="73">
        <f t="shared" si="42"/>
        <v>10368</v>
      </c>
      <c r="H293" s="50">
        <f t="shared" si="40"/>
        <v>1.1519999999999999</v>
      </c>
    </row>
    <row r="294" spans="1:8">
      <c r="A294" s="48" t="s">
        <v>132</v>
      </c>
      <c r="B294" s="49">
        <v>45615</v>
      </c>
      <c r="C294" s="49"/>
      <c r="D294" s="557">
        <v>-43805</v>
      </c>
      <c r="E294" s="49">
        <f t="shared" si="38"/>
        <v>1810</v>
      </c>
      <c r="F294" s="49">
        <v>15295</v>
      </c>
      <c r="G294" s="49">
        <f t="shared" si="42"/>
        <v>13485</v>
      </c>
      <c r="H294" s="50">
        <f t="shared" si="40"/>
        <v>7.4502762430939224</v>
      </c>
    </row>
    <row r="295" spans="1:8">
      <c r="A295" s="44" t="s">
        <v>57</v>
      </c>
      <c r="B295" s="45">
        <f>SUM(B296)</f>
        <v>1200</v>
      </c>
      <c r="C295" s="45">
        <f t="shared" ref="C295" si="47">SUM(C296)</f>
        <v>0</v>
      </c>
      <c r="D295" s="562">
        <f>SUM(D296)</f>
        <v>3609</v>
      </c>
      <c r="E295" s="45">
        <f t="shared" si="38"/>
        <v>4809</v>
      </c>
      <c r="F295" s="45">
        <f>SUM(F296)</f>
        <v>4812</v>
      </c>
      <c r="G295" s="45">
        <f t="shared" si="42"/>
        <v>3</v>
      </c>
      <c r="H295" s="47">
        <f t="shared" si="40"/>
        <v>6.2383031815346226E-4</v>
      </c>
    </row>
    <row r="296" spans="1:8">
      <c r="A296" s="48" t="s">
        <v>133</v>
      </c>
      <c r="B296" s="49">
        <v>1200</v>
      </c>
      <c r="C296" s="49"/>
      <c r="D296" s="557">
        <v>3609</v>
      </c>
      <c r="E296" s="49">
        <f t="shared" si="38"/>
        <v>4809</v>
      </c>
      <c r="F296" s="488">
        <v>4812</v>
      </c>
      <c r="G296" s="49">
        <f t="shared" si="42"/>
        <v>3</v>
      </c>
      <c r="H296" s="50">
        <f t="shared" si="40"/>
        <v>6.2383031815346226E-4</v>
      </c>
    </row>
    <row r="297" spans="1:8">
      <c r="A297" s="48"/>
      <c r="B297" s="49"/>
      <c r="C297" s="49"/>
      <c r="D297" s="49"/>
      <c r="E297" s="49">
        <f t="shared" si="38"/>
        <v>0</v>
      </c>
      <c r="F297" s="488"/>
      <c r="G297" s="49">
        <f t="shared" si="42"/>
        <v>0</v>
      </c>
      <c r="H297" s="50" t="str">
        <f t="shared" si="40"/>
        <v/>
      </c>
    </row>
    <row r="298" spans="1:8">
      <c r="A298" s="44" t="s">
        <v>134</v>
      </c>
      <c r="B298" s="45">
        <f>SUM(B299+B303+B307)</f>
        <v>1178434</v>
      </c>
      <c r="C298" s="45">
        <f t="shared" ref="C298" si="48">SUM(C299+C303+C307)</f>
        <v>5600</v>
      </c>
      <c r="D298" s="562">
        <f>SUM(D299+D303+D307)</f>
        <v>188</v>
      </c>
      <c r="E298" s="45">
        <f t="shared" si="38"/>
        <v>1184222</v>
      </c>
      <c r="F298" s="45">
        <f>SUM(F299+F303+F307)</f>
        <v>1239128</v>
      </c>
      <c r="G298" s="45">
        <f t="shared" si="42"/>
        <v>54906</v>
      </c>
      <c r="H298" s="47">
        <f t="shared" si="40"/>
        <v>4.6364617445039863E-2</v>
      </c>
    </row>
    <row r="299" spans="1:8">
      <c r="A299" s="44" t="s">
        <v>74</v>
      </c>
      <c r="B299" s="45">
        <f>SUM(B300+B301+B302)</f>
        <v>1083196</v>
      </c>
      <c r="C299" s="45">
        <f t="shared" ref="C299" si="49">SUM(C300+C301+C302)</f>
        <v>0</v>
      </c>
      <c r="D299" s="562">
        <f>SUM(D300+D301+D302)</f>
        <v>188</v>
      </c>
      <c r="E299" s="45">
        <f t="shared" si="38"/>
        <v>1083384</v>
      </c>
      <c r="F299" s="45">
        <f>SUM(F300+F301+F302)</f>
        <v>1137425</v>
      </c>
      <c r="G299" s="45">
        <f t="shared" si="42"/>
        <v>54041</v>
      </c>
      <c r="H299" s="47">
        <f t="shared" si="40"/>
        <v>4.9881667072801519E-2</v>
      </c>
    </row>
    <row r="300" spans="1:8">
      <c r="A300" s="48" t="s">
        <v>121</v>
      </c>
      <c r="B300" s="49">
        <f>762652+21000</f>
        <v>783652</v>
      </c>
      <c r="C300" s="49"/>
      <c r="D300" s="557"/>
      <c r="E300" s="49">
        <f t="shared" si="38"/>
        <v>783652</v>
      </c>
      <c r="F300" s="488">
        <v>822835</v>
      </c>
      <c r="G300" s="49">
        <f t="shared" si="42"/>
        <v>39183</v>
      </c>
      <c r="H300" s="50">
        <f t="shared" si="40"/>
        <v>5.000051043065034E-2</v>
      </c>
    </row>
    <row r="301" spans="1:8">
      <c r="A301" s="48" t="s">
        <v>122</v>
      </c>
      <c r="B301" s="49">
        <f>159283+15700+40000</f>
        <v>214983</v>
      </c>
      <c r="C301" s="49"/>
      <c r="D301" s="557"/>
      <c r="E301" s="49">
        <f t="shared" si="38"/>
        <v>214983</v>
      </c>
      <c r="F301" s="49">
        <v>230030</v>
      </c>
      <c r="G301" s="49">
        <f t="shared" si="42"/>
        <v>15047</v>
      </c>
      <c r="H301" s="50">
        <f t="shared" si="40"/>
        <v>6.9991580729639083E-2</v>
      </c>
    </row>
    <row r="302" spans="1:8">
      <c r="A302" s="48" t="s">
        <v>93</v>
      </c>
      <c r="B302" s="49">
        <f>67121+1440+16000</f>
        <v>84561</v>
      </c>
      <c r="C302" s="49"/>
      <c r="D302" s="557">
        <v>188</v>
      </c>
      <c r="E302" s="49">
        <f t="shared" si="38"/>
        <v>84749</v>
      </c>
      <c r="F302" s="488">
        <v>84560</v>
      </c>
      <c r="G302" s="49">
        <f t="shared" si="42"/>
        <v>-189</v>
      </c>
      <c r="H302" s="50">
        <f t="shared" si="40"/>
        <v>-2.2301148096142728E-3</v>
      </c>
    </row>
    <row r="303" spans="1:8">
      <c r="A303" s="44" t="s">
        <v>57</v>
      </c>
      <c r="B303" s="45">
        <f>SUM(B304+B305)</f>
        <v>70838</v>
      </c>
      <c r="C303" s="45">
        <f t="shared" ref="C303" si="50">SUM(C304+C305)</f>
        <v>5600</v>
      </c>
      <c r="D303" s="45"/>
      <c r="E303" s="45">
        <f t="shared" si="38"/>
        <v>76438</v>
      </c>
      <c r="F303" s="45">
        <f>SUM(F304+F305+F306)</f>
        <v>77303</v>
      </c>
      <c r="G303" s="45">
        <f t="shared" si="42"/>
        <v>865</v>
      </c>
      <c r="H303" s="47">
        <f t="shared" si="40"/>
        <v>1.1316360972291269E-2</v>
      </c>
    </row>
    <row r="304" spans="1:8">
      <c r="A304" s="48" t="s">
        <v>58</v>
      </c>
      <c r="B304" s="49">
        <f>48920+4120</f>
        <v>53040</v>
      </c>
      <c r="C304" s="49">
        <v>5600</v>
      </c>
      <c r="D304" s="49"/>
      <c r="E304" s="49">
        <f t="shared" si="38"/>
        <v>58640</v>
      </c>
      <c r="F304" s="488">
        <v>59203</v>
      </c>
      <c r="G304" s="49">
        <f t="shared" si="42"/>
        <v>563</v>
      </c>
      <c r="H304" s="50">
        <f t="shared" si="40"/>
        <v>9.6009549795361537E-3</v>
      </c>
    </row>
    <row r="305" spans="1:8">
      <c r="A305" s="48" t="s">
        <v>59</v>
      </c>
      <c r="B305" s="49">
        <v>17798</v>
      </c>
      <c r="C305" s="49"/>
      <c r="D305" s="49"/>
      <c r="E305" s="49">
        <f t="shared" si="38"/>
        <v>17798</v>
      </c>
      <c r="F305" s="488">
        <v>17800</v>
      </c>
      <c r="G305" s="49">
        <f t="shared" si="42"/>
        <v>2</v>
      </c>
      <c r="H305" s="50">
        <f t="shared" si="40"/>
        <v>1.123721766490617E-4</v>
      </c>
    </row>
    <row r="306" spans="1:8">
      <c r="A306" s="48" t="s">
        <v>1039</v>
      </c>
      <c r="B306" s="49"/>
      <c r="C306" s="49"/>
      <c r="D306" s="49"/>
      <c r="E306" s="49">
        <f t="shared" si="38"/>
        <v>0</v>
      </c>
      <c r="F306" s="488">
        <v>300</v>
      </c>
      <c r="G306" s="49"/>
      <c r="H306" s="50"/>
    </row>
    <row r="307" spans="1:8">
      <c r="A307" s="44" t="s">
        <v>61</v>
      </c>
      <c r="B307" s="45">
        <f>SUM(B308+B309)</f>
        <v>24400</v>
      </c>
      <c r="C307" s="45">
        <f t="shared" ref="C307" si="51">SUM(C308+C309)</f>
        <v>0</v>
      </c>
      <c r="D307" s="45"/>
      <c r="E307" s="45">
        <f t="shared" si="38"/>
        <v>24400</v>
      </c>
      <c r="F307" s="45">
        <f>SUM(F308+F309)</f>
        <v>24400</v>
      </c>
      <c r="G307" s="45">
        <f t="shared" si="42"/>
        <v>0</v>
      </c>
      <c r="H307" s="47">
        <f t="shared" si="40"/>
        <v>0</v>
      </c>
    </row>
    <row r="308" spans="1:8">
      <c r="A308" s="51" t="s">
        <v>105</v>
      </c>
      <c r="B308" s="52">
        <f>10000+4400</f>
        <v>14400</v>
      </c>
      <c r="C308" s="52"/>
      <c r="D308" s="52"/>
      <c r="E308" s="52">
        <f t="shared" si="38"/>
        <v>14400</v>
      </c>
      <c r="F308" s="488">
        <v>14400</v>
      </c>
      <c r="G308" s="52">
        <f t="shared" si="42"/>
        <v>0</v>
      </c>
      <c r="H308" s="53">
        <f t="shared" si="40"/>
        <v>0</v>
      </c>
    </row>
    <row r="309" spans="1:8">
      <c r="A309" s="72" t="s">
        <v>113</v>
      </c>
      <c r="B309" s="73">
        <f>8000+2000</f>
        <v>10000</v>
      </c>
      <c r="C309" s="73"/>
      <c r="D309" s="73"/>
      <c r="E309" s="73">
        <f t="shared" si="38"/>
        <v>10000</v>
      </c>
      <c r="F309" s="488">
        <v>10000</v>
      </c>
      <c r="G309" s="73">
        <f t="shared" si="42"/>
        <v>0</v>
      </c>
      <c r="H309" s="50">
        <f t="shared" si="40"/>
        <v>0</v>
      </c>
    </row>
    <row r="310" spans="1:8">
      <c r="A310" s="51"/>
      <c r="B310" s="52"/>
      <c r="C310" s="52"/>
      <c r="D310" s="52"/>
      <c r="E310" s="52">
        <f t="shared" si="38"/>
        <v>0</v>
      </c>
      <c r="G310" s="52">
        <f t="shared" si="42"/>
        <v>0</v>
      </c>
      <c r="H310" s="53" t="str">
        <f t="shared" si="40"/>
        <v/>
      </c>
    </row>
    <row r="311" spans="1:8">
      <c r="A311" s="40" t="s">
        <v>135</v>
      </c>
      <c r="B311" s="41">
        <f>B313+B319+B328++B336+B342+B354+B365+B375</f>
        <v>2585381</v>
      </c>
      <c r="C311" s="41">
        <f>C313+C319+C328++C336+C342+C354+C365+C375</f>
        <v>44772</v>
      </c>
      <c r="D311" s="41">
        <f>D313+D319+D328++D336+D342+D354+D365+D375+D371</f>
        <v>33123</v>
      </c>
      <c r="E311" s="41">
        <f t="shared" si="38"/>
        <v>2663276</v>
      </c>
      <c r="F311" s="231">
        <f>F313+F319+F328+F336+F342+F354+F365+F375</f>
        <v>2834799</v>
      </c>
      <c r="G311" s="41">
        <f t="shared" si="42"/>
        <v>171523</v>
      </c>
      <c r="H311" s="43">
        <f t="shared" si="40"/>
        <v>6.4403013431578254E-2</v>
      </c>
    </row>
    <row r="312" spans="1:8">
      <c r="A312" s="44"/>
      <c r="B312" s="45"/>
      <c r="C312" s="45"/>
      <c r="D312" s="45"/>
      <c r="E312" s="45">
        <f t="shared" si="38"/>
        <v>0</v>
      </c>
      <c r="F312" s="488"/>
      <c r="G312" s="45">
        <f t="shared" si="42"/>
        <v>0</v>
      </c>
      <c r="H312" s="47" t="str">
        <f t="shared" si="40"/>
        <v/>
      </c>
    </row>
    <row r="313" spans="1:8">
      <c r="A313" s="44" t="s">
        <v>136</v>
      </c>
      <c r="B313" s="45">
        <f>B314</f>
        <v>70402</v>
      </c>
      <c r="C313" s="45">
        <f>C314</f>
        <v>0</v>
      </c>
      <c r="D313" s="45"/>
      <c r="E313" s="45">
        <f t="shared" si="38"/>
        <v>70402</v>
      </c>
      <c r="F313" s="488">
        <f>F314</f>
        <v>70402</v>
      </c>
      <c r="G313" s="45">
        <f t="shared" si="42"/>
        <v>0</v>
      </c>
      <c r="H313" s="47">
        <f t="shared" si="40"/>
        <v>0</v>
      </c>
    </row>
    <row r="314" spans="1:8">
      <c r="A314" s="44" t="s">
        <v>57</v>
      </c>
      <c r="B314" s="45">
        <f>B315+B316+B317</f>
        <v>70402</v>
      </c>
      <c r="C314" s="45">
        <f>C315+C316+C317</f>
        <v>0</v>
      </c>
      <c r="D314" s="45"/>
      <c r="E314" s="45">
        <f t="shared" si="38"/>
        <v>70402</v>
      </c>
      <c r="F314" s="488">
        <f>F315+F316+F317</f>
        <v>70402</v>
      </c>
      <c r="G314" s="45">
        <f t="shared" si="42"/>
        <v>0</v>
      </c>
      <c r="H314" s="47">
        <f t="shared" si="40"/>
        <v>0</v>
      </c>
    </row>
    <row r="315" spans="1:8">
      <c r="A315" s="48" t="s">
        <v>58</v>
      </c>
      <c r="B315" s="49">
        <v>59635</v>
      </c>
      <c r="C315" s="49"/>
      <c r="D315" s="49"/>
      <c r="E315" s="49">
        <f t="shared" si="38"/>
        <v>59635</v>
      </c>
      <c r="F315" s="278">
        <v>59635</v>
      </c>
      <c r="G315" s="49">
        <f t="shared" si="42"/>
        <v>0</v>
      </c>
      <c r="H315" s="50">
        <f t="shared" si="40"/>
        <v>0</v>
      </c>
    </row>
    <row r="316" spans="1:8">
      <c r="A316" s="48" t="s">
        <v>59</v>
      </c>
      <c r="B316" s="49">
        <v>9857</v>
      </c>
      <c r="C316" s="49"/>
      <c r="D316" s="49"/>
      <c r="E316" s="49">
        <f t="shared" si="38"/>
        <v>9857</v>
      </c>
      <c r="F316" s="278">
        <v>9857</v>
      </c>
      <c r="G316" s="49">
        <f t="shared" si="42"/>
        <v>0</v>
      </c>
      <c r="H316" s="50">
        <f t="shared" si="40"/>
        <v>0</v>
      </c>
    </row>
    <row r="317" spans="1:8">
      <c r="A317" s="48" t="s">
        <v>137</v>
      </c>
      <c r="B317" s="49">
        <v>910</v>
      </c>
      <c r="C317" s="49"/>
      <c r="D317" s="49"/>
      <c r="E317" s="49">
        <f t="shared" si="38"/>
        <v>910</v>
      </c>
      <c r="F317" s="278">
        <v>910</v>
      </c>
      <c r="G317" s="49">
        <f t="shared" si="42"/>
        <v>0</v>
      </c>
      <c r="H317" s="50">
        <f t="shared" si="40"/>
        <v>0</v>
      </c>
    </row>
    <row r="318" spans="1:8">
      <c r="A318" s="44"/>
      <c r="B318" s="45"/>
      <c r="C318" s="45"/>
      <c r="D318" s="45"/>
      <c r="E318" s="45">
        <f t="shared" si="38"/>
        <v>0</v>
      </c>
      <c r="F318" s="488"/>
      <c r="G318" s="45">
        <f t="shared" si="42"/>
        <v>0</v>
      </c>
      <c r="H318" s="47" t="str">
        <f t="shared" si="40"/>
        <v/>
      </c>
    </row>
    <row r="319" spans="1:8">
      <c r="A319" s="44" t="s">
        <v>138</v>
      </c>
      <c r="B319" s="45">
        <f>B320+B324</f>
        <v>109570</v>
      </c>
      <c r="C319" s="45">
        <f>C320+C324</f>
        <v>0</v>
      </c>
      <c r="D319" s="45"/>
      <c r="E319" s="45">
        <f t="shared" si="38"/>
        <v>109570</v>
      </c>
      <c r="F319" s="488">
        <f>F320+F324</f>
        <v>106500</v>
      </c>
      <c r="G319" s="45">
        <f t="shared" si="42"/>
        <v>-3070</v>
      </c>
      <c r="H319" s="47">
        <f t="shared" si="40"/>
        <v>-2.8018618234918316E-2</v>
      </c>
    </row>
    <row r="320" spans="1:8">
      <c r="A320" s="44" t="s">
        <v>139</v>
      </c>
      <c r="B320" s="45">
        <f>B321+B322+B323</f>
        <v>103500</v>
      </c>
      <c r="C320" s="45">
        <f>C321+C322+C323</f>
        <v>0</v>
      </c>
      <c r="D320" s="45"/>
      <c r="E320" s="45">
        <f t="shared" si="38"/>
        <v>103500</v>
      </c>
      <c r="F320" s="488">
        <f>F321+F322+F323</f>
        <v>103500</v>
      </c>
      <c r="G320" s="45">
        <f t="shared" si="42"/>
        <v>0</v>
      </c>
      <c r="H320" s="47">
        <f t="shared" si="40"/>
        <v>0</v>
      </c>
    </row>
    <row r="321" spans="1:8">
      <c r="A321" s="51" t="s">
        <v>140</v>
      </c>
      <c r="B321" s="52">
        <v>60000</v>
      </c>
      <c r="C321" s="52"/>
      <c r="D321" s="52"/>
      <c r="E321" s="52">
        <f t="shared" si="38"/>
        <v>60000</v>
      </c>
      <c r="F321" s="278">
        <v>60000</v>
      </c>
      <c r="G321" s="52">
        <f t="shared" si="42"/>
        <v>0</v>
      </c>
      <c r="H321" s="53">
        <f t="shared" si="40"/>
        <v>0</v>
      </c>
    </row>
    <row r="322" spans="1:8">
      <c r="A322" s="51" t="s">
        <v>141</v>
      </c>
      <c r="B322" s="52">
        <v>40000</v>
      </c>
      <c r="C322" s="52"/>
      <c r="D322" s="52"/>
      <c r="E322" s="52">
        <f t="shared" si="38"/>
        <v>40000</v>
      </c>
      <c r="F322" s="278">
        <v>40000</v>
      </c>
      <c r="G322" s="52">
        <f t="shared" si="42"/>
        <v>0</v>
      </c>
      <c r="H322" s="53">
        <f t="shared" si="40"/>
        <v>0</v>
      </c>
    </row>
    <row r="323" spans="1:8">
      <c r="A323" s="51" t="s">
        <v>142</v>
      </c>
      <c r="B323" s="52">
        <v>3500</v>
      </c>
      <c r="C323" s="52"/>
      <c r="D323" s="52"/>
      <c r="E323" s="52">
        <f t="shared" si="38"/>
        <v>3500</v>
      </c>
      <c r="F323" s="278">
        <v>3500</v>
      </c>
      <c r="G323" s="52">
        <f t="shared" si="42"/>
        <v>0</v>
      </c>
      <c r="H323" s="53">
        <f t="shared" si="40"/>
        <v>0</v>
      </c>
    </row>
    <row r="324" spans="1:8">
      <c r="A324" s="62" t="s">
        <v>57</v>
      </c>
      <c r="B324" s="63">
        <f>B325+B326</f>
        <v>6070</v>
      </c>
      <c r="C324" s="63">
        <f>C325+C326</f>
        <v>0</v>
      </c>
      <c r="D324" s="63"/>
      <c r="E324" s="63">
        <f t="shared" si="38"/>
        <v>6070</v>
      </c>
      <c r="F324" s="488">
        <f>F325+F326</f>
        <v>3000</v>
      </c>
      <c r="G324" s="63">
        <f t="shared" si="42"/>
        <v>-3070</v>
      </c>
      <c r="H324" s="64">
        <f t="shared" si="40"/>
        <v>-0.50576606260296542</v>
      </c>
    </row>
    <row r="325" spans="1:8">
      <c r="A325" s="51" t="s">
        <v>59</v>
      </c>
      <c r="B325" s="52">
        <v>4550</v>
      </c>
      <c r="C325" s="52"/>
      <c r="D325" s="52"/>
      <c r="E325" s="52">
        <f t="shared" ref="E325:E388" si="52">SUM(B325:D325)</f>
        <v>4550</v>
      </c>
      <c r="F325" s="589">
        <v>2345</v>
      </c>
      <c r="G325" s="52">
        <f t="shared" si="42"/>
        <v>-2205</v>
      </c>
      <c r="H325" s="53">
        <f t="shared" si="40"/>
        <v>-0.48461538461538461</v>
      </c>
    </row>
    <row r="326" spans="1:8">
      <c r="A326" s="51" t="s">
        <v>58</v>
      </c>
      <c r="B326" s="52">
        <v>1520</v>
      </c>
      <c r="C326" s="52"/>
      <c r="D326" s="52"/>
      <c r="E326" s="52">
        <f t="shared" si="52"/>
        <v>1520</v>
      </c>
      <c r="F326" s="248">
        <v>655</v>
      </c>
      <c r="G326" s="52">
        <f t="shared" si="42"/>
        <v>-865</v>
      </c>
      <c r="H326" s="53">
        <f t="shared" si="40"/>
        <v>-0.56907894736842102</v>
      </c>
    </row>
    <row r="327" spans="1:8">
      <c r="A327" s="51"/>
      <c r="B327" s="52"/>
      <c r="C327" s="52"/>
      <c r="D327" s="52"/>
      <c r="E327" s="52">
        <f t="shared" si="52"/>
        <v>0</v>
      </c>
      <c r="F327" s="488"/>
      <c r="G327" s="52">
        <f t="shared" si="42"/>
        <v>0</v>
      </c>
      <c r="H327" s="53" t="str">
        <f t="shared" si="40"/>
        <v/>
      </c>
    </row>
    <row r="328" spans="1:8">
      <c r="A328" s="62" t="s">
        <v>143</v>
      </c>
      <c r="B328" s="63">
        <f>B329+B332</f>
        <v>262286</v>
      </c>
      <c r="C328" s="63">
        <f>C329+C332</f>
        <v>15396</v>
      </c>
      <c r="D328" s="63"/>
      <c r="E328" s="63">
        <f t="shared" si="52"/>
        <v>277682</v>
      </c>
      <c r="F328" s="488">
        <f>F329+F332</f>
        <v>280220</v>
      </c>
      <c r="G328" s="63">
        <f t="shared" si="42"/>
        <v>2538</v>
      </c>
      <c r="H328" s="64">
        <f t="shared" si="40"/>
        <v>9.1399514552617748E-3</v>
      </c>
    </row>
    <row r="329" spans="1:8">
      <c r="A329" s="44" t="s">
        <v>139</v>
      </c>
      <c r="B329" s="45">
        <f>B330+B331</f>
        <v>244170</v>
      </c>
      <c r="C329" s="45">
        <f>C330+C331</f>
        <v>15396</v>
      </c>
      <c r="D329" s="45"/>
      <c r="E329" s="45">
        <f t="shared" si="52"/>
        <v>259566</v>
      </c>
      <c r="F329" s="488">
        <f>F330+F331</f>
        <v>262104</v>
      </c>
      <c r="G329" s="45">
        <f t="shared" si="42"/>
        <v>2538</v>
      </c>
      <c r="H329" s="47">
        <f t="shared" si="40"/>
        <v>9.7778599662513583E-3</v>
      </c>
    </row>
    <row r="330" spans="1:8">
      <c r="A330" s="48" t="s">
        <v>140</v>
      </c>
      <c r="B330" s="49">
        <v>240885</v>
      </c>
      <c r="C330" s="49">
        <v>15396</v>
      </c>
      <c r="D330" s="49"/>
      <c r="E330" s="49">
        <f t="shared" si="52"/>
        <v>256281</v>
      </c>
      <c r="F330" s="278">
        <v>257724</v>
      </c>
      <c r="G330" s="49">
        <f t="shared" si="42"/>
        <v>1443</v>
      </c>
      <c r="H330" s="50">
        <f t="shared" si="40"/>
        <v>5.6305383543844454E-3</v>
      </c>
    </row>
    <row r="331" spans="1:8">
      <c r="A331" s="48" t="s">
        <v>141</v>
      </c>
      <c r="B331" s="49">
        <v>3285</v>
      </c>
      <c r="C331" s="49"/>
      <c r="D331" s="49"/>
      <c r="E331" s="49">
        <f t="shared" si="52"/>
        <v>3285</v>
      </c>
      <c r="F331" s="278">
        <v>4380</v>
      </c>
      <c r="G331" s="49">
        <f t="shared" si="42"/>
        <v>1095</v>
      </c>
      <c r="H331" s="50">
        <f t="shared" si="40"/>
        <v>0.33333333333333331</v>
      </c>
    </row>
    <row r="332" spans="1:8">
      <c r="A332" s="62" t="s">
        <v>57</v>
      </c>
      <c r="B332" s="63">
        <f>B333+B334</f>
        <v>18116</v>
      </c>
      <c r="C332" s="63">
        <f>C333+C334</f>
        <v>0</v>
      </c>
      <c r="D332" s="63"/>
      <c r="E332" s="63">
        <f t="shared" si="52"/>
        <v>18116</v>
      </c>
      <c r="F332" s="488">
        <f>F333+F334</f>
        <v>18116</v>
      </c>
      <c r="G332" s="63">
        <f t="shared" si="42"/>
        <v>0</v>
      </c>
      <c r="H332" s="64">
        <f t="shared" ref="H332:H401" si="53">IF(F332=0,"",G332/E332)</f>
        <v>0</v>
      </c>
    </row>
    <row r="333" spans="1:8">
      <c r="A333" s="51" t="s">
        <v>59</v>
      </c>
      <c r="B333" s="52">
        <v>14100</v>
      </c>
      <c r="C333" s="52"/>
      <c r="D333" s="52"/>
      <c r="E333" s="52">
        <f t="shared" si="52"/>
        <v>14100</v>
      </c>
      <c r="F333" s="278">
        <v>14100</v>
      </c>
      <c r="G333" s="52">
        <f t="shared" ref="G333:G402" si="54">F333-E333</f>
        <v>0</v>
      </c>
      <c r="H333" s="53">
        <f t="shared" si="53"/>
        <v>0</v>
      </c>
    </row>
    <row r="334" spans="1:8">
      <c r="A334" s="51" t="s">
        <v>58</v>
      </c>
      <c r="B334" s="52">
        <v>4016</v>
      </c>
      <c r="C334" s="52"/>
      <c r="D334" s="52"/>
      <c r="E334" s="52">
        <f t="shared" si="52"/>
        <v>4016</v>
      </c>
      <c r="F334" s="278">
        <v>4016</v>
      </c>
      <c r="G334" s="52">
        <f t="shared" si="54"/>
        <v>0</v>
      </c>
      <c r="H334" s="53">
        <f t="shared" si="53"/>
        <v>0</v>
      </c>
    </row>
    <row r="335" spans="1:8">
      <c r="A335" s="44"/>
      <c r="B335" s="45"/>
      <c r="C335" s="45"/>
      <c r="D335" s="45"/>
      <c r="E335" s="45">
        <f t="shared" si="52"/>
        <v>0</v>
      </c>
      <c r="F335" s="488"/>
      <c r="G335" s="45">
        <f t="shared" si="54"/>
        <v>0</v>
      </c>
      <c r="H335" s="47" t="str">
        <f t="shared" si="53"/>
        <v/>
      </c>
    </row>
    <row r="336" spans="1:8">
      <c r="A336" s="44" t="s">
        <v>144</v>
      </c>
      <c r="B336" s="45">
        <f>B337</f>
        <v>40380</v>
      </c>
      <c r="C336" s="45">
        <f>C337+C339</f>
        <v>7248</v>
      </c>
      <c r="D336" s="45">
        <f>D337+D339</f>
        <v>1513</v>
      </c>
      <c r="E336" s="45">
        <f t="shared" si="52"/>
        <v>49141</v>
      </c>
      <c r="F336" s="488">
        <f>F337+F339</f>
        <v>41930</v>
      </c>
      <c r="G336" s="45">
        <f t="shared" si="54"/>
        <v>-7211</v>
      </c>
      <c r="H336" s="47">
        <f t="shared" si="53"/>
        <v>-0.14674101056144565</v>
      </c>
    </row>
    <row r="337" spans="1:8">
      <c r="A337" s="44" t="s">
        <v>139</v>
      </c>
      <c r="B337" s="45">
        <f>B338</f>
        <v>40380</v>
      </c>
      <c r="C337" s="45">
        <f>C338</f>
        <v>0</v>
      </c>
      <c r="D337" s="45">
        <f>D338</f>
        <v>1513</v>
      </c>
      <c r="E337" s="45">
        <f t="shared" si="52"/>
        <v>41893</v>
      </c>
      <c r="F337" s="488">
        <f>F338</f>
        <v>41930</v>
      </c>
      <c r="G337" s="45">
        <f t="shared" si="54"/>
        <v>37</v>
      </c>
      <c r="H337" s="47">
        <f t="shared" si="53"/>
        <v>8.8320244432244053E-4</v>
      </c>
    </row>
    <row r="338" spans="1:8">
      <c r="A338" s="51" t="s">
        <v>145</v>
      </c>
      <c r="B338" s="52">
        <v>40380</v>
      </c>
      <c r="C338" s="52"/>
      <c r="D338" s="52">
        <v>1513</v>
      </c>
      <c r="E338" s="52">
        <f t="shared" si="52"/>
        <v>41893</v>
      </c>
      <c r="F338" s="278">
        <f>40380+1550</f>
        <v>41930</v>
      </c>
      <c r="G338" s="52">
        <f t="shared" si="54"/>
        <v>37</v>
      </c>
      <c r="H338" s="53">
        <f t="shared" si="53"/>
        <v>8.8320244432244053E-4</v>
      </c>
    </row>
    <row r="339" spans="1:8">
      <c r="A339" s="74" t="s">
        <v>61</v>
      </c>
      <c r="B339" s="52"/>
      <c r="C339" s="52">
        <f>C340</f>
        <v>7248</v>
      </c>
      <c r="D339" s="52"/>
      <c r="E339" s="52">
        <f t="shared" si="52"/>
        <v>7248</v>
      </c>
      <c r="F339" s="179">
        <f>F340</f>
        <v>0</v>
      </c>
      <c r="G339" s="52">
        <f t="shared" si="54"/>
        <v>-7248</v>
      </c>
      <c r="H339" s="53" t="str">
        <f t="shared" si="53"/>
        <v/>
      </c>
    </row>
    <row r="340" spans="1:8" ht="25.5">
      <c r="A340" s="51" t="s">
        <v>63</v>
      </c>
      <c r="B340" s="52"/>
      <c r="C340" s="52">
        <v>7248</v>
      </c>
      <c r="D340" s="52"/>
      <c r="E340" s="52">
        <f t="shared" si="52"/>
        <v>7248</v>
      </c>
      <c r="F340" s="278"/>
      <c r="G340" s="52">
        <f t="shared" si="54"/>
        <v>-7248</v>
      </c>
      <c r="H340" s="53" t="str">
        <f t="shared" si="53"/>
        <v/>
      </c>
    </row>
    <row r="341" spans="1:8">
      <c r="A341" s="44"/>
      <c r="B341" s="45"/>
      <c r="C341" s="45"/>
      <c r="D341" s="45"/>
      <c r="E341" s="45">
        <f t="shared" si="52"/>
        <v>0</v>
      </c>
      <c r="F341" s="488"/>
      <c r="G341" s="45">
        <f t="shared" si="54"/>
        <v>0</v>
      </c>
      <c r="H341" s="47" t="str">
        <f t="shared" si="53"/>
        <v/>
      </c>
    </row>
    <row r="342" spans="1:8">
      <c r="A342" s="44" t="s">
        <v>146</v>
      </c>
      <c r="B342" s="45">
        <f>B343+B346</f>
        <v>1667581</v>
      </c>
      <c r="C342" s="45">
        <f>C343+C346+C349</f>
        <v>500</v>
      </c>
      <c r="D342" s="45">
        <f>D343+D346+D349+D351</f>
        <v>18200</v>
      </c>
      <c r="E342" s="45">
        <f t="shared" si="52"/>
        <v>1686281</v>
      </c>
      <c r="F342" s="488">
        <f>F343+F346+F349</f>
        <v>1869700</v>
      </c>
      <c r="G342" s="45">
        <f t="shared" si="54"/>
        <v>183419</v>
      </c>
      <c r="H342" s="47">
        <f t="shared" si="53"/>
        <v>0.10877131391505923</v>
      </c>
    </row>
    <row r="343" spans="1:8">
      <c r="A343" s="44" t="s">
        <v>57</v>
      </c>
      <c r="B343" s="45">
        <f>B344+B345</f>
        <v>6050</v>
      </c>
      <c r="C343" s="45">
        <f>C344+C345</f>
        <v>100</v>
      </c>
      <c r="D343" s="45">
        <f>D344+D345</f>
        <v>0</v>
      </c>
      <c r="E343" s="45">
        <f t="shared" si="52"/>
        <v>6150</v>
      </c>
      <c r="F343" s="488">
        <f>F344+F345</f>
        <v>6100</v>
      </c>
      <c r="G343" s="45">
        <f t="shared" si="54"/>
        <v>-50</v>
      </c>
      <c r="H343" s="47">
        <f t="shared" si="53"/>
        <v>-8.130081300813009E-3</v>
      </c>
    </row>
    <row r="344" spans="1:8">
      <c r="A344" s="48" t="s">
        <v>58</v>
      </c>
      <c r="B344" s="49">
        <v>4150</v>
      </c>
      <c r="C344" s="49"/>
      <c r="D344" s="49"/>
      <c r="E344" s="49">
        <f t="shared" si="52"/>
        <v>4150</v>
      </c>
      <c r="F344" s="278">
        <v>4200</v>
      </c>
      <c r="G344" s="49">
        <f t="shared" si="54"/>
        <v>50</v>
      </c>
      <c r="H344" s="50">
        <f t="shared" si="53"/>
        <v>1.2048192771084338E-2</v>
      </c>
    </row>
    <row r="345" spans="1:8">
      <c r="A345" s="48" t="s">
        <v>59</v>
      </c>
      <c r="B345" s="49">
        <v>1900</v>
      </c>
      <c r="C345" s="49">
        <v>100</v>
      </c>
      <c r="D345" s="49"/>
      <c r="E345" s="49">
        <f t="shared" si="52"/>
        <v>2000</v>
      </c>
      <c r="F345" s="278">
        <v>1900</v>
      </c>
      <c r="G345" s="49">
        <f t="shared" si="54"/>
        <v>-100</v>
      </c>
      <c r="H345" s="50">
        <f t="shared" si="53"/>
        <v>-0.05</v>
      </c>
    </row>
    <row r="346" spans="1:8">
      <c r="A346" s="44" t="s">
        <v>139</v>
      </c>
      <c r="B346" s="45">
        <f>B347+B348</f>
        <v>1661531</v>
      </c>
      <c r="C346" s="45">
        <f t="shared" ref="C346:D346" si="55">C347+C348</f>
        <v>0</v>
      </c>
      <c r="D346" s="45">
        <f t="shared" si="55"/>
        <v>18000</v>
      </c>
      <c r="E346" s="45">
        <f t="shared" si="52"/>
        <v>1679531</v>
      </c>
      <c r="F346" s="488">
        <f>F347+F348</f>
        <v>1863000</v>
      </c>
      <c r="G346" s="45">
        <f t="shared" si="54"/>
        <v>183469</v>
      </c>
      <c r="H346" s="47">
        <f t="shared" si="53"/>
        <v>0.10923823376883189</v>
      </c>
    </row>
    <row r="347" spans="1:8">
      <c r="A347" s="51" t="s">
        <v>140</v>
      </c>
      <c r="B347" s="52">
        <v>1633531</v>
      </c>
      <c r="C347" s="52"/>
      <c r="D347" s="52">
        <v>13000</v>
      </c>
      <c r="E347" s="52">
        <f t="shared" si="52"/>
        <v>1646531</v>
      </c>
      <c r="F347" s="278">
        <v>1830000</v>
      </c>
      <c r="G347" s="52">
        <f t="shared" si="54"/>
        <v>183469</v>
      </c>
      <c r="H347" s="53">
        <f t="shared" si="53"/>
        <v>0.111427601423842</v>
      </c>
    </row>
    <row r="348" spans="1:8">
      <c r="A348" s="51" t="s">
        <v>141</v>
      </c>
      <c r="B348" s="52">
        <v>28000</v>
      </c>
      <c r="C348" s="52"/>
      <c r="D348" s="52">
        <v>5000</v>
      </c>
      <c r="E348" s="52">
        <f t="shared" si="52"/>
        <v>33000</v>
      </c>
      <c r="F348" s="278">
        <f>32000+1000</f>
        <v>33000</v>
      </c>
      <c r="G348" s="52">
        <f t="shared" si="54"/>
        <v>0</v>
      </c>
      <c r="H348" s="53">
        <f t="shared" si="53"/>
        <v>0</v>
      </c>
    </row>
    <row r="349" spans="1:8">
      <c r="A349" s="74" t="s">
        <v>61</v>
      </c>
      <c r="B349" s="52"/>
      <c r="C349" s="52">
        <f>C350</f>
        <v>400</v>
      </c>
      <c r="D349" s="52">
        <f>D350</f>
        <v>175</v>
      </c>
      <c r="E349" s="52">
        <f t="shared" si="52"/>
        <v>575</v>
      </c>
      <c r="F349" s="179">
        <f>F350</f>
        <v>600</v>
      </c>
      <c r="G349" s="52">
        <f t="shared" si="54"/>
        <v>25</v>
      </c>
      <c r="H349" s="53">
        <f t="shared" si="53"/>
        <v>4.3478260869565216E-2</v>
      </c>
    </row>
    <row r="350" spans="1:8" ht="25.5">
      <c r="A350" s="51" t="s">
        <v>63</v>
      </c>
      <c r="B350" s="52"/>
      <c r="C350" s="52">
        <v>400</v>
      </c>
      <c r="D350" s="52">
        <v>175</v>
      </c>
      <c r="E350" s="52">
        <f t="shared" si="52"/>
        <v>575</v>
      </c>
      <c r="F350" s="278">
        <v>600</v>
      </c>
      <c r="G350" s="52">
        <f t="shared" si="54"/>
        <v>25</v>
      </c>
      <c r="H350" s="53">
        <f t="shared" si="53"/>
        <v>4.3478260869565216E-2</v>
      </c>
    </row>
    <row r="351" spans="1:8">
      <c r="A351" s="513" t="s">
        <v>1003</v>
      </c>
      <c r="B351" s="52"/>
      <c r="C351" s="52"/>
      <c r="D351" s="458">
        <f>D352</f>
        <v>25</v>
      </c>
      <c r="E351" s="458">
        <f t="shared" si="52"/>
        <v>25</v>
      </c>
      <c r="F351" s="278"/>
      <c r="G351" s="52"/>
      <c r="H351" s="53"/>
    </row>
    <row r="352" spans="1:8">
      <c r="A352" s="514" t="s">
        <v>1004</v>
      </c>
      <c r="B352" s="52"/>
      <c r="C352" s="52"/>
      <c r="D352" s="52">
        <v>25</v>
      </c>
      <c r="E352" s="52">
        <f t="shared" si="52"/>
        <v>25</v>
      </c>
      <c r="F352" s="278"/>
      <c r="G352" s="52"/>
      <c r="H352" s="53"/>
    </row>
    <row r="353" spans="1:8">
      <c r="A353" s="44"/>
      <c r="B353" s="45"/>
      <c r="C353" s="45"/>
      <c r="D353" s="45"/>
      <c r="E353" s="45">
        <f t="shared" si="52"/>
        <v>0</v>
      </c>
      <c r="F353" s="488"/>
      <c r="G353" s="45">
        <f t="shared" si="54"/>
        <v>0</v>
      </c>
      <c r="H353" s="47" t="str">
        <f t="shared" si="53"/>
        <v/>
      </c>
    </row>
    <row r="354" spans="1:8">
      <c r="A354" s="44" t="s">
        <v>147</v>
      </c>
      <c r="B354" s="45">
        <f>B355+B359+B361</f>
        <v>106092</v>
      </c>
      <c r="C354" s="45">
        <f>C355+C359+C361</f>
        <v>0</v>
      </c>
      <c r="D354" s="45"/>
      <c r="E354" s="45">
        <f t="shared" si="52"/>
        <v>106092</v>
      </c>
      <c r="F354" s="488">
        <f>F355+F359+F361</f>
        <v>107662</v>
      </c>
      <c r="G354" s="45">
        <f t="shared" si="54"/>
        <v>1570</v>
      </c>
      <c r="H354" s="47">
        <f t="shared" si="53"/>
        <v>1.4798476793726201E-2</v>
      </c>
    </row>
    <row r="355" spans="1:8">
      <c r="A355" s="44" t="s">
        <v>139</v>
      </c>
      <c r="B355" s="45">
        <f>B356+B357+B358</f>
        <v>77310</v>
      </c>
      <c r="C355" s="45">
        <f>C356+C357+C358</f>
        <v>0</v>
      </c>
      <c r="D355" s="45"/>
      <c r="E355" s="45">
        <f t="shared" si="52"/>
        <v>77310</v>
      </c>
      <c r="F355" s="488">
        <f>F356+F357+F358</f>
        <v>76380</v>
      </c>
      <c r="G355" s="45">
        <f t="shared" si="54"/>
        <v>-930</v>
      </c>
      <c r="H355" s="47">
        <f t="shared" si="53"/>
        <v>-1.2029491656965464E-2</v>
      </c>
    </row>
    <row r="356" spans="1:8">
      <c r="A356" s="51" t="s">
        <v>140</v>
      </c>
      <c r="B356" s="52">
        <v>12830</v>
      </c>
      <c r="C356" s="52"/>
      <c r="D356" s="52"/>
      <c r="E356" s="52">
        <f t="shared" si="52"/>
        <v>12830</v>
      </c>
      <c r="F356" s="278">
        <v>19900</v>
      </c>
      <c r="G356" s="52">
        <f t="shared" si="54"/>
        <v>7070</v>
      </c>
      <c r="H356" s="53">
        <f t="shared" si="53"/>
        <v>0.55105222135619647</v>
      </c>
    </row>
    <row r="357" spans="1:8">
      <c r="A357" s="51" t="s">
        <v>141</v>
      </c>
      <c r="B357" s="52">
        <v>58000</v>
      </c>
      <c r="C357" s="52"/>
      <c r="D357" s="52"/>
      <c r="E357" s="52">
        <f t="shared" si="52"/>
        <v>58000</v>
      </c>
      <c r="F357" s="278">
        <v>50000</v>
      </c>
      <c r="G357" s="52">
        <f t="shared" si="54"/>
        <v>-8000</v>
      </c>
      <c r="H357" s="53">
        <f t="shared" si="53"/>
        <v>-0.13793103448275862</v>
      </c>
    </row>
    <row r="358" spans="1:8">
      <c r="A358" s="51" t="s">
        <v>145</v>
      </c>
      <c r="B358" s="52">
        <v>6480</v>
      </c>
      <c r="C358" s="52"/>
      <c r="D358" s="52"/>
      <c r="E358" s="52">
        <f t="shared" si="52"/>
        <v>6480</v>
      </c>
      <c r="F358" s="278">
        <v>6480</v>
      </c>
      <c r="G358" s="52">
        <f t="shared" si="54"/>
        <v>0</v>
      </c>
      <c r="H358" s="53">
        <f t="shared" si="53"/>
        <v>0</v>
      </c>
    </row>
    <row r="359" spans="1:8">
      <c r="A359" s="74" t="s">
        <v>61</v>
      </c>
      <c r="B359" s="65">
        <f>B360</f>
        <v>11500</v>
      </c>
      <c r="C359" s="65">
        <f>C360</f>
        <v>0</v>
      </c>
      <c r="D359" s="65"/>
      <c r="E359" s="65">
        <f t="shared" si="52"/>
        <v>11500</v>
      </c>
      <c r="F359" s="488">
        <f>F360</f>
        <v>14000</v>
      </c>
      <c r="G359" s="65">
        <f t="shared" si="54"/>
        <v>2500</v>
      </c>
      <c r="H359" s="66">
        <f t="shared" si="53"/>
        <v>0.21739130434782608</v>
      </c>
    </row>
    <row r="360" spans="1:8" ht="25.5">
      <c r="A360" s="51" t="s">
        <v>63</v>
      </c>
      <c r="B360" s="52">
        <v>11500</v>
      </c>
      <c r="C360" s="52"/>
      <c r="D360" s="52"/>
      <c r="E360" s="52">
        <f t="shared" si="52"/>
        <v>11500</v>
      </c>
      <c r="F360" s="278">
        <v>14000</v>
      </c>
      <c r="G360" s="52">
        <f t="shared" si="54"/>
        <v>2500</v>
      </c>
      <c r="H360" s="53">
        <f t="shared" si="53"/>
        <v>0.21739130434782608</v>
      </c>
    </row>
    <row r="361" spans="1:8">
      <c r="A361" s="44" t="s">
        <v>57</v>
      </c>
      <c r="B361" s="45">
        <f>B362+B363</f>
        <v>17282</v>
      </c>
      <c r="C361" s="45">
        <f>C362+C363</f>
        <v>0</v>
      </c>
      <c r="D361" s="45"/>
      <c r="E361" s="45">
        <f t="shared" si="52"/>
        <v>17282</v>
      </c>
      <c r="F361" s="488">
        <f>F362+F363</f>
        <v>17282</v>
      </c>
      <c r="G361" s="45">
        <f t="shared" si="54"/>
        <v>0</v>
      </c>
      <c r="H361" s="47">
        <f t="shared" si="53"/>
        <v>0</v>
      </c>
    </row>
    <row r="362" spans="1:8">
      <c r="A362" s="48" t="s">
        <v>58</v>
      </c>
      <c r="B362" s="49">
        <v>8782</v>
      </c>
      <c r="C362" s="49"/>
      <c r="D362" s="49"/>
      <c r="E362" s="49">
        <f t="shared" si="52"/>
        <v>8782</v>
      </c>
      <c r="F362" s="278">
        <v>8782</v>
      </c>
      <c r="G362" s="49">
        <f t="shared" si="54"/>
        <v>0</v>
      </c>
      <c r="H362" s="50">
        <f t="shared" si="53"/>
        <v>0</v>
      </c>
    </row>
    <row r="363" spans="1:8">
      <c r="A363" s="48" t="s">
        <v>59</v>
      </c>
      <c r="B363" s="49">
        <v>8500</v>
      </c>
      <c r="C363" s="49"/>
      <c r="D363" s="49"/>
      <c r="E363" s="49">
        <f t="shared" si="52"/>
        <v>8500</v>
      </c>
      <c r="F363" s="278">
        <v>8500</v>
      </c>
      <c r="G363" s="49">
        <f t="shared" si="54"/>
        <v>0</v>
      </c>
      <c r="H363" s="50">
        <f t="shared" si="53"/>
        <v>0</v>
      </c>
    </row>
    <row r="364" spans="1:8">
      <c r="A364" s="51"/>
      <c r="B364" s="52"/>
      <c r="C364" s="52"/>
      <c r="D364" s="52"/>
      <c r="E364" s="52">
        <f t="shared" si="52"/>
        <v>0</v>
      </c>
      <c r="F364" s="488"/>
      <c r="G364" s="52">
        <f t="shared" si="54"/>
        <v>0</v>
      </c>
      <c r="H364" s="53" t="str">
        <f t="shared" si="53"/>
        <v/>
      </c>
    </row>
    <row r="365" spans="1:8">
      <c r="A365" s="44" t="s">
        <v>148</v>
      </c>
      <c r="B365" s="45">
        <f>B366</f>
        <v>93710</v>
      </c>
      <c r="C365" s="45">
        <f t="shared" ref="C365:D365" si="56">C366</f>
        <v>0</v>
      </c>
      <c r="D365" s="45">
        <f t="shared" si="56"/>
        <v>6000</v>
      </c>
      <c r="E365" s="45">
        <f t="shared" si="52"/>
        <v>99710</v>
      </c>
      <c r="F365" s="488">
        <f>F366</f>
        <v>100230</v>
      </c>
      <c r="G365" s="45">
        <f t="shared" si="54"/>
        <v>520</v>
      </c>
      <c r="H365" s="47">
        <f t="shared" si="53"/>
        <v>5.2151238591916557E-3</v>
      </c>
    </row>
    <row r="366" spans="1:8">
      <c r="A366" s="44" t="s">
        <v>139</v>
      </c>
      <c r="B366" s="45">
        <f>B367+B368+B369</f>
        <v>93710</v>
      </c>
      <c r="C366" s="45">
        <f t="shared" ref="C366:D366" si="57">C367+C368+C369</f>
        <v>0</v>
      </c>
      <c r="D366" s="45">
        <f t="shared" si="57"/>
        <v>6000</v>
      </c>
      <c r="E366" s="45">
        <f t="shared" si="52"/>
        <v>99710</v>
      </c>
      <c r="F366" s="488">
        <f>F367+F368+F369</f>
        <v>100230</v>
      </c>
      <c r="G366" s="45">
        <f t="shared" si="54"/>
        <v>520</v>
      </c>
      <c r="H366" s="47">
        <f t="shared" si="53"/>
        <v>5.2151238591916557E-3</v>
      </c>
    </row>
    <row r="367" spans="1:8">
      <c r="A367" s="51" t="s">
        <v>66</v>
      </c>
      <c r="B367" s="52">
        <v>230</v>
      </c>
      <c r="C367" s="52"/>
      <c r="D367" s="52"/>
      <c r="E367" s="52">
        <f t="shared" si="52"/>
        <v>230</v>
      </c>
      <c r="F367" s="278">
        <v>230</v>
      </c>
      <c r="G367" s="52">
        <f t="shared" si="54"/>
        <v>0</v>
      </c>
      <c r="H367" s="53">
        <f t="shared" si="53"/>
        <v>0</v>
      </c>
    </row>
    <row r="368" spans="1:8">
      <c r="A368" s="51" t="s">
        <v>140</v>
      </c>
      <c r="B368" s="52">
        <v>85480</v>
      </c>
      <c r="C368" s="52"/>
      <c r="D368" s="52">
        <v>6000</v>
      </c>
      <c r="E368" s="52">
        <f t="shared" si="52"/>
        <v>91480</v>
      </c>
      <c r="F368" s="278">
        <v>92000</v>
      </c>
      <c r="G368" s="52">
        <f t="shared" si="54"/>
        <v>520</v>
      </c>
      <c r="H368" s="53">
        <f t="shared" si="53"/>
        <v>5.684302579798863E-3</v>
      </c>
    </row>
    <row r="369" spans="1:8">
      <c r="A369" s="51" t="s">
        <v>149</v>
      </c>
      <c r="B369" s="52">
        <v>8000</v>
      </c>
      <c r="C369" s="52"/>
      <c r="D369" s="52"/>
      <c r="E369" s="52">
        <f t="shared" si="52"/>
        <v>8000</v>
      </c>
      <c r="F369" s="278">
        <v>8000</v>
      </c>
      <c r="G369" s="52">
        <f t="shared" si="54"/>
        <v>0</v>
      </c>
      <c r="H369" s="53">
        <f t="shared" si="53"/>
        <v>0</v>
      </c>
    </row>
    <row r="370" spans="1:8">
      <c r="A370" s="51"/>
      <c r="B370" s="52"/>
      <c r="C370" s="52"/>
      <c r="D370" s="52"/>
      <c r="E370" s="52">
        <f t="shared" si="52"/>
        <v>0</v>
      </c>
      <c r="F370" s="278"/>
      <c r="G370" s="52"/>
      <c r="H370" s="53"/>
    </row>
    <row r="371" spans="1:8">
      <c r="A371" s="513" t="s">
        <v>1005</v>
      </c>
      <c r="B371" s="52"/>
      <c r="C371" s="52"/>
      <c r="D371" s="458">
        <f>D372</f>
        <v>7410</v>
      </c>
      <c r="E371" s="458">
        <f t="shared" si="52"/>
        <v>7410</v>
      </c>
      <c r="F371" s="278"/>
      <c r="G371" s="52"/>
      <c r="H371" s="53"/>
    </row>
    <row r="372" spans="1:8">
      <c r="A372" s="515" t="s">
        <v>139</v>
      </c>
      <c r="B372" s="52"/>
      <c r="C372" s="52"/>
      <c r="D372" s="458">
        <f>D373</f>
        <v>7410</v>
      </c>
      <c r="E372" s="458">
        <f t="shared" si="52"/>
        <v>7410</v>
      </c>
      <c r="F372" s="278"/>
      <c r="G372" s="52"/>
      <c r="H372" s="53"/>
    </row>
    <row r="373" spans="1:8">
      <c r="A373" s="516" t="s">
        <v>140</v>
      </c>
      <c r="B373" s="52"/>
      <c r="C373" s="52"/>
      <c r="D373" s="52">
        <v>7410</v>
      </c>
      <c r="E373" s="52">
        <f t="shared" si="52"/>
        <v>7410</v>
      </c>
      <c r="F373" s="278"/>
      <c r="G373" s="52"/>
      <c r="H373" s="53"/>
    </row>
    <row r="374" spans="1:8">
      <c r="A374" s="51"/>
      <c r="B374" s="52"/>
      <c r="C374" s="52"/>
      <c r="D374" s="52"/>
      <c r="E374" s="52">
        <f t="shared" si="52"/>
        <v>0</v>
      </c>
      <c r="F374" s="488"/>
      <c r="G374" s="52">
        <f t="shared" si="54"/>
        <v>0</v>
      </c>
      <c r="H374" s="53" t="str">
        <f t="shared" si="53"/>
        <v/>
      </c>
    </row>
    <row r="375" spans="1:8">
      <c r="A375" s="44" t="s">
        <v>1006</v>
      </c>
      <c r="B375" s="45">
        <f>B376+B378</f>
        <v>235360</v>
      </c>
      <c r="C375" s="45">
        <f>C376+C378</f>
        <v>21628</v>
      </c>
      <c r="D375" s="45">
        <f>D376+D378</f>
        <v>0</v>
      </c>
      <c r="E375" s="45">
        <f t="shared" si="52"/>
        <v>256988</v>
      </c>
      <c r="F375" s="488">
        <f>F376+F378</f>
        <v>258155</v>
      </c>
      <c r="G375" s="45">
        <f t="shared" si="54"/>
        <v>1167</v>
      </c>
      <c r="H375" s="47">
        <f t="shared" si="53"/>
        <v>4.5410680654349618E-3</v>
      </c>
    </row>
    <row r="376" spans="1:8">
      <c r="A376" s="44" t="s">
        <v>150</v>
      </c>
      <c r="B376" s="45">
        <f>B377</f>
        <v>224660</v>
      </c>
      <c r="C376" s="45">
        <f>C377</f>
        <v>30150</v>
      </c>
      <c r="D376" s="45">
        <f>D377</f>
        <v>1525</v>
      </c>
      <c r="E376" s="45">
        <f t="shared" si="52"/>
        <v>256335</v>
      </c>
      <c r="F376" s="488">
        <f>F377</f>
        <v>258155</v>
      </c>
      <c r="G376" s="45">
        <f t="shared" si="54"/>
        <v>1820</v>
      </c>
      <c r="H376" s="47">
        <f t="shared" si="53"/>
        <v>7.1000838746171999E-3</v>
      </c>
    </row>
    <row r="377" spans="1:8">
      <c r="A377" s="51" t="s">
        <v>66</v>
      </c>
      <c r="B377" s="52">
        <v>224660</v>
      </c>
      <c r="C377" s="52">
        <v>30150</v>
      </c>
      <c r="D377" s="52">
        <v>1525</v>
      </c>
      <c r="E377" s="52">
        <f t="shared" si="52"/>
        <v>256335</v>
      </c>
      <c r="F377" s="278">
        <v>258155</v>
      </c>
      <c r="G377" s="52">
        <f t="shared" si="54"/>
        <v>1820</v>
      </c>
      <c r="H377" s="53">
        <f t="shared" si="53"/>
        <v>7.1000838746171999E-3</v>
      </c>
    </row>
    <row r="378" spans="1:8">
      <c r="A378" s="62" t="s">
        <v>57</v>
      </c>
      <c r="B378" s="63">
        <f>B379+B380</f>
        <v>10700</v>
      </c>
      <c r="C378" s="63">
        <f>C379+C380</f>
        <v>-8522</v>
      </c>
      <c r="D378" s="63">
        <f>D379+D380</f>
        <v>-1525</v>
      </c>
      <c r="E378" s="63">
        <f t="shared" si="52"/>
        <v>653</v>
      </c>
      <c r="F378" s="488">
        <f>F379+F380</f>
        <v>0</v>
      </c>
      <c r="G378" s="63">
        <f t="shared" si="54"/>
        <v>-653</v>
      </c>
      <c r="H378" s="64" t="str">
        <f t="shared" si="53"/>
        <v/>
      </c>
    </row>
    <row r="379" spans="1:8">
      <c r="A379" s="51" t="s">
        <v>58</v>
      </c>
      <c r="B379" s="52">
        <v>957</v>
      </c>
      <c r="C379" s="52">
        <v>-918</v>
      </c>
      <c r="D379" s="52"/>
      <c r="E379" s="52">
        <f t="shared" si="52"/>
        <v>39</v>
      </c>
      <c r="F379" s="278"/>
      <c r="G379" s="52">
        <f t="shared" si="54"/>
        <v>-39</v>
      </c>
      <c r="H379" s="53" t="str">
        <f t="shared" si="53"/>
        <v/>
      </c>
    </row>
    <row r="380" spans="1:8">
      <c r="A380" s="48" t="s">
        <v>59</v>
      </c>
      <c r="B380" s="49">
        <v>9743</v>
      </c>
      <c r="C380" s="49">
        <v>-7604</v>
      </c>
      <c r="D380" s="49">
        <v>-1525</v>
      </c>
      <c r="E380" s="49">
        <f t="shared" si="52"/>
        <v>614</v>
      </c>
      <c r="F380" s="278"/>
      <c r="G380" s="49">
        <f t="shared" si="54"/>
        <v>-614</v>
      </c>
      <c r="H380" s="50" t="str">
        <f t="shared" si="53"/>
        <v/>
      </c>
    </row>
    <row r="381" spans="1:8">
      <c r="A381" s="48"/>
      <c r="B381" s="49"/>
      <c r="C381" s="49"/>
      <c r="D381" s="49"/>
      <c r="E381" s="49">
        <f t="shared" si="52"/>
        <v>0</v>
      </c>
      <c r="G381" s="49">
        <f t="shared" si="54"/>
        <v>0</v>
      </c>
      <c r="H381" s="50" t="str">
        <f t="shared" si="53"/>
        <v/>
      </c>
    </row>
    <row r="382" spans="1:8">
      <c r="A382" s="40" t="s">
        <v>151</v>
      </c>
      <c r="B382" s="41">
        <f>B383+B388+B391</f>
        <v>3180590</v>
      </c>
      <c r="C382" s="41">
        <f>C383+C388+C391</f>
        <v>32000</v>
      </c>
      <c r="D382" s="41">
        <f>D383+D388+D391</f>
        <v>6234</v>
      </c>
      <c r="E382" s="41">
        <f t="shared" si="52"/>
        <v>3218824</v>
      </c>
      <c r="F382" s="41">
        <f>F383+F388+F391</f>
        <v>3343190</v>
      </c>
      <c r="G382" s="41">
        <f t="shared" si="54"/>
        <v>124366</v>
      </c>
      <c r="H382" s="43">
        <f t="shared" si="53"/>
        <v>3.8637092304518672E-2</v>
      </c>
    </row>
    <row r="383" spans="1:8">
      <c r="A383" s="44" t="s">
        <v>125</v>
      </c>
      <c r="B383" s="45">
        <f>B384+B385+B386+B387</f>
        <v>3039000</v>
      </c>
      <c r="C383" s="45">
        <f>C384+C385+C386+C387</f>
        <v>32000</v>
      </c>
      <c r="D383" s="45">
        <f>D384+D385+D386+D387</f>
        <v>0</v>
      </c>
      <c r="E383" s="45">
        <f t="shared" si="52"/>
        <v>3071000</v>
      </c>
      <c r="F383" s="45">
        <f>F384+F385+F386+F387</f>
        <v>3130000</v>
      </c>
      <c r="G383" s="45">
        <f t="shared" si="54"/>
        <v>59000</v>
      </c>
      <c r="H383" s="47">
        <f t="shared" si="53"/>
        <v>1.9211983067404754E-2</v>
      </c>
    </row>
    <row r="384" spans="1:8">
      <c r="A384" s="48" t="s">
        <v>126</v>
      </c>
      <c r="B384" s="49">
        <v>1200000</v>
      </c>
      <c r="C384" s="49">
        <v>32000</v>
      </c>
      <c r="D384" s="49"/>
      <c r="E384" s="49">
        <f t="shared" si="52"/>
        <v>1232000</v>
      </c>
      <c r="F384" s="278">
        <v>1238000</v>
      </c>
      <c r="G384" s="49">
        <f t="shared" si="54"/>
        <v>6000</v>
      </c>
      <c r="H384" s="50">
        <f t="shared" si="53"/>
        <v>4.87012987012987E-3</v>
      </c>
    </row>
    <row r="385" spans="1:8">
      <c r="A385" s="48" t="s">
        <v>59</v>
      </c>
      <c r="B385" s="49">
        <v>1600000</v>
      </c>
      <c r="C385" s="49"/>
      <c r="D385" s="49"/>
      <c r="E385" s="49">
        <f t="shared" si="52"/>
        <v>1600000</v>
      </c>
      <c r="F385" s="278">
        <v>1630000</v>
      </c>
      <c r="G385" s="49">
        <f t="shared" si="54"/>
        <v>30000</v>
      </c>
      <c r="H385" s="50">
        <f t="shared" si="53"/>
        <v>1.8749999999999999E-2</v>
      </c>
    </row>
    <row r="386" spans="1:8">
      <c r="A386" s="48" t="s">
        <v>152</v>
      </c>
      <c r="B386" s="49">
        <v>215000</v>
      </c>
      <c r="C386" s="49"/>
      <c r="D386" s="49"/>
      <c r="E386" s="49">
        <f t="shared" si="52"/>
        <v>215000</v>
      </c>
      <c r="F386" s="278">
        <v>235000</v>
      </c>
      <c r="G386" s="49">
        <f t="shared" si="54"/>
        <v>20000</v>
      </c>
      <c r="H386" s="50">
        <f t="shared" si="53"/>
        <v>9.3023255813953487E-2</v>
      </c>
    </row>
    <row r="387" spans="1:8">
      <c r="A387" s="48" t="s">
        <v>153</v>
      </c>
      <c r="B387" s="49">
        <v>24000</v>
      </c>
      <c r="C387" s="49"/>
      <c r="D387" s="49"/>
      <c r="E387" s="49">
        <f t="shared" si="52"/>
        <v>24000</v>
      </c>
      <c r="F387" s="278">
        <v>27000</v>
      </c>
      <c r="G387" s="49">
        <f t="shared" si="54"/>
        <v>3000</v>
      </c>
      <c r="H387" s="50">
        <f t="shared" si="53"/>
        <v>0.125</v>
      </c>
    </row>
    <row r="388" spans="1:8">
      <c r="A388" s="44" t="s">
        <v>57</v>
      </c>
      <c r="B388" s="45">
        <f>B389+B390</f>
        <v>139530</v>
      </c>
      <c r="C388" s="45"/>
      <c r="D388" s="546">
        <f>D389</f>
        <v>6234</v>
      </c>
      <c r="E388" s="45">
        <f t="shared" si="52"/>
        <v>145764</v>
      </c>
      <c r="F388" s="45">
        <f>F389+F390</f>
        <v>211190</v>
      </c>
      <c r="G388" s="45">
        <f t="shared" si="54"/>
        <v>65426</v>
      </c>
      <c r="H388" s="47">
        <f t="shared" si="53"/>
        <v>0.44884882412667049</v>
      </c>
    </row>
    <row r="389" spans="1:8">
      <c r="A389" s="48" t="s">
        <v>58</v>
      </c>
      <c r="B389" s="49">
        <v>105330</v>
      </c>
      <c r="C389" s="49"/>
      <c r="D389" s="550">
        <v>6234</v>
      </c>
      <c r="E389" s="49">
        <f t="shared" ref="E389:E452" si="58">SUM(B389:D389)</f>
        <v>111564</v>
      </c>
      <c r="F389" s="278">
        <v>163190</v>
      </c>
      <c r="G389" s="49">
        <f t="shared" si="54"/>
        <v>51626</v>
      </c>
      <c r="H389" s="50">
        <f t="shared" si="53"/>
        <v>0.46274783980495499</v>
      </c>
    </row>
    <row r="390" spans="1:8">
      <c r="A390" s="48" t="s">
        <v>59</v>
      </c>
      <c r="B390" s="49">
        <v>34200</v>
      </c>
      <c r="C390" s="49"/>
      <c r="D390" s="49"/>
      <c r="E390" s="49">
        <f t="shared" si="58"/>
        <v>34200</v>
      </c>
      <c r="F390" s="278">
        <v>48000</v>
      </c>
      <c r="G390" s="49">
        <f t="shared" si="54"/>
        <v>13800</v>
      </c>
      <c r="H390" s="50">
        <f t="shared" si="53"/>
        <v>0.40350877192982454</v>
      </c>
    </row>
    <row r="391" spans="1:8">
      <c r="A391" s="67" t="s">
        <v>65</v>
      </c>
      <c r="B391" s="65">
        <f>B392</f>
        <v>2060</v>
      </c>
      <c r="C391" s="65"/>
      <c r="D391" s="65"/>
      <c r="E391" s="65">
        <f t="shared" si="58"/>
        <v>2060</v>
      </c>
      <c r="F391" s="65">
        <f>F392</f>
        <v>2000</v>
      </c>
      <c r="G391" s="65">
        <f t="shared" si="54"/>
        <v>-60</v>
      </c>
      <c r="H391" s="66">
        <f t="shared" si="53"/>
        <v>-2.9126213592233011E-2</v>
      </c>
    </row>
    <row r="392" spans="1:8">
      <c r="A392" s="48" t="s">
        <v>66</v>
      </c>
      <c r="B392" s="49">
        <v>2060</v>
      </c>
      <c r="C392" s="49"/>
      <c r="D392" s="49"/>
      <c r="E392" s="49">
        <f t="shared" si="58"/>
        <v>2060</v>
      </c>
      <c r="F392" s="278">
        <v>2000</v>
      </c>
      <c r="G392" s="49">
        <f t="shared" si="54"/>
        <v>-60</v>
      </c>
      <c r="H392" s="50">
        <f t="shared" si="53"/>
        <v>-2.9126213592233011E-2</v>
      </c>
    </row>
    <row r="393" spans="1:8">
      <c r="A393" s="48"/>
      <c r="B393" s="49"/>
      <c r="C393" s="49"/>
      <c r="D393" s="49"/>
      <c r="E393" s="49">
        <f t="shared" si="58"/>
        <v>0</v>
      </c>
      <c r="G393" s="49">
        <f t="shared" si="54"/>
        <v>0</v>
      </c>
      <c r="H393" s="50" t="str">
        <f t="shared" si="53"/>
        <v/>
      </c>
    </row>
    <row r="394" spans="1:8">
      <c r="A394" s="40" t="s">
        <v>154</v>
      </c>
      <c r="B394" s="41">
        <f>B396+B402</f>
        <v>817115</v>
      </c>
      <c r="C394" s="41">
        <f t="shared" ref="C394:D394" si="59">C396+C402</f>
        <v>0</v>
      </c>
      <c r="D394" s="41">
        <f t="shared" si="59"/>
        <v>136195</v>
      </c>
      <c r="E394" s="41">
        <f t="shared" si="58"/>
        <v>953310</v>
      </c>
      <c r="F394" s="231">
        <f>F396+F402</f>
        <v>991090</v>
      </c>
      <c r="G394" s="41">
        <f t="shared" si="54"/>
        <v>37780</v>
      </c>
      <c r="H394" s="43">
        <f t="shared" si="53"/>
        <v>3.9630340602742023E-2</v>
      </c>
    </row>
    <row r="395" spans="1:8">
      <c r="A395" s="40"/>
      <c r="B395" s="41"/>
      <c r="C395" s="41"/>
      <c r="D395" s="41"/>
      <c r="E395" s="41">
        <f t="shared" si="58"/>
        <v>0</v>
      </c>
      <c r="F395" s="488"/>
      <c r="G395" s="41">
        <f t="shared" si="54"/>
        <v>0</v>
      </c>
      <c r="H395" s="43" t="str">
        <f t="shared" si="53"/>
        <v/>
      </c>
    </row>
    <row r="396" spans="1:8">
      <c r="A396" s="44" t="s">
        <v>155</v>
      </c>
      <c r="B396" s="45">
        <f>B397</f>
        <v>462815</v>
      </c>
      <c r="C396" s="45">
        <f t="shared" ref="C396:D396" si="60">C397</f>
        <v>0</v>
      </c>
      <c r="D396" s="45">
        <f t="shared" si="60"/>
        <v>91780</v>
      </c>
      <c r="E396" s="45">
        <f t="shared" si="58"/>
        <v>554595</v>
      </c>
      <c r="F396" s="488">
        <f>F397</f>
        <v>562690</v>
      </c>
      <c r="G396" s="45">
        <f t="shared" si="54"/>
        <v>8095</v>
      </c>
      <c r="H396" s="47">
        <f t="shared" si="53"/>
        <v>1.4596236893589016E-2</v>
      </c>
    </row>
    <row r="397" spans="1:8">
      <c r="A397" s="44" t="s">
        <v>61</v>
      </c>
      <c r="B397" s="45">
        <f>B398+B399+B400</f>
        <v>462815</v>
      </c>
      <c r="C397" s="45">
        <f t="shared" ref="C397:D397" si="61">C398+C399+C400</f>
        <v>0</v>
      </c>
      <c r="D397" s="45">
        <f t="shared" si="61"/>
        <v>91780</v>
      </c>
      <c r="E397" s="45">
        <f t="shared" si="58"/>
        <v>554595</v>
      </c>
      <c r="F397" s="488">
        <f>F398+F399+F400</f>
        <v>562690</v>
      </c>
      <c r="G397" s="45">
        <f t="shared" si="54"/>
        <v>8095</v>
      </c>
      <c r="H397" s="47">
        <f t="shared" si="53"/>
        <v>1.4596236893589016E-2</v>
      </c>
    </row>
    <row r="398" spans="1:8">
      <c r="A398" s="48" t="s">
        <v>104</v>
      </c>
      <c r="B398" s="49">
        <v>237290</v>
      </c>
      <c r="C398" s="49"/>
      <c r="D398" s="49">
        <v>90000</v>
      </c>
      <c r="E398" s="49">
        <f t="shared" si="58"/>
        <v>327290</v>
      </c>
      <c r="F398" s="278">
        <f>318000+9300</f>
        <v>327300</v>
      </c>
      <c r="G398" s="49">
        <f t="shared" si="54"/>
        <v>10</v>
      </c>
      <c r="H398" s="50">
        <f t="shared" si="53"/>
        <v>3.055394298634239E-5</v>
      </c>
    </row>
    <row r="399" spans="1:8">
      <c r="A399" s="48" t="s">
        <v>66</v>
      </c>
      <c r="B399" s="49">
        <v>56500</v>
      </c>
      <c r="C399" s="49"/>
      <c r="D399" s="49">
        <v>1780</v>
      </c>
      <c r="E399" s="49">
        <f t="shared" si="58"/>
        <v>58280</v>
      </c>
      <c r="F399" s="278">
        <v>58100</v>
      </c>
      <c r="G399" s="49">
        <f t="shared" si="54"/>
        <v>-180</v>
      </c>
      <c r="H399" s="50">
        <f t="shared" si="53"/>
        <v>-3.0885380919698007E-3</v>
      </c>
    </row>
    <row r="400" spans="1:8">
      <c r="A400" s="48" t="s">
        <v>156</v>
      </c>
      <c r="B400" s="49">
        <v>169025</v>
      </c>
      <c r="C400" s="49"/>
      <c r="D400" s="49"/>
      <c r="E400" s="49">
        <f t="shared" si="58"/>
        <v>169025</v>
      </c>
      <c r="F400" s="278">
        <v>177290</v>
      </c>
      <c r="G400" s="49">
        <f t="shared" si="54"/>
        <v>8265</v>
      </c>
      <c r="H400" s="50">
        <f t="shared" si="53"/>
        <v>4.8898091998225111E-2</v>
      </c>
    </row>
    <row r="401" spans="1:8">
      <c r="A401" s="48"/>
      <c r="B401" s="49"/>
      <c r="C401" s="49"/>
      <c r="D401" s="49"/>
      <c r="E401" s="49">
        <f t="shared" si="58"/>
        <v>0</v>
      </c>
      <c r="F401" s="488"/>
      <c r="G401" s="49">
        <f t="shared" si="54"/>
        <v>0</v>
      </c>
      <c r="H401" s="50" t="str">
        <f t="shared" si="53"/>
        <v/>
      </c>
    </row>
    <row r="402" spans="1:8">
      <c r="A402" s="62" t="s">
        <v>157</v>
      </c>
      <c r="B402" s="63">
        <f>B403+B406+B408</f>
        <v>354300</v>
      </c>
      <c r="C402" s="63">
        <f t="shared" ref="C402:D402" si="62">C403+C406+C408</f>
        <v>0</v>
      </c>
      <c r="D402" s="63">
        <f t="shared" si="62"/>
        <v>44415</v>
      </c>
      <c r="E402" s="63">
        <f t="shared" si="58"/>
        <v>398715</v>
      </c>
      <c r="F402" s="488">
        <f>F403+F406+F408</f>
        <v>428400</v>
      </c>
      <c r="G402" s="63">
        <f t="shared" si="54"/>
        <v>29685</v>
      </c>
      <c r="H402" s="64">
        <f t="shared" ref="H402:H465" si="63">IF(F402=0,"",G402/E402)</f>
        <v>7.4451676009179485E-2</v>
      </c>
    </row>
    <row r="403" spans="1:8">
      <c r="A403" s="44" t="s">
        <v>57</v>
      </c>
      <c r="B403" s="45">
        <f>B404+B405</f>
        <v>185900</v>
      </c>
      <c r="C403" s="45">
        <f t="shared" ref="C403:D403" si="64">C404+C405</f>
        <v>0</v>
      </c>
      <c r="D403" s="45">
        <f t="shared" si="64"/>
        <v>0</v>
      </c>
      <c r="E403" s="45">
        <f t="shared" si="58"/>
        <v>185900</v>
      </c>
      <c r="F403" s="488">
        <v>180000</v>
      </c>
      <c r="G403" s="45">
        <f t="shared" ref="G403:G466" si="65">F403-E403</f>
        <v>-5900</v>
      </c>
      <c r="H403" s="47">
        <f t="shared" si="63"/>
        <v>-3.1737493275954813E-2</v>
      </c>
    </row>
    <row r="404" spans="1:8">
      <c r="A404" s="48" t="s">
        <v>58</v>
      </c>
      <c r="B404" s="49">
        <v>117900</v>
      </c>
      <c r="C404" s="49"/>
      <c r="D404" s="49"/>
      <c r="E404" s="49">
        <f t="shared" si="58"/>
        <v>117900</v>
      </c>
      <c r="F404" s="278">
        <v>117900</v>
      </c>
      <c r="G404" s="49">
        <f t="shared" si="65"/>
        <v>0</v>
      </c>
      <c r="H404" s="50">
        <f t="shared" si="63"/>
        <v>0</v>
      </c>
    </row>
    <row r="405" spans="1:8">
      <c r="A405" s="48" t="s">
        <v>59</v>
      </c>
      <c r="B405" s="49">
        <v>68000</v>
      </c>
      <c r="C405" s="49"/>
      <c r="D405" s="49"/>
      <c r="E405" s="49">
        <f t="shared" si="58"/>
        <v>68000</v>
      </c>
      <c r="F405" s="278">
        <v>68300</v>
      </c>
      <c r="G405" s="49">
        <f t="shared" si="65"/>
        <v>300</v>
      </c>
      <c r="H405" s="50">
        <f t="shared" si="63"/>
        <v>4.4117647058823529E-3</v>
      </c>
    </row>
    <row r="406" spans="1:8">
      <c r="A406" s="62" t="s">
        <v>33</v>
      </c>
      <c r="B406" s="63">
        <f>B407</f>
        <v>398400</v>
      </c>
      <c r="C406" s="63">
        <f t="shared" ref="C406:D406" si="66">C407</f>
        <v>0</v>
      </c>
      <c r="D406" s="63">
        <f t="shared" si="66"/>
        <v>44415</v>
      </c>
      <c r="E406" s="63">
        <f t="shared" si="58"/>
        <v>442815</v>
      </c>
      <c r="F406" s="488">
        <f>F407</f>
        <v>408400</v>
      </c>
      <c r="G406" s="63">
        <f t="shared" si="65"/>
        <v>-34415</v>
      </c>
      <c r="H406" s="64">
        <f t="shared" si="63"/>
        <v>-7.7718686133035245E-2</v>
      </c>
    </row>
    <row r="407" spans="1:8">
      <c r="A407" s="51" t="s">
        <v>158</v>
      </c>
      <c r="B407" s="52">
        <v>398400</v>
      </c>
      <c r="C407" s="52"/>
      <c r="D407" s="52">
        <v>44415</v>
      </c>
      <c r="E407" s="52">
        <f t="shared" si="58"/>
        <v>442815</v>
      </c>
      <c r="F407" s="278">
        <f>398400+10000</f>
        <v>408400</v>
      </c>
      <c r="G407" s="52">
        <f t="shared" si="65"/>
        <v>-34415</v>
      </c>
      <c r="H407" s="53">
        <f t="shared" si="63"/>
        <v>-7.7718686133035245E-2</v>
      </c>
    </row>
    <row r="408" spans="1:8">
      <c r="A408" s="74" t="s">
        <v>159</v>
      </c>
      <c r="B408" s="65">
        <f>B409</f>
        <v>-230000</v>
      </c>
      <c r="C408" s="65"/>
      <c r="D408" s="65"/>
      <c r="E408" s="65">
        <f t="shared" si="58"/>
        <v>-230000</v>
      </c>
      <c r="F408" s="488">
        <f>F409</f>
        <v>-160000</v>
      </c>
      <c r="G408" s="65">
        <f t="shared" si="65"/>
        <v>70000</v>
      </c>
      <c r="H408" s="66">
        <f t="shared" si="63"/>
        <v>-0.30434782608695654</v>
      </c>
    </row>
    <row r="409" spans="1:8" ht="25.5">
      <c r="A409" s="51" t="s">
        <v>160</v>
      </c>
      <c r="B409" s="52">
        <v>-230000</v>
      </c>
      <c r="C409" s="52"/>
      <c r="D409" s="52"/>
      <c r="E409" s="52">
        <f t="shared" si="58"/>
        <v>-230000</v>
      </c>
      <c r="F409" s="278">
        <f>-230000+70000</f>
        <v>-160000</v>
      </c>
      <c r="G409" s="52">
        <f t="shared" si="65"/>
        <v>70000</v>
      </c>
      <c r="H409" s="53">
        <f t="shared" si="63"/>
        <v>-0.30434782608695654</v>
      </c>
    </row>
    <row r="410" spans="1:8">
      <c r="A410" s="48"/>
      <c r="B410" s="49"/>
      <c r="C410" s="49"/>
      <c r="D410" s="49"/>
      <c r="E410" s="49">
        <f t="shared" si="58"/>
        <v>0</v>
      </c>
      <c r="F410" s="488"/>
      <c r="G410" s="49">
        <f t="shared" si="65"/>
        <v>0</v>
      </c>
      <c r="H410" s="50" t="str">
        <f t="shared" si="63"/>
        <v/>
      </c>
    </row>
    <row r="411" spans="1:8">
      <c r="A411" s="40" t="s">
        <v>161</v>
      </c>
      <c r="B411" s="41">
        <f>SUM(B412,B416,B418)</f>
        <v>1267705</v>
      </c>
      <c r="C411" s="41">
        <f>SUM(C412,C416,C418)</f>
        <v>-8053</v>
      </c>
      <c r="D411" s="41">
        <f>SUM(D412,D416,D418)</f>
        <v>-5500</v>
      </c>
      <c r="E411" s="41">
        <f t="shared" si="58"/>
        <v>1254152</v>
      </c>
      <c r="F411" s="41">
        <f>SUM(F412,F416,F418)</f>
        <v>1261705</v>
      </c>
      <c r="G411" s="41">
        <f t="shared" si="65"/>
        <v>7553</v>
      </c>
      <c r="H411" s="43">
        <f t="shared" si="63"/>
        <v>6.0223960094151268E-3</v>
      </c>
    </row>
    <row r="412" spans="1:8">
      <c r="A412" s="44" t="s">
        <v>162</v>
      </c>
      <c r="B412" s="45">
        <f>SUM(B413:B415)</f>
        <v>1208900</v>
      </c>
      <c r="C412" s="45">
        <f>SUM(C413:C415)</f>
        <v>0</v>
      </c>
      <c r="D412" s="45">
        <f>SUM(D413:D415)</f>
        <v>0</v>
      </c>
      <c r="E412" s="45">
        <f t="shared" si="58"/>
        <v>1208900</v>
      </c>
      <c r="F412" s="45">
        <f>SUM(F413:F415)</f>
        <v>1208400</v>
      </c>
      <c r="G412" s="45">
        <f t="shared" si="65"/>
        <v>-500</v>
      </c>
      <c r="H412" s="47">
        <f t="shared" si="63"/>
        <v>-4.1359913971378937E-4</v>
      </c>
    </row>
    <row r="413" spans="1:8">
      <c r="A413" s="51" t="s">
        <v>163</v>
      </c>
      <c r="B413" s="52">
        <v>1180000</v>
      </c>
      <c r="C413" s="52"/>
      <c r="D413" s="52"/>
      <c r="E413" s="52">
        <f t="shared" si="58"/>
        <v>1180000</v>
      </c>
      <c r="F413" s="52">
        <v>1180000</v>
      </c>
      <c r="G413" s="52">
        <f t="shared" si="65"/>
        <v>0</v>
      </c>
      <c r="H413" s="53">
        <f t="shared" si="63"/>
        <v>0</v>
      </c>
    </row>
    <row r="414" spans="1:8" ht="25.5">
      <c r="A414" s="51" t="s">
        <v>164</v>
      </c>
      <c r="B414" s="52">
        <v>13900</v>
      </c>
      <c r="C414" s="52"/>
      <c r="D414" s="52"/>
      <c r="E414" s="52">
        <f t="shared" si="58"/>
        <v>13900</v>
      </c>
      <c r="F414" s="52">
        <v>14400</v>
      </c>
      <c r="G414" s="52">
        <f t="shared" si="65"/>
        <v>500</v>
      </c>
      <c r="H414" s="53">
        <f t="shared" si="63"/>
        <v>3.5971223021582732E-2</v>
      </c>
    </row>
    <row r="415" spans="1:8">
      <c r="A415" s="51" t="s">
        <v>165</v>
      </c>
      <c r="B415" s="52">
        <v>15000</v>
      </c>
      <c r="C415" s="52"/>
      <c r="D415" s="52"/>
      <c r="E415" s="52">
        <f t="shared" si="58"/>
        <v>15000</v>
      </c>
      <c r="F415" s="52">
        <v>14000</v>
      </c>
      <c r="G415" s="52">
        <f t="shared" si="65"/>
        <v>-1000</v>
      </c>
      <c r="H415" s="53">
        <f t="shared" si="63"/>
        <v>-6.6666666666666666E-2</v>
      </c>
    </row>
    <row r="416" spans="1:8">
      <c r="A416" s="44" t="s">
        <v>57</v>
      </c>
      <c r="B416" s="45">
        <f>SUM(B417:B417)</f>
        <v>43805</v>
      </c>
      <c r="C416" s="45">
        <f>SUM(C417:C417)</f>
        <v>-8053</v>
      </c>
      <c r="D416" s="45"/>
      <c r="E416" s="45">
        <f t="shared" si="58"/>
        <v>35752</v>
      </c>
      <c r="F416" s="45">
        <f>SUM(F417:F417)</f>
        <v>43805</v>
      </c>
      <c r="G416" s="45">
        <f t="shared" si="65"/>
        <v>8053</v>
      </c>
      <c r="H416" s="47">
        <f t="shared" si="63"/>
        <v>0.22524614007607965</v>
      </c>
    </row>
    <row r="417" spans="1:8">
      <c r="A417" s="48" t="s">
        <v>81</v>
      </c>
      <c r="B417" s="49">
        <v>43805</v>
      </c>
      <c r="C417" s="49">
        <v>-8053</v>
      </c>
      <c r="D417" s="49"/>
      <c r="E417" s="49">
        <f t="shared" si="58"/>
        <v>35752</v>
      </c>
      <c r="F417" s="49">
        <v>43805</v>
      </c>
      <c r="G417" s="49">
        <f t="shared" si="65"/>
        <v>8053</v>
      </c>
      <c r="H417" s="50">
        <f t="shared" si="63"/>
        <v>0.22524614007607965</v>
      </c>
    </row>
    <row r="418" spans="1:8">
      <c r="A418" s="74" t="s">
        <v>61</v>
      </c>
      <c r="B418" s="65">
        <f>SUM(B419)</f>
        <v>15000</v>
      </c>
      <c r="C418" s="65"/>
      <c r="D418" s="599">
        <f>SUM(D419)</f>
        <v>-5500</v>
      </c>
      <c r="E418" s="65">
        <f t="shared" si="58"/>
        <v>9500</v>
      </c>
      <c r="F418" s="65">
        <f>SUM(F419)</f>
        <v>9500</v>
      </c>
      <c r="G418" s="65">
        <f t="shared" si="65"/>
        <v>0</v>
      </c>
      <c r="H418" s="66">
        <f t="shared" si="63"/>
        <v>0</v>
      </c>
    </row>
    <row r="419" spans="1:8" ht="25.5">
      <c r="A419" s="51" t="s">
        <v>63</v>
      </c>
      <c r="B419" s="52">
        <v>15000</v>
      </c>
      <c r="C419" s="52"/>
      <c r="D419" s="547">
        <v>-5500</v>
      </c>
      <c r="E419" s="52">
        <f t="shared" si="58"/>
        <v>9500</v>
      </c>
      <c r="F419" s="52">
        <v>9500</v>
      </c>
      <c r="G419" s="52">
        <f t="shared" si="65"/>
        <v>0</v>
      </c>
      <c r="H419" s="53">
        <f t="shared" si="63"/>
        <v>0</v>
      </c>
    </row>
    <row r="420" spans="1:8">
      <c r="A420" s="44"/>
      <c r="B420" s="45"/>
      <c r="C420" s="45"/>
      <c r="D420" s="45"/>
      <c r="E420" s="45">
        <f t="shared" si="58"/>
        <v>0</v>
      </c>
      <c r="G420" s="45">
        <f t="shared" si="65"/>
        <v>0</v>
      </c>
      <c r="H420" s="47" t="str">
        <f t="shared" si="63"/>
        <v/>
      </c>
    </row>
    <row r="421" spans="1:8">
      <c r="A421" s="40" t="s">
        <v>166</v>
      </c>
      <c r="B421" s="41">
        <f>B423+B435</f>
        <v>753524</v>
      </c>
      <c r="C421" s="41"/>
      <c r="D421" s="41">
        <f>D423+D435</f>
        <v>40000</v>
      </c>
      <c r="E421" s="41">
        <f t="shared" si="58"/>
        <v>793524</v>
      </c>
      <c r="F421" s="41">
        <f>F423+F435</f>
        <v>689384</v>
      </c>
      <c r="G421" s="41">
        <f t="shared" si="65"/>
        <v>-104140</v>
      </c>
      <c r="H421" s="43">
        <f t="shared" si="63"/>
        <v>-0.13123736648166912</v>
      </c>
    </row>
    <row r="422" spans="1:8">
      <c r="A422" s="44"/>
      <c r="B422" s="45"/>
      <c r="C422" s="45"/>
      <c r="D422" s="45"/>
      <c r="E422" s="45">
        <f t="shared" si="58"/>
        <v>0</v>
      </c>
      <c r="F422" s="45"/>
      <c r="G422" s="45">
        <f t="shared" si="65"/>
        <v>0</v>
      </c>
      <c r="H422" s="47" t="str">
        <f t="shared" si="63"/>
        <v/>
      </c>
    </row>
    <row r="423" spans="1:8">
      <c r="A423" s="44" t="s">
        <v>167</v>
      </c>
      <c r="B423" s="45">
        <f>B424+B426+B430+B432</f>
        <v>605103</v>
      </c>
      <c r="C423" s="45"/>
      <c r="D423" s="45"/>
      <c r="E423" s="45">
        <f t="shared" si="58"/>
        <v>605103</v>
      </c>
      <c r="F423" s="45">
        <f>F424+F426+F430+F432</f>
        <v>530531</v>
      </c>
      <c r="G423" s="45">
        <f t="shared" si="65"/>
        <v>-74572</v>
      </c>
      <c r="H423" s="47">
        <f t="shared" si="63"/>
        <v>-0.12323852302831088</v>
      </c>
    </row>
    <row r="424" spans="1:8">
      <c r="A424" s="44" t="s">
        <v>33</v>
      </c>
      <c r="B424" s="45">
        <f>SUM(B425)</f>
        <v>180000</v>
      </c>
      <c r="C424" s="45"/>
      <c r="D424" s="45"/>
      <c r="E424" s="45">
        <f t="shared" si="58"/>
        <v>180000</v>
      </c>
      <c r="F424" s="45">
        <f>SUM(F425)</f>
        <v>143470</v>
      </c>
      <c r="G424" s="45">
        <f t="shared" si="65"/>
        <v>-36530</v>
      </c>
      <c r="H424" s="47">
        <f t="shared" si="63"/>
        <v>-0.20294444444444446</v>
      </c>
    </row>
    <row r="425" spans="1:8">
      <c r="A425" s="48" t="s">
        <v>168</v>
      </c>
      <c r="B425" s="49">
        <v>180000</v>
      </c>
      <c r="C425" s="49"/>
      <c r="D425" s="49"/>
      <c r="E425" s="49">
        <f t="shared" si="58"/>
        <v>180000</v>
      </c>
      <c r="F425" s="49">
        <v>143470</v>
      </c>
      <c r="G425" s="49">
        <f t="shared" si="65"/>
        <v>-36530</v>
      </c>
      <c r="H425" s="50">
        <f t="shared" si="63"/>
        <v>-0.20294444444444446</v>
      </c>
    </row>
    <row r="426" spans="1:8">
      <c r="A426" s="44" t="s">
        <v>57</v>
      </c>
      <c r="B426" s="45">
        <f>B427+B428+B429</f>
        <v>242653</v>
      </c>
      <c r="C426" s="45"/>
      <c r="D426" s="45"/>
      <c r="E426" s="45">
        <f t="shared" si="58"/>
        <v>242653</v>
      </c>
      <c r="F426" s="45">
        <f>F427+F428+F429</f>
        <v>254061</v>
      </c>
      <c r="G426" s="45">
        <f t="shared" si="65"/>
        <v>11408</v>
      </c>
      <c r="H426" s="47">
        <f t="shared" si="63"/>
        <v>4.7013636757015163E-2</v>
      </c>
    </row>
    <row r="427" spans="1:8">
      <c r="A427" s="48" t="s">
        <v>58</v>
      </c>
      <c r="B427" s="49">
        <v>240815</v>
      </c>
      <c r="C427" s="49"/>
      <c r="D427" s="49"/>
      <c r="E427" s="49">
        <f t="shared" si="58"/>
        <v>240815</v>
      </c>
      <c r="F427" s="49">
        <v>252223</v>
      </c>
      <c r="G427" s="49">
        <f t="shared" si="65"/>
        <v>11408</v>
      </c>
      <c r="H427" s="50">
        <f t="shared" si="63"/>
        <v>4.7372464339845939E-2</v>
      </c>
    </row>
    <row r="428" spans="1:8">
      <c r="A428" s="48" t="s">
        <v>59</v>
      </c>
      <c r="B428" s="49">
        <v>400</v>
      </c>
      <c r="C428" s="49"/>
      <c r="D428" s="49"/>
      <c r="E428" s="49">
        <f t="shared" si="58"/>
        <v>400</v>
      </c>
      <c r="F428" s="49">
        <v>400</v>
      </c>
      <c r="G428" s="49">
        <f t="shared" si="65"/>
        <v>0</v>
      </c>
      <c r="H428" s="50">
        <f t="shared" si="63"/>
        <v>0</v>
      </c>
    </row>
    <row r="429" spans="1:8">
      <c r="A429" s="48" t="s">
        <v>81</v>
      </c>
      <c r="B429" s="49">
        <v>1438</v>
      </c>
      <c r="C429" s="49"/>
      <c r="D429" s="49"/>
      <c r="E429" s="49">
        <f t="shared" si="58"/>
        <v>1438</v>
      </c>
      <c r="F429" s="49">
        <v>1438</v>
      </c>
      <c r="G429" s="49">
        <f t="shared" si="65"/>
        <v>0</v>
      </c>
      <c r="H429" s="50">
        <f t="shared" si="63"/>
        <v>0</v>
      </c>
    </row>
    <row r="430" spans="1:8">
      <c r="A430" s="44" t="s">
        <v>39</v>
      </c>
      <c r="B430" s="45">
        <f>SUM(B431)</f>
        <v>180000</v>
      </c>
      <c r="C430" s="45"/>
      <c r="D430" s="45"/>
      <c r="E430" s="45">
        <f t="shared" si="58"/>
        <v>180000</v>
      </c>
      <c r="F430" s="45">
        <f>SUM(F431)</f>
        <v>130000</v>
      </c>
      <c r="G430" s="45">
        <f t="shared" si="65"/>
        <v>-50000</v>
      </c>
      <c r="H430" s="47">
        <f t="shared" si="63"/>
        <v>-0.27777777777777779</v>
      </c>
    </row>
    <row r="431" spans="1:8">
      <c r="A431" s="48" t="s">
        <v>169</v>
      </c>
      <c r="B431" s="49">
        <v>180000</v>
      </c>
      <c r="C431" s="49"/>
      <c r="D431" s="49"/>
      <c r="E431" s="49">
        <f t="shared" si="58"/>
        <v>180000</v>
      </c>
      <c r="F431" s="49">
        <v>130000</v>
      </c>
      <c r="G431" s="49">
        <f t="shared" si="65"/>
        <v>-50000</v>
      </c>
      <c r="H431" s="50">
        <f t="shared" si="63"/>
        <v>-0.27777777777777779</v>
      </c>
    </row>
    <row r="432" spans="1:8">
      <c r="A432" s="38" t="s">
        <v>61</v>
      </c>
      <c r="B432" s="65">
        <f>SUM(B433)</f>
        <v>2450</v>
      </c>
      <c r="C432" s="65"/>
      <c r="D432" s="65"/>
      <c r="E432" s="65">
        <f t="shared" si="58"/>
        <v>2450</v>
      </c>
      <c r="F432" s="65">
        <f>SUM(F433)</f>
        <v>3000</v>
      </c>
      <c r="G432" s="65">
        <f t="shared" si="65"/>
        <v>550</v>
      </c>
      <c r="H432" s="66">
        <f t="shared" si="63"/>
        <v>0.22448979591836735</v>
      </c>
    </row>
    <row r="433" spans="1:8" ht="25.5">
      <c r="A433" s="51" t="s">
        <v>63</v>
      </c>
      <c r="B433" s="52">
        <v>2450</v>
      </c>
      <c r="C433" s="52"/>
      <c r="D433" s="52"/>
      <c r="E433" s="52">
        <f t="shared" si="58"/>
        <v>2450</v>
      </c>
      <c r="F433" s="52">
        <v>3000</v>
      </c>
      <c r="G433" s="52">
        <f t="shared" si="65"/>
        <v>550</v>
      </c>
      <c r="H433" s="53">
        <f t="shared" si="63"/>
        <v>0.22448979591836735</v>
      </c>
    </row>
    <row r="434" spans="1:8">
      <c r="A434" s="48"/>
      <c r="B434" s="49"/>
      <c r="C434" s="49"/>
      <c r="D434" s="49"/>
      <c r="E434" s="49">
        <f t="shared" si="58"/>
        <v>0</v>
      </c>
      <c r="F434" s="49"/>
      <c r="G434" s="49">
        <f t="shared" si="65"/>
        <v>0</v>
      </c>
      <c r="H434" s="50" t="str">
        <f t="shared" si="63"/>
        <v/>
      </c>
    </row>
    <row r="435" spans="1:8">
      <c r="A435" s="44" t="s">
        <v>170</v>
      </c>
      <c r="B435" s="45">
        <f>B436+B438</f>
        <v>148421</v>
      </c>
      <c r="C435" s="45"/>
      <c r="D435" s="546">
        <f>D436</f>
        <v>40000</v>
      </c>
      <c r="E435" s="45">
        <f t="shared" si="58"/>
        <v>188421</v>
      </c>
      <c r="F435" s="45">
        <f>F436+F438</f>
        <v>158853</v>
      </c>
      <c r="G435" s="45">
        <f t="shared" si="65"/>
        <v>-29568</v>
      </c>
      <c r="H435" s="47">
        <f t="shared" si="63"/>
        <v>-0.15692518349865461</v>
      </c>
    </row>
    <row r="436" spans="1:8">
      <c r="A436" s="74" t="s">
        <v>61</v>
      </c>
      <c r="B436" s="65">
        <f>SUM(B437)</f>
        <v>126825</v>
      </c>
      <c r="C436" s="65"/>
      <c r="D436" s="599">
        <f>SUM(D437)</f>
        <v>40000</v>
      </c>
      <c r="E436" s="65">
        <f t="shared" si="58"/>
        <v>166825</v>
      </c>
      <c r="F436" s="65">
        <f>SUM(F437)</f>
        <v>136825</v>
      </c>
      <c r="G436" s="65">
        <f t="shared" si="65"/>
        <v>-30000</v>
      </c>
      <c r="H436" s="66">
        <f t="shared" si="63"/>
        <v>-0.17982916229581897</v>
      </c>
    </row>
    <row r="437" spans="1:8">
      <c r="A437" s="48" t="s">
        <v>171</v>
      </c>
      <c r="B437" s="49">
        <v>126825</v>
      </c>
      <c r="C437" s="49"/>
      <c r="D437" s="550">
        <v>40000</v>
      </c>
      <c r="E437" s="49">
        <f t="shared" si="58"/>
        <v>166825</v>
      </c>
      <c r="F437" s="49">
        <v>136825</v>
      </c>
      <c r="G437" s="49">
        <f t="shared" si="65"/>
        <v>-30000</v>
      </c>
      <c r="H437" s="50">
        <f t="shared" si="63"/>
        <v>-0.17982916229581897</v>
      </c>
    </row>
    <row r="438" spans="1:8">
      <c r="A438" s="44" t="s">
        <v>57</v>
      </c>
      <c r="B438" s="45">
        <f>SUM(B439)</f>
        <v>21596</v>
      </c>
      <c r="C438" s="45"/>
      <c r="D438" s="45"/>
      <c r="E438" s="45">
        <f t="shared" si="58"/>
        <v>21596</v>
      </c>
      <c r="F438" s="45">
        <f>SUM(F439)</f>
        <v>22028</v>
      </c>
      <c r="G438" s="45">
        <f t="shared" si="65"/>
        <v>432</v>
      </c>
      <c r="H438" s="47">
        <f t="shared" si="63"/>
        <v>2.0003704389701796E-2</v>
      </c>
    </row>
    <row r="439" spans="1:8">
      <c r="A439" s="48" t="s">
        <v>58</v>
      </c>
      <c r="B439" s="49">
        <v>21596</v>
      </c>
      <c r="C439" s="49"/>
      <c r="D439" s="49"/>
      <c r="E439" s="49">
        <f t="shared" si="58"/>
        <v>21596</v>
      </c>
      <c r="F439" s="49">
        <v>22028</v>
      </c>
      <c r="G439" s="49">
        <f t="shared" si="65"/>
        <v>432</v>
      </c>
      <c r="H439" s="50">
        <f t="shared" si="63"/>
        <v>2.0003704389701796E-2</v>
      </c>
    </row>
    <row r="440" spans="1:8">
      <c r="A440" s="44"/>
      <c r="B440" s="45"/>
      <c r="C440" s="45"/>
      <c r="D440" s="45"/>
      <c r="E440" s="45">
        <f t="shared" si="58"/>
        <v>0</v>
      </c>
      <c r="G440" s="45">
        <f t="shared" si="65"/>
        <v>0</v>
      </c>
      <c r="H440" s="47" t="str">
        <f t="shared" si="63"/>
        <v/>
      </c>
    </row>
    <row r="441" spans="1:8">
      <c r="A441" s="40" t="s">
        <v>172</v>
      </c>
      <c r="B441" s="41">
        <f>SUM(B443,B450,B458,B467)</f>
        <v>4007930</v>
      </c>
      <c r="C441" s="41">
        <f>SUM(C443,C450,C458,C467)</f>
        <v>1600</v>
      </c>
      <c r="D441" s="41">
        <f>SUM(D443,D450,D458,D467)</f>
        <v>297000</v>
      </c>
      <c r="E441" s="41">
        <f t="shared" si="58"/>
        <v>4306530</v>
      </c>
      <c r="F441" s="41">
        <f>SUM(F443,F450,F458,F467)</f>
        <v>5542210</v>
      </c>
      <c r="G441" s="41">
        <f t="shared" si="65"/>
        <v>1235680</v>
      </c>
      <c r="H441" s="43">
        <f t="shared" si="63"/>
        <v>0.2869317060371111</v>
      </c>
    </row>
    <row r="442" spans="1:8">
      <c r="A442" s="75"/>
      <c r="B442" s="76"/>
      <c r="C442" s="76"/>
      <c r="D442" s="76"/>
      <c r="E442" s="76">
        <f t="shared" si="58"/>
        <v>0</v>
      </c>
      <c r="F442" s="76"/>
      <c r="G442" s="76">
        <f t="shared" si="65"/>
        <v>0</v>
      </c>
      <c r="H442" s="77" t="str">
        <f t="shared" si="63"/>
        <v/>
      </c>
    </row>
    <row r="443" spans="1:8">
      <c r="A443" s="62" t="s">
        <v>173</v>
      </c>
      <c r="B443" s="63">
        <f>SUM(B444,B447)</f>
        <v>55430</v>
      </c>
      <c r="C443" s="63"/>
      <c r="D443" s="63"/>
      <c r="E443" s="63">
        <f t="shared" si="58"/>
        <v>55430</v>
      </c>
      <c r="F443" s="63">
        <f>SUM(F444,F447)</f>
        <v>49410</v>
      </c>
      <c r="G443" s="63">
        <f t="shared" si="65"/>
        <v>-6020</v>
      </c>
      <c r="H443" s="64">
        <f t="shared" si="63"/>
        <v>-0.1086054483131878</v>
      </c>
    </row>
    <row r="444" spans="1:8">
      <c r="A444" s="44" t="s">
        <v>57</v>
      </c>
      <c r="B444" s="45">
        <f>SUM(B445:B446)</f>
        <v>51430</v>
      </c>
      <c r="C444" s="45"/>
      <c r="D444" s="45"/>
      <c r="E444" s="45">
        <f t="shared" si="58"/>
        <v>51430</v>
      </c>
      <c r="F444" s="45">
        <f>SUM(F445:F446)</f>
        <v>45410</v>
      </c>
      <c r="G444" s="45">
        <f t="shared" si="65"/>
        <v>-6020</v>
      </c>
      <c r="H444" s="47">
        <f t="shared" si="63"/>
        <v>-0.11705230410266382</v>
      </c>
    </row>
    <row r="445" spans="1:8">
      <c r="A445" s="48" t="s">
        <v>58</v>
      </c>
      <c r="B445" s="49">
        <v>30430</v>
      </c>
      <c r="C445" s="49"/>
      <c r="D445" s="49"/>
      <c r="E445" s="49">
        <f t="shared" si="58"/>
        <v>30430</v>
      </c>
      <c r="F445" s="49">
        <v>24410</v>
      </c>
      <c r="G445" s="49">
        <f t="shared" si="65"/>
        <v>-6020</v>
      </c>
      <c r="H445" s="50">
        <f t="shared" si="63"/>
        <v>-0.19783108774235952</v>
      </c>
    </row>
    <row r="446" spans="1:8">
      <c r="A446" s="48" t="s">
        <v>59</v>
      </c>
      <c r="B446" s="49">
        <v>21000</v>
      </c>
      <c r="C446" s="49"/>
      <c r="D446" s="49"/>
      <c r="E446" s="49">
        <f t="shared" si="58"/>
        <v>21000</v>
      </c>
      <c r="F446" s="49">
        <v>21000</v>
      </c>
      <c r="G446" s="49">
        <f t="shared" si="65"/>
        <v>0</v>
      </c>
      <c r="H446" s="50">
        <f t="shared" si="63"/>
        <v>0</v>
      </c>
    </row>
    <row r="447" spans="1:8">
      <c r="A447" s="44" t="s">
        <v>174</v>
      </c>
      <c r="B447" s="45">
        <f>SUM(B448:B448)</f>
        <v>4000</v>
      </c>
      <c r="C447" s="45"/>
      <c r="D447" s="45"/>
      <c r="E447" s="45">
        <f t="shared" si="58"/>
        <v>4000</v>
      </c>
      <c r="F447" s="45">
        <f>SUM(F448:F448)</f>
        <v>4000</v>
      </c>
      <c r="G447" s="45">
        <f t="shared" si="65"/>
        <v>0</v>
      </c>
      <c r="H447" s="47">
        <f t="shared" si="63"/>
        <v>0</v>
      </c>
    </row>
    <row r="448" spans="1:8">
      <c r="A448" s="48" t="s">
        <v>175</v>
      </c>
      <c r="B448" s="49">
        <f>1600+2400</f>
        <v>4000</v>
      </c>
      <c r="C448" s="49"/>
      <c r="D448" s="49"/>
      <c r="E448" s="49">
        <f t="shared" si="58"/>
        <v>4000</v>
      </c>
      <c r="F448" s="49">
        <v>4000</v>
      </c>
      <c r="G448" s="49">
        <f t="shared" si="65"/>
        <v>0</v>
      </c>
      <c r="H448" s="50">
        <f t="shared" si="63"/>
        <v>0</v>
      </c>
    </row>
    <row r="449" spans="1:8">
      <c r="A449" s="62"/>
      <c r="B449" s="63"/>
      <c r="C449" s="63"/>
      <c r="D449" s="63"/>
      <c r="E449" s="63">
        <f t="shared" si="58"/>
        <v>0</v>
      </c>
      <c r="F449" s="63"/>
      <c r="G449" s="63">
        <f t="shared" si="65"/>
        <v>0</v>
      </c>
      <c r="H449" s="64" t="str">
        <f t="shared" si="63"/>
        <v/>
      </c>
    </row>
    <row r="450" spans="1:8">
      <c r="A450" s="44" t="s">
        <v>176</v>
      </c>
      <c r="B450" s="45">
        <f>SUM(B451,B453)</f>
        <v>718000</v>
      </c>
      <c r="C450" s="45"/>
      <c r="D450" s="45">
        <f>SUM(D451,D453)</f>
        <v>37000</v>
      </c>
      <c r="E450" s="45">
        <f t="shared" si="58"/>
        <v>755000</v>
      </c>
      <c r="F450" s="45">
        <f>SUM(F451,F453)</f>
        <v>765000</v>
      </c>
      <c r="G450" s="45">
        <f t="shared" si="65"/>
        <v>10000</v>
      </c>
      <c r="H450" s="47">
        <f t="shared" si="63"/>
        <v>1.3245033112582781E-2</v>
      </c>
    </row>
    <row r="451" spans="1:8">
      <c r="A451" s="44" t="s">
        <v>57</v>
      </c>
      <c r="B451" s="45">
        <f>SUM(B452:B452)</f>
        <v>500</v>
      </c>
      <c r="C451" s="45"/>
      <c r="D451" s="45">
        <f>SUM(D452:D452)</f>
        <v>-150</v>
      </c>
      <c r="E451" s="45">
        <f t="shared" si="58"/>
        <v>350</v>
      </c>
      <c r="F451" s="45">
        <f>SUM(F452:F452)</f>
        <v>500</v>
      </c>
      <c r="G451" s="45">
        <f t="shared" si="65"/>
        <v>150</v>
      </c>
      <c r="H451" s="47">
        <f t="shared" si="63"/>
        <v>0.42857142857142855</v>
      </c>
    </row>
    <row r="452" spans="1:8">
      <c r="A452" s="48" t="s">
        <v>59</v>
      </c>
      <c r="B452" s="49">
        <v>500</v>
      </c>
      <c r="C452" s="49"/>
      <c r="D452" s="550">
        <v>-150</v>
      </c>
      <c r="E452" s="49">
        <f t="shared" si="58"/>
        <v>350</v>
      </c>
      <c r="F452" s="49">
        <v>500</v>
      </c>
      <c r="G452" s="49">
        <f t="shared" si="65"/>
        <v>150</v>
      </c>
      <c r="H452" s="50">
        <f t="shared" si="63"/>
        <v>0.42857142857142855</v>
      </c>
    </row>
    <row r="453" spans="1:8">
      <c r="A453" s="74" t="s">
        <v>61</v>
      </c>
      <c r="B453" s="65">
        <f>SUM(B454:B456)</f>
        <v>717500</v>
      </c>
      <c r="C453" s="65"/>
      <c r="D453" s="599">
        <f>SUM(D454:D455)</f>
        <v>37150</v>
      </c>
      <c r="E453" s="65">
        <f t="shared" ref="E453:E516" si="67">SUM(B453:D453)</f>
        <v>754650</v>
      </c>
      <c r="F453" s="65">
        <f>SUM(F454:F456)</f>
        <v>764500</v>
      </c>
      <c r="G453" s="65">
        <f t="shared" si="65"/>
        <v>9850</v>
      </c>
      <c r="H453" s="66">
        <f t="shared" si="63"/>
        <v>1.3052408401245611E-2</v>
      </c>
    </row>
    <row r="454" spans="1:8">
      <c r="A454" s="48" t="s">
        <v>177</v>
      </c>
      <c r="B454" s="49">
        <f>700300+2700</f>
        <v>703000</v>
      </c>
      <c r="C454" s="49"/>
      <c r="D454" s="550">
        <v>37000</v>
      </c>
      <c r="E454" s="49">
        <f t="shared" si="67"/>
        <v>740000</v>
      </c>
      <c r="F454" s="49">
        <v>750000</v>
      </c>
      <c r="G454" s="49">
        <f t="shared" si="65"/>
        <v>10000</v>
      </c>
      <c r="H454" s="50">
        <f t="shared" si="63"/>
        <v>1.3513513513513514E-2</v>
      </c>
    </row>
    <row r="455" spans="1:8">
      <c r="A455" s="48" t="s">
        <v>178</v>
      </c>
      <c r="B455" s="49">
        <v>14000</v>
      </c>
      <c r="C455" s="49"/>
      <c r="D455" s="49">
        <v>150</v>
      </c>
      <c r="E455" s="49">
        <f t="shared" si="67"/>
        <v>14150</v>
      </c>
      <c r="F455" s="49">
        <v>14000</v>
      </c>
      <c r="G455" s="49">
        <f t="shared" si="65"/>
        <v>-150</v>
      </c>
      <c r="H455" s="50">
        <f t="shared" si="63"/>
        <v>-1.0600706713780919E-2</v>
      </c>
    </row>
    <row r="456" spans="1:8">
      <c r="A456" s="48" t="s">
        <v>179</v>
      </c>
      <c r="B456" s="49">
        <v>500</v>
      </c>
      <c r="C456" s="49"/>
      <c r="D456" s="49"/>
      <c r="E456" s="49">
        <f t="shared" si="67"/>
        <v>500</v>
      </c>
      <c r="F456" s="49">
        <v>500</v>
      </c>
      <c r="G456" s="49">
        <f t="shared" si="65"/>
        <v>0</v>
      </c>
      <c r="H456" s="50">
        <f t="shared" si="63"/>
        <v>0</v>
      </c>
    </row>
    <row r="457" spans="1:8">
      <c r="A457" s="44"/>
      <c r="B457" s="45"/>
      <c r="C457" s="45"/>
      <c r="D457" s="45"/>
      <c r="E457" s="45">
        <f t="shared" si="67"/>
        <v>0</v>
      </c>
      <c r="F457" s="45"/>
      <c r="G457" s="45">
        <f t="shared" si="65"/>
        <v>0</v>
      </c>
      <c r="H457" s="47" t="str">
        <f t="shared" si="63"/>
        <v/>
      </c>
    </row>
    <row r="458" spans="1:8">
      <c r="A458" s="44" t="s">
        <v>180</v>
      </c>
      <c r="B458" s="45">
        <f>B459+B463</f>
        <v>234500</v>
      </c>
      <c r="C458" s="45">
        <f>C459+C463</f>
        <v>1600</v>
      </c>
      <c r="D458" s="45">
        <f>D459+D463</f>
        <v>0</v>
      </c>
      <c r="E458" s="45">
        <f t="shared" si="67"/>
        <v>236100</v>
      </c>
      <c r="F458" s="45">
        <f>F459+F463</f>
        <v>227800</v>
      </c>
      <c r="G458" s="45">
        <f t="shared" si="65"/>
        <v>-8300</v>
      </c>
      <c r="H458" s="47">
        <f t="shared" si="63"/>
        <v>-3.515459551037696E-2</v>
      </c>
    </row>
    <row r="459" spans="1:8">
      <c r="A459" s="74" t="s">
        <v>72</v>
      </c>
      <c r="B459" s="65">
        <f>B460+B461</f>
        <v>232600</v>
      </c>
      <c r="C459" s="65">
        <f>C460+C461+C462</f>
        <v>-42800</v>
      </c>
      <c r="D459" s="65">
        <f>D460+D461</f>
        <v>-1100</v>
      </c>
      <c r="E459" s="65">
        <f t="shared" si="67"/>
        <v>188700</v>
      </c>
      <c r="F459" s="65">
        <f>F460+F461+F462</f>
        <v>179800</v>
      </c>
      <c r="G459" s="65">
        <f t="shared" si="65"/>
        <v>-8900</v>
      </c>
      <c r="H459" s="66">
        <f t="shared" si="63"/>
        <v>-4.7164811870694226E-2</v>
      </c>
    </row>
    <row r="460" spans="1:8">
      <c r="A460" s="48" t="s">
        <v>181</v>
      </c>
      <c r="B460" s="49">
        <v>142000</v>
      </c>
      <c r="C460" s="49"/>
      <c r="D460" s="550">
        <v>-7600</v>
      </c>
      <c r="E460" s="49">
        <f t="shared" si="67"/>
        <v>134400</v>
      </c>
      <c r="F460" s="49">
        <v>139900</v>
      </c>
      <c r="G460" s="49">
        <f t="shared" si="65"/>
        <v>5500</v>
      </c>
      <c r="H460" s="50">
        <f t="shared" si="63"/>
        <v>4.0922619047619048E-2</v>
      </c>
    </row>
    <row r="461" spans="1:8">
      <c r="A461" s="48" t="s">
        <v>182</v>
      </c>
      <c r="B461" s="49">
        <f>81000+9600</f>
        <v>90600</v>
      </c>
      <c r="C461" s="49">
        <f>-44400-9500-9600</f>
        <v>-63500</v>
      </c>
      <c r="D461" s="550">
        <v>6500</v>
      </c>
      <c r="E461" s="49">
        <f t="shared" si="67"/>
        <v>33600</v>
      </c>
      <c r="F461" s="49">
        <v>27400</v>
      </c>
      <c r="G461" s="49">
        <f t="shared" si="65"/>
        <v>-6200</v>
      </c>
      <c r="H461" s="50">
        <f t="shared" si="63"/>
        <v>-0.18452380952380953</v>
      </c>
    </row>
    <row r="462" spans="1:8">
      <c r="A462" s="48" t="s">
        <v>183</v>
      </c>
      <c r="B462" s="49"/>
      <c r="C462" s="49">
        <f>9500+9600+1600</f>
        <v>20700</v>
      </c>
      <c r="D462" s="49"/>
      <c r="E462" s="49">
        <f t="shared" si="67"/>
        <v>20700</v>
      </c>
      <c r="F462" s="49">
        <f>19200-6700</f>
        <v>12500</v>
      </c>
      <c r="G462" s="49">
        <f t="shared" si="65"/>
        <v>-8200</v>
      </c>
      <c r="H462" s="50">
        <f t="shared" si="63"/>
        <v>-0.39613526570048307</v>
      </c>
    </row>
    <row r="463" spans="1:8">
      <c r="A463" s="44" t="s">
        <v>57</v>
      </c>
      <c r="B463" s="45">
        <f>B465</f>
        <v>1900</v>
      </c>
      <c r="C463" s="45">
        <f t="shared" ref="C463" si="68">C464+C465</f>
        <v>44400</v>
      </c>
      <c r="D463" s="45">
        <f>D465</f>
        <v>1100</v>
      </c>
      <c r="E463" s="45">
        <f t="shared" si="67"/>
        <v>47400</v>
      </c>
      <c r="F463" s="45">
        <f>F464+F465</f>
        <v>48000</v>
      </c>
      <c r="G463" s="45">
        <f t="shared" si="65"/>
        <v>600</v>
      </c>
      <c r="H463" s="47">
        <f t="shared" si="63"/>
        <v>1.2658227848101266E-2</v>
      </c>
    </row>
    <row r="464" spans="1:8">
      <c r="A464" s="48" t="s">
        <v>58</v>
      </c>
      <c r="B464" s="45"/>
      <c r="C464" s="45">
        <v>44400</v>
      </c>
      <c r="D464" s="45"/>
      <c r="E464" s="45">
        <f t="shared" si="67"/>
        <v>44400</v>
      </c>
      <c r="F464" s="45">
        <v>44400</v>
      </c>
      <c r="G464" s="45">
        <f t="shared" si="65"/>
        <v>0</v>
      </c>
      <c r="H464" s="47">
        <f t="shared" si="63"/>
        <v>0</v>
      </c>
    </row>
    <row r="465" spans="1:8">
      <c r="A465" s="48" t="s">
        <v>59</v>
      </c>
      <c r="B465" s="49">
        <f>900+1000</f>
        <v>1900</v>
      </c>
      <c r="C465" s="49"/>
      <c r="D465" s="49">
        <v>1100</v>
      </c>
      <c r="E465" s="49">
        <f t="shared" si="67"/>
        <v>3000</v>
      </c>
      <c r="F465" s="49">
        <v>3600</v>
      </c>
      <c r="G465" s="49">
        <f t="shared" si="65"/>
        <v>600</v>
      </c>
      <c r="H465" s="50">
        <f t="shared" si="63"/>
        <v>0.2</v>
      </c>
    </row>
    <row r="466" spans="1:8">
      <c r="A466" s="48"/>
      <c r="B466" s="49"/>
      <c r="C466" s="49"/>
      <c r="D466" s="49"/>
      <c r="E466" s="49">
        <f t="shared" si="67"/>
        <v>0</v>
      </c>
      <c r="F466" s="49"/>
      <c r="G466" s="49">
        <f t="shared" si="65"/>
        <v>0</v>
      </c>
      <c r="H466" s="50" t="str">
        <f t="shared" ref="H466:H529" si="69">IF(F466=0,"",G466/E466)</f>
        <v/>
      </c>
    </row>
    <row r="467" spans="1:8">
      <c r="A467" s="44" t="s">
        <v>184</v>
      </c>
      <c r="B467" s="45">
        <f>SUM(B468)</f>
        <v>3000000</v>
      </c>
      <c r="C467" s="45"/>
      <c r="D467" s="546">
        <f>SUM(D468)</f>
        <v>260000</v>
      </c>
      <c r="E467" s="45">
        <f t="shared" si="67"/>
        <v>3260000</v>
      </c>
      <c r="F467" s="45">
        <f>SUM(F468)</f>
        <v>4500000</v>
      </c>
      <c r="G467" s="45">
        <f t="shared" ref="G467:G530" si="70">F467-E467</f>
        <v>1240000</v>
      </c>
      <c r="H467" s="47">
        <f t="shared" si="69"/>
        <v>0.38036809815950923</v>
      </c>
    </row>
    <row r="468" spans="1:8">
      <c r="A468" s="74" t="s">
        <v>174</v>
      </c>
      <c r="B468" s="65">
        <f>SUM(B469:B469)</f>
        <v>3000000</v>
      </c>
      <c r="C468" s="65"/>
      <c r="D468" s="599">
        <f>SUM(D469:D469)</f>
        <v>260000</v>
      </c>
      <c r="E468" s="65">
        <f t="shared" si="67"/>
        <v>3260000</v>
      </c>
      <c r="F468" s="65">
        <f>SUM(F469:F469)</f>
        <v>4500000</v>
      </c>
      <c r="G468" s="65">
        <f t="shared" si="70"/>
        <v>1240000</v>
      </c>
      <c r="H468" s="66">
        <f t="shared" si="69"/>
        <v>0.38036809815950923</v>
      </c>
    </row>
    <row r="469" spans="1:8">
      <c r="A469" s="48" t="s">
        <v>185</v>
      </c>
      <c r="B469" s="49">
        <f>1200000+1800000</f>
        <v>3000000</v>
      </c>
      <c r="C469" s="49"/>
      <c r="D469" s="550">
        <v>260000</v>
      </c>
      <c r="E469" s="49">
        <f t="shared" si="67"/>
        <v>3260000</v>
      </c>
      <c r="F469" s="49">
        <v>4500000</v>
      </c>
      <c r="G469" s="49">
        <f t="shared" si="70"/>
        <v>1240000</v>
      </c>
      <c r="H469" s="50">
        <f t="shared" si="69"/>
        <v>0.38036809815950923</v>
      </c>
    </row>
    <row r="470" spans="1:8">
      <c r="A470" s="44"/>
      <c r="B470" s="45"/>
      <c r="C470" s="45"/>
      <c r="D470" s="45"/>
      <c r="E470" s="45">
        <f t="shared" si="67"/>
        <v>0</v>
      </c>
      <c r="G470" s="45">
        <f t="shared" si="70"/>
        <v>0</v>
      </c>
      <c r="H470" s="47" t="str">
        <f t="shared" si="69"/>
        <v/>
      </c>
    </row>
    <row r="471" spans="1:8">
      <c r="A471" s="40" t="s">
        <v>186</v>
      </c>
      <c r="B471" s="41">
        <f>SUM(B472,B474)</f>
        <v>13550</v>
      </c>
      <c r="C471" s="41"/>
      <c r="D471" s="41"/>
      <c r="E471" s="41">
        <f t="shared" si="67"/>
        <v>13550</v>
      </c>
      <c r="F471" s="41">
        <f>SUM(F472,F474)</f>
        <v>10290</v>
      </c>
      <c r="G471" s="41">
        <f t="shared" si="70"/>
        <v>-3260</v>
      </c>
      <c r="H471" s="43">
        <f t="shared" si="69"/>
        <v>-0.24059040590405903</v>
      </c>
    </row>
    <row r="472" spans="1:8">
      <c r="A472" s="44" t="s">
        <v>65</v>
      </c>
      <c r="B472" s="45">
        <f>SUM(B473)</f>
        <v>9000</v>
      </c>
      <c r="C472" s="45"/>
      <c r="D472" s="45"/>
      <c r="E472" s="45">
        <f t="shared" si="67"/>
        <v>9000</v>
      </c>
      <c r="F472" s="45">
        <f>SUM(F473)</f>
        <v>9000</v>
      </c>
      <c r="G472" s="45">
        <f t="shared" si="70"/>
        <v>0</v>
      </c>
      <c r="H472" s="47">
        <f t="shared" si="69"/>
        <v>0</v>
      </c>
    </row>
    <row r="473" spans="1:8">
      <c r="A473" s="48" t="s">
        <v>66</v>
      </c>
      <c r="B473" s="49">
        <v>9000</v>
      </c>
      <c r="C473" s="49"/>
      <c r="D473" s="49"/>
      <c r="E473" s="49">
        <f t="shared" si="67"/>
        <v>9000</v>
      </c>
      <c r="F473" s="49">
        <v>9000</v>
      </c>
      <c r="G473" s="49">
        <f t="shared" si="70"/>
        <v>0</v>
      </c>
      <c r="H473" s="50">
        <f t="shared" si="69"/>
        <v>0</v>
      </c>
    </row>
    <row r="474" spans="1:8">
      <c r="A474" s="44" t="s">
        <v>61</v>
      </c>
      <c r="B474" s="45">
        <f>SUM(B475)</f>
        <v>4550</v>
      </c>
      <c r="C474" s="45"/>
      <c r="D474" s="45"/>
      <c r="E474" s="45">
        <f t="shared" si="67"/>
        <v>4550</v>
      </c>
      <c r="F474" s="45">
        <f>SUM(F475)</f>
        <v>1290</v>
      </c>
      <c r="G474" s="45">
        <f t="shared" si="70"/>
        <v>-3260</v>
      </c>
      <c r="H474" s="47">
        <f t="shared" si="69"/>
        <v>-0.71648351648351649</v>
      </c>
    </row>
    <row r="475" spans="1:8">
      <c r="A475" s="48" t="s">
        <v>104</v>
      </c>
      <c r="B475" s="49">
        <v>4550</v>
      </c>
      <c r="C475" s="49"/>
      <c r="D475" s="49"/>
      <c r="E475" s="49">
        <f t="shared" si="67"/>
        <v>4550</v>
      </c>
      <c r="F475" s="49">
        <v>1290</v>
      </c>
      <c r="G475" s="49">
        <f t="shared" si="70"/>
        <v>-3260</v>
      </c>
      <c r="H475" s="50">
        <f t="shared" si="69"/>
        <v>-0.71648351648351649</v>
      </c>
    </row>
    <row r="476" spans="1:8">
      <c r="A476" s="44"/>
      <c r="B476" s="45"/>
      <c r="C476" s="45"/>
      <c r="D476" s="45"/>
      <c r="E476" s="45">
        <f t="shared" si="67"/>
        <v>0</v>
      </c>
      <c r="G476" s="45">
        <f t="shared" si="70"/>
        <v>0</v>
      </c>
      <c r="H476" s="47" t="str">
        <f t="shared" si="69"/>
        <v/>
      </c>
    </row>
    <row r="477" spans="1:8">
      <c r="A477" s="40" t="s">
        <v>187</v>
      </c>
      <c r="B477" s="41">
        <f>B479+B493+B500</f>
        <v>345570</v>
      </c>
      <c r="C477" s="41"/>
      <c r="D477" s="41">
        <f>D479+D493+D500</f>
        <v>4410</v>
      </c>
      <c r="E477" s="41">
        <f t="shared" si="67"/>
        <v>349980</v>
      </c>
      <c r="F477" s="41">
        <f>F479+F493+F500</f>
        <v>362550</v>
      </c>
      <c r="G477" s="41">
        <f t="shared" si="70"/>
        <v>12570</v>
      </c>
      <c r="H477" s="43">
        <f t="shared" si="69"/>
        <v>3.591633807646151E-2</v>
      </c>
    </row>
    <row r="478" spans="1:8">
      <c r="A478" s="54"/>
      <c r="B478" s="55"/>
      <c r="C478" s="55"/>
      <c r="D478" s="55"/>
      <c r="E478" s="55">
        <f t="shared" si="67"/>
        <v>0</v>
      </c>
      <c r="F478" s="55"/>
      <c r="G478" s="55">
        <f t="shared" si="70"/>
        <v>0</v>
      </c>
      <c r="H478" s="56" t="str">
        <f t="shared" si="69"/>
        <v/>
      </c>
    </row>
    <row r="479" spans="1:8">
      <c r="A479" s="44" t="s">
        <v>188</v>
      </c>
      <c r="B479" s="45">
        <f>B480+B483+B486+B489</f>
        <v>289290</v>
      </c>
      <c r="C479" s="45"/>
      <c r="D479" s="45">
        <f>D480+D483+D486+D489</f>
        <v>-4460</v>
      </c>
      <c r="E479" s="45">
        <f t="shared" si="67"/>
        <v>284830</v>
      </c>
      <c r="F479" s="45">
        <f>F480+F483+F486+F489</f>
        <v>298250</v>
      </c>
      <c r="G479" s="45">
        <f t="shared" si="70"/>
        <v>13420</v>
      </c>
      <c r="H479" s="47">
        <f t="shared" si="69"/>
        <v>4.7115823473650953E-2</v>
      </c>
    </row>
    <row r="480" spans="1:8">
      <c r="A480" s="44" t="s">
        <v>125</v>
      </c>
      <c r="B480" s="45">
        <f>SUM(B481:B482)</f>
        <v>51000</v>
      </c>
      <c r="C480" s="45"/>
      <c r="D480" s="45">
        <f>SUM(D481:D482)</f>
        <v>-8000</v>
      </c>
      <c r="E480" s="45">
        <f t="shared" si="67"/>
        <v>43000</v>
      </c>
      <c r="F480" s="45">
        <f>SUM(F481:F482)</f>
        <v>47000</v>
      </c>
      <c r="G480" s="45">
        <f t="shared" si="70"/>
        <v>4000</v>
      </c>
      <c r="H480" s="47">
        <f t="shared" si="69"/>
        <v>9.3023255813953487E-2</v>
      </c>
    </row>
    <row r="481" spans="1:8">
      <c r="A481" s="48" t="s">
        <v>126</v>
      </c>
      <c r="B481" s="49">
        <v>15000</v>
      </c>
      <c r="C481" s="49"/>
      <c r="D481" s="49">
        <v>-2000</v>
      </c>
      <c r="E481" s="49">
        <f t="shared" si="67"/>
        <v>13000</v>
      </c>
      <c r="F481" s="49">
        <v>13000</v>
      </c>
      <c r="G481" s="49">
        <f t="shared" si="70"/>
        <v>0</v>
      </c>
      <c r="H481" s="50">
        <f t="shared" si="69"/>
        <v>0</v>
      </c>
    </row>
    <row r="482" spans="1:8">
      <c r="A482" s="48" t="s">
        <v>59</v>
      </c>
      <c r="B482" s="49">
        <v>36000</v>
      </c>
      <c r="C482" s="49"/>
      <c r="D482" s="49">
        <v>-6000</v>
      </c>
      <c r="E482" s="49">
        <f t="shared" si="67"/>
        <v>30000</v>
      </c>
      <c r="F482" s="49">
        <v>34000</v>
      </c>
      <c r="G482" s="49">
        <f t="shared" si="70"/>
        <v>4000</v>
      </c>
      <c r="H482" s="50">
        <f t="shared" si="69"/>
        <v>0.13333333333333333</v>
      </c>
    </row>
    <row r="483" spans="1:8">
      <c r="A483" s="44" t="s">
        <v>57</v>
      </c>
      <c r="B483" s="45">
        <f>SUM(B484:B485)</f>
        <v>135960</v>
      </c>
      <c r="C483" s="45"/>
      <c r="D483" s="45">
        <f>SUM(D484:D485)</f>
        <v>-3200</v>
      </c>
      <c r="E483" s="45">
        <f t="shared" si="67"/>
        <v>132760</v>
      </c>
      <c r="F483" s="45">
        <f>SUM(F484:F485)</f>
        <v>136920</v>
      </c>
      <c r="G483" s="45">
        <f t="shared" si="70"/>
        <v>4160</v>
      </c>
      <c r="H483" s="47">
        <f t="shared" si="69"/>
        <v>3.1334739379331122E-2</v>
      </c>
    </row>
    <row r="484" spans="1:8">
      <c r="A484" s="48" t="s">
        <v>58</v>
      </c>
      <c r="B484" s="49">
        <v>82960</v>
      </c>
      <c r="C484" s="49"/>
      <c r="D484" s="49">
        <v>-1700</v>
      </c>
      <c r="E484" s="49">
        <f t="shared" si="67"/>
        <v>81260</v>
      </c>
      <c r="F484" s="49">
        <v>83920</v>
      </c>
      <c r="G484" s="49">
        <f t="shared" si="70"/>
        <v>2660</v>
      </c>
      <c r="H484" s="50">
        <f t="shared" si="69"/>
        <v>3.2734432685207975E-2</v>
      </c>
    </row>
    <row r="485" spans="1:8">
      <c r="A485" s="48" t="s">
        <v>59</v>
      </c>
      <c r="B485" s="49">
        <v>53000</v>
      </c>
      <c r="C485" s="49"/>
      <c r="D485" s="49">
        <v>-1500</v>
      </c>
      <c r="E485" s="49">
        <f t="shared" si="67"/>
        <v>51500</v>
      </c>
      <c r="F485" s="49">
        <v>53000</v>
      </c>
      <c r="G485" s="49">
        <f t="shared" si="70"/>
        <v>1500</v>
      </c>
      <c r="H485" s="50">
        <f t="shared" si="69"/>
        <v>2.9126213592233011E-2</v>
      </c>
    </row>
    <row r="486" spans="1:8">
      <c r="A486" s="44" t="s">
        <v>33</v>
      </c>
      <c r="B486" s="45">
        <f>B487+B488</f>
        <v>28330</v>
      </c>
      <c r="C486" s="45"/>
      <c r="D486" s="45">
        <f>D487+D488</f>
        <v>3240</v>
      </c>
      <c r="E486" s="45">
        <f t="shared" si="67"/>
        <v>31570</v>
      </c>
      <c r="F486" s="45">
        <f>F487+F488</f>
        <v>33330</v>
      </c>
      <c r="G486" s="45">
        <f t="shared" si="70"/>
        <v>1760</v>
      </c>
      <c r="H486" s="47">
        <f t="shared" si="69"/>
        <v>5.5749128919860627E-2</v>
      </c>
    </row>
    <row r="487" spans="1:8">
      <c r="A487" s="51" t="s">
        <v>189</v>
      </c>
      <c r="B487" s="52">
        <v>22000</v>
      </c>
      <c r="C487" s="52"/>
      <c r="D487" s="52">
        <v>3800</v>
      </c>
      <c r="E487" s="52">
        <f t="shared" si="67"/>
        <v>25800</v>
      </c>
      <c r="F487" s="52">
        <v>27000</v>
      </c>
      <c r="G487" s="52">
        <f t="shared" si="70"/>
        <v>1200</v>
      </c>
      <c r="H487" s="53">
        <f t="shared" si="69"/>
        <v>4.6511627906976744E-2</v>
      </c>
    </row>
    <row r="488" spans="1:8">
      <c r="A488" s="51" t="s">
        <v>112</v>
      </c>
      <c r="B488" s="52">
        <v>6330</v>
      </c>
      <c r="C488" s="52"/>
      <c r="D488" s="52">
        <v>-560</v>
      </c>
      <c r="E488" s="52">
        <f t="shared" si="67"/>
        <v>5770</v>
      </c>
      <c r="F488" s="52">
        <v>6330</v>
      </c>
      <c r="G488" s="52">
        <f t="shared" si="70"/>
        <v>560</v>
      </c>
      <c r="H488" s="53">
        <f t="shared" si="69"/>
        <v>9.7053726169844021E-2</v>
      </c>
    </row>
    <row r="489" spans="1:8">
      <c r="A489" s="44" t="s">
        <v>61</v>
      </c>
      <c r="B489" s="45">
        <f>SUM(B490:B491)</f>
        <v>74000</v>
      </c>
      <c r="C489" s="45"/>
      <c r="D489" s="45">
        <f>SUM(D490:D491)</f>
        <v>3500</v>
      </c>
      <c r="E489" s="45">
        <f t="shared" si="67"/>
        <v>77500</v>
      </c>
      <c r="F489" s="45">
        <f>SUM(F490:F491)</f>
        <v>81000</v>
      </c>
      <c r="G489" s="45">
        <f t="shared" si="70"/>
        <v>3500</v>
      </c>
      <c r="H489" s="47">
        <f t="shared" si="69"/>
        <v>4.5161290322580643E-2</v>
      </c>
    </row>
    <row r="490" spans="1:8">
      <c r="A490" s="48" t="s">
        <v>156</v>
      </c>
      <c r="B490" s="49">
        <v>65000</v>
      </c>
      <c r="C490" s="49"/>
      <c r="D490" s="49">
        <v>1700</v>
      </c>
      <c r="E490" s="49">
        <f t="shared" si="67"/>
        <v>66700</v>
      </c>
      <c r="F490" s="49">
        <v>71000</v>
      </c>
      <c r="G490" s="49">
        <f t="shared" si="70"/>
        <v>4300</v>
      </c>
      <c r="H490" s="50">
        <f t="shared" si="69"/>
        <v>6.4467766116941536E-2</v>
      </c>
    </row>
    <row r="491" spans="1:8">
      <c r="A491" s="51" t="s">
        <v>105</v>
      </c>
      <c r="B491" s="52">
        <v>9000</v>
      </c>
      <c r="C491" s="52"/>
      <c r="D491" s="52">
        <v>1800</v>
      </c>
      <c r="E491" s="52">
        <f t="shared" si="67"/>
        <v>10800</v>
      </c>
      <c r="F491" s="52">
        <v>10000</v>
      </c>
      <c r="G491" s="52">
        <f t="shared" si="70"/>
        <v>-800</v>
      </c>
      <c r="H491" s="53">
        <f t="shared" si="69"/>
        <v>-7.407407407407407E-2</v>
      </c>
    </row>
    <row r="492" spans="1:8">
      <c r="A492" s="51"/>
      <c r="B492" s="52"/>
      <c r="C492" s="52"/>
      <c r="D492" s="52"/>
      <c r="E492" s="52">
        <f t="shared" si="67"/>
        <v>0</v>
      </c>
      <c r="F492" s="52"/>
      <c r="G492" s="52">
        <f t="shared" si="70"/>
        <v>0</v>
      </c>
      <c r="H492" s="53" t="str">
        <f t="shared" si="69"/>
        <v/>
      </c>
    </row>
    <row r="493" spans="1:8">
      <c r="A493" s="62" t="s">
        <v>190</v>
      </c>
      <c r="B493" s="63">
        <f>B494+B497</f>
        <v>39180</v>
      </c>
      <c r="C493" s="63"/>
      <c r="D493" s="63">
        <f>D494+D497</f>
        <v>8870</v>
      </c>
      <c r="E493" s="63">
        <f t="shared" si="67"/>
        <v>48050</v>
      </c>
      <c r="F493" s="63">
        <f>F494+F497</f>
        <v>47000</v>
      </c>
      <c r="G493" s="63">
        <f t="shared" si="70"/>
        <v>-1050</v>
      </c>
      <c r="H493" s="64">
        <f t="shared" si="69"/>
        <v>-2.1852237252861603E-2</v>
      </c>
    </row>
    <row r="494" spans="1:8">
      <c r="A494" s="44" t="s">
        <v>72</v>
      </c>
      <c r="B494" s="45">
        <f>SUM(B495:B496)</f>
        <v>25630</v>
      </c>
      <c r="C494" s="45"/>
      <c r="D494" s="45">
        <f>SUM(D495:D496)</f>
        <v>4970</v>
      </c>
      <c r="E494" s="45">
        <f t="shared" si="67"/>
        <v>30600</v>
      </c>
      <c r="F494" s="45">
        <f>SUM(F495:F496)</f>
        <v>30000</v>
      </c>
      <c r="G494" s="45">
        <f t="shared" si="70"/>
        <v>-600</v>
      </c>
      <c r="H494" s="47">
        <f t="shared" si="69"/>
        <v>-1.9607843137254902E-2</v>
      </c>
    </row>
    <row r="495" spans="1:8">
      <c r="A495" s="51" t="s">
        <v>95</v>
      </c>
      <c r="B495" s="52">
        <v>630</v>
      </c>
      <c r="C495" s="52"/>
      <c r="D495" s="52">
        <v>-630</v>
      </c>
      <c r="E495" s="52">
        <f t="shared" si="67"/>
        <v>0</v>
      </c>
      <c r="F495" s="52"/>
      <c r="G495" s="52">
        <f t="shared" si="70"/>
        <v>0</v>
      </c>
      <c r="H495" s="53" t="str">
        <f t="shared" si="69"/>
        <v/>
      </c>
    </row>
    <row r="496" spans="1:8" ht="25.5">
      <c r="A496" s="51" t="s">
        <v>107</v>
      </c>
      <c r="B496" s="52">
        <v>25000</v>
      </c>
      <c r="C496" s="52"/>
      <c r="D496" s="52">
        <v>5600</v>
      </c>
      <c r="E496" s="52">
        <f t="shared" si="67"/>
        <v>30600</v>
      </c>
      <c r="F496" s="52">
        <v>30000</v>
      </c>
      <c r="G496" s="52">
        <f t="shared" si="70"/>
        <v>-600</v>
      </c>
      <c r="H496" s="53">
        <f t="shared" si="69"/>
        <v>-1.9607843137254902E-2</v>
      </c>
    </row>
    <row r="497" spans="1:8">
      <c r="A497" s="44" t="s">
        <v>74</v>
      </c>
      <c r="B497" s="45">
        <f>SUM(B498:B498)</f>
        <v>13550</v>
      </c>
      <c r="C497" s="45"/>
      <c r="D497" s="45">
        <f>SUM(D498:D498)</f>
        <v>3900</v>
      </c>
      <c r="E497" s="45">
        <f t="shared" si="67"/>
        <v>17450</v>
      </c>
      <c r="F497" s="45">
        <f>SUM(F498:F498)</f>
        <v>17000</v>
      </c>
      <c r="G497" s="45">
        <f t="shared" si="70"/>
        <v>-450</v>
      </c>
      <c r="H497" s="47">
        <f t="shared" si="69"/>
        <v>-2.5787965616045846E-2</v>
      </c>
    </row>
    <row r="498" spans="1:8">
      <c r="A498" s="48" t="s">
        <v>99</v>
      </c>
      <c r="B498" s="49">
        <v>13550</v>
      </c>
      <c r="C498" s="49"/>
      <c r="D498" s="49">
        <v>3900</v>
      </c>
      <c r="E498" s="49">
        <f t="shared" si="67"/>
        <v>17450</v>
      </c>
      <c r="F498" s="49">
        <v>17000</v>
      </c>
      <c r="G498" s="49">
        <f t="shared" si="70"/>
        <v>-450</v>
      </c>
      <c r="H498" s="50">
        <f t="shared" si="69"/>
        <v>-2.5787965616045846E-2</v>
      </c>
    </row>
    <row r="499" spans="1:8">
      <c r="A499" s="48"/>
      <c r="B499" s="49"/>
      <c r="C499" s="49"/>
      <c r="D499" s="49"/>
      <c r="E499" s="49">
        <f t="shared" si="67"/>
        <v>0</v>
      </c>
      <c r="F499" s="49"/>
      <c r="G499" s="49">
        <f t="shared" si="70"/>
        <v>0</v>
      </c>
      <c r="H499" s="50" t="str">
        <f t="shared" si="69"/>
        <v/>
      </c>
    </row>
    <row r="500" spans="1:8">
      <c r="A500" s="44" t="s">
        <v>191</v>
      </c>
      <c r="B500" s="45">
        <f>B501</f>
        <v>17100</v>
      </c>
      <c r="C500" s="45"/>
      <c r="D500" s="45">
        <f>D501</f>
        <v>0</v>
      </c>
      <c r="E500" s="45">
        <f t="shared" si="67"/>
        <v>17100</v>
      </c>
      <c r="F500" s="45">
        <f>F501</f>
        <v>17300</v>
      </c>
      <c r="G500" s="45">
        <f t="shared" si="70"/>
        <v>200</v>
      </c>
      <c r="H500" s="47">
        <f t="shared" si="69"/>
        <v>1.1695906432748537E-2</v>
      </c>
    </row>
    <row r="501" spans="1:8">
      <c r="A501" s="44" t="s">
        <v>139</v>
      </c>
      <c r="B501" s="45">
        <f>SUM(B502:B506)</f>
        <v>17100</v>
      </c>
      <c r="C501" s="45"/>
      <c r="D501" s="45">
        <f>SUM(D502:D506)</f>
        <v>0</v>
      </c>
      <c r="E501" s="45">
        <f t="shared" si="67"/>
        <v>17100</v>
      </c>
      <c r="F501" s="45">
        <f>SUM(F502:F506)</f>
        <v>17300</v>
      </c>
      <c r="G501" s="45">
        <f t="shared" si="70"/>
        <v>200</v>
      </c>
      <c r="H501" s="47">
        <f t="shared" si="69"/>
        <v>1.1695906432748537E-2</v>
      </c>
    </row>
    <row r="502" spans="1:8">
      <c r="A502" s="57" t="s">
        <v>192</v>
      </c>
      <c r="B502" s="58">
        <v>2600</v>
      </c>
      <c r="C502" s="58"/>
      <c r="D502" s="58"/>
      <c r="E502" s="58">
        <f t="shared" si="67"/>
        <v>2600</v>
      </c>
      <c r="F502" s="58">
        <v>2800</v>
      </c>
      <c r="G502" s="58">
        <f t="shared" si="70"/>
        <v>200</v>
      </c>
      <c r="H502" s="59">
        <f t="shared" si="69"/>
        <v>7.6923076923076927E-2</v>
      </c>
    </row>
    <row r="503" spans="1:8">
      <c r="A503" s="51" t="s">
        <v>141</v>
      </c>
      <c r="B503" s="52">
        <v>9500</v>
      </c>
      <c r="C503" s="52"/>
      <c r="D503" s="52"/>
      <c r="E503" s="52">
        <f t="shared" si="67"/>
        <v>9500</v>
      </c>
      <c r="F503" s="52">
        <v>9500</v>
      </c>
      <c r="G503" s="52">
        <f t="shared" si="70"/>
        <v>0</v>
      </c>
      <c r="H503" s="53">
        <f t="shared" si="69"/>
        <v>0</v>
      </c>
    </row>
    <row r="504" spans="1:8">
      <c r="A504" s="51" t="s">
        <v>66</v>
      </c>
      <c r="B504" s="52">
        <v>800</v>
      </c>
      <c r="C504" s="52"/>
      <c r="D504" s="52"/>
      <c r="E504" s="52">
        <f t="shared" si="67"/>
        <v>800</v>
      </c>
      <c r="F504" s="52">
        <v>800</v>
      </c>
      <c r="G504" s="52">
        <f t="shared" si="70"/>
        <v>0</v>
      </c>
      <c r="H504" s="53">
        <f t="shared" si="69"/>
        <v>0</v>
      </c>
    </row>
    <row r="505" spans="1:8">
      <c r="A505" s="51" t="s">
        <v>84</v>
      </c>
      <c r="B505" s="52">
        <v>2500</v>
      </c>
      <c r="C505" s="52"/>
      <c r="D505" s="52"/>
      <c r="E505" s="52">
        <f t="shared" si="67"/>
        <v>2500</v>
      </c>
      <c r="F505" s="52">
        <v>2500</v>
      </c>
      <c r="G505" s="52">
        <f t="shared" si="70"/>
        <v>0</v>
      </c>
      <c r="H505" s="53">
        <f t="shared" si="69"/>
        <v>0</v>
      </c>
    </row>
    <row r="506" spans="1:8">
      <c r="A506" s="48" t="s">
        <v>193</v>
      </c>
      <c r="B506" s="49">
        <v>1700</v>
      </c>
      <c r="C506" s="49"/>
      <c r="D506" s="49"/>
      <c r="E506" s="49">
        <f t="shared" si="67"/>
        <v>1700</v>
      </c>
      <c r="F506" s="49">
        <v>1700</v>
      </c>
      <c r="G506" s="49">
        <f t="shared" si="70"/>
        <v>0</v>
      </c>
      <c r="H506" s="50">
        <f t="shared" si="69"/>
        <v>0</v>
      </c>
    </row>
    <row r="507" spans="1:8">
      <c r="A507" s="48"/>
      <c r="B507" s="49"/>
      <c r="C507" s="49"/>
      <c r="D507" s="49"/>
      <c r="E507" s="49">
        <f t="shared" si="67"/>
        <v>0</v>
      </c>
      <c r="F507" s="49"/>
      <c r="G507" s="49">
        <f t="shared" si="70"/>
        <v>0</v>
      </c>
      <c r="H507" s="50" t="str">
        <f t="shared" si="69"/>
        <v/>
      </c>
    </row>
    <row r="508" spans="1:8">
      <c r="A508" s="40" t="s">
        <v>194</v>
      </c>
      <c r="B508" s="41">
        <f>B510+B525+B533+B541</f>
        <v>4672530</v>
      </c>
      <c r="C508" s="41">
        <f>C510+C525+C533+C541</f>
        <v>-209970</v>
      </c>
      <c r="D508" s="41">
        <f>D510+D525+D533+D541</f>
        <v>-44700</v>
      </c>
      <c r="E508" s="41">
        <f t="shared" si="67"/>
        <v>4417860</v>
      </c>
      <c r="F508" s="41">
        <f>F510+F525+F533+F541</f>
        <v>4531560</v>
      </c>
      <c r="G508" s="41">
        <f t="shared" si="70"/>
        <v>113700</v>
      </c>
      <c r="H508" s="43">
        <f t="shared" si="69"/>
        <v>2.573644253099917E-2</v>
      </c>
    </row>
    <row r="509" spans="1:8">
      <c r="A509" s="54"/>
      <c r="B509" s="55"/>
      <c r="C509" s="55"/>
      <c r="D509" s="55"/>
      <c r="E509" s="55">
        <f t="shared" si="67"/>
        <v>0</v>
      </c>
      <c r="F509" s="55"/>
      <c r="G509" s="55">
        <f t="shared" si="70"/>
        <v>0</v>
      </c>
      <c r="H509" s="56" t="str">
        <f t="shared" si="69"/>
        <v/>
      </c>
    </row>
    <row r="510" spans="1:8">
      <c r="A510" s="44" t="s">
        <v>195</v>
      </c>
      <c r="B510" s="45">
        <f>B511+B514+B518+B521</f>
        <v>4369470</v>
      </c>
      <c r="C510" s="45">
        <f>C511+C514+C518+C521</f>
        <v>-193470</v>
      </c>
      <c r="D510" s="45">
        <f>D511+D514+D518+D521</f>
        <v>-41650</v>
      </c>
      <c r="E510" s="45">
        <f t="shared" si="67"/>
        <v>4134350</v>
      </c>
      <c r="F510" s="45">
        <f>F511+F514+F518+F521</f>
        <v>4251000</v>
      </c>
      <c r="G510" s="45">
        <f t="shared" si="70"/>
        <v>116650</v>
      </c>
      <c r="H510" s="47">
        <f t="shared" si="69"/>
        <v>2.8214834254477728E-2</v>
      </c>
    </row>
    <row r="511" spans="1:8">
      <c r="A511" s="44" t="s">
        <v>125</v>
      </c>
      <c r="B511" s="45">
        <f>SUM(B512:B513)</f>
        <v>50000</v>
      </c>
      <c r="C511" s="45">
        <f>SUM(C512:C513)</f>
        <v>-7400</v>
      </c>
      <c r="D511" s="45">
        <f>SUM(D512:D513)</f>
        <v>3000</v>
      </c>
      <c r="E511" s="45">
        <f t="shared" si="67"/>
        <v>45600</v>
      </c>
      <c r="F511" s="45">
        <f>SUM(F512:F513)</f>
        <v>45000</v>
      </c>
      <c r="G511" s="45">
        <f t="shared" si="70"/>
        <v>-600</v>
      </c>
      <c r="H511" s="47">
        <f t="shared" si="69"/>
        <v>-1.3157894736842105E-2</v>
      </c>
    </row>
    <row r="512" spans="1:8">
      <c r="A512" s="48" t="s">
        <v>126</v>
      </c>
      <c r="B512" s="49">
        <v>31000</v>
      </c>
      <c r="C512" s="49">
        <v>-3400</v>
      </c>
      <c r="D512" s="49">
        <v>3000</v>
      </c>
      <c r="E512" s="49">
        <f t="shared" si="67"/>
        <v>30600</v>
      </c>
      <c r="F512" s="49">
        <v>30000</v>
      </c>
      <c r="G512" s="49">
        <f t="shared" si="70"/>
        <v>-600</v>
      </c>
      <c r="H512" s="50">
        <f t="shared" si="69"/>
        <v>-1.9607843137254902E-2</v>
      </c>
    </row>
    <row r="513" spans="1:8">
      <c r="A513" s="48" t="s">
        <v>59</v>
      </c>
      <c r="B513" s="49">
        <v>19000</v>
      </c>
      <c r="C513" s="49">
        <v>-4000</v>
      </c>
      <c r="D513" s="49"/>
      <c r="E513" s="49">
        <f t="shared" si="67"/>
        <v>15000</v>
      </c>
      <c r="F513" s="49">
        <v>15000</v>
      </c>
      <c r="G513" s="49">
        <f t="shared" si="70"/>
        <v>0</v>
      </c>
      <c r="H513" s="50">
        <f t="shared" si="69"/>
        <v>0</v>
      </c>
    </row>
    <row r="514" spans="1:8">
      <c r="A514" s="44" t="s">
        <v>57</v>
      </c>
      <c r="B514" s="45">
        <f>SUM(B515:B516)</f>
        <v>2759520</v>
      </c>
      <c r="C514" s="45">
        <f>SUM(C515:C517)</f>
        <v>-17820</v>
      </c>
      <c r="D514" s="45">
        <f>SUM(D515:D517)</f>
        <v>-1000</v>
      </c>
      <c r="E514" s="45">
        <f t="shared" si="67"/>
        <v>2740700</v>
      </c>
      <c r="F514" s="45">
        <f>SUM(F515:F517)</f>
        <v>2749500</v>
      </c>
      <c r="G514" s="45">
        <f t="shared" si="70"/>
        <v>8800</v>
      </c>
      <c r="H514" s="47">
        <f t="shared" si="69"/>
        <v>3.2108585397891049E-3</v>
      </c>
    </row>
    <row r="515" spans="1:8">
      <c r="A515" s="48" t="s">
        <v>58</v>
      </c>
      <c r="B515" s="49">
        <v>2691520</v>
      </c>
      <c r="C515" s="49">
        <v>-30520</v>
      </c>
      <c r="D515" s="49">
        <v>4000</v>
      </c>
      <c r="E515" s="49">
        <f t="shared" si="67"/>
        <v>2665000</v>
      </c>
      <c r="F515" s="517">
        <f>2610500+64000</f>
        <v>2674500</v>
      </c>
      <c r="G515" s="49">
        <f t="shared" si="70"/>
        <v>9500</v>
      </c>
      <c r="H515" s="50">
        <f t="shared" si="69"/>
        <v>3.5647279549718574E-3</v>
      </c>
    </row>
    <row r="516" spans="1:8">
      <c r="A516" s="48" t="s">
        <v>59</v>
      </c>
      <c r="B516" s="49">
        <v>68000</v>
      </c>
      <c r="C516" s="49"/>
      <c r="D516" s="49">
        <v>-5000</v>
      </c>
      <c r="E516" s="49">
        <f t="shared" si="67"/>
        <v>63000</v>
      </c>
      <c r="F516" s="49">
        <v>63000</v>
      </c>
      <c r="G516" s="49">
        <f t="shared" si="70"/>
        <v>0</v>
      </c>
      <c r="H516" s="50">
        <f t="shared" si="69"/>
        <v>0</v>
      </c>
    </row>
    <row r="517" spans="1:8">
      <c r="A517" s="48" t="s">
        <v>81</v>
      </c>
      <c r="B517" s="49"/>
      <c r="C517" s="49">
        <v>12700</v>
      </c>
      <c r="D517" s="49"/>
      <c r="E517" s="49">
        <f t="shared" ref="E517:E580" si="71">SUM(B517:D517)</f>
        <v>12700</v>
      </c>
      <c r="F517" s="49">
        <v>12000</v>
      </c>
      <c r="G517" s="49">
        <f t="shared" si="70"/>
        <v>-700</v>
      </c>
      <c r="H517" s="50">
        <f t="shared" si="69"/>
        <v>-5.5118110236220472E-2</v>
      </c>
    </row>
    <row r="518" spans="1:8">
      <c r="A518" s="62" t="s">
        <v>61</v>
      </c>
      <c r="B518" s="63">
        <f>B519+B520</f>
        <v>275950</v>
      </c>
      <c r="C518" s="63">
        <f>C519+C520</f>
        <v>18750</v>
      </c>
      <c r="D518" s="63">
        <f>D519+D520</f>
        <v>12300</v>
      </c>
      <c r="E518" s="63">
        <f t="shared" si="71"/>
        <v>307000</v>
      </c>
      <c r="F518" s="63">
        <f>F519+F520</f>
        <v>305200</v>
      </c>
      <c r="G518" s="63">
        <f t="shared" si="70"/>
        <v>-1800</v>
      </c>
      <c r="H518" s="64">
        <f t="shared" si="69"/>
        <v>-5.8631921824104233E-3</v>
      </c>
    </row>
    <row r="519" spans="1:8">
      <c r="A519" s="48" t="s">
        <v>156</v>
      </c>
      <c r="B519" s="49">
        <v>271950</v>
      </c>
      <c r="C519" s="49">
        <v>18750</v>
      </c>
      <c r="D519" s="49">
        <v>12300</v>
      </c>
      <c r="E519" s="49">
        <f t="shared" si="71"/>
        <v>303000</v>
      </c>
      <c r="F519" s="49">
        <v>301200</v>
      </c>
      <c r="G519" s="49">
        <f t="shared" si="70"/>
        <v>-1800</v>
      </c>
      <c r="H519" s="50">
        <f t="shared" si="69"/>
        <v>-5.9405940594059407E-3</v>
      </c>
    </row>
    <row r="520" spans="1:8">
      <c r="A520" s="48" t="s">
        <v>105</v>
      </c>
      <c r="B520" s="49">
        <v>4000</v>
      </c>
      <c r="C520" s="49"/>
      <c r="D520" s="49"/>
      <c r="E520" s="49">
        <f t="shared" si="71"/>
        <v>4000</v>
      </c>
      <c r="F520" s="49">
        <v>4000</v>
      </c>
      <c r="G520" s="49">
        <f t="shared" si="70"/>
        <v>0</v>
      </c>
      <c r="H520" s="50">
        <f t="shared" si="69"/>
        <v>0</v>
      </c>
    </row>
    <row r="521" spans="1:8">
      <c r="A521" s="44" t="s">
        <v>33</v>
      </c>
      <c r="B521" s="45">
        <f>SUM(B522:B523)</f>
        <v>1284000</v>
      </c>
      <c r="C521" s="45">
        <f>SUM(C522:C523)</f>
        <v>-187000</v>
      </c>
      <c r="D521" s="45">
        <f>SUM(D522:D523)</f>
        <v>-55950</v>
      </c>
      <c r="E521" s="45">
        <f t="shared" si="71"/>
        <v>1041050</v>
      </c>
      <c r="F521" s="45">
        <f>SUM(F522:F523)</f>
        <v>1151300</v>
      </c>
      <c r="G521" s="45">
        <f t="shared" si="70"/>
        <v>110250</v>
      </c>
      <c r="H521" s="47">
        <f t="shared" si="69"/>
        <v>0.10590269439508189</v>
      </c>
    </row>
    <row r="522" spans="1:8">
      <c r="A522" s="51" t="s">
        <v>189</v>
      </c>
      <c r="B522" s="52">
        <v>1270000</v>
      </c>
      <c r="C522" s="52">
        <v>-187000</v>
      </c>
      <c r="D522" s="52">
        <v>-63000</v>
      </c>
      <c r="E522" s="52">
        <f t="shared" si="71"/>
        <v>1020000</v>
      </c>
      <c r="F522" s="52">
        <v>1131300</v>
      </c>
      <c r="G522" s="52">
        <f t="shared" si="70"/>
        <v>111300</v>
      </c>
      <c r="H522" s="53">
        <f t="shared" si="69"/>
        <v>0.10911764705882353</v>
      </c>
    </row>
    <row r="523" spans="1:8">
      <c r="A523" s="78" t="s">
        <v>158</v>
      </c>
      <c r="B523" s="52">
        <v>14000</v>
      </c>
      <c r="C523" s="52"/>
      <c r="D523" s="52">
        <v>7050</v>
      </c>
      <c r="E523" s="52">
        <f t="shared" si="71"/>
        <v>21050</v>
      </c>
      <c r="F523" s="52">
        <v>20000</v>
      </c>
      <c r="G523" s="52">
        <f t="shared" si="70"/>
        <v>-1050</v>
      </c>
      <c r="H523" s="53">
        <f t="shared" si="69"/>
        <v>-4.9881235154394299E-2</v>
      </c>
    </row>
    <row r="524" spans="1:8">
      <c r="A524" s="54"/>
      <c r="B524" s="55"/>
      <c r="C524" s="55"/>
      <c r="D524" s="55"/>
      <c r="E524" s="55">
        <f t="shared" si="71"/>
        <v>0</v>
      </c>
      <c r="F524" s="55"/>
      <c r="G524" s="55">
        <f t="shared" si="70"/>
        <v>0</v>
      </c>
      <c r="H524" s="56" t="str">
        <f t="shared" si="69"/>
        <v/>
      </c>
    </row>
    <row r="525" spans="1:8">
      <c r="A525" s="62" t="s">
        <v>196</v>
      </c>
      <c r="B525" s="63">
        <f>B526</f>
        <v>32800</v>
      </c>
      <c r="C525" s="63">
        <f>C526</f>
        <v>0</v>
      </c>
      <c r="D525" s="63">
        <f>D526</f>
        <v>500</v>
      </c>
      <c r="E525" s="63">
        <f t="shared" si="71"/>
        <v>33300</v>
      </c>
      <c r="F525" s="63">
        <f>F526</f>
        <v>32200</v>
      </c>
      <c r="G525" s="63">
        <f t="shared" si="70"/>
        <v>-1100</v>
      </c>
      <c r="H525" s="64">
        <f t="shared" si="69"/>
        <v>-3.3033033033033031E-2</v>
      </c>
    </row>
    <row r="526" spans="1:8">
      <c r="A526" s="44" t="s">
        <v>139</v>
      </c>
      <c r="B526" s="45">
        <f>SUM(B527:B531)</f>
        <v>32800</v>
      </c>
      <c r="C526" s="45">
        <f>SUM(C527:C531)</f>
        <v>0</v>
      </c>
      <c r="D526" s="45">
        <f>SUM(D527:D531)</f>
        <v>500</v>
      </c>
      <c r="E526" s="45">
        <f t="shared" si="71"/>
        <v>33300</v>
      </c>
      <c r="F526" s="45">
        <f>SUM(F527:F531)</f>
        <v>32200</v>
      </c>
      <c r="G526" s="45">
        <f t="shared" si="70"/>
        <v>-1100</v>
      </c>
      <c r="H526" s="47">
        <f t="shared" si="69"/>
        <v>-3.3033033033033031E-2</v>
      </c>
    </row>
    <row r="527" spans="1:8">
      <c r="A527" s="51" t="s">
        <v>141</v>
      </c>
      <c r="B527" s="52">
        <v>21000</v>
      </c>
      <c r="C527" s="52"/>
      <c r="D527" s="52">
        <v>3000</v>
      </c>
      <c r="E527" s="52">
        <f t="shared" si="71"/>
        <v>24000</v>
      </c>
      <c r="F527" s="52">
        <v>22500</v>
      </c>
      <c r="G527" s="52">
        <f t="shared" si="70"/>
        <v>-1500</v>
      </c>
      <c r="H527" s="53">
        <f t="shared" si="69"/>
        <v>-6.25E-2</v>
      </c>
    </row>
    <row r="528" spans="1:8">
      <c r="A528" s="51" t="s">
        <v>66</v>
      </c>
      <c r="B528" s="52">
        <v>1600</v>
      </c>
      <c r="C528" s="52"/>
      <c r="D528" s="52"/>
      <c r="E528" s="52">
        <f t="shared" si="71"/>
        <v>1600</v>
      </c>
      <c r="F528" s="52">
        <v>1500</v>
      </c>
      <c r="G528" s="52">
        <f t="shared" si="70"/>
        <v>-100</v>
      </c>
      <c r="H528" s="53">
        <f t="shared" si="69"/>
        <v>-6.25E-2</v>
      </c>
    </row>
    <row r="529" spans="1:8">
      <c r="A529" s="51" t="s">
        <v>84</v>
      </c>
      <c r="B529" s="52">
        <v>3700</v>
      </c>
      <c r="C529" s="52"/>
      <c r="D529" s="52"/>
      <c r="E529" s="52">
        <f t="shared" si="71"/>
        <v>3700</v>
      </c>
      <c r="F529" s="52">
        <v>3700</v>
      </c>
      <c r="G529" s="52">
        <f t="shared" si="70"/>
        <v>0</v>
      </c>
      <c r="H529" s="53">
        <f t="shared" si="69"/>
        <v>0</v>
      </c>
    </row>
    <row r="530" spans="1:8">
      <c r="A530" s="57" t="s">
        <v>192</v>
      </c>
      <c r="B530" s="58">
        <v>5500</v>
      </c>
      <c r="C530" s="58"/>
      <c r="D530" s="58">
        <v>-2500</v>
      </c>
      <c r="E530" s="58">
        <f t="shared" si="71"/>
        <v>3000</v>
      </c>
      <c r="F530" s="58">
        <v>3500</v>
      </c>
      <c r="G530" s="58">
        <f t="shared" si="70"/>
        <v>500</v>
      </c>
      <c r="H530" s="59">
        <f t="shared" ref="H530:H598" si="72">IF(F530=0,"",G530/E530)</f>
        <v>0.16666666666666666</v>
      </c>
    </row>
    <row r="531" spans="1:8">
      <c r="A531" s="51" t="s">
        <v>197</v>
      </c>
      <c r="B531" s="52">
        <v>1000</v>
      </c>
      <c r="C531" s="52"/>
      <c r="D531" s="52"/>
      <c r="E531" s="52">
        <f t="shared" si="71"/>
        <v>1000</v>
      </c>
      <c r="F531" s="52">
        <v>1000</v>
      </c>
      <c r="G531" s="52">
        <f t="shared" ref="G531:G599" si="73">F531-E531</f>
        <v>0</v>
      </c>
      <c r="H531" s="53">
        <f t="shared" si="72"/>
        <v>0</v>
      </c>
    </row>
    <row r="532" spans="1:8">
      <c r="A532" s="57"/>
      <c r="B532" s="58"/>
      <c r="C532" s="58"/>
      <c r="D532" s="58"/>
      <c r="E532" s="58">
        <f t="shared" si="71"/>
        <v>0</v>
      </c>
      <c r="F532" s="58"/>
      <c r="G532" s="58">
        <f t="shared" si="73"/>
        <v>0</v>
      </c>
      <c r="H532" s="59" t="str">
        <f t="shared" si="72"/>
        <v/>
      </c>
    </row>
    <row r="533" spans="1:8">
      <c r="A533" s="44" t="s">
        <v>198</v>
      </c>
      <c r="B533" s="45">
        <f>B534+B537</f>
        <v>190060</v>
      </c>
      <c r="C533" s="45">
        <f>C534+C537</f>
        <v>-12500</v>
      </c>
      <c r="D533" s="45">
        <f>D534+D537</f>
        <v>-5650</v>
      </c>
      <c r="E533" s="45">
        <f t="shared" si="71"/>
        <v>171910</v>
      </c>
      <c r="F533" s="45">
        <f>F534+F537</f>
        <v>174860</v>
      </c>
      <c r="G533" s="45">
        <f t="shared" si="73"/>
        <v>2950</v>
      </c>
      <c r="H533" s="47">
        <f t="shared" si="72"/>
        <v>1.7160141934733291E-2</v>
      </c>
    </row>
    <row r="534" spans="1:8">
      <c r="A534" s="62" t="s">
        <v>61</v>
      </c>
      <c r="B534" s="63">
        <f>B535+B536</f>
        <v>133500</v>
      </c>
      <c r="C534" s="63">
        <f>C535+C536</f>
        <v>-10500</v>
      </c>
      <c r="D534" s="63">
        <f>D535+D536</f>
        <v>-4000</v>
      </c>
      <c r="E534" s="63">
        <f t="shared" si="71"/>
        <v>119000</v>
      </c>
      <c r="F534" s="63">
        <f>F535+F536</f>
        <v>119000</v>
      </c>
      <c r="G534" s="63">
        <f t="shared" si="73"/>
        <v>0</v>
      </c>
      <c r="H534" s="64">
        <f t="shared" si="72"/>
        <v>0</v>
      </c>
    </row>
    <row r="535" spans="1:8">
      <c r="A535" s="48" t="s">
        <v>95</v>
      </c>
      <c r="B535" s="49">
        <v>125000</v>
      </c>
      <c r="C535" s="49">
        <v>-9000</v>
      </c>
      <c r="D535" s="49">
        <v>-4000</v>
      </c>
      <c r="E535" s="49">
        <f t="shared" si="71"/>
        <v>112000</v>
      </c>
      <c r="F535" s="49">
        <v>112000</v>
      </c>
      <c r="G535" s="49">
        <f t="shared" si="73"/>
        <v>0</v>
      </c>
      <c r="H535" s="50">
        <f t="shared" si="72"/>
        <v>0</v>
      </c>
    </row>
    <row r="536" spans="1:8">
      <c r="A536" s="51" t="s">
        <v>199</v>
      </c>
      <c r="B536" s="52">
        <v>8500</v>
      </c>
      <c r="C536" s="52">
        <v>-1500</v>
      </c>
      <c r="D536" s="52"/>
      <c r="E536" s="52">
        <f t="shared" si="71"/>
        <v>7000</v>
      </c>
      <c r="F536" s="52">
        <v>7000</v>
      </c>
      <c r="G536" s="52">
        <f t="shared" si="73"/>
        <v>0</v>
      </c>
      <c r="H536" s="53">
        <f t="shared" si="72"/>
        <v>0</v>
      </c>
    </row>
    <row r="537" spans="1:8">
      <c r="A537" s="44" t="s">
        <v>57</v>
      </c>
      <c r="B537" s="45">
        <f>B538+B539</f>
        <v>56560</v>
      </c>
      <c r="C537" s="45">
        <f>C538+C539</f>
        <v>-2000</v>
      </c>
      <c r="D537" s="45">
        <f>D538+D539</f>
        <v>-1650</v>
      </c>
      <c r="E537" s="45">
        <f t="shared" si="71"/>
        <v>52910</v>
      </c>
      <c r="F537" s="45">
        <f>F538+F539</f>
        <v>55860</v>
      </c>
      <c r="G537" s="45">
        <f t="shared" si="73"/>
        <v>2950</v>
      </c>
      <c r="H537" s="47">
        <f t="shared" si="72"/>
        <v>5.5755055755055752E-2</v>
      </c>
    </row>
    <row r="538" spans="1:8">
      <c r="A538" s="48" t="s">
        <v>58</v>
      </c>
      <c r="B538" s="49">
        <v>23560</v>
      </c>
      <c r="C538" s="49"/>
      <c r="D538" s="49">
        <v>-650</v>
      </c>
      <c r="E538" s="49">
        <f t="shared" si="71"/>
        <v>22910</v>
      </c>
      <c r="F538" s="49">
        <v>22860</v>
      </c>
      <c r="G538" s="49">
        <f t="shared" si="73"/>
        <v>-50</v>
      </c>
      <c r="H538" s="50">
        <f t="shared" si="72"/>
        <v>-2.1824530772588391E-3</v>
      </c>
    </row>
    <row r="539" spans="1:8">
      <c r="A539" s="48" t="s">
        <v>59</v>
      </c>
      <c r="B539" s="49">
        <v>33000</v>
      </c>
      <c r="C539" s="49">
        <v>-2000</v>
      </c>
      <c r="D539" s="49">
        <v>-1000</v>
      </c>
      <c r="E539" s="49">
        <f t="shared" si="71"/>
        <v>30000</v>
      </c>
      <c r="F539" s="49">
        <v>33000</v>
      </c>
      <c r="G539" s="49">
        <f t="shared" si="73"/>
        <v>3000</v>
      </c>
      <c r="H539" s="50">
        <f t="shared" si="72"/>
        <v>0.1</v>
      </c>
    </row>
    <row r="540" spans="1:8">
      <c r="A540" s="48"/>
      <c r="B540" s="49"/>
      <c r="C540" s="49"/>
      <c r="D540" s="49"/>
      <c r="E540" s="49">
        <f t="shared" si="71"/>
        <v>0</v>
      </c>
      <c r="F540" s="49"/>
      <c r="G540" s="49">
        <f t="shared" si="73"/>
        <v>0</v>
      </c>
      <c r="H540" s="50" t="str">
        <f t="shared" si="72"/>
        <v/>
      </c>
    </row>
    <row r="541" spans="1:8">
      <c r="A541" s="44" t="s">
        <v>200</v>
      </c>
      <c r="B541" s="45">
        <f>B542+B548</f>
        <v>80200</v>
      </c>
      <c r="C541" s="45">
        <f>C542+C548</f>
        <v>-4000</v>
      </c>
      <c r="D541" s="45">
        <f>D542+D548</f>
        <v>2100</v>
      </c>
      <c r="E541" s="45">
        <f t="shared" si="71"/>
        <v>78300</v>
      </c>
      <c r="F541" s="45">
        <f>F542+F548</f>
        <v>73500</v>
      </c>
      <c r="G541" s="45">
        <f t="shared" si="73"/>
        <v>-4800</v>
      </c>
      <c r="H541" s="47">
        <f t="shared" si="72"/>
        <v>-6.1302681992337162E-2</v>
      </c>
    </row>
    <row r="542" spans="1:8">
      <c r="A542" s="44" t="s">
        <v>72</v>
      </c>
      <c r="B542" s="45">
        <f>B543+B544+B545+B546+B547</f>
        <v>60800</v>
      </c>
      <c r="C542" s="45">
        <f>C543+C544+C545+C546+C547</f>
        <v>-4000</v>
      </c>
      <c r="D542" s="45">
        <f>D543+D544+D545+D546+D547</f>
        <v>2500</v>
      </c>
      <c r="E542" s="45">
        <f t="shared" si="71"/>
        <v>59300</v>
      </c>
      <c r="F542" s="45">
        <f>F543+F544+F545+F546+F547</f>
        <v>53800</v>
      </c>
      <c r="G542" s="45">
        <f t="shared" si="73"/>
        <v>-5500</v>
      </c>
      <c r="H542" s="47">
        <f t="shared" si="72"/>
        <v>-9.274873524451939E-2</v>
      </c>
    </row>
    <row r="543" spans="1:8" ht="25.5">
      <c r="A543" s="51" t="s">
        <v>107</v>
      </c>
      <c r="B543" s="52">
        <v>34000</v>
      </c>
      <c r="C543" s="52"/>
      <c r="D543" s="52">
        <v>3500</v>
      </c>
      <c r="E543" s="52">
        <f t="shared" si="71"/>
        <v>37500</v>
      </c>
      <c r="F543" s="52">
        <v>36000</v>
      </c>
      <c r="G543" s="52">
        <f t="shared" si="73"/>
        <v>-1500</v>
      </c>
      <c r="H543" s="53">
        <f t="shared" si="72"/>
        <v>-0.04</v>
      </c>
    </row>
    <row r="544" spans="1:8">
      <c r="A544" s="48" t="s">
        <v>95</v>
      </c>
      <c r="B544" s="49">
        <v>16000</v>
      </c>
      <c r="C544" s="49"/>
      <c r="D544" s="49">
        <v>-4000</v>
      </c>
      <c r="E544" s="49">
        <f t="shared" si="71"/>
        <v>12000</v>
      </c>
      <c r="F544" s="49">
        <v>10000</v>
      </c>
      <c r="G544" s="49">
        <f t="shared" si="73"/>
        <v>-2000</v>
      </c>
      <c r="H544" s="50">
        <f t="shared" si="72"/>
        <v>-0.16666666666666666</v>
      </c>
    </row>
    <row r="545" spans="1:8">
      <c r="A545" s="48" t="s">
        <v>86</v>
      </c>
      <c r="B545" s="49">
        <v>500</v>
      </c>
      <c r="C545" s="49"/>
      <c r="D545" s="49"/>
      <c r="E545" s="49">
        <f t="shared" si="71"/>
        <v>500</v>
      </c>
      <c r="F545" s="49">
        <v>500</v>
      </c>
      <c r="G545" s="49">
        <f t="shared" si="73"/>
        <v>0</v>
      </c>
      <c r="H545" s="50">
        <f t="shared" si="72"/>
        <v>0</v>
      </c>
    </row>
    <row r="546" spans="1:8">
      <c r="A546" s="48" t="s">
        <v>201</v>
      </c>
      <c r="B546" s="49">
        <v>10000</v>
      </c>
      <c r="C546" s="49">
        <v>-4000</v>
      </c>
      <c r="D546" s="49"/>
      <c r="E546" s="49">
        <f t="shared" si="71"/>
        <v>6000</v>
      </c>
      <c r="F546" s="49">
        <v>7000</v>
      </c>
      <c r="G546" s="49">
        <f t="shared" si="73"/>
        <v>1000</v>
      </c>
      <c r="H546" s="50">
        <f t="shared" si="72"/>
        <v>0.16666666666666666</v>
      </c>
    </row>
    <row r="547" spans="1:8">
      <c r="A547" s="48" t="s">
        <v>93</v>
      </c>
      <c r="B547" s="49">
        <v>300</v>
      </c>
      <c r="C547" s="49"/>
      <c r="D547" s="49">
        <v>3000</v>
      </c>
      <c r="E547" s="49">
        <f t="shared" si="71"/>
        <v>3300</v>
      </c>
      <c r="F547" s="49">
        <v>300</v>
      </c>
      <c r="G547" s="49">
        <f t="shared" si="73"/>
        <v>-3000</v>
      </c>
      <c r="H547" s="50">
        <f t="shared" si="72"/>
        <v>-0.90909090909090906</v>
      </c>
    </row>
    <row r="548" spans="1:8">
      <c r="A548" s="44" t="s">
        <v>74</v>
      </c>
      <c r="B548" s="45">
        <f>SUM(B549:B552)</f>
        <v>19400</v>
      </c>
      <c r="C548" s="45">
        <f>SUM(C549:C552)</f>
        <v>0</v>
      </c>
      <c r="D548" s="45">
        <f>SUM(D549:D552)</f>
        <v>-400</v>
      </c>
      <c r="E548" s="45">
        <f t="shared" si="71"/>
        <v>19000</v>
      </c>
      <c r="F548" s="45">
        <f>SUM(F549:F552)</f>
        <v>19700</v>
      </c>
      <c r="G548" s="45">
        <f t="shared" si="73"/>
        <v>700</v>
      </c>
      <c r="H548" s="47">
        <f t="shared" si="72"/>
        <v>3.6842105263157891E-2</v>
      </c>
    </row>
    <row r="549" spans="1:8">
      <c r="A549" s="51" t="s">
        <v>84</v>
      </c>
      <c r="B549" s="52">
        <v>100</v>
      </c>
      <c r="C549" s="52"/>
      <c r="D549" s="52"/>
      <c r="E549" s="52">
        <f t="shared" si="71"/>
        <v>100</v>
      </c>
      <c r="F549" s="52"/>
      <c r="G549" s="52">
        <f t="shared" si="73"/>
        <v>-100</v>
      </c>
      <c r="H549" s="53" t="str">
        <f t="shared" si="72"/>
        <v/>
      </c>
    </row>
    <row r="550" spans="1:8" ht="25.5">
      <c r="A550" s="51" t="s">
        <v>97</v>
      </c>
      <c r="B550" s="52">
        <v>18100</v>
      </c>
      <c r="C550" s="52"/>
      <c r="D550" s="52"/>
      <c r="E550" s="52">
        <f t="shared" si="71"/>
        <v>18100</v>
      </c>
      <c r="F550" s="52">
        <v>19000</v>
      </c>
      <c r="G550" s="52">
        <f t="shared" si="73"/>
        <v>900</v>
      </c>
      <c r="H550" s="53">
        <f t="shared" si="72"/>
        <v>4.9723756906077346E-2</v>
      </c>
    </row>
    <row r="551" spans="1:8" ht="25.5">
      <c r="A551" s="51" t="s">
        <v>98</v>
      </c>
      <c r="B551" s="52">
        <v>200</v>
      </c>
      <c r="C551" s="52"/>
      <c r="D551" s="52"/>
      <c r="E551" s="52">
        <f t="shared" si="71"/>
        <v>200</v>
      </c>
      <c r="F551" s="52">
        <v>100</v>
      </c>
      <c r="G551" s="52">
        <f t="shared" si="73"/>
        <v>-100</v>
      </c>
      <c r="H551" s="53">
        <f t="shared" si="72"/>
        <v>-0.5</v>
      </c>
    </row>
    <row r="552" spans="1:8">
      <c r="A552" s="51" t="s">
        <v>99</v>
      </c>
      <c r="B552" s="52">
        <v>1000</v>
      </c>
      <c r="C552" s="52"/>
      <c r="D552" s="52">
        <v>-400</v>
      </c>
      <c r="E552" s="52">
        <f t="shared" si="71"/>
        <v>600</v>
      </c>
      <c r="F552" s="52">
        <v>600</v>
      </c>
      <c r="G552" s="52">
        <f t="shared" si="73"/>
        <v>0</v>
      </c>
      <c r="H552" s="53">
        <f t="shared" si="72"/>
        <v>0</v>
      </c>
    </row>
    <row r="553" spans="1:8">
      <c r="A553" s="51"/>
      <c r="B553" s="52"/>
      <c r="C553" s="52"/>
      <c r="D553" s="52"/>
      <c r="E553" s="52">
        <f t="shared" si="71"/>
        <v>0</v>
      </c>
      <c r="G553" s="52">
        <f t="shared" si="73"/>
        <v>0</v>
      </c>
      <c r="H553" s="53" t="str">
        <f t="shared" si="72"/>
        <v/>
      </c>
    </row>
    <row r="554" spans="1:8">
      <c r="A554" s="40" t="s">
        <v>202</v>
      </c>
      <c r="B554" s="41">
        <f>B556+B570</f>
        <v>249450</v>
      </c>
      <c r="C554" s="41"/>
      <c r="D554" s="41">
        <f>D556+D570</f>
        <v>24565</v>
      </c>
      <c r="E554" s="41">
        <f t="shared" si="71"/>
        <v>274015</v>
      </c>
      <c r="F554" s="41">
        <f>F556+F570</f>
        <v>272980</v>
      </c>
      <c r="G554" s="41">
        <f t="shared" si="73"/>
        <v>-1035</v>
      </c>
      <c r="H554" s="43">
        <f t="shared" si="72"/>
        <v>-3.7771654836414063E-3</v>
      </c>
    </row>
    <row r="555" spans="1:8">
      <c r="A555" s="54"/>
      <c r="B555" s="55"/>
      <c r="C555" s="55"/>
      <c r="D555" s="55"/>
      <c r="E555" s="55">
        <f t="shared" si="71"/>
        <v>0</v>
      </c>
      <c r="F555" s="55"/>
      <c r="G555" s="55">
        <f t="shared" si="73"/>
        <v>0</v>
      </c>
      <c r="H555" s="56" t="str">
        <f t="shared" si="72"/>
        <v/>
      </c>
    </row>
    <row r="556" spans="1:8">
      <c r="A556" s="44" t="s">
        <v>203</v>
      </c>
      <c r="B556" s="45">
        <f>B557+B560+B563+B566</f>
        <v>223250</v>
      </c>
      <c r="C556" s="45"/>
      <c r="D556" s="45">
        <f>D557+D560+D563+D566</f>
        <v>20075</v>
      </c>
      <c r="E556" s="45">
        <f t="shared" si="71"/>
        <v>243325</v>
      </c>
      <c r="F556" s="45">
        <f>F557+F560+F563+F566</f>
        <v>243760</v>
      </c>
      <c r="G556" s="45">
        <f t="shared" si="73"/>
        <v>435</v>
      </c>
      <c r="H556" s="47">
        <f t="shared" si="72"/>
        <v>1.7877324565909792E-3</v>
      </c>
    </row>
    <row r="557" spans="1:8">
      <c r="A557" s="44" t="s">
        <v>125</v>
      </c>
      <c r="B557" s="45">
        <f>SUM(B558:B559)</f>
        <v>30550</v>
      </c>
      <c r="C557" s="45"/>
      <c r="D557" s="45">
        <f>SUM(D558:D559)</f>
        <v>-2000</v>
      </c>
      <c r="E557" s="45">
        <f t="shared" si="71"/>
        <v>28550</v>
      </c>
      <c r="F557" s="45">
        <f>SUM(F558:F559)</f>
        <v>28400</v>
      </c>
      <c r="G557" s="45">
        <f t="shared" si="73"/>
        <v>-150</v>
      </c>
      <c r="H557" s="47">
        <f t="shared" si="72"/>
        <v>-5.2539404553415062E-3</v>
      </c>
    </row>
    <row r="558" spans="1:8">
      <c r="A558" s="48" t="s">
        <v>126</v>
      </c>
      <c r="B558" s="49">
        <v>13800</v>
      </c>
      <c r="C558" s="49"/>
      <c r="D558" s="49">
        <v>-200</v>
      </c>
      <c r="E558" s="49">
        <f t="shared" si="71"/>
        <v>13600</v>
      </c>
      <c r="F558" s="49">
        <v>13700</v>
      </c>
      <c r="G558" s="49">
        <f t="shared" si="73"/>
        <v>100</v>
      </c>
      <c r="H558" s="50">
        <f t="shared" si="72"/>
        <v>7.3529411764705881E-3</v>
      </c>
    </row>
    <row r="559" spans="1:8">
      <c r="A559" s="48" t="s">
        <v>59</v>
      </c>
      <c r="B559" s="49">
        <v>16750</v>
      </c>
      <c r="C559" s="49"/>
      <c r="D559" s="49">
        <v>-1800</v>
      </c>
      <c r="E559" s="49">
        <f t="shared" si="71"/>
        <v>14950</v>
      </c>
      <c r="F559" s="49">
        <v>14700</v>
      </c>
      <c r="G559" s="49">
        <f t="shared" si="73"/>
        <v>-250</v>
      </c>
      <c r="H559" s="50">
        <f t="shared" si="72"/>
        <v>-1.6722408026755852E-2</v>
      </c>
    </row>
    <row r="560" spans="1:8">
      <c r="A560" s="44" t="s">
        <v>57</v>
      </c>
      <c r="B560" s="45">
        <f>SUM(B561:B562)</f>
        <v>26010</v>
      </c>
      <c r="C560" s="45"/>
      <c r="D560" s="45">
        <f>SUM(D561:D562)</f>
        <v>0</v>
      </c>
      <c r="E560" s="45">
        <f t="shared" si="71"/>
        <v>26010</v>
      </c>
      <c r="F560" s="45">
        <f>SUM(F561:F562)</f>
        <v>26010</v>
      </c>
      <c r="G560" s="45">
        <f t="shared" si="73"/>
        <v>0</v>
      </c>
      <c r="H560" s="47">
        <f t="shared" si="72"/>
        <v>0</v>
      </c>
    </row>
    <row r="561" spans="1:8">
      <c r="A561" s="48" t="s">
        <v>58</v>
      </c>
      <c r="B561" s="49">
        <v>24510</v>
      </c>
      <c r="C561" s="49"/>
      <c r="D561" s="49"/>
      <c r="E561" s="49">
        <f t="shared" si="71"/>
        <v>24510</v>
      </c>
      <c r="F561" s="49">
        <v>24510</v>
      </c>
      <c r="G561" s="49">
        <f t="shared" si="73"/>
        <v>0</v>
      </c>
      <c r="H561" s="50">
        <f t="shared" si="72"/>
        <v>0</v>
      </c>
    </row>
    <row r="562" spans="1:8">
      <c r="A562" s="48" t="s">
        <v>59</v>
      </c>
      <c r="B562" s="49">
        <v>1500</v>
      </c>
      <c r="C562" s="49"/>
      <c r="D562" s="49"/>
      <c r="E562" s="49">
        <f t="shared" si="71"/>
        <v>1500</v>
      </c>
      <c r="F562" s="49">
        <v>1500</v>
      </c>
      <c r="G562" s="49">
        <f t="shared" si="73"/>
        <v>0</v>
      </c>
      <c r="H562" s="50">
        <f t="shared" si="72"/>
        <v>0</v>
      </c>
    </row>
    <row r="563" spans="1:8">
      <c r="A563" s="44" t="s">
        <v>33</v>
      </c>
      <c r="B563" s="45">
        <f>B564</f>
        <v>20800</v>
      </c>
      <c r="C563" s="45"/>
      <c r="D563" s="45">
        <f>D564+D565</f>
        <v>12175</v>
      </c>
      <c r="E563" s="45">
        <f t="shared" si="71"/>
        <v>32975</v>
      </c>
      <c r="F563" s="45">
        <f>F564+F565</f>
        <v>30000</v>
      </c>
      <c r="G563" s="45">
        <f t="shared" si="73"/>
        <v>-2975</v>
      </c>
      <c r="H563" s="47">
        <f t="shared" si="72"/>
        <v>-9.0219863532979533E-2</v>
      </c>
    </row>
    <row r="564" spans="1:8">
      <c r="A564" s="51" t="s">
        <v>189</v>
      </c>
      <c r="B564" s="52">
        <v>20800</v>
      </c>
      <c r="C564" s="52"/>
      <c r="D564" s="52">
        <v>7350</v>
      </c>
      <c r="E564" s="52">
        <f t="shared" si="71"/>
        <v>28150</v>
      </c>
      <c r="F564" s="52">
        <f>24800+3000</f>
        <v>27800</v>
      </c>
      <c r="G564" s="52">
        <f t="shared" si="73"/>
        <v>-350</v>
      </c>
      <c r="H564" s="53">
        <f t="shared" si="72"/>
        <v>-1.2433392539964476E-2</v>
      </c>
    </row>
    <row r="565" spans="1:8">
      <c r="A565" s="51" t="s">
        <v>1009</v>
      </c>
      <c r="B565" s="52"/>
      <c r="C565" s="52"/>
      <c r="D565" s="52">
        <v>4825</v>
      </c>
      <c r="E565" s="52">
        <f t="shared" si="71"/>
        <v>4825</v>
      </c>
      <c r="F565" s="52">
        <v>2200</v>
      </c>
      <c r="G565" s="52"/>
      <c r="H565" s="53"/>
    </row>
    <row r="566" spans="1:8">
      <c r="A566" s="44" t="s">
        <v>61</v>
      </c>
      <c r="B566" s="45">
        <f>SUM(B567:B568)</f>
        <v>145890</v>
      </c>
      <c r="C566" s="45"/>
      <c r="D566" s="45">
        <f>SUM(D567:D568)</f>
        <v>9900</v>
      </c>
      <c r="E566" s="45">
        <f t="shared" si="71"/>
        <v>155790</v>
      </c>
      <c r="F566" s="45">
        <f>SUM(F567:F568)</f>
        <v>159350</v>
      </c>
      <c r="G566" s="45">
        <f t="shared" si="73"/>
        <v>3560</v>
      </c>
      <c r="H566" s="47">
        <f t="shared" si="72"/>
        <v>2.2851274151100841E-2</v>
      </c>
    </row>
    <row r="567" spans="1:8">
      <c r="A567" s="48" t="s">
        <v>156</v>
      </c>
      <c r="B567" s="49">
        <v>140390</v>
      </c>
      <c r="C567" s="49"/>
      <c r="D567" s="49">
        <v>9900</v>
      </c>
      <c r="E567" s="49">
        <f t="shared" si="71"/>
        <v>150290</v>
      </c>
      <c r="F567" s="49">
        <v>153850</v>
      </c>
      <c r="G567" s="49">
        <f t="shared" si="73"/>
        <v>3560</v>
      </c>
      <c r="H567" s="50">
        <f t="shared" si="72"/>
        <v>2.3687537427639897E-2</v>
      </c>
    </row>
    <row r="568" spans="1:8">
      <c r="A568" s="51" t="s">
        <v>204</v>
      </c>
      <c r="B568" s="52">
        <v>5500</v>
      </c>
      <c r="C568" s="52"/>
      <c r="D568" s="52"/>
      <c r="E568" s="52">
        <f t="shared" si="71"/>
        <v>5500</v>
      </c>
      <c r="F568" s="52">
        <v>5500</v>
      </c>
      <c r="G568" s="52">
        <f t="shared" si="73"/>
        <v>0</v>
      </c>
      <c r="H568" s="53">
        <f t="shared" si="72"/>
        <v>0</v>
      </c>
    </row>
    <row r="569" spans="1:8">
      <c r="A569" s="44"/>
      <c r="B569" s="45"/>
      <c r="C569" s="45"/>
      <c r="D569" s="45"/>
      <c r="E569" s="45">
        <f t="shared" si="71"/>
        <v>0</v>
      </c>
      <c r="F569" s="45"/>
      <c r="G569" s="45">
        <f t="shared" si="73"/>
        <v>0</v>
      </c>
      <c r="H569" s="47" t="str">
        <f t="shared" si="72"/>
        <v/>
      </c>
    </row>
    <row r="570" spans="1:8">
      <c r="A570" s="515" t="s">
        <v>1010</v>
      </c>
      <c r="B570" s="45">
        <f>B571</f>
        <v>26200</v>
      </c>
      <c r="C570" s="45"/>
      <c r="D570" s="45">
        <f>D571+D575</f>
        <v>4490</v>
      </c>
      <c r="E570" s="45">
        <f t="shared" si="71"/>
        <v>30690</v>
      </c>
      <c r="F570" s="45">
        <f>F571+F575</f>
        <v>29220</v>
      </c>
      <c r="G570" s="45">
        <f t="shared" si="73"/>
        <v>-1470</v>
      </c>
      <c r="H570" s="47">
        <f t="shared" si="72"/>
        <v>-4.7898338220918865E-2</v>
      </c>
    </row>
    <row r="571" spans="1:8">
      <c r="A571" s="44" t="s">
        <v>139</v>
      </c>
      <c r="B571" s="45">
        <f>SUM(B572:B574)</f>
        <v>26200</v>
      </c>
      <c r="C571" s="45"/>
      <c r="D571" s="45">
        <f>SUM(D572:D574)</f>
        <v>1200</v>
      </c>
      <c r="E571" s="45">
        <f t="shared" si="71"/>
        <v>27400</v>
      </c>
      <c r="F571" s="45">
        <f>SUM(F572:F574)</f>
        <v>27000</v>
      </c>
      <c r="G571" s="45">
        <f t="shared" si="73"/>
        <v>-400</v>
      </c>
      <c r="H571" s="47">
        <f t="shared" si="72"/>
        <v>-1.4598540145985401E-2</v>
      </c>
    </row>
    <row r="572" spans="1:8">
      <c r="A572" s="51" t="s">
        <v>66</v>
      </c>
      <c r="B572" s="52">
        <v>11000</v>
      </c>
      <c r="C572" s="52"/>
      <c r="D572" s="52">
        <v>900</v>
      </c>
      <c r="E572" s="52">
        <f t="shared" si="71"/>
        <v>11900</v>
      </c>
      <c r="F572" s="52">
        <v>11000</v>
      </c>
      <c r="G572" s="52">
        <f t="shared" si="73"/>
        <v>-900</v>
      </c>
      <c r="H572" s="53">
        <f t="shared" si="72"/>
        <v>-7.5630252100840331E-2</v>
      </c>
    </row>
    <row r="573" spans="1:8">
      <c r="A573" s="57" t="s">
        <v>141</v>
      </c>
      <c r="B573" s="58">
        <v>11000</v>
      </c>
      <c r="C573" s="58"/>
      <c r="D573" s="58">
        <v>-200</v>
      </c>
      <c r="E573" s="58">
        <f t="shared" si="71"/>
        <v>10800</v>
      </c>
      <c r="F573" s="58">
        <v>11000</v>
      </c>
      <c r="G573" s="58">
        <f t="shared" si="73"/>
        <v>200</v>
      </c>
      <c r="H573" s="59">
        <f t="shared" si="72"/>
        <v>1.8518518518518517E-2</v>
      </c>
    </row>
    <row r="574" spans="1:8">
      <c r="A574" s="48" t="s">
        <v>192</v>
      </c>
      <c r="B574" s="49">
        <v>4200</v>
      </c>
      <c r="C574" s="49"/>
      <c r="D574" s="49">
        <v>500</v>
      </c>
      <c r="E574" s="49">
        <f t="shared" si="71"/>
        <v>4700</v>
      </c>
      <c r="F574" s="49">
        <v>5000</v>
      </c>
      <c r="G574" s="49">
        <f t="shared" si="73"/>
        <v>300</v>
      </c>
      <c r="H574" s="50">
        <f t="shared" si="72"/>
        <v>6.3829787234042548E-2</v>
      </c>
    </row>
    <row r="575" spans="1:8">
      <c r="A575" s="515" t="s">
        <v>74</v>
      </c>
      <c r="B575" s="49"/>
      <c r="C575" s="49"/>
      <c r="D575" s="49">
        <f>D576+D577</f>
        <v>3290</v>
      </c>
      <c r="E575" s="49">
        <f t="shared" si="71"/>
        <v>3290</v>
      </c>
      <c r="F575" s="49">
        <f>F576+F577</f>
        <v>2220</v>
      </c>
      <c r="G575" s="49"/>
      <c r="H575" s="50"/>
    </row>
    <row r="576" spans="1:8" ht="25.5">
      <c r="A576" s="514" t="s">
        <v>97</v>
      </c>
      <c r="B576" s="49"/>
      <c r="C576" s="49"/>
      <c r="D576" s="49">
        <v>100</v>
      </c>
      <c r="E576" s="49">
        <f t="shared" si="71"/>
        <v>100</v>
      </c>
      <c r="F576" s="49">
        <v>200</v>
      </c>
      <c r="G576" s="49"/>
      <c r="H576" s="50"/>
    </row>
    <row r="577" spans="1:8">
      <c r="A577" s="514" t="s">
        <v>99</v>
      </c>
      <c r="B577" s="49"/>
      <c r="C577" s="49"/>
      <c r="D577" s="49">
        <v>3190</v>
      </c>
      <c r="E577" s="49">
        <f t="shared" si="71"/>
        <v>3190</v>
      </c>
      <c r="F577" s="49">
        <v>2020</v>
      </c>
      <c r="G577" s="49"/>
      <c r="H577" s="50"/>
    </row>
    <row r="578" spans="1:8">
      <c r="A578" s="48"/>
      <c r="B578" s="49"/>
      <c r="C578" s="49"/>
      <c r="D578" s="49"/>
      <c r="E578" s="49">
        <f t="shared" si="71"/>
        <v>0</v>
      </c>
      <c r="G578" s="49"/>
      <c r="H578" s="50"/>
    </row>
    <row r="579" spans="1:8">
      <c r="A579" s="51"/>
      <c r="B579" s="52"/>
      <c r="C579" s="52"/>
      <c r="D579" s="52"/>
      <c r="E579" s="52">
        <f t="shared" si="71"/>
        <v>0</v>
      </c>
      <c r="G579" s="52">
        <f t="shared" si="73"/>
        <v>0</v>
      </c>
      <c r="H579" s="53" t="str">
        <f t="shared" si="72"/>
        <v/>
      </c>
    </row>
    <row r="580" spans="1:8">
      <c r="A580" s="40" t="s">
        <v>205</v>
      </c>
      <c r="B580" s="41">
        <f>B582+B596+B603+B613+B619+B625</f>
        <v>1334935</v>
      </c>
      <c r="C580" s="41">
        <f>C582+C596+C603+C613+C619+C625+C633</f>
        <v>28275</v>
      </c>
      <c r="D580" s="41">
        <f>D582+D596+D603+D613+D619+D625+D633</f>
        <v>50160</v>
      </c>
      <c r="E580" s="41">
        <f t="shared" si="71"/>
        <v>1413370</v>
      </c>
      <c r="F580" s="41">
        <f>F582+F596+F603+F613+F619+F625+F633</f>
        <v>1408020</v>
      </c>
      <c r="G580" s="41">
        <f t="shared" si="73"/>
        <v>-5350</v>
      </c>
      <c r="H580" s="43">
        <f t="shared" si="72"/>
        <v>-3.7852791554936075E-3</v>
      </c>
    </row>
    <row r="581" spans="1:8">
      <c r="A581" s="54"/>
      <c r="B581" s="55"/>
      <c r="C581" s="55"/>
      <c r="D581" s="55"/>
      <c r="E581" s="55">
        <f t="shared" ref="E581:E644" si="74">SUM(B581:D581)</f>
        <v>0</v>
      </c>
      <c r="F581" s="55"/>
      <c r="G581" s="55">
        <f t="shared" si="73"/>
        <v>0</v>
      </c>
      <c r="H581" s="56" t="str">
        <f t="shared" si="72"/>
        <v/>
      </c>
    </row>
    <row r="582" spans="1:8">
      <c r="A582" s="44" t="s">
        <v>206</v>
      </c>
      <c r="B582" s="45">
        <f>B583+B586+B589+B593</f>
        <v>964595</v>
      </c>
      <c r="C582" s="45">
        <f>C583+C586+C589+C593</f>
        <v>500</v>
      </c>
      <c r="D582" s="45">
        <f>D583+D586+D589+D593</f>
        <v>19620</v>
      </c>
      <c r="E582" s="45">
        <f t="shared" si="74"/>
        <v>984715</v>
      </c>
      <c r="F582" s="45">
        <f>F583+F586+F589+F593</f>
        <v>979940</v>
      </c>
      <c r="G582" s="45">
        <f t="shared" si="73"/>
        <v>-4775</v>
      </c>
      <c r="H582" s="47">
        <f t="shared" si="72"/>
        <v>-4.8491187805608732E-3</v>
      </c>
    </row>
    <row r="583" spans="1:8">
      <c r="A583" s="44" t="s">
        <v>125</v>
      </c>
      <c r="B583" s="45">
        <f>SUM(B584:B585)</f>
        <v>513800</v>
      </c>
      <c r="C583" s="45">
        <f>SUM(C584:C585)</f>
        <v>0</v>
      </c>
      <c r="D583" s="45">
        <f>SUM(D584:D585)</f>
        <v>0</v>
      </c>
      <c r="E583" s="45">
        <f t="shared" si="74"/>
        <v>513800</v>
      </c>
      <c r="F583" s="45">
        <f>SUM(F584:F585)</f>
        <v>500300</v>
      </c>
      <c r="G583" s="45">
        <f t="shared" si="73"/>
        <v>-13500</v>
      </c>
      <c r="H583" s="47">
        <f t="shared" si="72"/>
        <v>-2.6274815103152979E-2</v>
      </c>
    </row>
    <row r="584" spans="1:8">
      <c r="A584" s="48" t="s">
        <v>126</v>
      </c>
      <c r="B584" s="49">
        <v>179800</v>
      </c>
      <c r="C584" s="49"/>
      <c r="D584" s="49"/>
      <c r="E584" s="49">
        <f t="shared" si="74"/>
        <v>179800</v>
      </c>
      <c r="F584" s="49">
        <v>180300</v>
      </c>
      <c r="G584" s="49">
        <f t="shared" si="73"/>
        <v>500</v>
      </c>
      <c r="H584" s="50">
        <f t="shared" si="72"/>
        <v>2.7808676307007787E-3</v>
      </c>
    </row>
    <row r="585" spans="1:8">
      <c r="A585" s="48" t="s">
        <v>59</v>
      </c>
      <c r="B585" s="49">
        <v>334000</v>
      </c>
      <c r="C585" s="49"/>
      <c r="D585" s="49"/>
      <c r="E585" s="49">
        <f t="shared" si="74"/>
        <v>334000</v>
      </c>
      <c r="F585" s="49">
        <v>320000</v>
      </c>
      <c r="G585" s="49">
        <f t="shared" si="73"/>
        <v>-14000</v>
      </c>
      <c r="H585" s="50">
        <f t="shared" si="72"/>
        <v>-4.1916167664670656E-2</v>
      </c>
    </row>
    <row r="586" spans="1:8">
      <c r="A586" s="44" t="s">
        <v>57</v>
      </c>
      <c r="B586" s="45">
        <f>SUM(B587:B588)</f>
        <v>142875</v>
      </c>
      <c r="C586" s="45">
        <f>SUM(C587:C588)</f>
        <v>0</v>
      </c>
      <c r="D586" s="45">
        <f>SUM(D587:D588)</f>
        <v>-4520</v>
      </c>
      <c r="E586" s="45">
        <f t="shared" si="74"/>
        <v>138355</v>
      </c>
      <c r="F586" s="45">
        <f>SUM(F587:F588)</f>
        <v>135520</v>
      </c>
      <c r="G586" s="45">
        <f t="shared" si="73"/>
        <v>-2835</v>
      </c>
      <c r="H586" s="47">
        <f t="shared" si="72"/>
        <v>-2.0490766506450799E-2</v>
      </c>
    </row>
    <row r="587" spans="1:8">
      <c r="A587" s="48" t="s">
        <v>58</v>
      </c>
      <c r="B587" s="49">
        <v>104375</v>
      </c>
      <c r="C587" s="49"/>
      <c r="D587" s="49">
        <v>-8020</v>
      </c>
      <c r="E587" s="49">
        <f t="shared" si="74"/>
        <v>96355</v>
      </c>
      <c r="F587" s="49">
        <v>97020</v>
      </c>
      <c r="G587" s="49">
        <f t="shared" si="73"/>
        <v>665</v>
      </c>
      <c r="H587" s="50">
        <f t="shared" si="72"/>
        <v>6.9015619324373414E-3</v>
      </c>
    </row>
    <row r="588" spans="1:8">
      <c r="A588" s="48" t="s">
        <v>59</v>
      </c>
      <c r="B588" s="49">
        <v>38500</v>
      </c>
      <c r="C588" s="49"/>
      <c r="D588" s="49">
        <v>3500</v>
      </c>
      <c r="E588" s="49">
        <f t="shared" si="74"/>
        <v>42000</v>
      </c>
      <c r="F588" s="49">
        <v>38500</v>
      </c>
      <c r="G588" s="49">
        <f t="shared" si="73"/>
        <v>-3500</v>
      </c>
      <c r="H588" s="50">
        <f t="shared" si="72"/>
        <v>-8.3333333333333329E-2</v>
      </c>
    </row>
    <row r="589" spans="1:8">
      <c r="A589" s="44" t="s">
        <v>33</v>
      </c>
      <c r="B589" s="45">
        <f>SUM(B590:B592)</f>
        <v>183150</v>
      </c>
      <c r="C589" s="45">
        <f>SUM(C590:C592)</f>
        <v>500</v>
      </c>
      <c r="D589" s="45">
        <f>SUM(D590:D592)</f>
        <v>6710</v>
      </c>
      <c r="E589" s="45">
        <f t="shared" si="74"/>
        <v>190360</v>
      </c>
      <c r="F589" s="45">
        <f>SUM(F590:F592)</f>
        <v>199120</v>
      </c>
      <c r="G589" s="45">
        <f t="shared" si="73"/>
        <v>8760</v>
      </c>
      <c r="H589" s="47">
        <f t="shared" si="72"/>
        <v>4.6018071023324225E-2</v>
      </c>
    </row>
    <row r="590" spans="1:8">
      <c r="A590" s="51" t="s">
        <v>189</v>
      </c>
      <c r="B590" s="52">
        <v>93000</v>
      </c>
      <c r="C590" s="52"/>
      <c r="D590" s="52">
        <v>2170</v>
      </c>
      <c r="E590" s="52">
        <f t="shared" si="74"/>
        <v>95170</v>
      </c>
      <c r="F590" s="52">
        <f>85480+4520</f>
        <v>90000</v>
      </c>
      <c r="G590" s="52">
        <f t="shared" si="73"/>
        <v>-5170</v>
      </c>
      <c r="H590" s="53">
        <f t="shared" si="72"/>
        <v>-5.4323841546705894E-2</v>
      </c>
    </row>
    <row r="591" spans="1:8">
      <c r="A591" s="51" t="s">
        <v>112</v>
      </c>
      <c r="B591" s="52">
        <v>90000</v>
      </c>
      <c r="C591" s="52"/>
      <c r="D591" s="52">
        <v>4540</v>
      </c>
      <c r="E591" s="52">
        <f t="shared" si="74"/>
        <v>94540</v>
      </c>
      <c r="F591" s="52">
        <v>108470</v>
      </c>
      <c r="G591" s="52">
        <f t="shared" si="73"/>
        <v>13930</v>
      </c>
      <c r="H591" s="53">
        <f t="shared" si="72"/>
        <v>0.14734503913687327</v>
      </c>
    </row>
    <row r="592" spans="1:8">
      <c r="A592" s="78" t="s">
        <v>158</v>
      </c>
      <c r="B592" s="52">
        <v>150</v>
      </c>
      <c r="C592" s="52">
        <v>500</v>
      </c>
      <c r="D592" s="52"/>
      <c r="E592" s="52">
        <f t="shared" si="74"/>
        <v>650</v>
      </c>
      <c r="F592" s="52">
        <v>650</v>
      </c>
      <c r="G592" s="52">
        <f t="shared" si="73"/>
        <v>0</v>
      </c>
      <c r="H592" s="53">
        <f t="shared" si="72"/>
        <v>0</v>
      </c>
    </row>
    <row r="593" spans="1:8">
      <c r="A593" s="44" t="s">
        <v>61</v>
      </c>
      <c r="B593" s="45">
        <f>B594</f>
        <v>124770</v>
      </c>
      <c r="C593" s="45">
        <f>C594</f>
        <v>0</v>
      </c>
      <c r="D593" s="45">
        <f>D594</f>
        <v>17430</v>
      </c>
      <c r="E593" s="45">
        <f t="shared" si="74"/>
        <v>142200</v>
      </c>
      <c r="F593" s="45">
        <f>F594</f>
        <v>145000</v>
      </c>
      <c r="G593" s="45">
        <f t="shared" si="73"/>
        <v>2800</v>
      </c>
      <c r="H593" s="47">
        <f t="shared" si="72"/>
        <v>1.969057665260197E-2</v>
      </c>
    </row>
    <row r="594" spans="1:8">
      <c r="A594" s="48" t="s">
        <v>156</v>
      </c>
      <c r="B594" s="49">
        <v>124770</v>
      </c>
      <c r="C594" s="49"/>
      <c r="D594" s="49">
        <v>17430</v>
      </c>
      <c r="E594" s="49">
        <f t="shared" si="74"/>
        <v>142200</v>
      </c>
      <c r="F594" s="49">
        <v>145000</v>
      </c>
      <c r="G594" s="49">
        <f t="shared" si="73"/>
        <v>2800</v>
      </c>
      <c r="H594" s="50">
        <f t="shared" si="72"/>
        <v>1.969057665260197E-2</v>
      </c>
    </row>
    <row r="595" spans="1:8">
      <c r="A595" s="51"/>
      <c r="B595" s="52"/>
      <c r="C595" s="52"/>
      <c r="D595" s="52"/>
      <c r="E595" s="52">
        <f t="shared" si="74"/>
        <v>0</v>
      </c>
      <c r="F595" s="52"/>
      <c r="G595" s="52">
        <f t="shared" si="73"/>
        <v>0</v>
      </c>
      <c r="H595" s="53" t="str">
        <f t="shared" si="72"/>
        <v/>
      </c>
    </row>
    <row r="596" spans="1:8">
      <c r="A596" s="62" t="s">
        <v>207</v>
      </c>
      <c r="B596" s="63">
        <f>B597+B599</f>
        <v>126240</v>
      </c>
      <c r="C596" s="63">
        <f>C597+C599</f>
        <v>0</v>
      </c>
      <c r="D596" s="63">
        <f>D597+D599</f>
        <v>-12235</v>
      </c>
      <c r="E596" s="63">
        <f t="shared" si="74"/>
        <v>114005</v>
      </c>
      <c r="F596" s="63">
        <f>F597+F599</f>
        <v>126840</v>
      </c>
      <c r="G596" s="63">
        <f t="shared" si="73"/>
        <v>12835</v>
      </c>
      <c r="H596" s="64">
        <f t="shared" si="72"/>
        <v>0.11258278145695365</v>
      </c>
    </row>
    <row r="597" spans="1:8">
      <c r="A597" s="44" t="s">
        <v>74</v>
      </c>
      <c r="B597" s="45">
        <f>B598</f>
        <v>69900</v>
      </c>
      <c r="C597" s="45">
        <f>C598</f>
        <v>0</v>
      </c>
      <c r="D597" s="45">
        <f>D598</f>
        <v>-9700</v>
      </c>
      <c r="E597" s="45">
        <f t="shared" si="74"/>
        <v>60200</v>
      </c>
      <c r="F597" s="45">
        <f>F598</f>
        <v>73285</v>
      </c>
      <c r="G597" s="45">
        <f t="shared" si="73"/>
        <v>13085</v>
      </c>
      <c r="H597" s="47">
        <f t="shared" si="72"/>
        <v>0.21735880398671095</v>
      </c>
    </row>
    <row r="598" spans="1:8">
      <c r="A598" s="48" t="s">
        <v>121</v>
      </c>
      <c r="B598" s="49">
        <v>69900</v>
      </c>
      <c r="C598" s="49"/>
      <c r="D598" s="49">
        <v>-9700</v>
      </c>
      <c r="E598" s="49">
        <f t="shared" si="74"/>
        <v>60200</v>
      </c>
      <c r="F598" s="49">
        <v>73285</v>
      </c>
      <c r="G598" s="49">
        <f t="shared" si="73"/>
        <v>13085</v>
      </c>
      <c r="H598" s="50">
        <f t="shared" si="72"/>
        <v>0.21735880398671095</v>
      </c>
    </row>
    <row r="599" spans="1:8">
      <c r="A599" s="44" t="s">
        <v>57</v>
      </c>
      <c r="B599" s="45">
        <f>SUM(B600:B601)</f>
        <v>56340</v>
      </c>
      <c r="C599" s="45">
        <f>SUM(C600:C601)</f>
        <v>0</v>
      </c>
      <c r="D599" s="45">
        <f>SUM(D600:D601)</f>
        <v>-2535</v>
      </c>
      <c r="E599" s="45">
        <f t="shared" si="74"/>
        <v>53805</v>
      </c>
      <c r="F599" s="45">
        <f>SUM(F600:F601)</f>
        <v>53555</v>
      </c>
      <c r="G599" s="45">
        <f t="shared" si="73"/>
        <v>-250</v>
      </c>
      <c r="H599" s="47">
        <f t="shared" ref="H599:H668" si="75">IF(F599=0,"",G599/E599)</f>
        <v>-4.6464083263637211E-3</v>
      </c>
    </row>
    <row r="600" spans="1:8">
      <c r="A600" s="48" t="s">
        <v>58</v>
      </c>
      <c r="B600" s="49">
        <v>46840</v>
      </c>
      <c r="C600" s="49"/>
      <c r="D600" s="49">
        <v>-1855</v>
      </c>
      <c r="E600" s="49">
        <f t="shared" si="74"/>
        <v>44985</v>
      </c>
      <c r="F600" s="49">
        <v>44055</v>
      </c>
      <c r="G600" s="49">
        <f t="shared" ref="G600:G669" si="76">F600-E600</f>
        <v>-930</v>
      </c>
      <c r="H600" s="50">
        <f t="shared" si="75"/>
        <v>-2.0673557852617538E-2</v>
      </c>
    </row>
    <row r="601" spans="1:8">
      <c r="A601" s="48" t="s">
        <v>59</v>
      </c>
      <c r="B601" s="49">
        <v>9500</v>
      </c>
      <c r="C601" s="49"/>
      <c r="D601" s="49">
        <v>-680</v>
      </c>
      <c r="E601" s="49">
        <f t="shared" si="74"/>
        <v>8820</v>
      </c>
      <c r="F601" s="49">
        <v>9500</v>
      </c>
      <c r="G601" s="49">
        <f t="shared" si="76"/>
        <v>680</v>
      </c>
      <c r="H601" s="50">
        <f t="shared" si="75"/>
        <v>7.7097505668934238E-2</v>
      </c>
    </row>
    <row r="602" spans="1:8">
      <c r="A602" s="48"/>
      <c r="B602" s="49"/>
      <c r="C602" s="49"/>
      <c r="D602" s="49"/>
      <c r="E602" s="49">
        <f t="shared" si="74"/>
        <v>0</v>
      </c>
      <c r="F602" s="49"/>
      <c r="G602" s="49">
        <f t="shared" si="76"/>
        <v>0</v>
      </c>
      <c r="H602" s="50" t="str">
        <f t="shared" si="75"/>
        <v/>
      </c>
    </row>
    <row r="603" spans="1:8">
      <c r="A603" s="44" t="s">
        <v>208</v>
      </c>
      <c r="B603" s="45">
        <f>B604+B609</f>
        <v>105200</v>
      </c>
      <c r="C603" s="45">
        <f>C604+C609</f>
        <v>2500</v>
      </c>
      <c r="D603" s="45">
        <f>D604+D609</f>
        <v>19500</v>
      </c>
      <c r="E603" s="45">
        <f t="shared" si="74"/>
        <v>127200</v>
      </c>
      <c r="F603" s="45">
        <f>F604+F609</f>
        <v>118700</v>
      </c>
      <c r="G603" s="45">
        <f t="shared" si="76"/>
        <v>-8500</v>
      </c>
      <c r="H603" s="47">
        <f t="shared" si="75"/>
        <v>-6.6823899371069181E-2</v>
      </c>
    </row>
    <row r="604" spans="1:8">
      <c r="A604" s="44" t="s">
        <v>72</v>
      </c>
      <c r="B604" s="45">
        <f>SUM(B605:B608)</f>
        <v>51000</v>
      </c>
      <c r="C604" s="45">
        <f>SUM(C605:C608)</f>
        <v>2500</v>
      </c>
      <c r="D604" s="45">
        <f>SUM(D605:D608)</f>
        <v>14700</v>
      </c>
      <c r="E604" s="45">
        <f t="shared" si="74"/>
        <v>68200</v>
      </c>
      <c r="F604" s="45">
        <f>SUM(F605:F608)</f>
        <v>59500</v>
      </c>
      <c r="G604" s="45">
        <f t="shared" si="76"/>
        <v>-8700</v>
      </c>
      <c r="H604" s="47">
        <f t="shared" si="75"/>
        <v>-0.12756598240469208</v>
      </c>
    </row>
    <row r="605" spans="1:8">
      <c r="A605" s="48" t="s">
        <v>95</v>
      </c>
      <c r="B605" s="49">
        <v>4000</v>
      </c>
      <c r="C605" s="49">
        <v>2500</v>
      </c>
      <c r="D605" s="49">
        <v>7500</v>
      </c>
      <c r="E605" s="49">
        <f t="shared" si="74"/>
        <v>14000</v>
      </c>
      <c r="F605" s="49">
        <v>6500</v>
      </c>
      <c r="G605" s="49">
        <f t="shared" si="76"/>
        <v>-7500</v>
      </c>
      <c r="H605" s="50">
        <f t="shared" si="75"/>
        <v>-0.5357142857142857</v>
      </c>
    </row>
    <row r="606" spans="1:8">
      <c r="A606" s="516" t="s">
        <v>66</v>
      </c>
      <c r="B606" s="49"/>
      <c r="C606" s="49"/>
      <c r="D606" s="49">
        <v>200</v>
      </c>
      <c r="E606" s="49">
        <f t="shared" si="74"/>
        <v>200</v>
      </c>
      <c r="F606" s="49"/>
      <c r="G606" s="49"/>
      <c r="H606" s="50"/>
    </row>
    <row r="607" spans="1:8" ht="25.5">
      <c r="A607" s="51" t="s">
        <v>107</v>
      </c>
      <c r="B607" s="52">
        <v>40000</v>
      </c>
      <c r="C607" s="52"/>
      <c r="D607" s="52">
        <v>5000</v>
      </c>
      <c r="E607" s="52">
        <f t="shared" si="74"/>
        <v>45000</v>
      </c>
      <c r="F607" s="52">
        <v>45000</v>
      </c>
      <c r="G607" s="52">
        <f t="shared" si="76"/>
        <v>0</v>
      </c>
      <c r="H607" s="53">
        <f t="shared" si="75"/>
        <v>0</v>
      </c>
    </row>
    <row r="608" spans="1:8" ht="25.5">
      <c r="A608" s="51" t="s">
        <v>86</v>
      </c>
      <c r="B608" s="52">
        <v>7000</v>
      </c>
      <c r="C608" s="52"/>
      <c r="D608" s="52">
        <v>2000</v>
      </c>
      <c r="E608" s="52">
        <f t="shared" si="74"/>
        <v>9000</v>
      </c>
      <c r="F608" s="52">
        <v>8000</v>
      </c>
      <c r="G608" s="52">
        <f t="shared" si="76"/>
        <v>-1000</v>
      </c>
      <c r="H608" s="53">
        <f t="shared" si="75"/>
        <v>-0.1111111111111111</v>
      </c>
    </row>
    <row r="609" spans="1:8">
      <c r="A609" s="44" t="s">
        <v>57</v>
      </c>
      <c r="B609" s="45">
        <f>SUM(B610:B611)</f>
        <v>54200</v>
      </c>
      <c r="C609" s="45">
        <f>SUM(C610:C611)</f>
        <v>0</v>
      </c>
      <c r="D609" s="45">
        <f>SUM(D610:D611)</f>
        <v>4800</v>
      </c>
      <c r="E609" s="45">
        <f t="shared" si="74"/>
        <v>59000</v>
      </c>
      <c r="F609" s="45">
        <f>SUM(F610:F611)</f>
        <v>59200</v>
      </c>
      <c r="G609" s="45">
        <f t="shared" si="76"/>
        <v>200</v>
      </c>
      <c r="H609" s="47">
        <f t="shared" si="75"/>
        <v>3.3898305084745762E-3</v>
      </c>
    </row>
    <row r="610" spans="1:8">
      <c r="A610" s="48" t="s">
        <v>58</v>
      </c>
      <c r="B610" s="49">
        <v>39000</v>
      </c>
      <c r="C610" s="49"/>
      <c r="D610" s="49">
        <v>6000</v>
      </c>
      <c r="E610" s="49">
        <f t="shared" si="74"/>
        <v>45000</v>
      </c>
      <c r="F610" s="49">
        <v>45000</v>
      </c>
      <c r="G610" s="49">
        <f t="shared" si="76"/>
        <v>0</v>
      </c>
      <c r="H610" s="50">
        <f t="shared" si="75"/>
        <v>0</v>
      </c>
    </row>
    <row r="611" spans="1:8">
      <c r="A611" s="48" t="s">
        <v>59</v>
      </c>
      <c r="B611" s="49">
        <v>15200</v>
      </c>
      <c r="C611" s="49"/>
      <c r="D611" s="49">
        <v>-1200</v>
      </c>
      <c r="E611" s="49">
        <f t="shared" si="74"/>
        <v>14000</v>
      </c>
      <c r="F611" s="49">
        <v>14200</v>
      </c>
      <c r="G611" s="49">
        <f t="shared" si="76"/>
        <v>200</v>
      </c>
      <c r="H611" s="50">
        <f t="shared" si="75"/>
        <v>1.4285714285714285E-2</v>
      </c>
    </row>
    <row r="612" spans="1:8">
      <c r="A612" s="48"/>
      <c r="B612" s="49"/>
      <c r="C612" s="49"/>
      <c r="D612" s="49"/>
      <c r="E612" s="49">
        <f t="shared" si="74"/>
        <v>0</v>
      </c>
      <c r="F612" s="49"/>
      <c r="G612" s="49">
        <f t="shared" si="76"/>
        <v>0</v>
      </c>
      <c r="H612" s="50" t="str">
        <f t="shared" si="75"/>
        <v/>
      </c>
    </row>
    <row r="613" spans="1:8">
      <c r="A613" s="44" t="s">
        <v>209</v>
      </c>
      <c r="B613" s="45">
        <f>B614</f>
        <v>20500</v>
      </c>
      <c r="C613" s="45">
        <f>C614</f>
        <v>2500</v>
      </c>
      <c r="D613" s="45">
        <f>D614</f>
        <v>1700</v>
      </c>
      <c r="E613" s="45">
        <f t="shared" si="74"/>
        <v>24700</v>
      </c>
      <c r="F613" s="45">
        <f>F614</f>
        <v>25000</v>
      </c>
      <c r="G613" s="45">
        <f t="shared" si="76"/>
        <v>300</v>
      </c>
      <c r="H613" s="47">
        <f t="shared" si="75"/>
        <v>1.2145748987854251E-2</v>
      </c>
    </row>
    <row r="614" spans="1:8">
      <c r="A614" s="44" t="s">
        <v>139</v>
      </c>
      <c r="B614" s="45">
        <f>SUM(B615:B617)</f>
        <v>20500</v>
      </c>
      <c r="C614" s="45">
        <f>SUM(C615:C617)</f>
        <v>2500</v>
      </c>
      <c r="D614" s="45">
        <f>SUM(D615:D617)</f>
        <v>1700</v>
      </c>
      <c r="E614" s="45">
        <f t="shared" si="74"/>
        <v>24700</v>
      </c>
      <c r="F614" s="45">
        <f>SUM(F615:F617)</f>
        <v>25000</v>
      </c>
      <c r="G614" s="45">
        <f t="shared" si="76"/>
        <v>300</v>
      </c>
      <c r="H614" s="47">
        <f t="shared" si="75"/>
        <v>1.2145748987854251E-2</v>
      </c>
    </row>
    <row r="615" spans="1:8">
      <c r="A615" s="51" t="s">
        <v>66</v>
      </c>
      <c r="B615" s="52">
        <v>4000</v>
      </c>
      <c r="C615" s="52"/>
      <c r="D615" s="52"/>
      <c r="E615" s="52">
        <f t="shared" si="74"/>
        <v>4000</v>
      </c>
      <c r="F615" s="52">
        <v>5000</v>
      </c>
      <c r="G615" s="52">
        <f t="shared" si="76"/>
        <v>1000</v>
      </c>
      <c r="H615" s="53">
        <f t="shared" si="75"/>
        <v>0.25</v>
      </c>
    </row>
    <row r="616" spans="1:8">
      <c r="A616" s="51" t="s">
        <v>84</v>
      </c>
      <c r="B616" s="52">
        <v>4500</v>
      </c>
      <c r="C616" s="52">
        <v>500</v>
      </c>
      <c r="D616" s="52">
        <v>1700</v>
      </c>
      <c r="E616" s="52">
        <f t="shared" si="74"/>
        <v>6700</v>
      </c>
      <c r="F616" s="52">
        <v>6000</v>
      </c>
      <c r="G616" s="52">
        <f t="shared" si="76"/>
        <v>-700</v>
      </c>
      <c r="H616" s="53">
        <f t="shared" si="75"/>
        <v>-0.1044776119402985</v>
      </c>
    </row>
    <row r="617" spans="1:8">
      <c r="A617" s="48" t="s">
        <v>192</v>
      </c>
      <c r="B617" s="49">
        <v>12000</v>
      </c>
      <c r="C617" s="49">
        <v>2000</v>
      </c>
      <c r="D617" s="49"/>
      <c r="E617" s="49">
        <f t="shared" si="74"/>
        <v>14000</v>
      </c>
      <c r="F617" s="49">
        <v>14000</v>
      </c>
      <c r="G617" s="49">
        <f t="shared" si="76"/>
        <v>0</v>
      </c>
      <c r="H617" s="50">
        <f t="shared" si="75"/>
        <v>0</v>
      </c>
    </row>
    <row r="618" spans="1:8">
      <c r="A618" s="48"/>
      <c r="B618" s="49"/>
      <c r="C618" s="49"/>
      <c r="D618" s="49"/>
      <c r="E618" s="49">
        <f t="shared" si="74"/>
        <v>0</v>
      </c>
      <c r="F618" s="49"/>
      <c r="G618" s="49">
        <f t="shared" si="76"/>
        <v>0</v>
      </c>
      <c r="H618" s="50" t="str">
        <f t="shared" si="75"/>
        <v/>
      </c>
    </row>
    <row r="619" spans="1:8">
      <c r="A619" s="44" t="s">
        <v>210</v>
      </c>
      <c r="B619" s="45">
        <f>B620</f>
        <v>44500</v>
      </c>
      <c r="C619" s="45">
        <f>C620</f>
        <v>20400</v>
      </c>
      <c r="D619" s="45">
        <f>D620</f>
        <v>18100</v>
      </c>
      <c r="E619" s="45">
        <f t="shared" si="74"/>
        <v>83000</v>
      </c>
      <c r="F619" s="45">
        <f>F620</f>
        <v>75000</v>
      </c>
      <c r="G619" s="45">
        <f t="shared" si="76"/>
        <v>-8000</v>
      </c>
      <c r="H619" s="47">
        <f t="shared" si="75"/>
        <v>-9.6385542168674704E-2</v>
      </c>
    </row>
    <row r="620" spans="1:8">
      <c r="A620" s="44" t="s">
        <v>74</v>
      </c>
      <c r="B620" s="45">
        <f>B621+B622+B623</f>
        <v>44500</v>
      </c>
      <c r="C620" s="45">
        <f>C621+C622+C623</f>
        <v>20400</v>
      </c>
      <c r="D620" s="45">
        <f>D621+D622+D623</f>
        <v>18100</v>
      </c>
      <c r="E620" s="45">
        <f t="shared" si="74"/>
        <v>83000</v>
      </c>
      <c r="F620" s="45">
        <f>F621+F622+F623</f>
        <v>75000</v>
      </c>
      <c r="G620" s="45">
        <f t="shared" si="76"/>
        <v>-8000</v>
      </c>
      <c r="H620" s="47">
        <f t="shared" si="75"/>
        <v>-9.6385542168674704E-2</v>
      </c>
    </row>
    <row r="621" spans="1:8">
      <c r="A621" s="51" t="s">
        <v>84</v>
      </c>
      <c r="B621" s="52">
        <f>15000+7100</f>
        <v>22100</v>
      </c>
      <c r="C621" s="52">
        <v>6400</v>
      </c>
      <c r="D621" s="52">
        <v>13000</v>
      </c>
      <c r="E621" s="52">
        <f t="shared" si="74"/>
        <v>41500</v>
      </c>
      <c r="F621" s="52">
        <f>32500+2800</f>
        <v>35300</v>
      </c>
      <c r="G621" s="52">
        <f t="shared" si="76"/>
        <v>-6200</v>
      </c>
      <c r="H621" s="53">
        <f t="shared" si="75"/>
        <v>-0.14939759036144579</v>
      </c>
    </row>
    <row r="622" spans="1:8" ht="25.5">
      <c r="A622" s="51" t="s">
        <v>97</v>
      </c>
      <c r="B622" s="52">
        <v>3500</v>
      </c>
      <c r="C622" s="52">
        <v>1000</v>
      </c>
      <c r="D622" s="52">
        <v>1000</v>
      </c>
      <c r="E622" s="52">
        <f t="shared" si="74"/>
        <v>5500</v>
      </c>
      <c r="F622" s="52">
        <v>4500</v>
      </c>
      <c r="G622" s="52">
        <f t="shared" si="76"/>
        <v>-1000</v>
      </c>
      <c r="H622" s="53">
        <f t="shared" si="75"/>
        <v>-0.18181818181818182</v>
      </c>
    </row>
    <row r="623" spans="1:8">
      <c r="A623" s="51" t="s">
        <v>99</v>
      </c>
      <c r="B623" s="52">
        <f>13000+5900</f>
        <v>18900</v>
      </c>
      <c r="C623" s="52">
        <v>13000</v>
      </c>
      <c r="D623" s="52">
        <v>4100</v>
      </c>
      <c r="E623" s="52">
        <f t="shared" si="74"/>
        <v>36000</v>
      </c>
      <c r="F623" s="52">
        <v>35200</v>
      </c>
      <c r="G623" s="52">
        <f t="shared" si="76"/>
        <v>-800</v>
      </c>
      <c r="H623" s="53">
        <f t="shared" si="75"/>
        <v>-2.2222222222222223E-2</v>
      </c>
    </row>
    <row r="624" spans="1:8">
      <c r="A624" s="51"/>
      <c r="B624" s="52"/>
      <c r="C624" s="52"/>
      <c r="D624" s="52"/>
      <c r="E624" s="52">
        <f t="shared" si="74"/>
        <v>0</v>
      </c>
      <c r="F624" s="52"/>
      <c r="G624" s="52">
        <f t="shared" si="76"/>
        <v>0</v>
      </c>
      <c r="H624" s="53" t="str">
        <f t="shared" si="75"/>
        <v/>
      </c>
    </row>
    <row r="625" spans="1:8">
      <c r="A625" s="44" t="s">
        <v>211</v>
      </c>
      <c r="B625" s="45">
        <f>B626+B629</f>
        <v>73900</v>
      </c>
      <c r="C625" s="45">
        <f>C626+C629</f>
        <v>0</v>
      </c>
      <c r="D625" s="45">
        <f>D626+D629</f>
        <v>4425</v>
      </c>
      <c r="E625" s="45">
        <f t="shared" si="74"/>
        <v>78325</v>
      </c>
      <c r="F625" s="45">
        <f>F626+F629</f>
        <v>78000</v>
      </c>
      <c r="G625" s="45">
        <f t="shared" si="76"/>
        <v>-325</v>
      </c>
      <c r="H625" s="47">
        <f t="shared" si="75"/>
        <v>-4.1493775933609959E-3</v>
      </c>
    </row>
    <row r="626" spans="1:8">
      <c r="A626" s="62" t="s">
        <v>61</v>
      </c>
      <c r="B626" s="63">
        <f>B627+B628</f>
        <v>66400</v>
      </c>
      <c r="C626" s="63">
        <f>C627+C628</f>
        <v>2100</v>
      </c>
      <c r="D626" s="63">
        <f>D627+D628</f>
        <v>6000</v>
      </c>
      <c r="E626" s="63">
        <f t="shared" si="74"/>
        <v>74500</v>
      </c>
      <c r="F626" s="63">
        <f>F627+F628</f>
        <v>75365</v>
      </c>
      <c r="G626" s="63">
        <f t="shared" si="76"/>
        <v>865</v>
      </c>
      <c r="H626" s="64">
        <f t="shared" si="75"/>
        <v>1.1610738255033557E-2</v>
      </c>
    </row>
    <row r="627" spans="1:8">
      <c r="A627" s="48" t="s">
        <v>95</v>
      </c>
      <c r="B627" s="49">
        <v>59400</v>
      </c>
      <c r="C627" s="49">
        <v>2100</v>
      </c>
      <c r="D627" s="49">
        <v>7000</v>
      </c>
      <c r="E627" s="49">
        <f t="shared" si="74"/>
        <v>68500</v>
      </c>
      <c r="F627" s="49">
        <f>64900+2350</f>
        <v>67250</v>
      </c>
      <c r="G627" s="49">
        <f t="shared" si="76"/>
        <v>-1250</v>
      </c>
      <c r="H627" s="50">
        <f t="shared" si="75"/>
        <v>-1.824817518248175E-2</v>
      </c>
    </row>
    <row r="628" spans="1:8">
      <c r="A628" s="51" t="s">
        <v>199</v>
      </c>
      <c r="B628" s="52">
        <v>7000</v>
      </c>
      <c r="C628" s="52"/>
      <c r="D628" s="52">
        <v>-1000</v>
      </c>
      <c r="E628" s="52">
        <f t="shared" si="74"/>
        <v>6000</v>
      </c>
      <c r="F628" s="52">
        <v>8115</v>
      </c>
      <c r="G628" s="52">
        <f t="shared" si="76"/>
        <v>2115</v>
      </c>
      <c r="H628" s="53">
        <f t="shared" si="75"/>
        <v>0.35249999999999998</v>
      </c>
    </row>
    <row r="629" spans="1:8">
      <c r="A629" s="44" t="s">
        <v>57</v>
      </c>
      <c r="B629" s="45">
        <f>B630+B631</f>
        <v>7500</v>
      </c>
      <c r="C629" s="45">
        <f>C630+C631</f>
        <v>-2100</v>
      </c>
      <c r="D629" s="45">
        <f>D630+D631</f>
        <v>-1575</v>
      </c>
      <c r="E629" s="45">
        <f t="shared" si="74"/>
        <v>3825</v>
      </c>
      <c r="F629" s="45">
        <f>F630+F631</f>
        <v>2635</v>
      </c>
      <c r="G629" s="45">
        <f t="shared" si="76"/>
        <v>-1190</v>
      </c>
      <c r="H629" s="47">
        <f t="shared" si="75"/>
        <v>-0.31111111111111112</v>
      </c>
    </row>
    <row r="630" spans="1:8">
      <c r="A630" s="48" t="s">
        <v>58</v>
      </c>
      <c r="B630" s="49">
        <v>6528</v>
      </c>
      <c r="C630" s="49">
        <v>-2100</v>
      </c>
      <c r="D630" s="49">
        <v>-1438</v>
      </c>
      <c r="E630" s="49">
        <f t="shared" si="74"/>
        <v>2990</v>
      </c>
      <c r="F630" s="49">
        <v>2110</v>
      </c>
      <c r="G630" s="49">
        <f t="shared" si="76"/>
        <v>-880</v>
      </c>
      <c r="H630" s="50">
        <f t="shared" si="75"/>
        <v>-0.29431438127090304</v>
      </c>
    </row>
    <row r="631" spans="1:8">
      <c r="A631" s="48" t="s">
        <v>59</v>
      </c>
      <c r="B631" s="49">
        <v>972</v>
      </c>
      <c r="C631" s="49"/>
      <c r="D631" s="49">
        <v>-137</v>
      </c>
      <c r="E631" s="49">
        <f t="shared" si="74"/>
        <v>835</v>
      </c>
      <c r="F631" s="49">
        <v>525</v>
      </c>
      <c r="G631" s="49">
        <f t="shared" si="76"/>
        <v>-310</v>
      </c>
      <c r="H631" s="50">
        <f t="shared" si="75"/>
        <v>-0.3712574850299401</v>
      </c>
    </row>
    <row r="632" spans="1:8">
      <c r="A632" s="48"/>
      <c r="B632" s="49"/>
      <c r="C632" s="49"/>
      <c r="D632" s="49"/>
      <c r="E632" s="49">
        <f t="shared" si="74"/>
        <v>0</v>
      </c>
      <c r="F632" s="49"/>
      <c r="G632" s="49">
        <f t="shared" si="76"/>
        <v>0</v>
      </c>
      <c r="H632" s="50" t="str">
        <f t="shared" si="75"/>
        <v/>
      </c>
    </row>
    <row r="633" spans="1:8">
      <c r="A633" s="44" t="s">
        <v>212</v>
      </c>
      <c r="B633" s="49"/>
      <c r="C633" s="49">
        <f>C634</f>
        <v>2375</v>
      </c>
      <c r="D633" s="49">
        <f>D634+D640</f>
        <v>-950</v>
      </c>
      <c r="E633" s="49">
        <f t="shared" si="74"/>
        <v>1425</v>
      </c>
      <c r="F633" s="45">
        <f>F634+F640</f>
        <v>4540</v>
      </c>
      <c r="G633" s="49">
        <f t="shared" si="76"/>
        <v>3115</v>
      </c>
      <c r="H633" s="50">
        <f t="shared" si="75"/>
        <v>2.1859649122807019</v>
      </c>
    </row>
    <row r="634" spans="1:8">
      <c r="A634" s="44" t="s">
        <v>139</v>
      </c>
      <c r="B634" s="49"/>
      <c r="C634" s="49">
        <f>C636+C637</f>
        <v>2375</v>
      </c>
      <c r="D634" s="49">
        <f>D636+D637+D635+D638+D639</f>
        <v>-950</v>
      </c>
      <c r="E634" s="49">
        <f t="shared" si="74"/>
        <v>1425</v>
      </c>
      <c r="F634" s="63">
        <f>F635+F636+F637+F638+F639</f>
        <v>3940</v>
      </c>
      <c r="G634" s="49">
        <f t="shared" si="76"/>
        <v>2515</v>
      </c>
      <c r="H634" s="50">
        <f t="shared" si="75"/>
        <v>1.7649122807017543</v>
      </c>
    </row>
    <row r="635" spans="1:8">
      <c r="A635" s="516" t="s">
        <v>141</v>
      </c>
      <c r="B635" s="49"/>
      <c r="C635" s="49"/>
      <c r="D635" s="49">
        <v>171</v>
      </c>
      <c r="E635" s="49">
        <f t="shared" si="74"/>
        <v>171</v>
      </c>
      <c r="F635" s="49">
        <v>450</v>
      </c>
      <c r="G635" s="49"/>
      <c r="H635" s="50"/>
    </row>
    <row r="636" spans="1:8">
      <c r="A636" s="51" t="s">
        <v>66</v>
      </c>
      <c r="B636" s="49"/>
      <c r="C636" s="49">
        <v>631</v>
      </c>
      <c r="D636" s="49">
        <v>-531</v>
      </c>
      <c r="E636" s="49">
        <f t="shared" si="74"/>
        <v>100</v>
      </c>
      <c r="F636" s="49">
        <v>100</v>
      </c>
      <c r="G636" s="49">
        <f t="shared" si="76"/>
        <v>0</v>
      </c>
      <c r="H636" s="50">
        <f t="shared" si="75"/>
        <v>0</v>
      </c>
    </row>
    <row r="637" spans="1:8">
      <c r="A637" s="48" t="s">
        <v>193</v>
      </c>
      <c r="B637" s="49"/>
      <c r="C637" s="49">
        <v>1744</v>
      </c>
      <c r="D637" s="49">
        <v>-1744</v>
      </c>
      <c r="E637" s="49">
        <f t="shared" si="74"/>
        <v>0</v>
      </c>
      <c r="F637" s="49"/>
      <c r="G637" s="49">
        <f t="shared" si="76"/>
        <v>0</v>
      </c>
      <c r="H637" s="50" t="str">
        <f t="shared" si="75"/>
        <v/>
      </c>
    </row>
    <row r="638" spans="1:8">
      <c r="A638" s="516" t="s">
        <v>145</v>
      </c>
      <c r="B638" s="49"/>
      <c r="C638" s="49"/>
      <c r="D638" s="49">
        <v>754</v>
      </c>
      <c r="E638" s="49">
        <f t="shared" si="74"/>
        <v>754</v>
      </c>
      <c r="F638" s="49">
        <v>990</v>
      </c>
      <c r="G638" s="49"/>
      <c r="H638" s="50"/>
    </row>
    <row r="639" spans="1:8">
      <c r="A639" s="516" t="s">
        <v>1011</v>
      </c>
      <c r="B639" s="49"/>
      <c r="C639" s="49"/>
      <c r="D639" s="49">
        <v>400</v>
      </c>
      <c r="E639" s="49">
        <f t="shared" si="74"/>
        <v>400</v>
      </c>
      <c r="F639" s="49">
        <v>2400</v>
      </c>
      <c r="G639" s="49"/>
      <c r="H639" s="50"/>
    </row>
    <row r="640" spans="1:8">
      <c r="A640" s="44" t="s">
        <v>74</v>
      </c>
      <c r="B640" s="49"/>
      <c r="C640" s="49"/>
      <c r="D640" s="49"/>
      <c r="E640" s="49">
        <f t="shared" si="74"/>
        <v>0</v>
      </c>
      <c r="F640" s="45">
        <f>F641</f>
        <v>600</v>
      </c>
      <c r="G640" s="49"/>
      <c r="H640" s="50"/>
    </row>
    <row r="641" spans="1:8">
      <c r="A641" s="51" t="s">
        <v>99</v>
      </c>
      <c r="B641" s="49"/>
      <c r="C641" s="49"/>
      <c r="D641" s="49"/>
      <c r="E641" s="49">
        <f t="shared" si="74"/>
        <v>0</v>
      </c>
      <c r="F641" s="49">
        <v>600</v>
      </c>
      <c r="G641" s="49"/>
      <c r="H641" s="50"/>
    </row>
    <row r="642" spans="1:8">
      <c r="A642" s="48"/>
      <c r="B642" s="49"/>
      <c r="C642" s="49"/>
      <c r="D642" s="49"/>
      <c r="E642" s="49">
        <f t="shared" si="74"/>
        <v>0</v>
      </c>
      <c r="G642" s="49">
        <f t="shared" si="76"/>
        <v>0</v>
      </c>
      <c r="H642" s="50" t="str">
        <f t="shared" si="75"/>
        <v/>
      </c>
    </row>
    <row r="643" spans="1:8">
      <c r="A643" s="44"/>
      <c r="B643" s="45"/>
      <c r="C643" s="45"/>
      <c r="D643" s="49"/>
      <c r="E643" s="45">
        <f t="shared" si="74"/>
        <v>0</v>
      </c>
      <c r="G643" s="45">
        <f t="shared" si="76"/>
        <v>0</v>
      </c>
      <c r="H643" s="47" t="str">
        <f t="shared" si="75"/>
        <v/>
      </c>
    </row>
    <row r="644" spans="1:8">
      <c r="A644" s="40" t="s">
        <v>213</v>
      </c>
      <c r="B644" s="41">
        <f>B646+B661+B674</f>
        <v>700100</v>
      </c>
      <c r="C644" s="41">
        <f>C646+C661+C674</f>
        <v>8900</v>
      </c>
      <c r="D644" s="41">
        <f>D646+D661+D674</f>
        <v>-315</v>
      </c>
      <c r="E644" s="41">
        <f t="shared" si="74"/>
        <v>708685</v>
      </c>
      <c r="F644" s="41">
        <f>F646+F661+F674</f>
        <v>704910</v>
      </c>
      <c r="G644" s="41">
        <f t="shared" si="76"/>
        <v>-3775</v>
      </c>
      <c r="H644" s="43">
        <f t="shared" si="75"/>
        <v>-5.3267671814699056E-3</v>
      </c>
    </row>
    <row r="645" spans="1:8">
      <c r="A645" s="54"/>
      <c r="B645" s="55"/>
      <c r="C645" s="55"/>
      <c r="D645" s="55"/>
      <c r="E645" s="55">
        <f t="shared" ref="E645:E708" si="77">SUM(B645:D645)</f>
        <v>0</v>
      </c>
      <c r="F645" s="55"/>
      <c r="G645" s="55">
        <f t="shared" si="76"/>
        <v>0</v>
      </c>
      <c r="H645" s="56" t="str">
        <f t="shared" si="75"/>
        <v/>
      </c>
    </row>
    <row r="646" spans="1:8">
      <c r="A646" s="44" t="s">
        <v>214</v>
      </c>
      <c r="B646" s="45">
        <f>B647+B650+B653+B657</f>
        <v>584240</v>
      </c>
      <c r="C646" s="45">
        <f>C647+C650+C653+C657</f>
        <v>3400</v>
      </c>
      <c r="D646" s="45">
        <f>D647+D650+D653+D657</f>
        <v>-315</v>
      </c>
      <c r="E646" s="45">
        <f t="shared" si="77"/>
        <v>587325</v>
      </c>
      <c r="F646" s="45">
        <f>F647+F650+F653+F657</f>
        <v>581700</v>
      </c>
      <c r="G646" s="45">
        <f t="shared" si="76"/>
        <v>-5625</v>
      </c>
      <c r="H646" s="47">
        <f t="shared" si="75"/>
        <v>-9.5773209040990927E-3</v>
      </c>
    </row>
    <row r="647" spans="1:8">
      <c r="A647" s="44" t="s">
        <v>125</v>
      </c>
      <c r="B647" s="45">
        <f>SUM(B648:B649)</f>
        <v>50200</v>
      </c>
      <c r="C647" s="45">
        <f>SUM(C648:C649)</f>
        <v>0</v>
      </c>
      <c r="D647" s="45">
        <f>SUM(D648:D649)</f>
        <v>-7215</v>
      </c>
      <c r="E647" s="45">
        <f t="shared" si="77"/>
        <v>42985</v>
      </c>
      <c r="F647" s="45">
        <f>SUM(F648:F649)</f>
        <v>42200</v>
      </c>
      <c r="G647" s="45">
        <f t="shared" si="76"/>
        <v>-785</v>
      </c>
      <c r="H647" s="47">
        <f t="shared" si="75"/>
        <v>-1.8262184482959173E-2</v>
      </c>
    </row>
    <row r="648" spans="1:8">
      <c r="A648" s="48" t="s">
        <v>126</v>
      </c>
      <c r="B648" s="49">
        <v>19300</v>
      </c>
      <c r="C648" s="49"/>
      <c r="D648" s="49"/>
      <c r="E648" s="49">
        <f t="shared" si="77"/>
        <v>19300</v>
      </c>
      <c r="F648" s="49">
        <v>18800</v>
      </c>
      <c r="G648" s="49">
        <f t="shared" si="76"/>
        <v>-500</v>
      </c>
      <c r="H648" s="50">
        <f t="shared" si="75"/>
        <v>-2.5906735751295335E-2</v>
      </c>
    </row>
    <row r="649" spans="1:8">
      <c r="A649" s="48" t="s">
        <v>59</v>
      </c>
      <c r="B649" s="49">
        <v>30900</v>
      </c>
      <c r="C649" s="49"/>
      <c r="D649" s="49">
        <v>-7215</v>
      </c>
      <c r="E649" s="49">
        <f t="shared" si="77"/>
        <v>23685</v>
      </c>
      <c r="F649" s="49">
        <v>23400</v>
      </c>
      <c r="G649" s="49">
        <f t="shared" si="76"/>
        <v>-285</v>
      </c>
      <c r="H649" s="50">
        <f t="shared" si="75"/>
        <v>-1.2032932235592146E-2</v>
      </c>
    </row>
    <row r="650" spans="1:8">
      <c r="A650" s="44" t="s">
        <v>57</v>
      </c>
      <c r="B650" s="45">
        <f>SUM(B651:B652)</f>
        <v>312440</v>
      </c>
      <c r="C650" s="45">
        <f>SUM(C651:C652)</f>
        <v>0</v>
      </c>
      <c r="D650" s="45">
        <f>SUM(D651:D652)</f>
        <v>0</v>
      </c>
      <c r="E650" s="45">
        <f t="shared" si="77"/>
        <v>312440</v>
      </c>
      <c r="F650" s="45">
        <f>SUM(F651:F652)</f>
        <v>313100</v>
      </c>
      <c r="G650" s="45">
        <f t="shared" si="76"/>
        <v>660</v>
      </c>
      <c r="H650" s="47">
        <f t="shared" si="75"/>
        <v>2.1124055818717196E-3</v>
      </c>
    </row>
    <row r="651" spans="1:8">
      <c r="A651" s="48" t="s">
        <v>58</v>
      </c>
      <c r="B651" s="49">
        <v>230240</v>
      </c>
      <c r="C651" s="49"/>
      <c r="D651" s="49"/>
      <c r="E651" s="49">
        <f t="shared" si="77"/>
        <v>230240</v>
      </c>
      <c r="F651" s="49">
        <v>233900</v>
      </c>
      <c r="G651" s="49">
        <f t="shared" si="76"/>
        <v>3660</v>
      </c>
      <c r="H651" s="50">
        <f t="shared" si="75"/>
        <v>1.5896455872133425E-2</v>
      </c>
    </row>
    <row r="652" spans="1:8">
      <c r="A652" s="48" t="s">
        <v>59</v>
      </c>
      <c r="B652" s="49">
        <v>82200</v>
      </c>
      <c r="C652" s="49"/>
      <c r="D652" s="49"/>
      <c r="E652" s="49">
        <f t="shared" si="77"/>
        <v>82200</v>
      </c>
      <c r="F652" s="49">
        <v>79200</v>
      </c>
      <c r="G652" s="49">
        <f t="shared" si="76"/>
        <v>-3000</v>
      </c>
      <c r="H652" s="50">
        <f t="shared" si="75"/>
        <v>-3.6496350364963501E-2</v>
      </c>
    </row>
    <row r="653" spans="1:8">
      <c r="A653" s="62" t="s">
        <v>61</v>
      </c>
      <c r="B653" s="63">
        <f>SUM(B654:B656)</f>
        <v>87200</v>
      </c>
      <c r="C653" s="63">
        <f>SUM(C654:C656)</f>
        <v>0</v>
      </c>
      <c r="D653" s="63">
        <f>SUM(D654:D656)</f>
        <v>6000</v>
      </c>
      <c r="E653" s="63">
        <f t="shared" si="77"/>
        <v>93200</v>
      </c>
      <c r="F653" s="63">
        <f>SUM(F654:F656)</f>
        <v>88200</v>
      </c>
      <c r="G653" s="63">
        <f t="shared" si="76"/>
        <v>-5000</v>
      </c>
      <c r="H653" s="64">
        <f t="shared" si="75"/>
        <v>-5.3648068669527899E-2</v>
      </c>
    </row>
    <row r="654" spans="1:8" ht="25.5">
      <c r="A654" s="51" t="s">
        <v>63</v>
      </c>
      <c r="B654" s="52">
        <v>2200</v>
      </c>
      <c r="C654" s="52"/>
      <c r="D654" s="52"/>
      <c r="E654" s="52">
        <f t="shared" si="77"/>
        <v>2200</v>
      </c>
      <c r="F654" s="52">
        <v>2200</v>
      </c>
      <c r="G654" s="52">
        <f t="shared" si="76"/>
        <v>0</v>
      </c>
      <c r="H654" s="53">
        <f t="shared" si="75"/>
        <v>0</v>
      </c>
    </row>
    <row r="655" spans="1:8">
      <c r="A655" s="48" t="s">
        <v>156</v>
      </c>
      <c r="B655" s="49">
        <f>69270+1730</f>
        <v>71000</v>
      </c>
      <c r="C655" s="49"/>
      <c r="D655" s="49"/>
      <c r="E655" s="49">
        <f t="shared" si="77"/>
        <v>71000</v>
      </c>
      <c r="F655" s="49">
        <v>71000</v>
      </c>
      <c r="G655" s="49">
        <f t="shared" si="76"/>
        <v>0</v>
      </c>
      <c r="H655" s="50">
        <f t="shared" si="75"/>
        <v>0</v>
      </c>
    </row>
    <row r="656" spans="1:8">
      <c r="A656" s="51" t="s">
        <v>105</v>
      </c>
      <c r="B656" s="52">
        <v>14000</v>
      </c>
      <c r="C656" s="52"/>
      <c r="D656" s="52">
        <v>6000</v>
      </c>
      <c r="E656" s="52">
        <f t="shared" si="77"/>
        <v>20000</v>
      </c>
      <c r="F656" s="52">
        <v>15000</v>
      </c>
      <c r="G656" s="52">
        <f t="shared" si="76"/>
        <v>-5000</v>
      </c>
      <c r="H656" s="53">
        <f t="shared" si="75"/>
        <v>-0.25</v>
      </c>
    </row>
    <row r="657" spans="1:8">
      <c r="A657" s="44" t="s">
        <v>33</v>
      </c>
      <c r="B657" s="45">
        <f>SUM(B658:B659)</f>
        <v>134400</v>
      </c>
      <c r="C657" s="45">
        <f>SUM(C658:C659)</f>
        <v>3400</v>
      </c>
      <c r="D657" s="45">
        <f>SUM(D658:D659)</f>
        <v>900</v>
      </c>
      <c r="E657" s="45">
        <f t="shared" si="77"/>
        <v>138700</v>
      </c>
      <c r="F657" s="45">
        <f>SUM(F658:F659)</f>
        <v>138200</v>
      </c>
      <c r="G657" s="45">
        <f t="shared" si="76"/>
        <v>-500</v>
      </c>
      <c r="H657" s="47">
        <f t="shared" si="75"/>
        <v>-3.6049026676279738E-3</v>
      </c>
    </row>
    <row r="658" spans="1:8">
      <c r="A658" s="51" t="s">
        <v>189</v>
      </c>
      <c r="B658" s="52">
        <v>76800</v>
      </c>
      <c r="C658" s="52"/>
      <c r="D658" s="52"/>
      <c r="E658" s="52">
        <f t="shared" si="77"/>
        <v>76800</v>
      </c>
      <c r="F658" s="52">
        <v>76800</v>
      </c>
      <c r="G658" s="52">
        <f t="shared" si="76"/>
        <v>0</v>
      </c>
      <c r="H658" s="53">
        <f t="shared" si="75"/>
        <v>0</v>
      </c>
    </row>
    <row r="659" spans="1:8">
      <c r="A659" s="51" t="s">
        <v>112</v>
      </c>
      <c r="B659" s="52">
        <v>57600</v>
      </c>
      <c r="C659" s="52">
        <v>3400</v>
      </c>
      <c r="D659" s="52">
        <v>900</v>
      </c>
      <c r="E659" s="52">
        <f t="shared" si="77"/>
        <v>61900</v>
      </c>
      <c r="F659" s="52">
        <v>61400</v>
      </c>
      <c r="G659" s="52">
        <f t="shared" si="76"/>
        <v>-500</v>
      </c>
      <c r="H659" s="53">
        <f t="shared" si="75"/>
        <v>-8.0775444264943458E-3</v>
      </c>
    </row>
    <row r="660" spans="1:8">
      <c r="A660" s="51"/>
      <c r="B660" s="52"/>
      <c r="C660" s="52"/>
      <c r="D660" s="52"/>
      <c r="E660" s="52">
        <f t="shared" si="77"/>
        <v>0</v>
      </c>
      <c r="F660" s="52"/>
      <c r="G660" s="52">
        <f t="shared" si="76"/>
        <v>0</v>
      </c>
      <c r="H660" s="53" t="str">
        <f t="shared" si="75"/>
        <v/>
      </c>
    </row>
    <row r="661" spans="1:8">
      <c r="A661" s="44" t="s">
        <v>215</v>
      </c>
      <c r="B661" s="45">
        <f>B662+B669+B667</f>
        <v>55860</v>
      </c>
      <c r="C661" s="45">
        <f>C662+C669+C667</f>
        <v>2000</v>
      </c>
      <c r="D661" s="45">
        <f>D662+D669+D667</f>
        <v>0</v>
      </c>
      <c r="E661" s="45">
        <f t="shared" si="77"/>
        <v>57860</v>
      </c>
      <c r="F661" s="45">
        <f>F662+F669+F667</f>
        <v>57710</v>
      </c>
      <c r="G661" s="45">
        <f t="shared" si="76"/>
        <v>-150</v>
      </c>
      <c r="H661" s="47">
        <f t="shared" si="75"/>
        <v>-2.5924645696508816E-3</v>
      </c>
    </row>
    <row r="662" spans="1:8">
      <c r="A662" s="44" t="s">
        <v>72</v>
      </c>
      <c r="B662" s="45">
        <f>SUM(B663:B666)</f>
        <v>48885</v>
      </c>
      <c r="C662" s="45">
        <f>SUM(C663:C666)</f>
        <v>2000</v>
      </c>
      <c r="D662" s="45">
        <f>SUM(D663:D666)</f>
        <v>0</v>
      </c>
      <c r="E662" s="45">
        <f t="shared" si="77"/>
        <v>50885</v>
      </c>
      <c r="F662" s="45">
        <f>SUM(F663:F666)</f>
        <v>50710</v>
      </c>
      <c r="G662" s="45">
        <f t="shared" si="76"/>
        <v>-175</v>
      </c>
      <c r="H662" s="47">
        <f t="shared" si="75"/>
        <v>-3.439127444237005E-3</v>
      </c>
    </row>
    <row r="663" spans="1:8">
      <c r="A663" s="48" t="s">
        <v>95</v>
      </c>
      <c r="B663" s="49">
        <v>13000</v>
      </c>
      <c r="C663" s="49">
        <v>2000</v>
      </c>
      <c r="D663" s="49"/>
      <c r="E663" s="49">
        <f t="shared" si="77"/>
        <v>15000</v>
      </c>
      <c r="F663" s="49">
        <v>15800</v>
      </c>
      <c r="G663" s="49">
        <f t="shared" si="76"/>
        <v>800</v>
      </c>
      <c r="H663" s="50">
        <f t="shared" si="75"/>
        <v>5.3333333333333337E-2</v>
      </c>
    </row>
    <row r="664" spans="1:8" ht="25.5">
      <c r="A664" s="51" t="s">
        <v>107</v>
      </c>
      <c r="B664" s="52">
        <f>24885+10000</f>
        <v>34885</v>
      </c>
      <c r="C664" s="52"/>
      <c r="D664" s="52"/>
      <c r="E664" s="52">
        <f t="shared" si="77"/>
        <v>34885</v>
      </c>
      <c r="F664" s="52">
        <v>33210</v>
      </c>
      <c r="G664" s="52">
        <f t="shared" si="76"/>
        <v>-1675</v>
      </c>
      <c r="H664" s="53">
        <f t="shared" si="75"/>
        <v>-4.8014906120108933E-2</v>
      </c>
    </row>
    <row r="665" spans="1:8" ht="25.5">
      <c r="A665" s="51" t="s">
        <v>86</v>
      </c>
      <c r="B665" s="52">
        <v>500</v>
      </c>
      <c r="C665" s="52"/>
      <c r="D665" s="52"/>
      <c r="E665" s="52">
        <f t="shared" si="77"/>
        <v>500</v>
      </c>
      <c r="F665" s="52">
        <v>900</v>
      </c>
      <c r="G665" s="52">
        <f t="shared" si="76"/>
        <v>400</v>
      </c>
      <c r="H665" s="53">
        <f t="shared" si="75"/>
        <v>0.8</v>
      </c>
    </row>
    <row r="666" spans="1:8">
      <c r="A666" s="48" t="s">
        <v>93</v>
      </c>
      <c r="B666" s="49">
        <v>500</v>
      </c>
      <c r="C666" s="49"/>
      <c r="D666" s="49"/>
      <c r="E666" s="49">
        <f t="shared" si="77"/>
        <v>500</v>
      </c>
      <c r="F666" s="49">
        <v>800</v>
      </c>
      <c r="G666" s="49">
        <f t="shared" si="76"/>
        <v>300</v>
      </c>
      <c r="H666" s="50">
        <f t="shared" si="75"/>
        <v>0.6</v>
      </c>
    </row>
    <row r="667" spans="1:8">
      <c r="A667" s="44" t="s">
        <v>61</v>
      </c>
      <c r="B667" s="45">
        <f>B668</f>
        <v>500</v>
      </c>
      <c r="C667" s="45">
        <f>C668</f>
        <v>0</v>
      </c>
      <c r="D667" s="45">
        <f>D668</f>
        <v>0</v>
      </c>
      <c r="E667" s="45">
        <f t="shared" si="77"/>
        <v>500</v>
      </c>
      <c r="F667" s="45">
        <f>F668</f>
        <v>500</v>
      </c>
      <c r="G667" s="45">
        <f t="shared" si="76"/>
        <v>0</v>
      </c>
      <c r="H667" s="47">
        <f t="shared" si="75"/>
        <v>0</v>
      </c>
    </row>
    <row r="668" spans="1:8">
      <c r="A668" s="48" t="s">
        <v>104</v>
      </c>
      <c r="B668" s="49">
        <v>500</v>
      </c>
      <c r="C668" s="49"/>
      <c r="D668" s="49"/>
      <c r="E668" s="49">
        <f t="shared" si="77"/>
        <v>500</v>
      </c>
      <c r="F668" s="49">
        <v>500</v>
      </c>
      <c r="G668" s="49">
        <f t="shared" si="76"/>
        <v>0</v>
      </c>
      <c r="H668" s="50">
        <f t="shared" si="75"/>
        <v>0</v>
      </c>
    </row>
    <row r="669" spans="1:8">
      <c r="A669" s="44" t="s">
        <v>74</v>
      </c>
      <c r="B669" s="45">
        <f>SUM(B670:B672)</f>
        <v>6475</v>
      </c>
      <c r="C669" s="45">
        <f>SUM(C670:C672)</f>
        <v>0</v>
      </c>
      <c r="D669" s="45">
        <f>SUM(D670:D672)</f>
        <v>0</v>
      </c>
      <c r="E669" s="45">
        <f t="shared" si="77"/>
        <v>6475</v>
      </c>
      <c r="F669" s="45">
        <f>SUM(F670:F672)</f>
        <v>6500</v>
      </c>
      <c r="G669" s="45">
        <f t="shared" si="76"/>
        <v>25</v>
      </c>
      <c r="H669" s="47">
        <f t="shared" ref="H669:H732" si="78">IF(F669=0,"",G669/E669)</f>
        <v>3.8610038610038611E-3</v>
      </c>
    </row>
    <row r="670" spans="1:8">
      <c r="A670" s="48" t="s">
        <v>99</v>
      </c>
      <c r="B670" s="49">
        <v>4200</v>
      </c>
      <c r="C670" s="49"/>
      <c r="D670" s="49"/>
      <c r="E670" s="49">
        <f t="shared" si="77"/>
        <v>4200</v>
      </c>
      <c r="F670" s="49">
        <v>4200</v>
      </c>
      <c r="G670" s="49">
        <f t="shared" ref="G670:G733" si="79">F670-E670</f>
        <v>0</v>
      </c>
      <c r="H670" s="50">
        <f t="shared" si="78"/>
        <v>0</v>
      </c>
    </row>
    <row r="671" spans="1:8">
      <c r="A671" s="48" t="s">
        <v>98</v>
      </c>
      <c r="B671" s="49">
        <v>75</v>
      </c>
      <c r="C671" s="49"/>
      <c r="D671" s="49"/>
      <c r="E671" s="49">
        <f t="shared" si="77"/>
        <v>75</v>
      </c>
      <c r="F671" s="49"/>
      <c r="G671" s="49">
        <f t="shared" si="79"/>
        <v>-75</v>
      </c>
      <c r="H671" s="50" t="str">
        <f t="shared" si="78"/>
        <v/>
      </c>
    </row>
    <row r="672" spans="1:8">
      <c r="A672" s="48" t="s">
        <v>97</v>
      </c>
      <c r="B672" s="49">
        <v>2200</v>
      </c>
      <c r="C672" s="49"/>
      <c r="D672" s="49"/>
      <c r="E672" s="49">
        <f t="shared" si="77"/>
        <v>2200</v>
      </c>
      <c r="F672" s="49">
        <v>2300</v>
      </c>
      <c r="G672" s="49">
        <f t="shared" si="79"/>
        <v>100</v>
      </c>
      <c r="H672" s="50">
        <f t="shared" si="78"/>
        <v>4.5454545454545456E-2</v>
      </c>
    </row>
    <row r="673" spans="1:8">
      <c r="A673" s="48"/>
      <c r="B673" s="49"/>
      <c r="C673" s="49"/>
      <c r="D673" s="49"/>
      <c r="E673" s="49">
        <f t="shared" si="77"/>
        <v>0</v>
      </c>
      <c r="F673" s="49"/>
      <c r="G673" s="49">
        <f t="shared" si="79"/>
        <v>0</v>
      </c>
      <c r="H673" s="50" t="str">
        <f t="shared" si="78"/>
        <v/>
      </c>
    </row>
    <row r="674" spans="1:8">
      <c r="A674" s="44" t="s">
        <v>216</v>
      </c>
      <c r="B674" s="45">
        <f>B675</f>
        <v>60000</v>
      </c>
      <c r="C674" s="45">
        <f>C675</f>
        <v>3500</v>
      </c>
      <c r="D674" s="45">
        <f>D675</f>
        <v>0</v>
      </c>
      <c r="E674" s="45">
        <f t="shared" si="77"/>
        <v>63500</v>
      </c>
      <c r="F674" s="45">
        <f>F675</f>
        <v>65500</v>
      </c>
      <c r="G674" s="45">
        <f t="shared" si="79"/>
        <v>2000</v>
      </c>
      <c r="H674" s="47">
        <f t="shared" si="78"/>
        <v>3.1496062992125984E-2</v>
      </c>
    </row>
    <row r="675" spans="1:8">
      <c r="A675" s="44" t="s">
        <v>139</v>
      </c>
      <c r="B675" s="45">
        <f>SUM(B676:B681)</f>
        <v>60000</v>
      </c>
      <c r="C675" s="45">
        <f>SUM(C676:C681)</f>
        <v>3500</v>
      </c>
      <c r="D675" s="45">
        <f>SUM(D676:D681)</f>
        <v>0</v>
      </c>
      <c r="E675" s="45">
        <f t="shared" si="77"/>
        <v>63500</v>
      </c>
      <c r="F675" s="45">
        <f>SUM(F676:F681)</f>
        <v>65500</v>
      </c>
      <c r="G675" s="45">
        <f t="shared" si="79"/>
        <v>2000</v>
      </c>
      <c r="H675" s="47">
        <f t="shared" si="78"/>
        <v>3.1496062992125984E-2</v>
      </c>
    </row>
    <row r="676" spans="1:8">
      <c r="A676" s="51" t="s">
        <v>141</v>
      </c>
      <c r="B676" s="52">
        <v>40200</v>
      </c>
      <c r="C676" s="52"/>
      <c r="D676" s="52"/>
      <c r="E676" s="52">
        <f t="shared" si="77"/>
        <v>40200</v>
      </c>
      <c r="F676" s="52">
        <v>42000</v>
      </c>
      <c r="G676" s="52">
        <f t="shared" si="79"/>
        <v>1800</v>
      </c>
      <c r="H676" s="53">
        <f t="shared" si="78"/>
        <v>4.4776119402985072E-2</v>
      </c>
    </row>
    <row r="677" spans="1:8">
      <c r="A677" s="51" t="s">
        <v>197</v>
      </c>
      <c r="B677" s="52">
        <v>1000</v>
      </c>
      <c r="C677" s="52"/>
      <c r="D677" s="52"/>
      <c r="E677" s="52">
        <f t="shared" si="77"/>
        <v>1000</v>
      </c>
      <c r="F677" s="52">
        <v>1000</v>
      </c>
      <c r="G677" s="52">
        <f t="shared" si="79"/>
        <v>0</v>
      </c>
      <c r="H677" s="53">
        <f t="shared" si="78"/>
        <v>0</v>
      </c>
    </row>
    <row r="678" spans="1:8">
      <c r="A678" s="51" t="s">
        <v>66</v>
      </c>
      <c r="B678" s="52">
        <v>6200</v>
      </c>
      <c r="C678" s="52"/>
      <c r="D678" s="52"/>
      <c r="E678" s="52">
        <f t="shared" si="77"/>
        <v>6200</v>
      </c>
      <c r="F678" s="52">
        <v>6200</v>
      </c>
      <c r="G678" s="52">
        <f t="shared" si="79"/>
        <v>0</v>
      </c>
      <c r="H678" s="53">
        <f t="shared" si="78"/>
        <v>0</v>
      </c>
    </row>
    <row r="679" spans="1:8">
      <c r="A679" s="51" t="s">
        <v>84</v>
      </c>
      <c r="B679" s="52">
        <v>3600</v>
      </c>
      <c r="C679" s="52"/>
      <c r="D679" s="52"/>
      <c r="E679" s="52">
        <f t="shared" si="77"/>
        <v>3600</v>
      </c>
      <c r="F679" s="52">
        <v>3800</v>
      </c>
      <c r="G679" s="52">
        <f t="shared" si="79"/>
        <v>200</v>
      </c>
      <c r="H679" s="53">
        <f t="shared" si="78"/>
        <v>5.5555555555555552E-2</v>
      </c>
    </row>
    <row r="680" spans="1:8">
      <c r="A680" s="48" t="s">
        <v>192</v>
      </c>
      <c r="B680" s="49">
        <v>7000</v>
      </c>
      <c r="C680" s="49">
        <v>500</v>
      </c>
      <c r="D680" s="49"/>
      <c r="E680" s="49">
        <f t="shared" si="77"/>
        <v>7500</v>
      </c>
      <c r="F680" s="49">
        <v>7500</v>
      </c>
      <c r="G680" s="49">
        <f t="shared" si="79"/>
        <v>0</v>
      </c>
      <c r="H680" s="50">
        <f t="shared" si="78"/>
        <v>0</v>
      </c>
    </row>
    <row r="681" spans="1:8">
      <c r="A681" s="48" t="s">
        <v>193</v>
      </c>
      <c r="B681" s="49">
        <v>2000</v>
      </c>
      <c r="C681" s="49">
        <v>3000</v>
      </c>
      <c r="D681" s="49"/>
      <c r="E681" s="49">
        <f t="shared" si="77"/>
        <v>5000</v>
      </c>
      <c r="F681" s="49">
        <v>5000</v>
      </c>
      <c r="G681" s="49">
        <f t="shared" si="79"/>
        <v>0</v>
      </c>
      <c r="H681" s="50">
        <f t="shared" si="78"/>
        <v>0</v>
      </c>
    </row>
    <row r="682" spans="1:8">
      <c r="A682" s="48"/>
      <c r="B682" s="49"/>
      <c r="C682" s="49"/>
      <c r="D682" s="49"/>
      <c r="E682" s="49">
        <f t="shared" si="77"/>
        <v>0</v>
      </c>
      <c r="G682" s="49">
        <f t="shared" si="79"/>
        <v>0</v>
      </c>
      <c r="H682" s="50" t="str">
        <f t="shared" si="78"/>
        <v/>
      </c>
    </row>
    <row r="683" spans="1:8">
      <c r="A683" s="40" t="s">
        <v>217</v>
      </c>
      <c r="B683" s="41">
        <f>B685+B706+B716+B727</f>
        <v>575107</v>
      </c>
      <c r="C683" s="41">
        <f>C685+C706+C716+C727</f>
        <v>29200</v>
      </c>
      <c r="D683" s="41">
        <f>D685+D706+D716+D727</f>
        <v>11367</v>
      </c>
      <c r="E683" s="41">
        <f t="shared" si="77"/>
        <v>615674</v>
      </c>
      <c r="F683" s="41">
        <f>F685+F706+F716+F727</f>
        <v>604660</v>
      </c>
      <c r="G683" s="41">
        <f t="shared" si="79"/>
        <v>-11014</v>
      </c>
      <c r="H683" s="43">
        <f t="shared" si="78"/>
        <v>-1.7889337539022276E-2</v>
      </c>
    </row>
    <row r="684" spans="1:8">
      <c r="A684" s="54"/>
      <c r="B684" s="55"/>
      <c r="C684" s="55"/>
      <c r="D684" s="55"/>
      <c r="E684" s="55">
        <f t="shared" si="77"/>
        <v>0</v>
      </c>
      <c r="F684" s="55"/>
      <c r="G684" s="55">
        <f t="shared" si="79"/>
        <v>0</v>
      </c>
      <c r="H684" s="56" t="str">
        <f t="shared" si="78"/>
        <v/>
      </c>
    </row>
    <row r="685" spans="1:8">
      <c r="A685" s="44" t="s">
        <v>218</v>
      </c>
      <c r="B685" s="45">
        <f>B691+B694+B698+B700+B686+B689</f>
        <v>298627</v>
      </c>
      <c r="C685" s="45">
        <f>C691+C694+C698+C700+C686+C689</f>
        <v>15200</v>
      </c>
      <c r="D685" s="45">
        <f>D691+D694+D698+D700+D686+D689</f>
        <v>-233</v>
      </c>
      <c r="E685" s="45">
        <f t="shared" si="77"/>
        <v>313594</v>
      </c>
      <c r="F685" s="45">
        <f>F691+F694+F698+F700+F686+F689</f>
        <v>311180</v>
      </c>
      <c r="G685" s="45">
        <f t="shared" si="79"/>
        <v>-2414</v>
      </c>
      <c r="H685" s="47">
        <f t="shared" si="78"/>
        <v>-7.697851361952078E-3</v>
      </c>
    </row>
    <row r="686" spans="1:8">
      <c r="A686" s="44" t="s">
        <v>72</v>
      </c>
      <c r="B686" s="45">
        <f>SUM(B687:B688)</f>
        <v>2400</v>
      </c>
      <c r="C686" s="45">
        <f>SUM(C687:C688)</f>
        <v>0</v>
      </c>
      <c r="D686" s="45">
        <f>SUM(D687:D688)</f>
        <v>0</v>
      </c>
      <c r="E686" s="45">
        <f t="shared" si="77"/>
        <v>2400</v>
      </c>
      <c r="F686" s="45">
        <f>SUM(F687:F688)</f>
        <v>2400</v>
      </c>
      <c r="G686" s="45">
        <f t="shared" si="79"/>
        <v>0</v>
      </c>
      <c r="H686" s="47">
        <f t="shared" si="78"/>
        <v>0</v>
      </c>
    </row>
    <row r="687" spans="1:8">
      <c r="A687" s="48" t="s">
        <v>219</v>
      </c>
      <c r="B687" s="49">
        <v>400</v>
      </c>
      <c r="C687" s="49"/>
      <c r="D687" s="49"/>
      <c r="E687" s="49">
        <f t="shared" si="77"/>
        <v>400</v>
      </c>
      <c r="F687" s="49">
        <v>400</v>
      </c>
      <c r="G687" s="49">
        <f t="shared" si="79"/>
        <v>0</v>
      </c>
      <c r="H687" s="50">
        <f t="shared" si="78"/>
        <v>0</v>
      </c>
    </row>
    <row r="688" spans="1:8">
      <c r="A688" s="51" t="s">
        <v>220</v>
      </c>
      <c r="B688" s="52">
        <v>2000</v>
      </c>
      <c r="C688" s="52"/>
      <c r="D688" s="52"/>
      <c r="E688" s="52">
        <f t="shared" si="77"/>
        <v>2000</v>
      </c>
      <c r="F688" s="52">
        <v>2000</v>
      </c>
      <c r="G688" s="52">
        <f t="shared" si="79"/>
        <v>0</v>
      </c>
      <c r="H688" s="53">
        <f t="shared" si="78"/>
        <v>0</v>
      </c>
    </row>
    <row r="689" spans="1:8">
      <c r="A689" s="44" t="s">
        <v>74</v>
      </c>
      <c r="B689" s="45">
        <f>B690</f>
        <v>16000</v>
      </c>
      <c r="C689" s="45">
        <f>C690</f>
        <v>6000</v>
      </c>
      <c r="D689" s="45">
        <f>D690</f>
        <v>5200</v>
      </c>
      <c r="E689" s="45">
        <f t="shared" si="77"/>
        <v>27200</v>
      </c>
      <c r="F689" s="45">
        <f>F690</f>
        <v>24000</v>
      </c>
      <c r="G689" s="45">
        <f t="shared" si="79"/>
        <v>-3200</v>
      </c>
      <c r="H689" s="47">
        <f t="shared" si="78"/>
        <v>-0.11764705882352941</v>
      </c>
    </row>
    <row r="690" spans="1:8">
      <c r="A690" s="51" t="s">
        <v>66</v>
      </c>
      <c r="B690" s="52">
        <v>16000</v>
      </c>
      <c r="C690" s="52">
        <v>6000</v>
      </c>
      <c r="D690" s="52">
        <v>5200</v>
      </c>
      <c r="E690" s="52">
        <f t="shared" si="77"/>
        <v>27200</v>
      </c>
      <c r="F690" s="52">
        <f>20000+4000</f>
        <v>24000</v>
      </c>
      <c r="G690" s="52">
        <f t="shared" si="79"/>
        <v>-3200</v>
      </c>
      <c r="H690" s="53">
        <f t="shared" si="78"/>
        <v>-0.11764705882352941</v>
      </c>
    </row>
    <row r="691" spans="1:8">
      <c r="A691" s="44" t="s">
        <v>125</v>
      </c>
      <c r="B691" s="45">
        <f>B692+B693</f>
        <v>2100</v>
      </c>
      <c r="C691" s="45">
        <f>C692+C693</f>
        <v>0</v>
      </c>
      <c r="D691" s="45">
        <f>D692+D693</f>
        <v>0</v>
      </c>
      <c r="E691" s="45">
        <f t="shared" si="77"/>
        <v>2100</v>
      </c>
      <c r="F691" s="45">
        <f>F692+F693</f>
        <v>2100</v>
      </c>
      <c r="G691" s="45">
        <f t="shared" si="79"/>
        <v>0</v>
      </c>
      <c r="H691" s="47">
        <f t="shared" si="78"/>
        <v>0</v>
      </c>
    </row>
    <row r="692" spans="1:8">
      <c r="A692" s="48" t="s">
        <v>126</v>
      </c>
      <c r="B692" s="49">
        <v>1000</v>
      </c>
      <c r="C692" s="49"/>
      <c r="D692" s="49"/>
      <c r="E692" s="49">
        <f t="shared" si="77"/>
        <v>1000</v>
      </c>
      <c r="F692" s="49">
        <v>1000</v>
      </c>
      <c r="G692" s="49">
        <f t="shared" si="79"/>
        <v>0</v>
      </c>
      <c r="H692" s="50">
        <f t="shared" si="78"/>
        <v>0</v>
      </c>
    </row>
    <row r="693" spans="1:8">
      <c r="A693" s="48" t="s">
        <v>59</v>
      </c>
      <c r="B693" s="49">
        <v>1100</v>
      </c>
      <c r="C693" s="49"/>
      <c r="D693" s="49"/>
      <c r="E693" s="49">
        <f t="shared" si="77"/>
        <v>1100</v>
      </c>
      <c r="F693" s="49">
        <v>1100</v>
      </c>
      <c r="G693" s="49">
        <f t="shared" si="79"/>
        <v>0</v>
      </c>
      <c r="H693" s="50">
        <f t="shared" si="78"/>
        <v>0</v>
      </c>
    </row>
    <row r="694" spans="1:8">
      <c r="A694" s="44" t="s">
        <v>57</v>
      </c>
      <c r="B694" s="45">
        <f>SUM(B695:B697)</f>
        <v>117570</v>
      </c>
      <c r="C694" s="45">
        <f>SUM(C695:C697)</f>
        <v>0</v>
      </c>
      <c r="D694" s="45">
        <f>SUM(D695:D697)</f>
        <v>-8433</v>
      </c>
      <c r="E694" s="45">
        <f t="shared" si="77"/>
        <v>109137</v>
      </c>
      <c r="F694" s="45">
        <f>SUM(F695:F697)</f>
        <v>112882</v>
      </c>
      <c r="G694" s="45">
        <f t="shared" si="79"/>
        <v>3745</v>
      </c>
      <c r="H694" s="47">
        <f t="shared" si="78"/>
        <v>3.4314668719132836E-2</v>
      </c>
    </row>
    <row r="695" spans="1:8">
      <c r="A695" s="48" t="s">
        <v>58</v>
      </c>
      <c r="B695" s="49">
        <v>86300</v>
      </c>
      <c r="C695" s="49"/>
      <c r="D695" s="49">
        <v>-9933</v>
      </c>
      <c r="E695" s="49">
        <f t="shared" si="77"/>
        <v>76367</v>
      </c>
      <c r="F695" s="49">
        <v>81612</v>
      </c>
      <c r="G695" s="49">
        <f t="shared" si="79"/>
        <v>5245</v>
      </c>
      <c r="H695" s="50">
        <f t="shared" si="78"/>
        <v>6.8681498553039927E-2</v>
      </c>
    </row>
    <row r="696" spans="1:8">
      <c r="A696" s="48" t="s">
        <v>59</v>
      </c>
      <c r="B696" s="49">
        <v>26500</v>
      </c>
      <c r="C696" s="49"/>
      <c r="D696" s="49"/>
      <c r="E696" s="49">
        <f t="shared" si="77"/>
        <v>26500</v>
      </c>
      <c r="F696" s="49">
        <v>26500</v>
      </c>
      <c r="G696" s="49">
        <f t="shared" si="79"/>
        <v>0</v>
      </c>
      <c r="H696" s="50">
        <f t="shared" si="78"/>
        <v>0</v>
      </c>
    </row>
    <row r="697" spans="1:8">
      <c r="A697" s="48" t="s">
        <v>81</v>
      </c>
      <c r="B697" s="49">
        <v>4770</v>
      </c>
      <c r="C697" s="49"/>
      <c r="D697" s="49">
        <v>1500</v>
      </c>
      <c r="E697" s="49">
        <f t="shared" si="77"/>
        <v>6270</v>
      </c>
      <c r="F697" s="49">
        <v>4770</v>
      </c>
      <c r="G697" s="49">
        <f t="shared" si="79"/>
        <v>-1500</v>
      </c>
      <c r="H697" s="50">
        <f t="shared" si="78"/>
        <v>-0.23923444976076555</v>
      </c>
    </row>
    <row r="698" spans="1:8">
      <c r="A698" s="44" t="s">
        <v>33</v>
      </c>
      <c r="B698" s="45">
        <f>B699</f>
        <v>58357</v>
      </c>
      <c r="C698" s="45">
        <f>C699</f>
        <v>0</v>
      </c>
      <c r="D698" s="45">
        <f>D699</f>
        <v>0</v>
      </c>
      <c r="E698" s="45">
        <f t="shared" si="77"/>
        <v>58357</v>
      </c>
      <c r="F698" s="45">
        <f>F699</f>
        <v>58398</v>
      </c>
      <c r="G698" s="45">
        <f t="shared" si="79"/>
        <v>41</v>
      </c>
      <c r="H698" s="47">
        <f t="shared" si="78"/>
        <v>7.0257209931970453E-4</v>
      </c>
    </row>
    <row r="699" spans="1:8">
      <c r="A699" s="51" t="s">
        <v>189</v>
      </c>
      <c r="B699" s="52">
        <f>56357+2000</f>
        <v>58357</v>
      </c>
      <c r="C699" s="52"/>
      <c r="D699" s="52"/>
      <c r="E699" s="52">
        <f t="shared" si="77"/>
        <v>58357</v>
      </c>
      <c r="F699" s="52">
        <v>58398</v>
      </c>
      <c r="G699" s="52">
        <f t="shared" si="79"/>
        <v>41</v>
      </c>
      <c r="H699" s="53">
        <f t="shared" si="78"/>
        <v>7.0257209931970453E-4</v>
      </c>
    </row>
    <row r="700" spans="1:8">
      <c r="A700" s="44" t="s">
        <v>61</v>
      </c>
      <c r="B700" s="45">
        <f>SUM(B701:B704)</f>
        <v>102200</v>
      </c>
      <c r="C700" s="45">
        <f>SUM(C701:C704)</f>
        <v>9200</v>
      </c>
      <c r="D700" s="45">
        <f>SUM(D701:D704)</f>
        <v>3000</v>
      </c>
      <c r="E700" s="45">
        <f t="shared" si="77"/>
        <v>114400</v>
      </c>
      <c r="F700" s="45">
        <f>SUM(F701:F704)</f>
        <v>111400</v>
      </c>
      <c r="G700" s="45">
        <f t="shared" si="79"/>
        <v>-3000</v>
      </c>
      <c r="H700" s="47">
        <f t="shared" si="78"/>
        <v>-2.6223776223776224E-2</v>
      </c>
    </row>
    <row r="701" spans="1:8">
      <c r="A701" s="48" t="s">
        <v>156</v>
      </c>
      <c r="B701" s="49">
        <v>21000</v>
      </c>
      <c r="C701" s="49">
        <v>4000</v>
      </c>
      <c r="D701" s="49">
        <v>3000</v>
      </c>
      <c r="E701" s="49">
        <f t="shared" si="77"/>
        <v>28000</v>
      </c>
      <c r="F701" s="49">
        <v>25000</v>
      </c>
      <c r="G701" s="49">
        <f t="shared" si="79"/>
        <v>-3000</v>
      </c>
      <c r="H701" s="50">
        <f t="shared" si="78"/>
        <v>-0.10714285714285714</v>
      </c>
    </row>
    <row r="702" spans="1:8">
      <c r="A702" s="51" t="s">
        <v>105</v>
      </c>
      <c r="B702" s="52">
        <v>35000</v>
      </c>
      <c r="C702" s="52"/>
      <c r="D702" s="52"/>
      <c r="E702" s="52">
        <f t="shared" si="77"/>
        <v>35000</v>
      </c>
      <c r="F702" s="52">
        <v>35000</v>
      </c>
      <c r="G702" s="52">
        <f t="shared" si="79"/>
        <v>0</v>
      </c>
      <c r="H702" s="53">
        <f t="shared" si="78"/>
        <v>0</v>
      </c>
    </row>
    <row r="703" spans="1:8">
      <c r="A703" s="48" t="s">
        <v>221</v>
      </c>
      <c r="B703" s="49">
        <f>41200+2800</f>
        <v>44000</v>
      </c>
      <c r="C703" s="49">
        <v>4000</v>
      </c>
      <c r="D703" s="49"/>
      <c r="E703" s="49">
        <f t="shared" si="77"/>
        <v>48000</v>
      </c>
      <c r="F703" s="49">
        <v>48000</v>
      </c>
      <c r="G703" s="49">
        <f t="shared" si="79"/>
        <v>0</v>
      </c>
      <c r="H703" s="50">
        <f t="shared" si="78"/>
        <v>0</v>
      </c>
    </row>
    <row r="704" spans="1:8">
      <c r="A704" s="51" t="s">
        <v>199</v>
      </c>
      <c r="B704" s="52">
        <v>2200</v>
      </c>
      <c r="C704" s="52">
        <v>1200</v>
      </c>
      <c r="D704" s="52"/>
      <c r="E704" s="52">
        <f t="shared" si="77"/>
        <v>3400</v>
      </c>
      <c r="F704" s="52">
        <v>3400</v>
      </c>
      <c r="G704" s="52">
        <f t="shared" si="79"/>
        <v>0</v>
      </c>
      <c r="H704" s="53">
        <f t="shared" si="78"/>
        <v>0</v>
      </c>
    </row>
    <row r="705" spans="1:8">
      <c r="A705" s="51"/>
      <c r="B705" s="52"/>
      <c r="C705" s="52"/>
      <c r="D705" s="52"/>
      <c r="E705" s="52">
        <f t="shared" si="77"/>
        <v>0</v>
      </c>
      <c r="F705" s="52"/>
      <c r="G705" s="52">
        <f t="shared" si="79"/>
        <v>0</v>
      </c>
      <c r="H705" s="53" t="str">
        <f t="shared" si="78"/>
        <v/>
      </c>
    </row>
    <row r="706" spans="1:8">
      <c r="A706" s="79" t="s">
        <v>222</v>
      </c>
      <c r="B706" s="45">
        <f>B707+B712</f>
        <v>68800</v>
      </c>
      <c r="C706" s="45">
        <f>C707+C712</f>
        <v>10000</v>
      </c>
      <c r="D706" s="45">
        <f>D707+D712</f>
        <v>1700</v>
      </c>
      <c r="E706" s="45">
        <f t="shared" si="77"/>
        <v>80500</v>
      </c>
      <c r="F706" s="45">
        <f>F707+F712</f>
        <v>78800</v>
      </c>
      <c r="G706" s="45">
        <f t="shared" si="79"/>
        <v>-1700</v>
      </c>
      <c r="H706" s="47">
        <f t="shared" si="78"/>
        <v>-2.1118012422360249E-2</v>
      </c>
    </row>
    <row r="707" spans="1:8">
      <c r="A707" s="44" t="s">
        <v>72</v>
      </c>
      <c r="B707" s="45">
        <f>SUM(B708:B711)</f>
        <v>58400</v>
      </c>
      <c r="C707" s="45">
        <f>SUM(C708:C711)</f>
        <v>8800</v>
      </c>
      <c r="D707" s="45">
        <f>SUM(D708:D711)</f>
        <v>1700</v>
      </c>
      <c r="E707" s="45">
        <f t="shared" si="77"/>
        <v>68900</v>
      </c>
      <c r="F707" s="45">
        <f>SUM(F708:F711)</f>
        <v>67200</v>
      </c>
      <c r="G707" s="45">
        <f t="shared" si="79"/>
        <v>-1700</v>
      </c>
      <c r="H707" s="47">
        <f t="shared" si="78"/>
        <v>-2.4673439767779391E-2</v>
      </c>
    </row>
    <row r="708" spans="1:8">
      <c r="A708" s="51" t="s">
        <v>103</v>
      </c>
      <c r="B708" s="52">
        <v>16100</v>
      </c>
      <c r="C708" s="52">
        <v>600</v>
      </c>
      <c r="D708" s="52"/>
      <c r="E708" s="52">
        <f t="shared" si="77"/>
        <v>16700</v>
      </c>
      <c r="F708" s="52">
        <v>17000</v>
      </c>
      <c r="G708" s="52">
        <f t="shared" si="79"/>
        <v>300</v>
      </c>
      <c r="H708" s="53">
        <f t="shared" si="78"/>
        <v>1.7964071856287425E-2</v>
      </c>
    </row>
    <row r="709" spans="1:8">
      <c r="A709" s="51" t="s">
        <v>95</v>
      </c>
      <c r="B709" s="52">
        <v>10000</v>
      </c>
      <c r="C709" s="52">
        <v>4000</v>
      </c>
      <c r="D709" s="52">
        <v>500</v>
      </c>
      <c r="E709" s="52">
        <f t="shared" ref="E709:E772" si="80">SUM(B709:D709)</f>
        <v>14500</v>
      </c>
      <c r="F709" s="52">
        <v>14000</v>
      </c>
      <c r="G709" s="52">
        <f t="shared" si="79"/>
        <v>-500</v>
      </c>
      <c r="H709" s="53">
        <f t="shared" si="78"/>
        <v>-3.4482758620689655E-2</v>
      </c>
    </row>
    <row r="710" spans="1:8" ht="25.5">
      <c r="A710" s="51" t="s">
        <v>107</v>
      </c>
      <c r="B710" s="52">
        <v>30200</v>
      </c>
      <c r="C710" s="52">
        <v>4000</v>
      </c>
      <c r="D710" s="52">
        <v>2000</v>
      </c>
      <c r="E710" s="52">
        <f t="shared" si="80"/>
        <v>36200</v>
      </c>
      <c r="F710" s="52">
        <v>34200</v>
      </c>
      <c r="G710" s="52">
        <f t="shared" si="79"/>
        <v>-2000</v>
      </c>
      <c r="H710" s="53">
        <f t="shared" si="78"/>
        <v>-5.5248618784530384E-2</v>
      </c>
    </row>
    <row r="711" spans="1:8" ht="25.5">
      <c r="A711" s="51" t="s">
        <v>86</v>
      </c>
      <c r="B711" s="52">
        <v>2100</v>
      </c>
      <c r="C711" s="52">
        <v>200</v>
      </c>
      <c r="D711" s="52">
        <v>-800</v>
      </c>
      <c r="E711" s="52">
        <f t="shared" si="80"/>
        <v>1500</v>
      </c>
      <c r="F711" s="52">
        <v>2000</v>
      </c>
      <c r="G711" s="52">
        <f t="shared" si="79"/>
        <v>500</v>
      </c>
      <c r="H711" s="53">
        <f t="shared" si="78"/>
        <v>0.33333333333333331</v>
      </c>
    </row>
    <row r="712" spans="1:8">
      <c r="A712" s="44" t="s">
        <v>57</v>
      </c>
      <c r="B712" s="45">
        <f>SUM(B713:B714)</f>
        <v>10400</v>
      </c>
      <c r="C712" s="45">
        <f>SUM(C713:C714)</f>
        <v>1200</v>
      </c>
      <c r="D712" s="45">
        <f>SUM(D713:D714)</f>
        <v>0</v>
      </c>
      <c r="E712" s="45">
        <f t="shared" si="80"/>
        <v>11600</v>
      </c>
      <c r="F712" s="45">
        <f>SUM(F713:F714)</f>
        <v>11600</v>
      </c>
      <c r="G712" s="45">
        <f t="shared" si="79"/>
        <v>0</v>
      </c>
      <c r="H712" s="47">
        <f t="shared" si="78"/>
        <v>0</v>
      </c>
    </row>
    <row r="713" spans="1:8">
      <c r="A713" s="48" t="s">
        <v>58</v>
      </c>
      <c r="B713" s="49">
        <v>6400</v>
      </c>
      <c r="C713" s="49"/>
      <c r="D713" s="49"/>
      <c r="E713" s="49">
        <f t="shared" si="80"/>
        <v>6400</v>
      </c>
      <c r="F713" s="49">
        <v>6400</v>
      </c>
      <c r="G713" s="49">
        <f t="shared" si="79"/>
        <v>0</v>
      </c>
      <c r="H713" s="50">
        <f t="shared" si="78"/>
        <v>0</v>
      </c>
    </row>
    <row r="714" spans="1:8">
      <c r="A714" s="48" t="s">
        <v>59</v>
      </c>
      <c r="B714" s="49">
        <v>4000</v>
      </c>
      <c r="C714" s="49">
        <v>1200</v>
      </c>
      <c r="D714" s="49"/>
      <c r="E714" s="49">
        <f t="shared" si="80"/>
        <v>5200</v>
      </c>
      <c r="F714" s="49">
        <v>5200</v>
      </c>
      <c r="G714" s="49">
        <f t="shared" si="79"/>
        <v>0</v>
      </c>
      <c r="H714" s="50">
        <f t="shared" si="78"/>
        <v>0</v>
      </c>
    </row>
    <row r="715" spans="1:8">
      <c r="A715" s="44"/>
      <c r="B715" s="45"/>
      <c r="C715" s="45"/>
      <c r="D715" s="45"/>
      <c r="E715" s="45">
        <f t="shared" si="80"/>
        <v>0</v>
      </c>
      <c r="F715" s="45"/>
      <c r="G715" s="45">
        <f t="shared" si="79"/>
        <v>0</v>
      </c>
      <c r="H715" s="47" t="str">
        <f t="shared" si="78"/>
        <v/>
      </c>
    </row>
    <row r="716" spans="1:8">
      <c r="A716" s="44" t="s">
        <v>223</v>
      </c>
      <c r="B716" s="45">
        <f>B717+B721</f>
        <v>15700</v>
      </c>
      <c r="C716" s="45">
        <f>C717+C721</f>
        <v>4000</v>
      </c>
      <c r="D716" s="45">
        <f>D717+D721</f>
        <v>2400</v>
      </c>
      <c r="E716" s="45">
        <f t="shared" si="80"/>
        <v>22100</v>
      </c>
      <c r="F716" s="45">
        <f>F717+F721</f>
        <v>19700</v>
      </c>
      <c r="G716" s="45">
        <f t="shared" si="79"/>
        <v>-2400</v>
      </c>
      <c r="H716" s="47">
        <f t="shared" si="78"/>
        <v>-0.10859728506787331</v>
      </c>
    </row>
    <row r="717" spans="1:8">
      <c r="A717" s="44" t="s">
        <v>139</v>
      </c>
      <c r="B717" s="45">
        <f>SUM(B718:B720)</f>
        <v>7650</v>
      </c>
      <c r="C717" s="45">
        <f>SUM(C718:C720)</f>
        <v>4000</v>
      </c>
      <c r="D717" s="45">
        <f>SUM(D718:D720)</f>
        <v>1100</v>
      </c>
      <c r="E717" s="45">
        <f t="shared" si="80"/>
        <v>12750</v>
      </c>
      <c r="F717" s="45">
        <f>SUM(F718:F720)</f>
        <v>11650</v>
      </c>
      <c r="G717" s="45">
        <f t="shared" si="79"/>
        <v>-1100</v>
      </c>
      <c r="H717" s="47">
        <f t="shared" si="78"/>
        <v>-8.6274509803921567E-2</v>
      </c>
    </row>
    <row r="718" spans="1:8">
      <c r="A718" s="51" t="s">
        <v>66</v>
      </c>
      <c r="B718" s="52">
        <v>2800</v>
      </c>
      <c r="C718" s="52">
        <v>4000</v>
      </c>
      <c r="D718" s="52">
        <v>1100</v>
      </c>
      <c r="E718" s="52">
        <f t="shared" si="80"/>
        <v>7900</v>
      </c>
      <c r="F718" s="52">
        <v>6800</v>
      </c>
      <c r="G718" s="52">
        <f t="shared" si="79"/>
        <v>-1100</v>
      </c>
      <c r="H718" s="53">
        <f t="shared" si="78"/>
        <v>-0.13924050632911392</v>
      </c>
    </row>
    <row r="719" spans="1:8">
      <c r="A719" s="51" t="s">
        <v>103</v>
      </c>
      <c r="B719" s="52">
        <v>4380</v>
      </c>
      <c r="C719" s="52"/>
      <c r="D719" s="52"/>
      <c r="E719" s="52">
        <f t="shared" si="80"/>
        <v>4380</v>
      </c>
      <c r="F719" s="52">
        <v>4780</v>
      </c>
      <c r="G719" s="52">
        <f t="shared" si="79"/>
        <v>400</v>
      </c>
      <c r="H719" s="53">
        <f t="shared" si="78"/>
        <v>9.1324200913242004E-2</v>
      </c>
    </row>
    <row r="720" spans="1:8">
      <c r="A720" s="48" t="s">
        <v>193</v>
      </c>
      <c r="B720" s="49">
        <v>470</v>
      </c>
      <c r="C720" s="49"/>
      <c r="D720" s="49"/>
      <c r="E720" s="49">
        <f t="shared" si="80"/>
        <v>470</v>
      </c>
      <c r="F720" s="49">
        <v>70</v>
      </c>
      <c r="G720" s="49">
        <f t="shared" si="79"/>
        <v>-400</v>
      </c>
      <c r="H720" s="50">
        <f t="shared" si="78"/>
        <v>-0.85106382978723405</v>
      </c>
    </row>
    <row r="721" spans="1:8">
      <c r="A721" s="44" t="s">
        <v>74</v>
      </c>
      <c r="B721" s="45">
        <f>SUM(B722:B725)</f>
        <v>8050</v>
      </c>
      <c r="C721" s="45">
        <f>SUM(C722:C725)</f>
        <v>0</v>
      </c>
      <c r="D721" s="45">
        <f>SUM(D722:D725)</f>
        <v>1300</v>
      </c>
      <c r="E721" s="45">
        <f t="shared" si="80"/>
        <v>9350</v>
      </c>
      <c r="F721" s="45">
        <f>SUM(F722:F725)</f>
        <v>8050</v>
      </c>
      <c r="G721" s="45">
        <f t="shared" si="79"/>
        <v>-1300</v>
      </c>
      <c r="H721" s="47">
        <f t="shared" si="78"/>
        <v>-0.13903743315508021</v>
      </c>
    </row>
    <row r="722" spans="1:8">
      <c r="A722" s="51" t="s">
        <v>84</v>
      </c>
      <c r="B722" s="52">
        <v>400</v>
      </c>
      <c r="C722" s="52"/>
      <c r="D722" s="52"/>
      <c r="E722" s="52">
        <f t="shared" si="80"/>
        <v>400</v>
      </c>
      <c r="F722" s="52">
        <v>400</v>
      </c>
      <c r="G722" s="52">
        <f t="shared" si="79"/>
        <v>0</v>
      </c>
      <c r="H722" s="53">
        <f t="shared" si="78"/>
        <v>0</v>
      </c>
    </row>
    <row r="723" spans="1:8" ht="25.5">
      <c r="A723" s="51" t="s">
        <v>97</v>
      </c>
      <c r="B723" s="52">
        <v>4400</v>
      </c>
      <c r="C723" s="52"/>
      <c r="D723" s="52">
        <v>1300</v>
      </c>
      <c r="E723" s="52">
        <f t="shared" si="80"/>
        <v>5700</v>
      </c>
      <c r="F723" s="52">
        <v>4400</v>
      </c>
      <c r="G723" s="52">
        <f t="shared" si="79"/>
        <v>-1300</v>
      </c>
      <c r="H723" s="53">
        <f t="shared" si="78"/>
        <v>-0.22807017543859648</v>
      </c>
    </row>
    <row r="724" spans="1:8" ht="25.5">
      <c r="A724" s="51" t="s">
        <v>98</v>
      </c>
      <c r="B724" s="52">
        <v>250</v>
      </c>
      <c r="C724" s="52"/>
      <c r="D724" s="52"/>
      <c r="E724" s="52">
        <f t="shared" si="80"/>
        <v>250</v>
      </c>
      <c r="F724" s="52">
        <v>250</v>
      </c>
      <c r="G724" s="52">
        <f t="shared" si="79"/>
        <v>0</v>
      </c>
      <c r="H724" s="53">
        <f t="shared" si="78"/>
        <v>0</v>
      </c>
    </row>
    <row r="725" spans="1:8">
      <c r="A725" s="51" t="s">
        <v>99</v>
      </c>
      <c r="B725" s="52">
        <v>3000</v>
      </c>
      <c r="C725" s="52"/>
      <c r="D725" s="52"/>
      <c r="E725" s="52">
        <f t="shared" si="80"/>
        <v>3000</v>
      </c>
      <c r="F725" s="52">
        <v>3000</v>
      </c>
      <c r="G725" s="52">
        <f t="shared" si="79"/>
        <v>0</v>
      </c>
      <c r="H725" s="53">
        <f t="shared" si="78"/>
        <v>0</v>
      </c>
    </row>
    <row r="726" spans="1:8">
      <c r="A726" s="44"/>
      <c r="B726" s="45"/>
      <c r="C726" s="45"/>
      <c r="D726" s="45"/>
      <c r="E726" s="45">
        <f t="shared" si="80"/>
        <v>0</v>
      </c>
      <c r="F726" s="45"/>
      <c r="G726" s="45">
        <f t="shared" si="79"/>
        <v>0</v>
      </c>
      <c r="H726" s="47" t="str">
        <f t="shared" si="78"/>
        <v/>
      </c>
    </row>
    <row r="727" spans="1:8">
      <c r="A727" s="44" t="s">
        <v>224</v>
      </c>
      <c r="B727" s="45">
        <f>B728+B732+B735</f>
        <v>191980</v>
      </c>
      <c r="C727" s="45">
        <f>C728+C732+C735</f>
        <v>0</v>
      </c>
      <c r="D727" s="45">
        <f>D728+D732+D735</f>
        <v>7500</v>
      </c>
      <c r="E727" s="45">
        <f t="shared" si="80"/>
        <v>199480</v>
      </c>
      <c r="F727" s="45">
        <f>F728+F732+F735</f>
        <v>194980</v>
      </c>
      <c r="G727" s="45">
        <f t="shared" si="79"/>
        <v>-4500</v>
      </c>
      <c r="H727" s="47">
        <f t="shared" si="78"/>
        <v>-2.2558652496490875E-2</v>
      </c>
    </row>
    <row r="728" spans="1:8">
      <c r="A728" s="44" t="s">
        <v>139</v>
      </c>
      <c r="B728" s="45">
        <f>SUM(B729:B731)</f>
        <v>151257</v>
      </c>
      <c r="C728" s="45">
        <f>SUM(C729:C731)</f>
        <v>0</v>
      </c>
      <c r="D728" s="45">
        <f>SUM(D729:D731)</f>
        <v>4000</v>
      </c>
      <c r="E728" s="45">
        <f t="shared" si="80"/>
        <v>155257</v>
      </c>
      <c r="F728" s="45">
        <f>SUM(F729:F731)</f>
        <v>153700</v>
      </c>
      <c r="G728" s="45">
        <f t="shared" si="79"/>
        <v>-1557</v>
      </c>
      <c r="H728" s="47">
        <f t="shared" si="78"/>
        <v>-1.0028533335050915E-2</v>
      </c>
    </row>
    <row r="729" spans="1:8">
      <c r="A729" s="51" t="s">
        <v>225</v>
      </c>
      <c r="B729" s="52">
        <v>2700</v>
      </c>
      <c r="C729" s="52"/>
      <c r="D729" s="52">
        <v>-400</v>
      </c>
      <c r="E729" s="52">
        <f t="shared" si="80"/>
        <v>2300</v>
      </c>
      <c r="F729" s="52">
        <v>2700</v>
      </c>
      <c r="G729" s="52">
        <f t="shared" si="79"/>
        <v>400</v>
      </c>
      <c r="H729" s="53">
        <f t="shared" si="78"/>
        <v>0.17391304347826086</v>
      </c>
    </row>
    <row r="730" spans="1:8">
      <c r="A730" s="51" t="s">
        <v>140</v>
      </c>
      <c r="B730" s="52">
        <v>141457</v>
      </c>
      <c r="C730" s="52"/>
      <c r="D730" s="52">
        <v>7400</v>
      </c>
      <c r="E730" s="52">
        <f t="shared" si="80"/>
        <v>148857</v>
      </c>
      <c r="F730" s="52">
        <f>142000+3000</f>
        <v>145000</v>
      </c>
      <c r="G730" s="52">
        <f t="shared" si="79"/>
        <v>-3857</v>
      </c>
      <c r="H730" s="53">
        <f t="shared" si="78"/>
        <v>-2.59107734268459E-2</v>
      </c>
    </row>
    <row r="731" spans="1:8">
      <c r="A731" s="51" t="s">
        <v>66</v>
      </c>
      <c r="B731" s="52">
        <v>7100</v>
      </c>
      <c r="C731" s="52"/>
      <c r="D731" s="52">
        <v>-3000</v>
      </c>
      <c r="E731" s="52">
        <f t="shared" si="80"/>
        <v>4100</v>
      </c>
      <c r="F731" s="52">
        <v>6000</v>
      </c>
      <c r="G731" s="52">
        <f t="shared" si="79"/>
        <v>1900</v>
      </c>
      <c r="H731" s="53">
        <f t="shared" si="78"/>
        <v>0.46341463414634149</v>
      </c>
    </row>
    <row r="732" spans="1:8">
      <c r="A732" s="44" t="s">
        <v>125</v>
      </c>
      <c r="B732" s="45">
        <f>SUM(B733:B734)</f>
        <v>31000</v>
      </c>
      <c r="C732" s="45">
        <f>SUM(C733:C734)</f>
        <v>0</v>
      </c>
      <c r="D732" s="45">
        <f>SUM(D733:D734)</f>
        <v>4600</v>
      </c>
      <c r="E732" s="45">
        <f t="shared" si="80"/>
        <v>35600</v>
      </c>
      <c r="F732" s="45">
        <f>SUM(F733:F734)</f>
        <v>32810</v>
      </c>
      <c r="G732" s="45">
        <f t="shared" si="79"/>
        <v>-2790</v>
      </c>
      <c r="H732" s="47">
        <f t="shared" si="78"/>
        <v>-7.8370786516853932E-2</v>
      </c>
    </row>
    <row r="733" spans="1:8">
      <c r="A733" s="51" t="s">
        <v>126</v>
      </c>
      <c r="B733" s="52">
        <v>8000</v>
      </c>
      <c r="C733" s="52"/>
      <c r="D733" s="52">
        <v>1600</v>
      </c>
      <c r="E733" s="52">
        <f t="shared" si="80"/>
        <v>9600</v>
      </c>
      <c r="F733" s="52">
        <v>9000</v>
      </c>
      <c r="G733" s="52">
        <f t="shared" si="79"/>
        <v>-600</v>
      </c>
      <c r="H733" s="53">
        <f t="shared" ref="H733:H796" si="81">IF(F733=0,"",G733/E733)</f>
        <v>-6.25E-2</v>
      </c>
    </row>
    <row r="734" spans="1:8">
      <c r="A734" s="48" t="s">
        <v>59</v>
      </c>
      <c r="B734" s="49">
        <v>23000</v>
      </c>
      <c r="C734" s="49"/>
      <c r="D734" s="49">
        <v>3000</v>
      </c>
      <c r="E734" s="49">
        <f t="shared" si="80"/>
        <v>26000</v>
      </c>
      <c r="F734" s="49">
        <v>23810</v>
      </c>
      <c r="G734" s="49">
        <f t="shared" ref="G734:G799" si="82">F734-E734</f>
        <v>-2190</v>
      </c>
      <c r="H734" s="50">
        <f t="shared" si="81"/>
        <v>-8.4230769230769234E-2</v>
      </c>
    </row>
    <row r="735" spans="1:8">
      <c r="A735" s="44" t="s">
        <v>57</v>
      </c>
      <c r="B735" s="45">
        <f>SUM(B736:B737)</f>
        <v>9723</v>
      </c>
      <c r="C735" s="45">
        <f>SUM(C736:C737)</f>
        <v>0</v>
      </c>
      <c r="D735" s="45">
        <f>SUM(D736:D737)</f>
        <v>-1100</v>
      </c>
      <c r="E735" s="45">
        <f t="shared" si="80"/>
        <v>8623</v>
      </c>
      <c r="F735" s="45">
        <f>SUM(F736:F737)</f>
        <v>8470</v>
      </c>
      <c r="G735" s="45">
        <f t="shared" si="82"/>
        <v>-153</v>
      </c>
      <c r="H735" s="47">
        <f t="shared" si="81"/>
        <v>-1.7743244810390815E-2</v>
      </c>
    </row>
    <row r="736" spans="1:8">
      <c r="A736" s="48" t="s">
        <v>58</v>
      </c>
      <c r="B736" s="49">
        <v>1223</v>
      </c>
      <c r="C736" s="49"/>
      <c r="D736" s="49">
        <v>-600</v>
      </c>
      <c r="E736" s="49">
        <f t="shared" si="80"/>
        <v>623</v>
      </c>
      <c r="F736" s="49">
        <v>670</v>
      </c>
      <c r="G736" s="49">
        <f t="shared" si="82"/>
        <v>47</v>
      </c>
      <c r="H736" s="50">
        <f t="shared" si="81"/>
        <v>7.5441412520064199E-2</v>
      </c>
    </row>
    <row r="737" spans="1:8">
      <c r="A737" s="48" t="s">
        <v>59</v>
      </c>
      <c r="B737" s="49">
        <v>8500</v>
      </c>
      <c r="C737" s="49"/>
      <c r="D737" s="49">
        <v>-500</v>
      </c>
      <c r="E737" s="49">
        <f t="shared" si="80"/>
        <v>8000</v>
      </c>
      <c r="F737" s="49">
        <v>7800</v>
      </c>
      <c r="G737" s="49">
        <f t="shared" si="82"/>
        <v>-200</v>
      </c>
      <c r="H737" s="50">
        <f t="shared" si="81"/>
        <v>-2.5000000000000001E-2</v>
      </c>
    </row>
    <row r="738" spans="1:8">
      <c r="A738" s="51"/>
      <c r="B738" s="52"/>
      <c r="C738" s="52"/>
      <c r="D738" s="52"/>
      <c r="E738" s="52"/>
      <c r="F738" s="488"/>
      <c r="G738" s="52">
        <f t="shared" si="82"/>
        <v>0</v>
      </c>
      <c r="H738" s="53" t="str">
        <f t="shared" si="81"/>
        <v/>
      </c>
    </row>
    <row r="739" spans="1:8">
      <c r="A739" s="40" t="s">
        <v>226</v>
      </c>
      <c r="B739" s="41">
        <f>B741+B753</f>
        <v>231900</v>
      </c>
      <c r="C739" s="41">
        <f>C741+C753</f>
        <v>26300</v>
      </c>
      <c r="D739" s="41">
        <f>D741+D753</f>
        <v>3640</v>
      </c>
      <c r="E739" s="41">
        <f t="shared" si="80"/>
        <v>261840</v>
      </c>
      <c r="F739" s="41">
        <f>F741+F753</f>
        <v>244810</v>
      </c>
      <c r="G739" s="41">
        <f t="shared" si="82"/>
        <v>-17030</v>
      </c>
      <c r="H739" s="43">
        <f t="shared" si="81"/>
        <v>-6.5039718912312861E-2</v>
      </c>
    </row>
    <row r="740" spans="1:8">
      <c r="A740" s="54"/>
      <c r="B740" s="55"/>
      <c r="C740" s="55"/>
      <c r="D740" s="55"/>
      <c r="E740" s="55">
        <f t="shared" si="80"/>
        <v>0</v>
      </c>
      <c r="F740" s="55"/>
      <c r="G740" s="55">
        <f t="shared" si="82"/>
        <v>0</v>
      </c>
      <c r="H740" s="56" t="str">
        <f t="shared" si="81"/>
        <v/>
      </c>
    </row>
    <row r="741" spans="1:8">
      <c r="A741" s="44" t="s">
        <v>227</v>
      </c>
      <c r="B741" s="45">
        <f>B742+B744+B747+B749</f>
        <v>174050</v>
      </c>
      <c r="C741" s="45">
        <f>C742+C744+C747+C749</f>
        <v>26300</v>
      </c>
      <c r="D741" s="45">
        <f>D742+D744+D747+D749</f>
        <v>3520</v>
      </c>
      <c r="E741" s="45">
        <f t="shared" si="80"/>
        <v>203870</v>
      </c>
      <c r="F741" s="45">
        <f>F742+F744+F747+F749</f>
        <v>189660</v>
      </c>
      <c r="G741" s="45">
        <f t="shared" si="82"/>
        <v>-14210</v>
      </c>
      <c r="H741" s="47">
        <f t="shared" si="81"/>
        <v>-6.9701280227596016E-2</v>
      </c>
    </row>
    <row r="742" spans="1:8">
      <c r="A742" s="44" t="s">
        <v>125</v>
      </c>
      <c r="B742" s="45">
        <f>B743</f>
        <v>1280</v>
      </c>
      <c r="C742" s="45">
        <f>C743</f>
        <v>0</v>
      </c>
      <c r="D742" s="45">
        <f>D743</f>
        <v>0</v>
      </c>
      <c r="E742" s="45">
        <f t="shared" si="80"/>
        <v>1280</v>
      </c>
      <c r="F742" s="45">
        <f>F743</f>
        <v>1280</v>
      </c>
      <c r="G742" s="45">
        <f t="shared" si="82"/>
        <v>0</v>
      </c>
      <c r="H742" s="47">
        <f t="shared" si="81"/>
        <v>0</v>
      </c>
    </row>
    <row r="743" spans="1:8">
      <c r="A743" s="48" t="s">
        <v>126</v>
      </c>
      <c r="B743" s="49">
        <v>1280</v>
      </c>
      <c r="C743" s="49"/>
      <c r="D743" s="49"/>
      <c r="E743" s="49">
        <f t="shared" si="80"/>
        <v>1280</v>
      </c>
      <c r="F743" s="49">
        <v>1280</v>
      </c>
      <c r="G743" s="49">
        <f t="shared" si="82"/>
        <v>0</v>
      </c>
      <c r="H743" s="50">
        <f t="shared" si="81"/>
        <v>0</v>
      </c>
    </row>
    <row r="744" spans="1:8">
      <c r="A744" s="44" t="s">
        <v>57</v>
      </c>
      <c r="B744" s="45">
        <f>SUM(B745:B746)</f>
        <v>44270</v>
      </c>
      <c r="C744" s="45">
        <f>SUM(C745:C746)</f>
        <v>1860</v>
      </c>
      <c r="D744" s="45">
        <f>SUM(D745:D746)</f>
        <v>420</v>
      </c>
      <c r="E744" s="45">
        <f t="shared" si="80"/>
        <v>46550</v>
      </c>
      <c r="F744" s="45">
        <f>SUM(F745:F746)</f>
        <v>47630</v>
      </c>
      <c r="G744" s="45">
        <f t="shared" si="82"/>
        <v>1080</v>
      </c>
      <c r="H744" s="47">
        <f t="shared" si="81"/>
        <v>2.3200859291084855E-2</v>
      </c>
    </row>
    <row r="745" spans="1:8">
      <c r="A745" s="48" t="s">
        <v>58</v>
      </c>
      <c r="B745" s="49">
        <v>34270</v>
      </c>
      <c r="C745" s="49">
        <v>1860</v>
      </c>
      <c r="D745" s="49">
        <v>420</v>
      </c>
      <c r="E745" s="49">
        <f t="shared" si="80"/>
        <v>36550</v>
      </c>
      <c r="F745" s="49">
        <v>37630</v>
      </c>
      <c r="G745" s="49">
        <f t="shared" si="82"/>
        <v>1080</v>
      </c>
      <c r="H745" s="50">
        <f t="shared" si="81"/>
        <v>2.9548563611491108E-2</v>
      </c>
    </row>
    <row r="746" spans="1:8">
      <c r="A746" s="48" t="s">
        <v>59</v>
      </c>
      <c r="B746" s="49">
        <v>10000</v>
      </c>
      <c r="C746" s="49"/>
      <c r="D746" s="49"/>
      <c r="E746" s="49">
        <f t="shared" si="80"/>
        <v>10000</v>
      </c>
      <c r="F746" s="49">
        <v>10000</v>
      </c>
      <c r="G746" s="49">
        <f t="shared" si="82"/>
        <v>0</v>
      </c>
      <c r="H746" s="50">
        <f t="shared" si="81"/>
        <v>0</v>
      </c>
    </row>
    <row r="747" spans="1:8">
      <c r="A747" s="44" t="s">
        <v>33</v>
      </c>
      <c r="B747" s="45">
        <f>B748</f>
        <v>65900</v>
      </c>
      <c r="C747" s="45">
        <f>C748</f>
        <v>11450</v>
      </c>
      <c r="D747" s="45">
        <f>D748</f>
        <v>1600</v>
      </c>
      <c r="E747" s="45">
        <f t="shared" si="80"/>
        <v>78950</v>
      </c>
      <c r="F747" s="45">
        <f>F748</f>
        <v>71000</v>
      </c>
      <c r="G747" s="45">
        <f t="shared" si="82"/>
        <v>-7950</v>
      </c>
      <c r="H747" s="47">
        <f t="shared" si="81"/>
        <v>-0.10069664344521849</v>
      </c>
    </row>
    <row r="748" spans="1:8">
      <c r="A748" s="51" t="s">
        <v>189</v>
      </c>
      <c r="B748" s="52">
        <v>65900</v>
      </c>
      <c r="C748" s="52">
        <v>11450</v>
      </c>
      <c r="D748" s="52">
        <v>1600</v>
      </c>
      <c r="E748" s="52">
        <f t="shared" si="80"/>
        <v>78950</v>
      </c>
      <c r="F748" s="52">
        <f>65900+5100</f>
        <v>71000</v>
      </c>
      <c r="G748" s="52">
        <f t="shared" si="82"/>
        <v>-7950</v>
      </c>
      <c r="H748" s="53">
        <f t="shared" si="81"/>
        <v>-0.10069664344521849</v>
      </c>
    </row>
    <row r="749" spans="1:8">
      <c r="A749" s="62" t="s">
        <v>61</v>
      </c>
      <c r="B749" s="63">
        <f>SUM(B750:B751)</f>
        <v>62600</v>
      </c>
      <c r="C749" s="63">
        <f>SUM(C750:C751)</f>
        <v>12990</v>
      </c>
      <c r="D749" s="63">
        <f>SUM(D750:D751)</f>
        <v>1500</v>
      </c>
      <c r="E749" s="63">
        <f t="shared" si="80"/>
        <v>77090</v>
      </c>
      <c r="F749" s="63">
        <f>SUM(F750:F751)</f>
        <v>69750</v>
      </c>
      <c r="G749" s="63">
        <f t="shared" si="82"/>
        <v>-7340</v>
      </c>
      <c r="H749" s="64">
        <f t="shared" si="81"/>
        <v>-9.5213386950317808E-2</v>
      </c>
    </row>
    <row r="750" spans="1:8">
      <c r="A750" s="48" t="s">
        <v>156</v>
      </c>
      <c r="B750" s="49">
        <v>52600</v>
      </c>
      <c r="C750" s="49">
        <v>12990</v>
      </c>
      <c r="D750" s="49">
        <v>1500</v>
      </c>
      <c r="E750" s="49">
        <f t="shared" si="80"/>
        <v>67090</v>
      </c>
      <c r="F750" s="49">
        <v>58750</v>
      </c>
      <c r="G750" s="49">
        <f t="shared" si="82"/>
        <v>-8340</v>
      </c>
      <c r="H750" s="50">
        <f t="shared" si="81"/>
        <v>-0.12431062751527798</v>
      </c>
    </row>
    <row r="751" spans="1:8">
      <c r="A751" s="51" t="s">
        <v>105</v>
      </c>
      <c r="B751" s="52">
        <v>10000</v>
      </c>
      <c r="C751" s="52"/>
      <c r="D751" s="52"/>
      <c r="E751" s="52">
        <f t="shared" si="80"/>
        <v>10000</v>
      </c>
      <c r="F751" s="52">
        <v>11000</v>
      </c>
      <c r="G751" s="52">
        <f t="shared" si="82"/>
        <v>1000</v>
      </c>
      <c r="H751" s="53">
        <f t="shared" si="81"/>
        <v>0.1</v>
      </c>
    </row>
    <row r="752" spans="1:8">
      <c r="A752" s="44"/>
      <c r="B752" s="45"/>
      <c r="C752" s="45"/>
      <c r="D752" s="45"/>
      <c r="E752" s="45">
        <f t="shared" si="80"/>
        <v>0</v>
      </c>
      <c r="F752" s="45"/>
      <c r="G752" s="45">
        <f t="shared" si="82"/>
        <v>0</v>
      </c>
      <c r="H752" s="47" t="str">
        <f t="shared" si="81"/>
        <v/>
      </c>
    </row>
    <row r="753" spans="1:8">
      <c r="A753" s="62" t="s">
        <v>228</v>
      </c>
      <c r="B753" s="63">
        <f>B754+B760+B763</f>
        <v>57850</v>
      </c>
      <c r="C753" s="63">
        <f>C754+C760+C763</f>
        <v>0</v>
      </c>
      <c r="D753" s="63">
        <f>D754+D760+D763</f>
        <v>120</v>
      </c>
      <c r="E753" s="63">
        <f t="shared" si="80"/>
        <v>57970</v>
      </c>
      <c r="F753" s="63">
        <f>F754+F760+F763</f>
        <v>55150</v>
      </c>
      <c r="G753" s="63">
        <f t="shared" si="82"/>
        <v>-2820</v>
      </c>
      <c r="H753" s="64">
        <f t="shared" si="81"/>
        <v>-4.8645851302397791E-2</v>
      </c>
    </row>
    <row r="754" spans="1:8">
      <c r="A754" s="44" t="s">
        <v>72</v>
      </c>
      <c r="B754" s="45">
        <f>SUM(B755:B759)</f>
        <v>47300</v>
      </c>
      <c r="C754" s="45">
        <f>SUM(C755:C759)</f>
        <v>0</v>
      </c>
      <c r="D754" s="45">
        <f>SUM(D755:D759)</f>
        <v>-3280</v>
      </c>
      <c r="E754" s="45">
        <f t="shared" si="80"/>
        <v>44020</v>
      </c>
      <c r="F754" s="45">
        <f>SUM(F755:F759)</f>
        <v>42800</v>
      </c>
      <c r="G754" s="45">
        <f t="shared" si="82"/>
        <v>-1220</v>
      </c>
      <c r="H754" s="47">
        <f t="shared" si="81"/>
        <v>-2.7714675147660156E-2</v>
      </c>
    </row>
    <row r="755" spans="1:8">
      <c r="A755" s="51" t="s">
        <v>103</v>
      </c>
      <c r="B755" s="52">
        <v>26500</v>
      </c>
      <c r="C755" s="52"/>
      <c r="D755" s="52"/>
      <c r="E755" s="52">
        <f t="shared" si="80"/>
        <v>26500</v>
      </c>
      <c r="F755" s="52">
        <v>26500</v>
      </c>
      <c r="G755" s="52">
        <f t="shared" si="82"/>
        <v>0</v>
      </c>
      <c r="H755" s="53">
        <f t="shared" si="81"/>
        <v>0</v>
      </c>
    </row>
    <row r="756" spans="1:8">
      <c r="A756" s="51" t="s">
        <v>95</v>
      </c>
      <c r="B756" s="52">
        <v>1000</v>
      </c>
      <c r="C756" s="52"/>
      <c r="D756" s="52">
        <v>-300</v>
      </c>
      <c r="E756" s="52">
        <f t="shared" si="80"/>
        <v>700</v>
      </c>
      <c r="F756" s="52">
        <v>1000</v>
      </c>
      <c r="G756" s="52">
        <f t="shared" si="82"/>
        <v>300</v>
      </c>
      <c r="H756" s="53">
        <f t="shared" si="81"/>
        <v>0.42857142857142855</v>
      </c>
    </row>
    <row r="757" spans="1:8">
      <c r="A757" s="51" t="s">
        <v>66</v>
      </c>
      <c r="B757" s="52">
        <v>2500</v>
      </c>
      <c r="C757" s="52"/>
      <c r="D757" s="52">
        <v>120</v>
      </c>
      <c r="E757" s="52">
        <f t="shared" si="80"/>
        <v>2620</v>
      </c>
      <c r="F757" s="52">
        <v>2500</v>
      </c>
      <c r="G757" s="52">
        <f t="shared" si="82"/>
        <v>-120</v>
      </c>
      <c r="H757" s="53">
        <f t="shared" si="81"/>
        <v>-4.5801526717557252E-2</v>
      </c>
    </row>
    <row r="758" spans="1:8" ht="25.5">
      <c r="A758" s="51" t="s">
        <v>107</v>
      </c>
      <c r="B758" s="52">
        <v>17000</v>
      </c>
      <c r="C758" s="52"/>
      <c r="D758" s="52">
        <v>-3000</v>
      </c>
      <c r="E758" s="52">
        <f t="shared" si="80"/>
        <v>14000</v>
      </c>
      <c r="F758" s="52">
        <v>12500</v>
      </c>
      <c r="G758" s="52">
        <f t="shared" si="82"/>
        <v>-1500</v>
      </c>
      <c r="H758" s="53">
        <f t="shared" si="81"/>
        <v>-0.10714285714285714</v>
      </c>
    </row>
    <row r="759" spans="1:8" ht="25.5">
      <c r="A759" s="51" t="s">
        <v>86</v>
      </c>
      <c r="B759" s="52">
        <v>300</v>
      </c>
      <c r="C759" s="52"/>
      <c r="D759" s="52">
        <v>-100</v>
      </c>
      <c r="E759" s="52">
        <f t="shared" si="80"/>
        <v>200</v>
      </c>
      <c r="F759" s="52">
        <v>300</v>
      </c>
      <c r="G759" s="52">
        <f t="shared" si="82"/>
        <v>100</v>
      </c>
      <c r="H759" s="53">
        <f t="shared" si="81"/>
        <v>0.5</v>
      </c>
    </row>
    <row r="760" spans="1:8">
      <c r="A760" s="44" t="s">
        <v>74</v>
      </c>
      <c r="B760" s="45">
        <f>SUM(B761:B762)</f>
        <v>450</v>
      </c>
      <c r="C760" s="45">
        <f>SUM(C761:C762)</f>
        <v>0</v>
      </c>
      <c r="D760" s="45">
        <f>SUM(D761:D762)</f>
        <v>100</v>
      </c>
      <c r="E760" s="45">
        <f t="shared" si="80"/>
        <v>550</v>
      </c>
      <c r="F760" s="45">
        <f>SUM(F761:F762)</f>
        <v>450</v>
      </c>
      <c r="G760" s="45">
        <f t="shared" si="82"/>
        <v>-100</v>
      </c>
      <c r="H760" s="47">
        <f t="shared" si="81"/>
        <v>-0.18181818181818182</v>
      </c>
    </row>
    <row r="761" spans="1:8">
      <c r="A761" s="51" t="s">
        <v>66</v>
      </c>
      <c r="B761" s="52">
        <v>50</v>
      </c>
      <c r="C761" s="52"/>
      <c r="D761" s="52"/>
      <c r="E761" s="52">
        <f t="shared" si="80"/>
        <v>50</v>
      </c>
      <c r="F761" s="52">
        <v>50</v>
      </c>
      <c r="G761" s="52">
        <f t="shared" si="82"/>
        <v>0</v>
      </c>
      <c r="H761" s="53">
        <f t="shared" si="81"/>
        <v>0</v>
      </c>
    </row>
    <row r="762" spans="1:8" ht="25.5">
      <c r="A762" s="51" t="s">
        <v>97</v>
      </c>
      <c r="B762" s="52">
        <v>400</v>
      </c>
      <c r="C762" s="52"/>
      <c r="D762" s="52">
        <v>100</v>
      </c>
      <c r="E762" s="52">
        <f t="shared" si="80"/>
        <v>500</v>
      </c>
      <c r="F762" s="52">
        <v>400</v>
      </c>
      <c r="G762" s="52">
        <f t="shared" si="82"/>
        <v>-100</v>
      </c>
      <c r="H762" s="53">
        <f t="shared" si="81"/>
        <v>-0.2</v>
      </c>
    </row>
    <row r="763" spans="1:8">
      <c r="A763" s="44" t="s">
        <v>139</v>
      </c>
      <c r="B763" s="45">
        <f>SUM(B764:B768)</f>
        <v>10100</v>
      </c>
      <c r="C763" s="45"/>
      <c r="D763" s="45">
        <f>SUM(D764:D768)</f>
        <v>3300</v>
      </c>
      <c r="E763" s="45">
        <f t="shared" si="80"/>
        <v>13400</v>
      </c>
      <c r="F763" s="45">
        <f>SUM(F764:F768)</f>
        <v>11900</v>
      </c>
      <c r="G763" s="45">
        <f t="shared" si="82"/>
        <v>-1500</v>
      </c>
      <c r="H763" s="47">
        <f t="shared" si="81"/>
        <v>-0.11194029850746269</v>
      </c>
    </row>
    <row r="764" spans="1:8">
      <c r="A764" s="57" t="s">
        <v>192</v>
      </c>
      <c r="B764" s="58">
        <v>3750</v>
      </c>
      <c r="C764" s="58"/>
      <c r="D764" s="58"/>
      <c r="E764" s="58">
        <f t="shared" si="80"/>
        <v>3750</v>
      </c>
      <c r="F764" s="58">
        <v>3750</v>
      </c>
      <c r="G764" s="58">
        <f t="shared" si="82"/>
        <v>0</v>
      </c>
      <c r="H764" s="59">
        <f t="shared" si="81"/>
        <v>0</v>
      </c>
    </row>
    <row r="765" spans="1:8">
      <c r="A765" s="51" t="s">
        <v>84</v>
      </c>
      <c r="B765" s="52">
        <v>2800</v>
      </c>
      <c r="C765" s="52"/>
      <c r="D765" s="52">
        <v>700</v>
      </c>
      <c r="E765" s="52">
        <f t="shared" si="80"/>
        <v>3500</v>
      </c>
      <c r="F765" s="52">
        <v>3500</v>
      </c>
      <c r="G765" s="52">
        <f t="shared" si="82"/>
        <v>0</v>
      </c>
      <c r="H765" s="53">
        <f t="shared" si="81"/>
        <v>0</v>
      </c>
    </row>
    <row r="766" spans="1:8" ht="25.5">
      <c r="A766" s="51" t="s">
        <v>193</v>
      </c>
      <c r="B766" s="52">
        <v>2400</v>
      </c>
      <c r="C766" s="52"/>
      <c r="D766" s="52">
        <v>1400</v>
      </c>
      <c r="E766" s="52">
        <f t="shared" si="80"/>
        <v>3800</v>
      </c>
      <c r="F766" s="52">
        <v>3500</v>
      </c>
      <c r="G766" s="52">
        <f t="shared" si="82"/>
        <v>-300</v>
      </c>
      <c r="H766" s="53">
        <f t="shared" si="81"/>
        <v>-7.8947368421052627E-2</v>
      </c>
    </row>
    <row r="767" spans="1:8">
      <c r="A767" s="51" t="s">
        <v>229</v>
      </c>
      <c r="B767" s="52">
        <v>700</v>
      </c>
      <c r="C767" s="52"/>
      <c r="D767" s="52">
        <v>1200</v>
      </c>
      <c r="E767" s="52">
        <f t="shared" si="80"/>
        <v>1900</v>
      </c>
      <c r="F767" s="52">
        <v>700</v>
      </c>
      <c r="G767" s="52">
        <f t="shared" si="82"/>
        <v>-1200</v>
      </c>
      <c r="H767" s="53">
        <f t="shared" si="81"/>
        <v>-0.63157894736842102</v>
      </c>
    </row>
    <row r="768" spans="1:8">
      <c r="A768" s="51" t="s">
        <v>230</v>
      </c>
      <c r="B768" s="52">
        <v>450</v>
      </c>
      <c r="C768" s="52"/>
      <c r="D768" s="52"/>
      <c r="E768" s="52">
        <f t="shared" si="80"/>
        <v>450</v>
      </c>
      <c r="F768" s="52">
        <v>450</v>
      </c>
      <c r="G768" s="52">
        <f t="shared" si="82"/>
        <v>0</v>
      </c>
      <c r="H768" s="53">
        <f t="shared" si="81"/>
        <v>0</v>
      </c>
    </row>
    <row r="769" spans="1:8">
      <c r="A769" s="44"/>
      <c r="B769" s="45"/>
      <c r="C769" s="45"/>
      <c r="D769" s="45"/>
      <c r="E769" s="45">
        <f t="shared" si="80"/>
        <v>0</v>
      </c>
      <c r="G769" s="45">
        <f t="shared" si="82"/>
        <v>0</v>
      </c>
      <c r="H769" s="47" t="str">
        <f t="shared" si="81"/>
        <v/>
      </c>
    </row>
    <row r="770" spans="1:8">
      <c r="A770" s="40" t="s">
        <v>231</v>
      </c>
      <c r="B770" s="41">
        <f>B772+B788+B793+B800+B807</f>
        <v>1457615</v>
      </c>
      <c r="C770" s="41">
        <f>C772+C788+C793+C800+C807</f>
        <v>-178270</v>
      </c>
      <c r="D770" s="41">
        <f>D772+D788+D793+D800+D807</f>
        <v>-24845</v>
      </c>
      <c r="E770" s="41">
        <f t="shared" si="80"/>
        <v>1254500</v>
      </c>
      <c r="F770" s="41">
        <f>F772+F788+F793+F800+F807</f>
        <v>1215730</v>
      </c>
      <c r="G770" s="41">
        <f t="shared" si="82"/>
        <v>-38770</v>
      </c>
      <c r="H770" s="43">
        <f t="shared" si="81"/>
        <v>-3.0904742925468316E-2</v>
      </c>
    </row>
    <row r="771" spans="1:8">
      <c r="A771" s="75"/>
      <c r="B771" s="76"/>
      <c r="C771" s="76"/>
      <c r="D771" s="76"/>
      <c r="E771" s="76">
        <f t="shared" si="80"/>
        <v>0</v>
      </c>
      <c r="F771" s="76"/>
      <c r="G771" s="76">
        <f t="shared" si="82"/>
        <v>0</v>
      </c>
      <c r="H771" s="77" t="str">
        <f t="shared" si="81"/>
        <v/>
      </c>
    </row>
    <row r="772" spans="1:8">
      <c r="A772" s="44" t="s">
        <v>232</v>
      </c>
      <c r="B772" s="45">
        <f>B773+B776+B780+B784</f>
        <v>1111850</v>
      </c>
      <c r="C772" s="45">
        <f>C773+C776+C780+C784</f>
        <v>-118690</v>
      </c>
      <c r="D772" s="45">
        <f>D773+D776+D780+D784</f>
        <v>-29485</v>
      </c>
      <c r="E772" s="45">
        <f t="shared" si="80"/>
        <v>963675</v>
      </c>
      <c r="F772" s="45">
        <f>F773+F776+F780+F784</f>
        <v>939810</v>
      </c>
      <c r="G772" s="45">
        <f t="shared" si="82"/>
        <v>-23865</v>
      </c>
      <c r="H772" s="47">
        <f t="shared" si="81"/>
        <v>-2.4764573118530624E-2</v>
      </c>
    </row>
    <row r="773" spans="1:8">
      <c r="A773" s="44" t="s">
        <v>125</v>
      </c>
      <c r="B773" s="45">
        <f>SUM(B774:B775)</f>
        <v>335000</v>
      </c>
      <c r="C773" s="45">
        <f>SUM(C774:C775)</f>
        <v>-120600</v>
      </c>
      <c r="D773" s="45">
        <f>SUM(D774:D775)</f>
        <v>-22580</v>
      </c>
      <c r="E773" s="45">
        <f t="shared" ref="E773:E814" si="83">SUM(B773:D773)</f>
        <v>191820</v>
      </c>
      <c r="F773" s="45">
        <f>SUM(F774:F775)</f>
        <v>161000</v>
      </c>
      <c r="G773" s="45">
        <f t="shared" si="82"/>
        <v>-30820</v>
      </c>
      <c r="H773" s="47">
        <f t="shared" si="81"/>
        <v>-0.16067146282973621</v>
      </c>
    </row>
    <row r="774" spans="1:8">
      <c r="A774" s="48" t="s">
        <v>126</v>
      </c>
      <c r="B774" s="49">
        <v>115000</v>
      </c>
      <c r="C774" s="49">
        <v>-31350</v>
      </c>
      <c r="D774" s="49">
        <v>-13340</v>
      </c>
      <c r="E774" s="49">
        <f t="shared" si="83"/>
        <v>70310</v>
      </c>
      <c r="F774" s="49">
        <v>63000</v>
      </c>
      <c r="G774" s="49">
        <f t="shared" si="82"/>
        <v>-7310</v>
      </c>
      <c r="H774" s="50">
        <f t="shared" si="81"/>
        <v>-0.10396814108946095</v>
      </c>
    </row>
    <row r="775" spans="1:8">
      <c r="A775" s="48" t="s">
        <v>59</v>
      </c>
      <c r="B775" s="49">
        <v>220000</v>
      </c>
      <c r="C775" s="49">
        <v>-89250</v>
      </c>
      <c r="D775" s="49">
        <v>-9240</v>
      </c>
      <c r="E775" s="49">
        <f t="shared" si="83"/>
        <v>121510</v>
      </c>
      <c r="F775" s="49">
        <v>98000</v>
      </c>
      <c r="G775" s="49">
        <f t="shared" si="82"/>
        <v>-23510</v>
      </c>
      <c r="H775" s="50">
        <f t="shared" si="81"/>
        <v>-0.19348201794091022</v>
      </c>
    </row>
    <row r="776" spans="1:8">
      <c r="A776" s="44" t="s">
        <v>57</v>
      </c>
      <c r="B776" s="45">
        <f>SUM(B777:B779)</f>
        <v>608550</v>
      </c>
      <c r="C776" s="45">
        <f>SUM(C777:C779)</f>
        <v>-3090</v>
      </c>
      <c r="D776" s="45">
        <f>SUM(D777:D779)</f>
        <v>-27705</v>
      </c>
      <c r="E776" s="45">
        <f t="shared" si="83"/>
        <v>577755</v>
      </c>
      <c r="F776" s="45">
        <f>SUM(F777:F779)</f>
        <v>610400</v>
      </c>
      <c r="G776" s="45">
        <f t="shared" si="82"/>
        <v>32645</v>
      </c>
      <c r="H776" s="47">
        <f t="shared" si="81"/>
        <v>5.650318906803057E-2</v>
      </c>
    </row>
    <row r="777" spans="1:8">
      <c r="A777" s="48" t="s">
        <v>58</v>
      </c>
      <c r="B777" s="49">
        <v>454950</v>
      </c>
      <c r="C777" s="49"/>
      <c r="D777" s="49">
        <v>-6420</v>
      </c>
      <c r="E777" s="49">
        <f t="shared" si="83"/>
        <v>448530</v>
      </c>
      <c r="F777" s="49">
        <v>465400</v>
      </c>
      <c r="G777" s="49">
        <f t="shared" si="82"/>
        <v>16870</v>
      </c>
      <c r="H777" s="50">
        <f t="shared" si="81"/>
        <v>3.7611753951798096E-2</v>
      </c>
    </row>
    <row r="778" spans="1:8">
      <c r="A778" s="48" t="s">
        <v>59</v>
      </c>
      <c r="B778" s="49">
        <v>152100</v>
      </c>
      <c r="C778" s="49">
        <v>-3090</v>
      </c>
      <c r="D778" s="49">
        <v>-19986</v>
      </c>
      <c r="E778" s="49">
        <f t="shared" si="83"/>
        <v>129024</v>
      </c>
      <c r="F778" s="49">
        <v>145000</v>
      </c>
      <c r="G778" s="49">
        <f t="shared" si="82"/>
        <v>15976</v>
      </c>
      <c r="H778" s="50">
        <f t="shared" si="81"/>
        <v>0.12382192460317461</v>
      </c>
    </row>
    <row r="779" spans="1:8">
      <c r="A779" s="48" t="s">
        <v>81</v>
      </c>
      <c r="B779" s="49">
        <v>1500</v>
      </c>
      <c r="C779" s="49"/>
      <c r="D779" s="49">
        <v>-1299</v>
      </c>
      <c r="E779" s="49">
        <f t="shared" si="83"/>
        <v>201</v>
      </c>
      <c r="F779" s="49"/>
      <c r="G779" s="49">
        <f t="shared" si="82"/>
        <v>-201</v>
      </c>
      <c r="H779" s="50" t="str">
        <f t="shared" si="81"/>
        <v/>
      </c>
    </row>
    <row r="780" spans="1:8">
      <c r="A780" s="62" t="s">
        <v>33</v>
      </c>
      <c r="B780" s="63">
        <f>SUM(B781:B783)</f>
        <v>149900</v>
      </c>
      <c r="C780" s="63">
        <f>SUM(C781:C783)</f>
        <v>0</v>
      </c>
      <c r="D780" s="63">
        <f>SUM(D781:D783)</f>
        <v>18300</v>
      </c>
      <c r="E780" s="63">
        <f t="shared" si="83"/>
        <v>168200</v>
      </c>
      <c r="F780" s="63">
        <f>SUM(F781:F783)</f>
        <v>142410</v>
      </c>
      <c r="G780" s="63">
        <f t="shared" si="82"/>
        <v>-25790</v>
      </c>
      <c r="H780" s="64">
        <f t="shared" si="81"/>
        <v>-0.15332936979785969</v>
      </c>
    </row>
    <row r="781" spans="1:8">
      <c r="A781" s="51" t="s">
        <v>189</v>
      </c>
      <c r="B781" s="52">
        <v>130000</v>
      </c>
      <c r="C781" s="52"/>
      <c r="D781" s="52">
        <v>15000</v>
      </c>
      <c r="E781" s="52">
        <f t="shared" si="83"/>
        <v>145000</v>
      </c>
      <c r="F781" s="52">
        <f>115000+5810</f>
        <v>120810</v>
      </c>
      <c r="G781" s="52">
        <f t="shared" si="82"/>
        <v>-24190</v>
      </c>
      <c r="H781" s="53">
        <f t="shared" si="81"/>
        <v>-0.16682758620689656</v>
      </c>
    </row>
    <row r="782" spans="1:8">
      <c r="A782" s="51" t="s">
        <v>112</v>
      </c>
      <c r="B782" s="52">
        <v>19500</v>
      </c>
      <c r="C782" s="52"/>
      <c r="D782" s="52">
        <v>2400</v>
      </c>
      <c r="E782" s="52">
        <f t="shared" si="83"/>
        <v>21900</v>
      </c>
      <c r="F782" s="52">
        <v>21200</v>
      </c>
      <c r="G782" s="52">
        <f t="shared" si="82"/>
        <v>-700</v>
      </c>
      <c r="H782" s="53">
        <f t="shared" si="81"/>
        <v>-3.1963470319634701E-2</v>
      </c>
    </row>
    <row r="783" spans="1:8">
      <c r="A783" s="78" t="s">
        <v>158</v>
      </c>
      <c r="B783" s="52">
        <v>400</v>
      </c>
      <c r="C783" s="52"/>
      <c r="D783" s="52">
        <v>900</v>
      </c>
      <c r="E783" s="52">
        <f t="shared" si="83"/>
        <v>1300</v>
      </c>
      <c r="F783" s="52">
        <v>400</v>
      </c>
      <c r="G783" s="52">
        <f t="shared" si="82"/>
        <v>-900</v>
      </c>
      <c r="H783" s="53">
        <f t="shared" si="81"/>
        <v>-0.69230769230769229</v>
      </c>
    </row>
    <row r="784" spans="1:8">
      <c r="A784" s="62" t="s">
        <v>61</v>
      </c>
      <c r="B784" s="63">
        <f>SUM(B785:B786)</f>
        <v>18400</v>
      </c>
      <c r="C784" s="63">
        <f>SUM(C785:C786)</f>
        <v>5000</v>
      </c>
      <c r="D784" s="63">
        <f>SUM(D785:D786)</f>
        <v>2500</v>
      </c>
      <c r="E784" s="63">
        <f t="shared" si="83"/>
        <v>25900</v>
      </c>
      <c r="F784" s="63">
        <f>SUM(F785:F786)</f>
        <v>26000</v>
      </c>
      <c r="G784" s="63">
        <f t="shared" si="82"/>
        <v>100</v>
      </c>
      <c r="H784" s="64">
        <f t="shared" si="81"/>
        <v>3.8610038610038611E-3</v>
      </c>
    </row>
    <row r="785" spans="1:8">
      <c r="A785" s="48" t="s">
        <v>156</v>
      </c>
      <c r="B785" s="49">
        <v>14000</v>
      </c>
      <c r="C785" s="49">
        <v>5000</v>
      </c>
      <c r="D785" s="49">
        <v>2000</v>
      </c>
      <c r="E785" s="49">
        <f t="shared" si="83"/>
        <v>21000</v>
      </c>
      <c r="F785" s="49">
        <v>19000</v>
      </c>
      <c r="G785" s="49">
        <f t="shared" si="82"/>
        <v>-2000</v>
      </c>
      <c r="H785" s="50">
        <f t="shared" si="81"/>
        <v>-9.5238095238095233E-2</v>
      </c>
    </row>
    <row r="786" spans="1:8">
      <c r="A786" s="51" t="s">
        <v>105</v>
      </c>
      <c r="B786" s="52">
        <v>4400</v>
      </c>
      <c r="C786" s="52"/>
      <c r="D786" s="52">
        <v>500</v>
      </c>
      <c r="E786" s="52">
        <f t="shared" si="83"/>
        <v>4900</v>
      </c>
      <c r="F786" s="52">
        <v>7000</v>
      </c>
      <c r="G786" s="52">
        <f t="shared" si="82"/>
        <v>2100</v>
      </c>
      <c r="H786" s="53">
        <f t="shared" si="81"/>
        <v>0.42857142857142855</v>
      </c>
    </row>
    <row r="787" spans="1:8">
      <c r="A787" s="44"/>
      <c r="B787" s="45"/>
      <c r="C787" s="45"/>
      <c r="D787" s="45"/>
      <c r="E787" s="45">
        <f t="shared" si="83"/>
        <v>0</v>
      </c>
      <c r="F787" s="45"/>
      <c r="G787" s="45">
        <f t="shared" si="82"/>
        <v>0</v>
      </c>
      <c r="H787" s="47" t="str">
        <f t="shared" si="81"/>
        <v/>
      </c>
    </row>
    <row r="788" spans="1:8">
      <c r="A788" s="62" t="s">
        <v>233</v>
      </c>
      <c r="B788" s="63">
        <f>B789</f>
        <v>9000</v>
      </c>
      <c r="C788" s="63">
        <f>C789</f>
        <v>0</v>
      </c>
      <c r="D788" s="63">
        <f>D789</f>
        <v>0</v>
      </c>
      <c r="E788" s="63">
        <f t="shared" si="83"/>
        <v>9000</v>
      </c>
      <c r="F788" s="63">
        <f>F789</f>
        <v>9000</v>
      </c>
      <c r="G788" s="63">
        <f t="shared" si="82"/>
        <v>0</v>
      </c>
      <c r="H788" s="64">
        <f t="shared" si="81"/>
        <v>0</v>
      </c>
    </row>
    <row r="789" spans="1:8">
      <c r="A789" s="44" t="s">
        <v>139</v>
      </c>
      <c r="B789" s="45">
        <f>+B790+B791</f>
        <v>9000</v>
      </c>
      <c r="C789" s="45">
        <f>+C790+C791</f>
        <v>0</v>
      </c>
      <c r="D789" s="45">
        <f>+D790+D791</f>
        <v>0</v>
      </c>
      <c r="E789" s="45">
        <f t="shared" si="83"/>
        <v>9000</v>
      </c>
      <c r="F789" s="45">
        <f>+F790+F791</f>
        <v>9000</v>
      </c>
      <c r="G789" s="45">
        <f t="shared" si="82"/>
        <v>0</v>
      </c>
      <c r="H789" s="47">
        <f t="shared" si="81"/>
        <v>0</v>
      </c>
    </row>
    <row r="790" spans="1:8">
      <c r="A790" s="51" t="s">
        <v>84</v>
      </c>
      <c r="B790" s="52">
        <v>2500</v>
      </c>
      <c r="C790" s="52"/>
      <c r="D790" s="52"/>
      <c r="E790" s="52">
        <f t="shared" si="83"/>
        <v>2500</v>
      </c>
      <c r="F790" s="52">
        <v>2500</v>
      </c>
      <c r="G790" s="52">
        <f t="shared" si="82"/>
        <v>0</v>
      </c>
      <c r="H790" s="53">
        <f t="shared" si="81"/>
        <v>0</v>
      </c>
    </row>
    <row r="791" spans="1:8">
      <c r="A791" s="51" t="s">
        <v>230</v>
      </c>
      <c r="B791" s="52">
        <v>6500</v>
      </c>
      <c r="C791" s="52"/>
      <c r="D791" s="52"/>
      <c r="E791" s="52">
        <f t="shared" si="83"/>
        <v>6500</v>
      </c>
      <c r="F791" s="52">
        <v>6500</v>
      </c>
      <c r="G791" s="52">
        <f t="shared" si="82"/>
        <v>0</v>
      </c>
      <c r="H791" s="53">
        <f t="shared" si="81"/>
        <v>0</v>
      </c>
    </row>
    <row r="792" spans="1:8">
      <c r="A792" s="80"/>
      <c r="B792" s="81"/>
      <c r="C792" s="81"/>
      <c r="D792" s="81"/>
      <c r="E792" s="81">
        <f t="shared" si="83"/>
        <v>0</v>
      </c>
      <c r="F792" s="81"/>
      <c r="G792" s="81">
        <f t="shared" si="82"/>
        <v>0</v>
      </c>
      <c r="H792" s="82" t="str">
        <f t="shared" si="81"/>
        <v/>
      </c>
    </row>
    <row r="793" spans="1:8">
      <c r="A793" s="62" t="s">
        <v>234</v>
      </c>
      <c r="B793" s="63">
        <f>B794</f>
        <v>8700</v>
      </c>
      <c r="C793" s="63">
        <f>C794</f>
        <v>0</v>
      </c>
      <c r="D793" s="63">
        <f>D794+D797</f>
        <v>2555</v>
      </c>
      <c r="E793" s="63">
        <f t="shared" si="83"/>
        <v>11255</v>
      </c>
      <c r="F793" s="63">
        <f>F794+F797</f>
        <v>10200</v>
      </c>
      <c r="G793" s="63">
        <f t="shared" si="82"/>
        <v>-1055</v>
      </c>
      <c r="H793" s="64">
        <f t="shared" si="81"/>
        <v>-9.3736117281208356E-2</v>
      </c>
    </row>
    <row r="794" spans="1:8">
      <c r="A794" s="67" t="s">
        <v>139</v>
      </c>
      <c r="B794" s="65">
        <f>B796+B795</f>
        <v>8700</v>
      </c>
      <c r="C794" s="65">
        <f>C796+C795</f>
        <v>0</v>
      </c>
      <c r="D794" s="65">
        <f>D796+D795</f>
        <v>-1300</v>
      </c>
      <c r="E794" s="65">
        <f t="shared" si="83"/>
        <v>7400</v>
      </c>
      <c r="F794" s="65">
        <f>F796+F795</f>
        <v>5000</v>
      </c>
      <c r="G794" s="65">
        <f t="shared" si="82"/>
        <v>-2400</v>
      </c>
      <c r="H794" s="66">
        <f t="shared" si="81"/>
        <v>-0.32432432432432434</v>
      </c>
    </row>
    <row r="795" spans="1:8">
      <c r="A795" s="48" t="s">
        <v>192</v>
      </c>
      <c r="B795" s="49">
        <v>6700</v>
      </c>
      <c r="C795" s="49"/>
      <c r="D795" s="49">
        <v>-1700</v>
      </c>
      <c r="E795" s="49">
        <f t="shared" si="83"/>
        <v>5000</v>
      </c>
      <c r="F795" s="49">
        <v>5000</v>
      </c>
      <c r="G795" s="49">
        <f t="shared" si="82"/>
        <v>0</v>
      </c>
      <c r="H795" s="50">
        <f t="shared" si="81"/>
        <v>0</v>
      </c>
    </row>
    <row r="796" spans="1:8">
      <c r="A796" s="51" t="s">
        <v>66</v>
      </c>
      <c r="B796" s="52">
        <v>2000</v>
      </c>
      <c r="C796" s="52"/>
      <c r="D796" s="52">
        <v>400</v>
      </c>
      <c r="E796" s="52">
        <f t="shared" si="83"/>
        <v>2400</v>
      </c>
      <c r="F796" s="52"/>
      <c r="G796" s="52">
        <f t="shared" si="82"/>
        <v>-2400</v>
      </c>
      <c r="H796" s="53" t="str">
        <f t="shared" si="81"/>
        <v/>
      </c>
    </row>
    <row r="797" spans="1:8">
      <c r="A797" s="44" t="s">
        <v>57</v>
      </c>
      <c r="B797" s="52"/>
      <c r="C797" s="52"/>
      <c r="D797" s="52">
        <f>D798</f>
        <v>3855</v>
      </c>
      <c r="E797" s="52">
        <f t="shared" si="83"/>
        <v>3855</v>
      </c>
      <c r="F797" s="65">
        <f>F798</f>
        <v>5200</v>
      </c>
      <c r="G797" s="52"/>
      <c r="H797" s="53"/>
    </row>
    <row r="798" spans="1:8">
      <c r="A798" s="48" t="s">
        <v>59</v>
      </c>
      <c r="B798" s="52"/>
      <c r="C798" s="52"/>
      <c r="D798" s="52">
        <v>3855</v>
      </c>
      <c r="E798" s="52">
        <f t="shared" si="83"/>
        <v>3855</v>
      </c>
      <c r="F798" s="52">
        <v>5200</v>
      </c>
      <c r="G798" s="52"/>
      <c r="H798" s="53"/>
    </row>
    <row r="799" spans="1:8">
      <c r="A799" s="51"/>
      <c r="B799" s="52"/>
      <c r="C799" s="52"/>
      <c r="D799" s="52"/>
      <c r="E799" s="52">
        <f t="shared" si="83"/>
        <v>0</v>
      </c>
      <c r="F799" s="52"/>
      <c r="G799" s="52">
        <f t="shared" si="82"/>
        <v>0</v>
      </c>
      <c r="H799" s="53" t="str">
        <f t="shared" ref="H799:H816" si="84">IF(F799=0,"",G799/E799)</f>
        <v/>
      </c>
    </row>
    <row r="800" spans="1:8">
      <c r="A800" s="44" t="s">
        <v>235</v>
      </c>
      <c r="B800" s="45">
        <f>B801</f>
        <v>324740</v>
      </c>
      <c r="C800" s="45">
        <f>C801</f>
        <v>-60000</v>
      </c>
      <c r="D800" s="45">
        <f>D801</f>
        <v>0</v>
      </c>
      <c r="E800" s="45">
        <f t="shared" si="83"/>
        <v>264740</v>
      </c>
      <c r="F800" s="45">
        <f>F801</f>
        <v>248500</v>
      </c>
      <c r="G800" s="45">
        <f t="shared" ref="G800:G816" si="85">F800-E800</f>
        <v>-16240</v>
      </c>
      <c r="H800" s="47">
        <f t="shared" si="84"/>
        <v>-6.1343204653622425E-2</v>
      </c>
    </row>
    <row r="801" spans="1:8">
      <c r="A801" s="44" t="s">
        <v>72</v>
      </c>
      <c r="B801" s="45">
        <f>SUM(B802:B805)</f>
        <v>324740</v>
      </c>
      <c r="C801" s="45">
        <f>SUM(C802:C805)</f>
        <v>-60000</v>
      </c>
      <c r="D801" s="45">
        <f>SUM(D802:D805)</f>
        <v>0</v>
      </c>
      <c r="E801" s="45">
        <f t="shared" si="83"/>
        <v>264740</v>
      </c>
      <c r="F801" s="45">
        <f>SUM(F802:F805)</f>
        <v>248500</v>
      </c>
      <c r="G801" s="45">
        <f t="shared" si="85"/>
        <v>-16240</v>
      </c>
      <c r="H801" s="47">
        <f t="shared" si="84"/>
        <v>-6.1343204653622425E-2</v>
      </c>
    </row>
    <row r="802" spans="1:8">
      <c r="A802" s="48" t="s">
        <v>103</v>
      </c>
      <c r="B802" s="49">
        <f>13840+150000</f>
        <v>163840</v>
      </c>
      <c r="C802" s="49">
        <f>-163840+13840</f>
        <v>-150000</v>
      </c>
      <c r="D802" s="49"/>
      <c r="E802" s="49">
        <f t="shared" si="83"/>
        <v>13840</v>
      </c>
      <c r="F802" s="49">
        <v>15500</v>
      </c>
      <c r="G802" s="49">
        <f t="shared" si="85"/>
        <v>1660</v>
      </c>
      <c r="H802" s="50">
        <f t="shared" si="84"/>
        <v>0.1199421965317919</v>
      </c>
    </row>
    <row r="803" spans="1:8">
      <c r="A803" s="48" t="s">
        <v>95</v>
      </c>
      <c r="B803" s="49">
        <v>12450</v>
      </c>
      <c r="C803" s="49">
        <f>-12450+162450-60000</f>
        <v>90000</v>
      </c>
      <c r="D803" s="49"/>
      <c r="E803" s="49">
        <f t="shared" si="83"/>
        <v>102450</v>
      </c>
      <c r="F803" s="49">
        <v>82500</v>
      </c>
      <c r="G803" s="49">
        <f t="shared" si="85"/>
        <v>-19950</v>
      </c>
      <c r="H803" s="50">
        <f t="shared" si="84"/>
        <v>-0.19472913616398244</v>
      </c>
    </row>
    <row r="804" spans="1:8">
      <c r="A804" s="51" t="s">
        <v>66</v>
      </c>
      <c r="B804" s="52">
        <v>2200</v>
      </c>
      <c r="C804" s="52"/>
      <c r="D804" s="52"/>
      <c r="E804" s="52">
        <f t="shared" si="83"/>
        <v>2200</v>
      </c>
      <c r="F804" s="52">
        <v>2500</v>
      </c>
      <c r="G804" s="52">
        <f t="shared" si="85"/>
        <v>300</v>
      </c>
      <c r="H804" s="53">
        <f t="shared" si="84"/>
        <v>0.13636363636363635</v>
      </c>
    </row>
    <row r="805" spans="1:8" ht="25.5">
      <c r="A805" s="51" t="s">
        <v>107</v>
      </c>
      <c r="B805" s="52">
        <v>146250</v>
      </c>
      <c r="C805" s="52"/>
      <c r="D805" s="52"/>
      <c r="E805" s="52">
        <f t="shared" si="83"/>
        <v>146250</v>
      </c>
      <c r="F805" s="52">
        <v>148000</v>
      </c>
      <c r="G805" s="52">
        <f t="shared" si="85"/>
        <v>1750</v>
      </c>
      <c r="H805" s="53">
        <f t="shared" si="84"/>
        <v>1.1965811965811967E-2</v>
      </c>
    </row>
    <row r="806" spans="1:8">
      <c r="A806" s="51"/>
      <c r="B806" s="52"/>
      <c r="C806" s="52"/>
      <c r="D806" s="52"/>
      <c r="E806" s="52">
        <f t="shared" si="83"/>
        <v>0</v>
      </c>
      <c r="F806" s="52"/>
      <c r="G806" s="52">
        <f t="shared" si="85"/>
        <v>0</v>
      </c>
      <c r="H806" s="53" t="str">
        <f t="shared" si="84"/>
        <v/>
      </c>
    </row>
    <row r="807" spans="1:8">
      <c r="A807" s="44" t="s">
        <v>236</v>
      </c>
      <c r="B807" s="45">
        <f>B808+B813</f>
        <v>3325</v>
      </c>
      <c r="C807" s="45">
        <f>C808+C813</f>
        <v>420</v>
      </c>
      <c r="D807" s="45">
        <f>D808+D813</f>
        <v>2085</v>
      </c>
      <c r="E807" s="45">
        <f t="shared" si="83"/>
        <v>5830</v>
      </c>
      <c r="F807" s="45">
        <f>F808+F813</f>
        <v>8220</v>
      </c>
      <c r="G807" s="45">
        <f t="shared" si="85"/>
        <v>2390</v>
      </c>
      <c r="H807" s="47">
        <f t="shared" si="84"/>
        <v>0.40994854202401371</v>
      </c>
    </row>
    <row r="808" spans="1:8">
      <c r="A808" s="44" t="s">
        <v>74</v>
      </c>
      <c r="B808" s="45">
        <f>B809+B810+B811</f>
        <v>2005</v>
      </c>
      <c r="C808" s="45">
        <f>C809+C810+C811</f>
        <v>420</v>
      </c>
      <c r="D808" s="45">
        <f>D809+D810+D811</f>
        <v>2085</v>
      </c>
      <c r="E808" s="45">
        <f t="shared" si="83"/>
        <v>4510</v>
      </c>
      <c r="F808" s="45">
        <f>F809+F810+F811+F812</f>
        <v>6900</v>
      </c>
      <c r="G808" s="45">
        <f t="shared" si="85"/>
        <v>2390</v>
      </c>
      <c r="H808" s="47">
        <f t="shared" si="84"/>
        <v>0.52993348115299332</v>
      </c>
    </row>
    <row r="809" spans="1:8">
      <c r="A809" s="48" t="s">
        <v>84</v>
      </c>
      <c r="B809" s="49">
        <v>240</v>
      </c>
      <c r="C809" s="49"/>
      <c r="D809" s="49">
        <v>1260</v>
      </c>
      <c r="E809" s="49">
        <f t="shared" si="83"/>
        <v>1500</v>
      </c>
      <c r="F809" s="49">
        <v>1600</v>
      </c>
      <c r="G809" s="49">
        <f t="shared" si="85"/>
        <v>100</v>
      </c>
      <c r="H809" s="50">
        <f t="shared" si="84"/>
        <v>6.6666666666666666E-2</v>
      </c>
    </row>
    <row r="810" spans="1:8">
      <c r="A810" s="48" t="s">
        <v>97</v>
      </c>
      <c r="B810" s="49">
        <v>730</v>
      </c>
      <c r="C810" s="49">
        <v>420</v>
      </c>
      <c r="D810" s="49">
        <v>595</v>
      </c>
      <c r="E810" s="49">
        <f t="shared" si="83"/>
        <v>1745</v>
      </c>
      <c r="F810" s="49">
        <v>1800</v>
      </c>
      <c r="G810" s="49">
        <f t="shared" si="85"/>
        <v>55</v>
      </c>
      <c r="H810" s="50">
        <f t="shared" si="84"/>
        <v>3.151862464183381E-2</v>
      </c>
    </row>
    <row r="811" spans="1:8">
      <c r="A811" s="48" t="s">
        <v>98</v>
      </c>
      <c r="B811" s="49">
        <v>1035</v>
      </c>
      <c r="C811" s="49"/>
      <c r="D811" s="49">
        <v>230</v>
      </c>
      <c r="E811" s="49">
        <f t="shared" si="83"/>
        <v>1265</v>
      </c>
      <c r="F811" s="49">
        <v>500</v>
      </c>
      <c r="G811" s="49">
        <f t="shared" si="85"/>
        <v>-765</v>
      </c>
      <c r="H811" s="50">
        <f t="shared" si="84"/>
        <v>-0.60474308300395252</v>
      </c>
    </row>
    <row r="812" spans="1:8">
      <c r="A812" s="51" t="s">
        <v>99</v>
      </c>
      <c r="B812" s="49"/>
      <c r="C812" s="49"/>
      <c r="D812" s="49"/>
      <c r="E812" s="49">
        <f t="shared" si="83"/>
        <v>0</v>
      </c>
      <c r="F812" s="49">
        <v>3000</v>
      </c>
      <c r="G812" s="49"/>
      <c r="H812" s="50"/>
    </row>
    <row r="813" spans="1:8">
      <c r="A813" s="44" t="s">
        <v>57</v>
      </c>
      <c r="B813" s="45">
        <f>B814</f>
        <v>1320</v>
      </c>
      <c r="C813" s="45">
        <f>C814</f>
        <v>0</v>
      </c>
      <c r="D813" s="45">
        <f>D814</f>
        <v>0</v>
      </c>
      <c r="E813" s="45">
        <f t="shared" si="83"/>
        <v>1320</v>
      </c>
      <c r="F813" s="45">
        <f>F814</f>
        <v>1320</v>
      </c>
      <c r="G813" s="45">
        <f t="shared" si="85"/>
        <v>0</v>
      </c>
      <c r="H813" s="47">
        <f t="shared" si="84"/>
        <v>0</v>
      </c>
    </row>
    <row r="814" spans="1:8">
      <c r="A814" s="48" t="s">
        <v>58</v>
      </c>
      <c r="B814" s="49">
        <v>1320</v>
      </c>
      <c r="C814" s="49"/>
      <c r="D814" s="49"/>
      <c r="E814" s="49">
        <f t="shared" si="83"/>
        <v>1320</v>
      </c>
      <c r="F814" s="49">
        <v>1320</v>
      </c>
      <c r="G814" s="49">
        <f t="shared" si="85"/>
        <v>0</v>
      </c>
      <c r="H814" s="50">
        <f t="shared" si="84"/>
        <v>0</v>
      </c>
    </row>
    <row r="815" spans="1:8">
      <c r="A815" s="48"/>
      <c r="B815" s="49"/>
      <c r="C815" s="49"/>
      <c r="D815" s="45"/>
      <c r="E815" s="49"/>
      <c r="G815" s="49">
        <f t="shared" si="85"/>
        <v>0</v>
      </c>
      <c r="H815" s="50" t="str">
        <f t="shared" si="84"/>
        <v/>
      </c>
    </row>
    <row r="816" spans="1:8">
      <c r="A816" s="40" t="s">
        <v>237</v>
      </c>
      <c r="B816" s="41">
        <f>+B6+B11+B19+B26+B33+B123+B222+B311+B394+B471+B421+B411+B441+B477+B508+B554+B580+B644+B683+B739+B770+B382</f>
        <v>61803515</v>
      </c>
      <c r="C816" s="41">
        <f>+C6+C11+C19+C26+C33+C123+C222+C311+C394+C471+C421+C411+C441+C477+C508+C554+C580+C644+C683+C739+C770+C382</f>
        <v>-63443</v>
      </c>
      <c r="D816" s="41">
        <f>+D6+D11+D19+D26+D33+D123+D222+D311+D394+D471+D421+D411+D441+D477+D508+D554+D580+D644+D683+D739+D770+D382</f>
        <v>1325417</v>
      </c>
      <c r="E816" s="41">
        <f t="shared" ref="E816" si="86">SUM(B816:D816)</f>
        <v>63065489</v>
      </c>
      <c r="F816" s="41">
        <f>+F6+F11+F19+F26+F33+F123+F222+F311+F394+F471+F421+F411+F441+F477+F508+F554+F580+F644+F683+F739+F770+F382</f>
        <v>65927583</v>
      </c>
      <c r="G816" s="41">
        <f t="shared" si="85"/>
        <v>2862094</v>
      </c>
      <c r="H816" s="43">
        <f t="shared" si="84"/>
        <v>4.5382887620200645E-2</v>
      </c>
    </row>
    <row r="817" spans="1:8">
      <c r="F817" s="231"/>
    </row>
    <row r="818" spans="1:8">
      <c r="G818" s="488"/>
    </row>
    <row r="819" spans="1:8">
      <c r="A819" s="172" t="s">
        <v>290</v>
      </c>
      <c r="B819" s="83">
        <f t="shared" ref="B819:G819" si="87">B6</f>
        <v>27617</v>
      </c>
      <c r="C819" s="83">
        <f t="shared" si="87"/>
        <v>-170</v>
      </c>
      <c r="D819" s="83">
        <f t="shared" si="87"/>
        <v>0</v>
      </c>
      <c r="E819" s="83">
        <f t="shared" si="87"/>
        <v>27447</v>
      </c>
      <c r="F819" s="83">
        <f t="shared" si="87"/>
        <v>27484</v>
      </c>
      <c r="G819" s="83">
        <f t="shared" si="87"/>
        <v>37</v>
      </c>
      <c r="H819" s="47">
        <f t="shared" ref="H819:H842" si="88">IF(F819=0,"",G819/E819)</f>
        <v>1.3480526104856633E-3</v>
      </c>
    </row>
    <row r="820" spans="1:8">
      <c r="A820" s="172" t="s">
        <v>297</v>
      </c>
      <c r="B820" s="83">
        <f t="shared" ref="B820:G820" si="89">B11</f>
        <v>671159</v>
      </c>
      <c r="C820" s="83">
        <f t="shared" si="89"/>
        <v>-100000</v>
      </c>
      <c r="D820" s="83">
        <f t="shared" si="89"/>
        <v>0</v>
      </c>
      <c r="E820" s="83">
        <f t="shared" si="89"/>
        <v>571159</v>
      </c>
      <c r="F820" s="83">
        <f t="shared" si="89"/>
        <v>580490</v>
      </c>
      <c r="G820" s="83">
        <f t="shared" si="89"/>
        <v>9331</v>
      </c>
      <c r="H820" s="47">
        <f t="shared" si="88"/>
        <v>1.633695695944562E-2</v>
      </c>
    </row>
    <row r="821" spans="1:8">
      <c r="A821" s="172" t="s">
        <v>31</v>
      </c>
      <c r="B821" s="83">
        <f t="shared" ref="B821:G821" si="90">B19</f>
        <v>34893</v>
      </c>
      <c r="C821" s="83">
        <f t="shared" si="90"/>
        <v>0</v>
      </c>
      <c r="D821" s="83">
        <f t="shared" si="90"/>
        <v>0</v>
      </c>
      <c r="E821" s="83">
        <f t="shared" si="90"/>
        <v>34893</v>
      </c>
      <c r="F821" s="83">
        <f t="shared" si="90"/>
        <v>29066</v>
      </c>
      <c r="G821" s="83">
        <f t="shared" si="90"/>
        <v>-5827</v>
      </c>
      <c r="H821" s="47">
        <f t="shared" si="88"/>
        <v>-0.1669962456653197</v>
      </c>
    </row>
    <row r="822" spans="1:8">
      <c r="A822" s="172" t="s">
        <v>340</v>
      </c>
      <c r="B822" s="83">
        <f t="shared" ref="B822:G822" si="91">B26</f>
        <v>221343</v>
      </c>
      <c r="C822" s="83">
        <f t="shared" si="91"/>
        <v>0</v>
      </c>
      <c r="D822" s="83">
        <f t="shared" si="91"/>
        <v>0</v>
      </c>
      <c r="E822" s="83">
        <f t="shared" si="91"/>
        <v>221343</v>
      </c>
      <c r="F822" s="83">
        <f t="shared" si="91"/>
        <v>215185</v>
      </c>
      <c r="G822" s="83">
        <f t="shared" si="91"/>
        <v>-6158</v>
      </c>
      <c r="H822" s="47">
        <f t="shared" si="88"/>
        <v>-2.7821074079595921E-2</v>
      </c>
    </row>
    <row r="823" spans="1:8">
      <c r="A823" s="172" t="s">
        <v>53</v>
      </c>
      <c r="B823" s="83">
        <f t="shared" ref="B823:G823" si="92">B33</f>
        <v>29027000</v>
      </c>
      <c r="C823" s="83">
        <f t="shared" si="92"/>
        <v>307718</v>
      </c>
      <c r="D823" s="83">
        <f t="shared" si="92"/>
        <v>726135</v>
      </c>
      <c r="E823" s="83">
        <f t="shared" si="92"/>
        <v>30060853</v>
      </c>
      <c r="F823" s="83">
        <f t="shared" si="92"/>
        <v>31341000</v>
      </c>
      <c r="G823" s="83">
        <f t="shared" si="92"/>
        <v>1280147</v>
      </c>
      <c r="H823" s="47">
        <f t="shared" si="88"/>
        <v>4.2585185456979549E-2</v>
      </c>
    </row>
    <row r="824" spans="1:8">
      <c r="A824" s="172" t="s">
        <v>54</v>
      </c>
      <c r="B824" s="83">
        <f>B123</f>
        <v>4963500</v>
      </c>
      <c r="C824" s="83">
        <f t="shared" ref="C824:G824" si="93">C123</f>
        <v>43000</v>
      </c>
      <c r="D824" s="83">
        <f t="shared" si="93"/>
        <v>112000</v>
      </c>
      <c r="E824" s="83">
        <f t="shared" si="93"/>
        <v>5118500</v>
      </c>
      <c r="F824" s="83">
        <f t="shared" si="93"/>
        <v>5182750</v>
      </c>
      <c r="G824" s="83">
        <f t="shared" si="93"/>
        <v>64250</v>
      </c>
      <c r="H824" s="47">
        <f t="shared" si="88"/>
        <v>1.2552505616879945E-2</v>
      </c>
    </row>
    <row r="825" spans="1:8">
      <c r="A825" s="172" t="s">
        <v>254</v>
      </c>
      <c r="B825" s="83">
        <f>B222</f>
        <v>4665001</v>
      </c>
      <c r="C825" s="83">
        <f t="shared" ref="C825:G825" si="94">C222</f>
        <v>-88745</v>
      </c>
      <c r="D825" s="83">
        <f t="shared" si="94"/>
        <v>-44052</v>
      </c>
      <c r="E825" s="83">
        <f t="shared" si="94"/>
        <v>4532204</v>
      </c>
      <c r="F825" s="83">
        <f t="shared" si="94"/>
        <v>4533720</v>
      </c>
      <c r="G825" s="83">
        <f t="shared" si="94"/>
        <v>1516</v>
      </c>
      <c r="H825" s="47">
        <f t="shared" si="88"/>
        <v>3.3449509333648706E-4</v>
      </c>
    </row>
    <row r="826" spans="1:8">
      <c r="A826" s="172" t="s">
        <v>459</v>
      </c>
      <c r="B826" s="83">
        <f>B311</f>
        <v>2585381</v>
      </c>
      <c r="C826" s="83">
        <f t="shared" ref="C826:G826" si="95">C311</f>
        <v>44772</v>
      </c>
      <c r="D826" s="83">
        <f t="shared" si="95"/>
        <v>33123</v>
      </c>
      <c r="E826" s="83">
        <f t="shared" si="95"/>
        <v>2663276</v>
      </c>
      <c r="F826" s="83">
        <f t="shared" si="95"/>
        <v>2834799</v>
      </c>
      <c r="G826" s="83">
        <f t="shared" si="95"/>
        <v>171523</v>
      </c>
      <c r="H826" s="47">
        <f t="shared" si="88"/>
        <v>6.4403013431578254E-2</v>
      </c>
    </row>
    <row r="827" spans="1:8">
      <c r="A827" s="172" t="s">
        <v>15</v>
      </c>
      <c r="B827" s="83">
        <f>B382</f>
        <v>3180590</v>
      </c>
      <c r="C827" s="83">
        <f t="shared" ref="C827:G827" si="96">C382</f>
        <v>32000</v>
      </c>
      <c r="D827" s="83">
        <f t="shared" si="96"/>
        <v>6234</v>
      </c>
      <c r="E827" s="83">
        <f t="shared" si="96"/>
        <v>3218824</v>
      </c>
      <c r="F827" s="83">
        <f t="shared" si="96"/>
        <v>3343190</v>
      </c>
      <c r="G827" s="83">
        <f t="shared" si="96"/>
        <v>124366</v>
      </c>
      <c r="H827" s="47">
        <f t="shared" si="88"/>
        <v>3.8637092304518672E-2</v>
      </c>
    </row>
    <row r="828" spans="1:8">
      <c r="A828" s="172" t="s">
        <v>14</v>
      </c>
      <c r="B828" s="83">
        <f>B394</f>
        <v>817115</v>
      </c>
      <c r="C828" s="83">
        <f t="shared" ref="C828:G828" si="97">C394</f>
        <v>0</v>
      </c>
      <c r="D828" s="83">
        <f t="shared" si="97"/>
        <v>136195</v>
      </c>
      <c r="E828" s="83">
        <f t="shared" si="97"/>
        <v>953310</v>
      </c>
      <c r="F828" s="83">
        <f t="shared" si="97"/>
        <v>991090</v>
      </c>
      <c r="G828" s="83">
        <f t="shared" si="97"/>
        <v>37780</v>
      </c>
      <c r="H828" s="47">
        <f t="shared" si="88"/>
        <v>3.9630340602742023E-2</v>
      </c>
    </row>
    <row r="829" spans="1:8">
      <c r="A829" s="172" t="s">
        <v>16</v>
      </c>
      <c r="B829" s="83">
        <f>B411</f>
        <v>1267705</v>
      </c>
      <c r="C829" s="83">
        <f t="shared" ref="C829:G829" si="98">C411</f>
        <v>-8053</v>
      </c>
      <c r="D829" s="83">
        <f t="shared" si="98"/>
        <v>-5500</v>
      </c>
      <c r="E829" s="83">
        <f t="shared" si="98"/>
        <v>1254152</v>
      </c>
      <c r="F829" s="83">
        <f t="shared" si="98"/>
        <v>1261705</v>
      </c>
      <c r="G829" s="83">
        <f t="shared" si="98"/>
        <v>7553</v>
      </c>
      <c r="H829" s="47">
        <f t="shared" si="88"/>
        <v>6.0223960094151268E-3</v>
      </c>
    </row>
    <row r="830" spans="1:8">
      <c r="A830" s="172" t="s">
        <v>622</v>
      </c>
      <c r="B830" s="83">
        <f>B421</f>
        <v>753524</v>
      </c>
      <c r="C830" s="83">
        <f t="shared" ref="C830:G830" si="99">C421</f>
        <v>0</v>
      </c>
      <c r="D830" s="83">
        <f t="shared" si="99"/>
        <v>40000</v>
      </c>
      <c r="E830" s="83">
        <f t="shared" si="99"/>
        <v>793524</v>
      </c>
      <c r="F830" s="83">
        <f t="shared" si="99"/>
        <v>689384</v>
      </c>
      <c r="G830" s="83">
        <f t="shared" si="99"/>
        <v>-104140</v>
      </c>
      <c r="H830" s="47">
        <f t="shared" si="88"/>
        <v>-0.13123736648166912</v>
      </c>
    </row>
    <row r="831" spans="1:8">
      <c r="A831" s="172" t="s">
        <v>662</v>
      </c>
      <c r="B831" s="83">
        <f>B441</f>
        <v>4007930</v>
      </c>
      <c r="C831" s="83">
        <f t="shared" ref="C831:G831" si="100">C441</f>
        <v>1600</v>
      </c>
      <c r="D831" s="83">
        <f t="shared" si="100"/>
        <v>297000</v>
      </c>
      <c r="E831" s="83">
        <f t="shared" si="100"/>
        <v>4306530</v>
      </c>
      <c r="F831" s="83">
        <f t="shared" si="100"/>
        <v>5542210</v>
      </c>
      <c r="G831" s="83">
        <f t="shared" si="100"/>
        <v>1235680</v>
      </c>
      <c r="H831" s="47">
        <f t="shared" si="88"/>
        <v>0.2869317060371111</v>
      </c>
    </row>
    <row r="832" spans="1:8">
      <c r="A832" s="172" t="s">
        <v>32</v>
      </c>
      <c r="B832" s="83">
        <f>B471</f>
        <v>13550</v>
      </c>
      <c r="C832" s="83">
        <f t="shared" ref="C832:G832" si="101">C471</f>
        <v>0</v>
      </c>
      <c r="D832" s="83">
        <f t="shared" si="101"/>
        <v>0</v>
      </c>
      <c r="E832" s="83">
        <f t="shared" si="101"/>
        <v>13550</v>
      </c>
      <c r="F832" s="83">
        <f t="shared" si="101"/>
        <v>10290</v>
      </c>
      <c r="G832" s="83">
        <f t="shared" si="101"/>
        <v>-3260</v>
      </c>
      <c r="H832" s="47">
        <f t="shared" si="88"/>
        <v>-0.24059040590405903</v>
      </c>
    </row>
    <row r="833" spans="1:8">
      <c r="A833" s="172" t="s">
        <v>38</v>
      </c>
      <c r="F833" s="83"/>
      <c r="G833" s="83"/>
      <c r="H833" s="47" t="str">
        <f t="shared" si="88"/>
        <v/>
      </c>
    </row>
    <row r="834" spans="1:8">
      <c r="A834" s="172" t="s">
        <v>699</v>
      </c>
      <c r="B834" s="83">
        <f>B477</f>
        <v>345570</v>
      </c>
      <c r="C834" s="83">
        <f t="shared" ref="C834:G834" si="102">C477</f>
        <v>0</v>
      </c>
      <c r="D834" s="83">
        <f t="shared" si="102"/>
        <v>4410</v>
      </c>
      <c r="E834" s="83">
        <f t="shared" si="102"/>
        <v>349980</v>
      </c>
      <c r="F834" s="83">
        <f t="shared" si="102"/>
        <v>362550</v>
      </c>
      <c r="G834" s="83">
        <f t="shared" si="102"/>
        <v>12570</v>
      </c>
      <c r="H834" s="47">
        <f t="shared" si="88"/>
        <v>3.591633807646151E-2</v>
      </c>
    </row>
    <row r="835" spans="1:8">
      <c r="A835" s="172" t="s">
        <v>712</v>
      </c>
      <c r="B835" s="83">
        <f>B508</f>
        <v>4672530</v>
      </c>
      <c r="C835" s="83">
        <f t="shared" ref="C835:G835" si="103">C508</f>
        <v>-209970</v>
      </c>
      <c r="D835" s="83">
        <f t="shared" si="103"/>
        <v>-44700</v>
      </c>
      <c r="E835" s="83">
        <f t="shared" si="103"/>
        <v>4417860</v>
      </c>
      <c r="F835" s="83">
        <f t="shared" si="103"/>
        <v>4531560</v>
      </c>
      <c r="G835" s="83">
        <f t="shared" si="103"/>
        <v>113700</v>
      </c>
      <c r="H835" s="47">
        <f t="shared" si="88"/>
        <v>2.573644253099917E-2</v>
      </c>
    </row>
    <row r="836" spans="1:8">
      <c r="A836" s="172" t="s">
        <v>721</v>
      </c>
      <c r="B836" s="83">
        <f>B554</f>
        <v>249450</v>
      </c>
      <c r="C836" s="83">
        <f t="shared" ref="C836:G836" si="104">C554</f>
        <v>0</v>
      </c>
      <c r="D836" s="83">
        <f t="shared" si="104"/>
        <v>24565</v>
      </c>
      <c r="E836" s="83">
        <f t="shared" si="104"/>
        <v>274015</v>
      </c>
      <c r="F836" s="83">
        <f t="shared" si="104"/>
        <v>272980</v>
      </c>
      <c r="G836" s="83">
        <f t="shared" si="104"/>
        <v>-1035</v>
      </c>
      <c r="H836" s="47">
        <f t="shared" si="88"/>
        <v>-3.7771654836414063E-3</v>
      </c>
    </row>
    <row r="837" spans="1:8">
      <c r="A837" s="172" t="s">
        <v>55</v>
      </c>
      <c r="B837" s="83">
        <f>B580</f>
        <v>1334935</v>
      </c>
      <c r="C837" s="83">
        <f t="shared" ref="C837:G837" si="105">C580</f>
        <v>28275</v>
      </c>
      <c r="D837" s="83">
        <f t="shared" si="105"/>
        <v>50160</v>
      </c>
      <c r="E837" s="83">
        <f t="shared" si="105"/>
        <v>1413370</v>
      </c>
      <c r="F837" s="83">
        <f t="shared" si="105"/>
        <v>1408020</v>
      </c>
      <c r="G837" s="83">
        <f t="shared" si="105"/>
        <v>-5350</v>
      </c>
      <c r="H837" s="47">
        <f t="shared" si="88"/>
        <v>-3.7852791554936075E-3</v>
      </c>
    </row>
    <row r="838" spans="1:8">
      <c r="A838" s="172" t="s">
        <v>729</v>
      </c>
      <c r="B838" s="83">
        <f>B644</f>
        <v>700100</v>
      </c>
      <c r="C838" s="83">
        <f t="shared" ref="C838:G838" si="106">C644</f>
        <v>8900</v>
      </c>
      <c r="D838" s="83">
        <f t="shared" si="106"/>
        <v>-315</v>
      </c>
      <c r="E838" s="83">
        <f t="shared" si="106"/>
        <v>708685</v>
      </c>
      <c r="F838" s="83">
        <f t="shared" si="106"/>
        <v>704910</v>
      </c>
      <c r="G838" s="83">
        <f t="shared" si="106"/>
        <v>-3775</v>
      </c>
      <c r="H838" s="47">
        <f t="shared" si="88"/>
        <v>-5.3267671814699056E-3</v>
      </c>
    </row>
    <row r="839" spans="1:8">
      <c r="A839" s="172" t="s">
        <v>735</v>
      </c>
      <c r="B839" s="83">
        <f>B683</f>
        <v>575107</v>
      </c>
      <c r="C839" s="83">
        <f t="shared" ref="C839:G839" si="107">C683</f>
        <v>29200</v>
      </c>
      <c r="D839" s="83">
        <f t="shared" si="107"/>
        <v>11367</v>
      </c>
      <c r="E839" s="83">
        <f t="shared" si="107"/>
        <v>615674</v>
      </c>
      <c r="F839" s="83">
        <f t="shared" si="107"/>
        <v>604660</v>
      </c>
      <c r="G839" s="83">
        <f t="shared" si="107"/>
        <v>-11014</v>
      </c>
      <c r="H839" s="47">
        <f t="shared" si="88"/>
        <v>-1.7889337539022276E-2</v>
      </c>
    </row>
    <row r="840" spans="1:8">
      <c r="A840" s="172" t="s">
        <v>744</v>
      </c>
      <c r="B840" s="83">
        <f>B739</f>
        <v>231900</v>
      </c>
      <c r="C840" s="83">
        <f t="shared" ref="C840:G840" si="108">C739</f>
        <v>26300</v>
      </c>
      <c r="D840" s="83">
        <f t="shared" si="108"/>
        <v>3640</v>
      </c>
      <c r="E840" s="83">
        <f t="shared" si="108"/>
        <v>261840</v>
      </c>
      <c r="F840" s="83">
        <f t="shared" si="108"/>
        <v>244810</v>
      </c>
      <c r="G840" s="83">
        <f t="shared" si="108"/>
        <v>-17030</v>
      </c>
      <c r="H840" s="47">
        <f t="shared" si="88"/>
        <v>-6.5039718912312861E-2</v>
      </c>
    </row>
    <row r="841" spans="1:8">
      <c r="A841" s="172" t="s">
        <v>749</v>
      </c>
      <c r="B841" s="83">
        <f>B770</f>
        <v>1457615</v>
      </c>
      <c r="C841" s="83">
        <f t="shared" ref="C841:G841" si="109">C770</f>
        <v>-178270</v>
      </c>
      <c r="D841" s="83">
        <f t="shared" si="109"/>
        <v>-24845</v>
      </c>
      <c r="E841" s="83">
        <f t="shared" si="109"/>
        <v>1254500</v>
      </c>
      <c r="F841" s="83">
        <f t="shared" si="109"/>
        <v>1215730</v>
      </c>
      <c r="G841" s="83">
        <f t="shared" si="109"/>
        <v>-38770</v>
      </c>
      <c r="H841" s="47">
        <f t="shared" si="88"/>
        <v>-3.0904742925468316E-2</v>
      </c>
    </row>
    <row r="842" spans="1:8">
      <c r="A842" s="404" t="s">
        <v>799</v>
      </c>
      <c r="B842" s="86">
        <f>SUM(B819:B841)</f>
        <v>61803515</v>
      </c>
      <c r="C842" s="86">
        <f t="shared" ref="C842:G842" si="110">SUM(C819:C841)</f>
        <v>-63443</v>
      </c>
      <c r="D842" s="86">
        <f t="shared" si="110"/>
        <v>1325417</v>
      </c>
      <c r="E842" s="86">
        <f t="shared" si="110"/>
        <v>63065489</v>
      </c>
      <c r="F842" s="86">
        <f t="shared" si="110"/>
        <v>65927583</v>
      </c>
      <c r="G842" s="86">
        <f t="shared" si="110"/>
        <v>2862094</v>
      </c>
      <c r="H842" s="309">
        <f t="shared" si="88"/>
        <v>4.5382887620200645E-2</v>
      </c>
    </row>
  </sheetData>
  <mergeCells count="2">
    <mergeCell ref="B3:E3"/>
    <mergeCell ref="G3:H3"/>
  </mergeCells>
  <pageMargins left="1.1811023622047245" right="0.47244094488188981" top="0.47244094488188981" bottom="0.98425196850393704" header="0.51181102362204722" footer="0.51181102362204722"/>
  <pageSetup paperSize="9" scale="70" fitToHeight="0" orientation="portrait"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J1682"/>
  <sheetViews>
    <sheetView showZeros="0" zoomScaleNormal="100" zoomScaleSheetLayoutView="85" workbookViewId="0">
      <pane xSplit="4" ySplit="4" topLeftCell="E5" activePane="bottomRight" state="frozen"/>
      <selection pane="topRight" activeCell="E1" sqref="E1"/>
      <selection pane="bottomLeft" activeCell="A4" sqref="A4"/>
      <selection pane="bottomRight" activeCell="C1" sqref="C1"/>
    </sheetView>
  </sheetViews>
  <sheetFormatPr defaultColWidth="9.140625" defaultRowHeight="12.75"/>
  <cols>
    <col min="1" max="1" width="2.7109375" style="169" hidden="1" customWidth="1"/>
    <col min="2" max="2" width="3.85546875" style="169" hidden="1" customWidth="1"/>
    <col min="3" max="3" width="66" style="101" customWidth="1"/>
    <col min="4" max="4" width="12.42578125" style="171" customWidth="1"/>
    <col min="5" max="5" width="10.42578125" style="169" hidden="1" customWidth="1"/>
    <col min="6" max="6" width="11" style="169" hidden="1" customWidth="1"/>
    <col min="7" max="7" width="15.42578125" style="171" bestFit="1" customWidth="1"/>
    <col min="8" max="8" width="12.42578125" style="169" bestFit="1" customWidth="1"/>
    <col min="9" max="9" width="10.42578125" style="169" bestFit="1" customWidth="1"/>
    <col min="10" max="10" width="6.7109375" style="169" bestFit="1" customWidth="1"/>
    <col min="11" max="16384" width="9.140625" style="169"/>
  </cols>
  <sheetData>
    <row r="1" spans="1:10" ht="15">
      <c r="C1" s="170" t="s">
        <v>1273</v>
      </c>
    </row>
    <row r="3" spans="1:10" ht="27" customHeight="1">
      <c r="C3" s="170"/>
      <c r="D3" s="895">
        <v>2016</v>
      </c>
      <c r="E3" s="896"/>
      <c r="F3" s="896"/>
      <c r="G3" s="897"/>
      <c r="H3" s="793">
        <v>2017</v>
      </c>
      <c r="I3" s="898" t="s">
        <v>1224</v>
      </c>
      <c r="J3" s="899"/>
    </row>
    <row r="4" spans="1:10" ht="25.5">
      <c r="D4" s="794" t="s">
        <v>18</v>
      </c>
      <c r="E4" s="795" t="s">
        <v>19</v>
      </c>
      <c r="F4" s="795" t="s">
        <v>1036</v>
      </c>
      <c r="G4" s="796" t="s">
        <v>20</v>
      </c>
      <c r="H4" s="797" t="s">
        <v>1223</v>
      </c>
      <c r="I4" s="798" t="s">
        <v>2</v>
      </c>
      <c r="J4" s="798" t="s">
        <v>21</v>
      </c>
    </row>
    <row r="5" spans="1:10" ht="15.75">
      <c r="C5" s="173" t="s">
        <v>284</v>
      </c>
      <c r="D5" s="174"/>
      <c r="G5" s="174"/>
    </row>
    <row r="6" spans="1:10">
      <c r="C6" s="175"/>
      <c r="D6" s="174"/>
      <c r="G6" s="713"/>
      <c r="I6" s="328"/>
      <c r="J6" s="328"/>
    </row>
    <row r="7" spans="1:10">
      <c r="C7" s="175" t="s">
        <v>5</v>
      </c>
      <c r="D7" s="176">
        <f>D13+D16+D19+D22</f>
        <v>2087042</v>
      </c>
      <c r="E7" s="176">
        <f t="shared" ref="E7" si="0">E13+E16+E19+E22</f>
        <v>24783</v>
      </c>
      <c r="F7" s="176">
        <f>F13+F16+F19+F22</f>
        <v>-3487</v>
      </c>
      <c r="G7" s="176">
        <f>SUM(D7:F7)</f>
        <v>2108338</v>
      </c>
      <c r="H7" s="176">
        <v>2161950</v>
      </c>
      <c r="I7" s="659">
        <f t="shared" ref="I7:I40" si="1">H7-G7</f>
        <v>53612</v>
      </c>
      <c r="J7" s="660">
        <f>I7/G7</f>
        <v>2.5428560316230132E-2</v>
      </c>
    </row>
    <row r="8" spans="1:10">
      <c r="C8" s="177" t="s">
        <v>285</v>
      </c>
      <c r="D8" s="178">
        <v>85075</v>
      </c>
      <c r="E8" s="179"/>
      <c r="F8" s="576">
        <v>0</v>
      </c>
      <c r="G8" s="178">
        <f t="shared" ref="G8:G48" si="2">SUM(D8:F8)</f>
        <v>85075</v>
      </c>
      <c r="H8" s="178">
        <v>85075</v>
      </c>
      <c r="I8" s="184">
        <f t="shared" si="1"/>
        <v>0</v>
      </c>
      <c r="J8" s="632">
        <f>I8/G8</f>
        <v>0</v>
      </c>
    </row>
    <row r="9" spans="1:10">
      <c r="C9" s="180" t="s">
        <v>286</v>
      </c>
      <c r="D9" s="176">
        <f>D10+D11</f>
        <v>2087042</v>
      </c>
      <c r="E9" s="176">
        <f t="shared" ref="E9" si="3">E10+E11</f>
        <v>24783</v>
      </c>
      <c r="F9" s="176">
        <f>F10+F11</f>
        <v>-3487</v>
      </c>
      <c r="G9" s="176">
        <f t="shared" si="2"/>
        <v>2108338</v>
      </c>
      <c r="H9" s="176">
        <v>2161950</v>
      </c>
      <c r="I9" s="659">
        <f t="shared" si="1"/>
        <v>53612</v>
      </c>
      <c r="J9" s="660">
        <f>I9/G9</f>
        <v>2.5428560316230132E-2</v>
      </c>
    </row>
    <row r="10" spans="1:10">
      <c r="C10" s="177" t="s">
        <v>287</v>
      </c>
      <c r="D10" s="178">
        <v>27617</v>
      </c>
      <c r="E10" s="178">
        <v>-170</v>
      </c>
      <c r="F10" s="178"/>
      <c r="G10" s="178">
        <f t="shared" si="2"/>
        <v>27447</v>
      </c>
      <c r="H10" s="178">
        <v>27484</v>
      </c>
      <c r="I10" s="184">
        <f t="shared" si="1"/>
        <v>37</v>
      </c>
      <c r="J10" s="632">
        <f>I10/G10</f>
        <v>1.3480526104856633E-3</v>
      </c>
    </row>
    <row r="11" spans="1:10">
      <c r="C11" s="181" t="s">
        <v>288</v>
      </c>
      <c r="D11" s="178">
        <f>D7-D10</f>
        <v>2059425</v>
      </c>
      <c r="E11" s="178">
        <f t="shared" ref="E11" si="4">E7-E10</f>
        <v>24953</v>
      </c>
      <c r="F11" s="178">
        <f>F7-F10</f>
        <v>-3487</v>
      </c>
      <c r="G11" s="178">
        <f t="shared" si="2"/>
        <v>2080891</v>
      </c>
      <c r="H11" s="178">
        <v>2134466</v>
      </c>
      <c r="I11" s="184">
        <f t="shared" si="1"/>
        <v>53575</v>
      </c>
      <c r="J11" s="632">
        <f>I11/G11</f>
        <v>2.5746182764979041E-2</v>
      </c>
    </row>
    <row r="12" spans="1:10">
      <c r="C12" s="181"/>
      <c r="D12" s="185"/>
      <c r="E12" s="179"/>
      <c r="F12" s="577">
        <v>0</v>
      </c>
      <c r="G12" s="185">
        <f t="shared" si="2"/>
        <v>0</v>
      </c>
      <c r="H12" s="185">
        <v>0</v>
      </c>
      <c r="I12" s="268">
        <f t="shared" si="1"/>
        <v>0</v>
      </c>
      <c r="J12" s="634"/>
    </row>
    <row r="13" spans="1:10">
      <c r="A13" s="169" t="s">
        <v>289</v>
      </c>
      <c r="B13" s="169" t="s">
        <v>290</v>
      </c>
      <c r="C13" s="186" t="s">
        <v>284</v>
      </c>
      <c r="D13" s="187">
        <f>1252029+9634+1479</f>
        <v>1263142</v>
      </c>
      <c r="E13" s="187">
        <v>19830</v>
      </c>
      <c r="F13" s="578">
        <v>5483</v>
      </c>
      <c r="G13" s="187">
        <f t="shared" si="2"/>
        <v>1288455</v>
      </c>
      <c r="H13" s="187">
        <v>1313720</v>
      </c>
      <c r="I13" s="661">
        <f t="shared" si="1"/>
        <v>25265</v>
      </c>
      <c r="J13" s="637">
        <f>I13/G13</f>
        <v>1.9608756223539046E-2</v>
      </c>
    </row>
    <row r="14" spans="1:10">
      <c r="C14" s="188" t="s">
        <v>291</v>
      </c>
      <c r="D14" s="189">
        <f>749768+1+7200+1105</f>
        <v>758074</v>
      </c>
      <c r="E14" s="185"/>
      <c r="F14" s="579">
        <v>-2607</v>
      </c>
      <c r="G14" s="189">
        <f t="shared" si="2"/>
        <v>755467</v>
      </c>
      <c r="H14" s="189">
        <v>789721</v>
      </c>
      <c r="I14" s="184">
        <f t="shared" si="1"/>
        <v>34254</v>
      </c>
      <c r="J14" s="632">
        <f>I14/G14</f>
        <v>4.5341490760019962E-2</v>
      </c>
    </row>
    <row r="15" spans="1:10">
      <c r="C15" s="190"/>
      <c r="D15" s="185"/>
      <c r="E15" s="185"/>
      <c r="F15" s="579"/>
      <c r="G15" s="185">
        <f t="shared" si="2"/>
        <v>0</v>
      </c>
      <c r="H15" s="185">
        <v>0</v>
      </c>
      <c r="I15" s="268">
        <f t="shared" si="1"/>
        <v>0</v>
      </c>
      <c r="J15" s="634"/>
    </row>
    <row r="16" spans="1:10">
      <c r="A16" s="169" t="s">
        <v>292</v>
      </c>
      <c r="B16" s="169" t="s">
        <v>290</v>
      </c>
      <c r="C16" s="186" t="s">
        <v>293</v>
      </c>
      <c r="D16" s="185">
        <v>763928</v>
      </c>
      <c r="E16" s="185">
        <v>24953</v>
      </c>
      <c r="F16" s="579"/>
      <c r="G16" s="185">
        <f t="shared" si="2"/>
        <v>788881</v>
      </c>
      <c r="H16" s="185">
        <v>795320</v>
      </c>
      <c r="I16" s="268">
        <f t="shared" si="1"/>
        <v>6439</v>
      </c>
      <c r="J16" s="634">
        <f>I16/G16</f>
        <v>8.1621942979993173E-3</v>
      </c>
    </row>
    <row r="17" spans="1:10">
      <c r="C17" s="188" t="s">
        <v>291</v>
      </c>
      <c r="D17" s="189">
        <v>554174</v>
      </c>
      <c r="E17" s="189">
        <v>18762</v>
      </c>
      <c r="F17" s="579">
        <v>0</v>
      </c>
      <c r="G17" s="189">
        <f t="shared" si="2"/>
        <v>572936</v>
      </c>
      <c r="H17" s="189">
        <v>581276</v>
      </c>
      <c r="I17" s="184">
        <f t="shared" si="1"/>
        <v>8340</v>
      </c>
      <c r="J17" s="632">
        <f>I17/G17</f>
        <v>1.4556599690017734E-2</v>
      </c>
    </row>
    <row r="18" spans="1:10">
      <c r="C18" s="191"/>
      <c r="D18" s="185"/>
      <c r="E18" s="185"/>
      <c r="F18" s="579">
        <v>0</v>
      </c>
      <c r="G18" s="185">
        <f t="shared" si="2"/>
        <v>0</v>
      </c>
      <c r="H18" s="185">
        <v>0</v>
      </c>
      <c r="I18" s="268">
        <f t="shared" si="1"/>
        <v>0</v>
      </c>
      <c r="J18" s="634"/>
    </row>
    <row r="19" spans="1:10">
      <c r="A19" s="169" t="s">
        <v>289</v>
      </c>
      <c r="B19" s="169" t="s">
        <v>290</v>
      </c>
      <c r="C19" s="192" t="s">
        <v>294</v>
      </c>
      <c r="D19" s="185">
        <v>49000</v>
      </c>
      <c r="E19" s="185">
        <v>-20000</v>
      </c>
      <c r="F19" s="577">
        <v>0</v>
      </c>
      <c r="G19" s="185">
        <f t="shared" si="2"/>
        <v>29000</v>
      </c>
      <c r="H19" s="185">
        <v>48910</v>
      </c>
      <c r="I19" s="268">
        <f t="shared" si="1"/>
        <v>19910</v>
      </c>
      <c r="J19" s="634">
        <f>I19/G19</f>
        <v>0.68655172413793109</v>
      </c>
    </row>
    <row r="20" spans="1:10">
      <c r="C20" s="188" t="s">
        <v>291</v>
      </c>
      <c r="D20" s="189">
        <v>18000</v>
      </c>
      <c r="E20" s="189">
        <v>-8000</v>
      </c>
      <c r="F20" s="579">
        <v>-8500</v>
      </c>
      <c r="G20" s="189">
        <f t="shared" si="2"/>
        <v>1500</v>
      </c>
      <c r="H20" s="189">
        <v>18000</v>
      </c>
      <c r="I20" s="184">
        <f t="shared" si="1"/>
        <v>16500</v>
      </c>
      <c r="J20" s="632">
        <f>I20/G20</f>
        <v>11</v>
      </c>
    </row>
    <row r="21" spans="1:10">
      <c r="C21" s="188"/>
      <c r="D21" s="189"/>
      <c r="F21" s="579">
        <v>0</v>
      </c>
      <c r="G21" s="189">
        <f t="shared" si="2"/>
        <v>0</v>
      </c>
      <c r="H21" s="189">
        <v>0</v>
      </c>
      <c r="I21" s="184">
        <f t="shared" si="1"/>
        <v>0</v>
      </c>
      <c r="J21" s="632"/>
    </row>
    <row r="22" spans="1:10">
      <c r="A22" s="169" t="s">
        <v>295</v>
      </c>
      <c r="B22" s="169" t="s">
        <v>290</v>
      </c>
      <c r="C22" s="192" t="s">
        <v>296</v>
      </c>
      <c r="D22" s="185">
        <v>10972</v>
      </c>
      <c r="F22" s="577">
        <v>-8970</v>
      </c>
      <c r="G22" s="185">
        <f t="shared" si="2"/>
        <v>2002</v>
      </c>
      <c r="H22" s="185">
        <v>4000</v>
      </c>
      <c r="I22" s="268">
        <f t="shared" si="1"/>
        <v>1998</v>
      </c>
      <c r="J22" s="634">
        <f>I22/G22</f>
        <v>0.99800199800199796</v>
      </c>
    </row>
    <row r="23" spans="1:10">
      <c r="C23" s="188" t="s">
        <v>291</v>
      </c>
      <c r="D23" s="189">
        <v>8200</v>
      </c>
      <c r="F23" s="579">
        <v>-8200</v>
      </c>
      <c r="G23" s="189">
        <f t="shared" si="2"/>
        <v>0</v>
      </c>
      <c r="H23" s="189">
        <v>1200</v>
      </c>
      <c r="I23" s="184">
        <f t="shared" si="1"/>
        <v>1200</v>
      </c>
      <c r="J23" s="632"/>
    </row>
    <row r="24" spans="1:10">
      <c r="C24" s="188"/>
      <c r="D24" s="189"/>
      <c r="F24" s="579"/>
      <c r="G24" s="189">
        <f t="shared" si="2"/>
        <v>0</v>
      </c>
      <c r="H24" s="189">
        <v>0</v>
      </c>
      <c r="I24" s="184">
        <f t="shared" si="1"/>
        <v>0</v>
      </c>
      <c r="J24" s="632"/>
    </row>
    <row r="25" spans="1:10">
      <c r="C25" s="172"/>
      <c r="D25" s="185"/>
      <c r="F25" s="579"/>
      <c r="G25" s="185">
        <f t="shared" si="2"/>
        <v>0</v>
      </c>
      <c r="H25" s="185">
        <v>0</v>
      </c>
      <c r="I25" s="268">
        <f t="shared" si="1"/>
        <v>0</v>
      </c>
      <c r="J25" s="634"/>
    </row>
    <row r="26" spans="1:10" ht="15.75">
      <c r="C26" s="193" t="s">
        <v>297</v>
      </c>
      <c r="D26" s="185"/>
      <c r="F26" s="577"/>
      <c r="G26" s="185">
        <f t="shared" si="2"/>
        <v>0</v>
      </c>
      <c r="H26" s="185">
        <v>0</v>
      </c>
      <c r="I26" s="268">
        <f t="shared" si="1"/>
        <v>0</v>
      </c>
      <c r="J26" s="634"/>
    </row>
    <row r="27" spans="1:10">
      <c r="C27" s="191"/>
      <c r="D27" s="185"/>
      <c r="F27" s="579"/>
      <c r="G27" s="185">
        <f t="shared" si="2"/>
        <v>0</v>
      </c>
      <c r="H27" s="185">
        <v>0</v>
      </c>
      <c r="I27" s="268">
        <f t="shared" si="1"/>
        <v>0</v>
      </c>
      <c r="J27" s="634"/>
    </row>
    <row r="28" spans="1:10">
      <c r="C28" s="175" t="s">
        <v>5</v>
      </c>
      <c r="D28" s="176">
        <f>D37+D41+D44+D46+D48+D50+D53+D56+D59+D61+D63+D68+D71+D77+D80+D82+D84+D87+D90+D92+D102+D105+D110</f>
        <v>21268803</v>
      </c>
      <c r="E28" s="176">
        <f>E37+E41+E44+E46+E48+E50+E53+E56+E59+E61+E63+E68+E71+E77+E80+E82+E84+E87+E90+E92+E102+E105+E110+E39+E114</f>
        <v>1452577</v>
      </c>
      <c r="F28" s="176">
        <f>F37+F41+F44+F46+F48+F50+F56+F59+F63+F68+F80+F84+F87+F39</f>
        <v>13493</v>
      </c>
      <c r="G28" s="176">
        <f t="shared" si="2"/>
        <v>22734873</v>
      </c>
      <c r="H28" s="176">
        <v>26156880</v>
      </c>
      <c r="I28" s="659">
        <f t="shared" si="1"/>
        <v>3422007</v>
      </c>
      <c r="J28" s="660">
        <f t="shared" ref="J28:J33" si="5">I28/G28</f>
        <v>0.1505179729836186</v>
      </c>
    </row>
    <row r="29" spans="1:10">
      <c r="C29" s="177" t="s">
        <v>285</v>
      </c>
      <c r="D29" s="178">
        <v>958675</v>
      </c>
      <c r="E29" s="179"/>
      <c r="F29" s="178"/>
      <c r="G29" s="178">
        <f t="shared" si="2"/>
        <v>958675</v>
      </c>
      <c r="H29" s="178">
        <v>920000</v>
      </c>
      <c r="I29" s="184">
        <f t="shared" si="1"/>
        <v>-38675</v>
      </c>
      <c r="J29" s="632">
        <f t="shared" si="5"/>
        <v>-4.0342138889613272E-2</v>
      </c>
    </row>
    <row r="30" spans="1:10">
      <c r="C30" s="180" t="s">
        <v>286</v>
      </c>
      <c r="D30" s="176">
        <f>D31+D33+D32</f>
        <v>21268803</v>
      </c>
      <c r="E30" s="176">
        <f t="shared" ref="E30" si="6">E31+E33+E32</f>
        <v>1452577</v>
      </c>
      <c r="F30" s="176">
        <f>F31+F33+F32</f>
        <v>13493</v>
      </c>
      <c r="G30" s="176">
        <f t="shared" si="2"/>
        <v>22734873</v>
      </c>
      <c r="H30" s="176">
        <v>26156880</v>
      </c>
      <c r="I30" s="659">
        <f t="shared" si="1"/>
        <v>3422007</v>
      </c>
      <c r="J30" s="660">
        <f t="shared" si="5"/>
        <v>0.1505179729836186</v>
      </c>
    </row>
    <row r="31" spans="1:10">
      <c r="C31" s="177" t="s">
        <v>287</v>
      </c>
      <c r="D31" s="178">
        <v>671159</v>
      </c>
      <c r="E31" s="178">
        <v>-100000</v>
      </c>
      <c r="F31" s="178"/>
      <c r="G31" s="178">
        <f t="shared" si="2"/>
        <v>571159</v>
      </c>
      <c r="H31" s="178">
        <v>580490</v>
      </c>
      <c r="I31" s="184">
        <f t="shared" si="1"/>
        <v>9331</v>
      </c>
      <c r="J31" s="632">
        <f t="shared" si="5"/>
        <v>1.633695695944562E-2</v>
      </c>
    </row>
    <row r="32" spans="1:10">
      <c r="C32" s="181" t="s">
        <v>298</v>
      </c>
      <c r="D32" s="178">
        <v>19451</v>
      </c>
      <c r="E32" s="178">
        <v>38794</v>
      </c>
      <c r="F32" s="178"/>
      <c r="G32" s="178">
        <f t="shared" si="2"/>
        <v>58245</v>
      </c>
      <c r="H32" s="178">
        <v>0</v>
      </c>
      <c r="I32" s="184">
        <f t="shared" si="1"/>
        <v>-58245</v>
      </c>
      <c r="J32" s="632">
        <f t="shared" si="5"/>
        <v>-1</v>
      </c>
    </row>
    <row r="33" spans="1:10">
      <c r="C33" s="181" t="s">
        <v>288</v>
      </c>
      <c r="D33" s="178">
        <f>D28-D31-D32</f>
        <v>20578193</v>
      </c>
      <c r="E33" s="178">
        <f t="shared" ref="E33" si="7">E28-E31-E32</f>
        <v>1513783</v>
      </c>
      <c r="F33" s="178">
        <f>F28-F31-F32</f>
        <v>13493</v>
      </c>
      <c r="G33" s="178">
        <f t="shared" si="2"/>
        <v>22105469</v>
      </c>
      <c r="H33" s="178">
        <v>25576390</v>
      </c>
      <c r="I33" s="184">
        <f t="shared" si="1"/>
        <v>3470921</v>
      </c>
      <c r="J33" s="632">
        <f t="shared" si="5"/>
        <v>0.15701639264021044</v>
      </c>
    </row>
    <row r="34" spans="1:10">
      <c r="C34" s="194"/>
      <c r="D34" s="185"/>
      <c r="E34" s="179"/>
      <c r="F34" s="577"/>
      <c r="G34" s="185">
        <f t="shared" si="2"/>
        <v>0</v>
      </c>
      <c r="H34" s="185">
        <v>0</v>
      </c>
      <c r="I34" s="268">
        <f t="shared" si="1"/>
        <v>0</v>
      </c>
      <c r="J34" s="634"/>
    </row>
    <row r="35" spans="1:10">
      <c r="C35" s="194" t="s">
        <v>1274</v>
      </c>
      <c r="D35" s="185">
        <f>D37+D39</f>
        <v>3433052</v>
      </c>
      <c r="E35" s="185">
        <f t="shared" ref="E35:H35" si="8">E37+E39</f>
        <v>626666</v>
      </c>
      <c r="F35" s="185">
        <f t="shared" si="8"/>
        <v>0</v>
      </c>
      <c r="G35" s="185">
        <f t="shared" si="8"/>
        <v>4059718</v>
      </c>
      <c r="H35" s="185">
        <f t="shared" si="8"/>
        <v>6497200</v>
      </c>
      <c r="I35" s="268">
        <f t="shared" ref="I35:I36" si="9">H35-G35</f>
        <v>2437482</v>
      </c>
      <c r="J35" s="634">
        <f>I35/G35</f>
        <v>0.60040672775793791</v>
      </c>
    </row>
    <row r="36" spans="1:10">
      <c r="C36" s="191"/>
      <c r="D36" s="185"/>
      <c r="E36" s="179"/>
      <c r="F36" s="577"/>
      <c r="G36" s="185"/>
      <c r="H36" s="185"/>
      <c r="I36" s="268">
        <f t="shared" si="9"/>
        <v>0</v>
      </c>
      <c r="J36" s="634"/>
    </row>
    <row r="37" spans="1:10">
      <c r="A37" s="169" t="s">
        <v>289</v>
      </c>
      <c r="B37" s="169" t="s">
        <v>297</v>
      </c>
      <c r="C37" s="194" t="s">
        <v>299</v>
      </c>
      <c r="D37" s="185">
        <f>3437167-4115</f>
        <v>3433052</v>
      </c>
      <c r="E37" s="179">
        <v>-169408</v>
      </c>
      <c r="F37" s="577">
        <v>-355926</v>
      </c>
      <c r="G37" s="185">
        <f t="shared" si="2"/>
        <v>2907718</v>
      </c>
      <c r="H37" s="185">
        <v>4649100</v>
      </c>
      <c r="I37" s="268">
        <f t="shared" si="1"/>
        <v>1741382</v>
      </c>
      <c r="J37" s="634">
        <f>I37/G37</f>
        <v>0.59888269770314728</v>
      </c>
    </row>
    <row r="38" spans="1:10">
      <c r="C38" s="194"/>
      <c r="D38" s="185"/>
      <c r="E38" s="179"/>
      <c r="F38" s="577"/>
      <c r="G38" s="185">
        <f t="shared" si="2"/>
        <v>0</v>
      </c>
      <c r="H38" s="185">
        <v>0</v>
      </c>
      <c r="I38" s="268">
        <f t="shared" si="1"/>
        <v>0</v>
      </c>
      <c r="J38" s="634"/>
    </row>
    <row r="39" spans="1:10">
      <c r="A39" s="169" t="s">
        <v>300</v>
      </c>
      <c r="B39" s="169" t="s">
        <v>297</v>
      </c>
      <c r="C39" s="195" t="s">
        <v>301</v>
      </c>
      <c r="D39" s="185"/>
      <c r="E39" s="179">
        <v>796074</v>
      </c>
      <c r="F39" s="185">
        <v>355926</v>
      </c>
      <c r="G39" s="185">
        <f t="shared" si="2"/>
        <v>1152000</v>
      </c>
      <c r="H39" s="185">
        <v>1848100</v>
      </c>
      <c r="I39" s="268">
        <f t="shared" si="1"/>
        <v>696100</v>
      </c>
      <c r="J39" s="634">
        <f>I39/G39</f>
        <v>0.60425347222222225</v>
      </c>
    </row>
    <row r="40" spans="1:10">
      <c r="C40" s="194"/>
      <c r="D40" s="185"/>
      <c r="E40" s="179"/>
      <c r="F40" s="179"/>
      <c r="G40" s="185">
        <f t="shared" si="2"/>
        <v>0</v>
      </c>
      <c r="H40" s="185">
        <v>0</v>
      </c>
      <c r="I40" s="268">
        <f t="shared" si="1"/>
        <v>0</v>
      </c>
      <c r="J40" s="634"/>
    </row>
    <row r="41" spans="1:10">
      <c r="A41" s="169" t="s">
        <v>289</v>
      </c>
      <c r="B41" s="169" t="s">
        <v>297</v>
      </c>
      <c r="C41" s="194" t="s">
        <v>302</v>
      </c>
      <c r="D41" s="185">
        <v>2215105</v>
      </c>
      <c r="E41" s="179">
        <v>100000</v>
      </c>
      <c r="F41" s="179"/>
      <c r="G41" s="185">
        <f t="shared" si="2"/>
        <v>2315105</v>
      </c>
      <c r="H41" s="185">
        <v>2332000</v>
      </c>
      <c r="I41" s="268">
        <f t="shared" ref="I41:I72" si="10">H41-G41</f>
        <v>16895</v>
      </c>
      <c r="J41" s="634">
        <f>I41/G41</f>
        <v>7.2977251571742967E-3</v>
      </c>
    </row>
    <row r="42" spans="1:10">
      <c r="C42" s="196" t="s">
        <v>291</v>
      </c>
      <c r="D42" s="189">
        <v>22420</v>
      </c>
      <c r="E42" s="179"/>
      <c r="F42" s="179"/>
      <c r="G42" s="189">
        <f t="shared" si="2"/>
        <v>22420</v>
      </c>
      <c r="H42" s="189">
        <v>22420</v>
      </c>
      <c r="I42" s="184">
        <f t="shared" si="10"/>
        <v>0</v>
      </c>
      <c r="J42" s="632">
        <f>I42/G42</f>
        <v>0</v>
      </c>
    </row>
    <row r="43" spans="1:10">
      <c r="C43" s="196"/>
      <c r="D43" s="185"/>
      <c r="E43" s="179"/>
      <c r="F43" s="179"/>
      <c r="G43" s="185">
        <f t="shared" si="2"/>
        <v>0</v>
      </c>
      <c r="H43" s="185">
        <v>0</v>
      </c>
      <c r="I43" s="268">
        <f t="shared" si="10"/>
        <v>0</v>
      </c>
      <c r="J43" s="634"/>
    </row>
    <row r="44" spans="1:10">
      <c r="A44" s="169" t="s">
        <v>289</v>
      </c>
      <c r="B44" s="169" t="s">
        <v>297</v>
      </c>
      <c r="C44" s="194" t="s">
        <v>303</v>
      </c>
      <c r="D44" s="185">
        <v>203220</v>
      </c>
      <c r="E44" s="179"/>
      <c r="F44" s="185">
        <v>45000</v>
      </c>
      <c r="G44" s="185">
        <f t="shared" si="2"/>
        <v>248220</v>
      </c>
      <c r="H44" s="185">
        <v>210000</v>
      </c>
      <c r="I44" s="268">
        <f t="shared" si="10"/>
        <v>-38220</v>
      </c>
      <c r="J44" s="634">
        <f>I44/G44</f>
        <v>-0.15397631133671744</v>
      </c>
    </row>
    <row r="45" spans="1:10">
      <c r="C45" s="194"/>
      <c r="D45" s="185"/>
      <c r="E45" s="179"/>
      <c r="F45" s="179"/>
      <c r="G45" s="185">
        <f t="shared" si="2"/>
        <v>0</v>
      </c>
      <c r="H45" s="185">
        <v>0</v>
      </c>
      <c r="I45" s="268">
        <f t="shared" si="10"/>
        <v>0</v>
      </c>
      <c r="J45" s="634"/>
    </row>
    <row r="46" spans="1:10">
      <c r="A46" s="169" t="s">
        <v>289</v>
      </c>
      <c r="B46" s="169" t="s">
        <v>297</v>
      </c>
      <c r="C46" s="194" t="s">
        <v>304</v>
      </c>
      <c r="D46" s="185">
        <v>215565</v>
      </c>
      <c r="E46" s="179">
        <v>6891</v>
      </c>
      <c r="F46" s="577">
        <v>10000</v>
      </c>
      <c r="G46" s="185">
        <f t="shared" si="2"/>
        <v>232456</v>
      </c>
      <c r="H46" s="185">
        <v>251940</v>
      </c>
      <c r="I46" s="268">
        <f t="shared" si="10"/>
        <v>19484</v>
      </c>
      <c r="J46" s="634">
        <f>I46/G46</f>
        <v>8.3818012871253053E-2</v>
      </c>
    </row>
    <row r="47" spans="1:10">
      <c r="C47" s="194"/>
      <c r="D47" s="237"/>
      <c r="E47" s="179"/>
      <c r="F47" s="179"/>
      <c r="G47" s="237">
        <f t="shared" si="2"/>
        <v>0</v>
      </c>
      <c r="H47" s="179">
        <v>0</v>
      </c>
      <c r="I47" s="293">
        <f t="shared" si="10"/>
        <v>0</v>
      </c>
      <c r="J47" s="662"/>
    </row>
    <row r="48" spans="1:10">
      <c r="A48" s="169" t="s">
        <v>289</v>
      </c>
      <c r="B48" s="169" t="s">
        <v>297</v>
      </c>
      <c r="C48" s="194" t="s">
        <v>305</v>
      </c>
      <c r="D48" s="185">
        <v>2415837</v>
      </c>
      <c r="E48" s="179">
        <v>39200</v>
      </c>
      <c r="F48" s="577">
        <v>22775</v>
      </c>
      <c r="G48" s="185">
        <f t="shared" si="2"/>
        <v>2477812</v>
      </c>
      <c r="H48" s="185">
        <v>2171000</v>
      </c>
      <c r="I48" s="268">
        <f t="shared" si="10"/>
        <v>-306812</v>
      </c>
      <c r="J48" s="634">
        <f>I48/G48</f>
        <v>-0.123823760640436</v>
      </c>
    </row>
    <row r="49" spans="1:10">
      <c r="C49" s="194"/>
      <c r="D49" s="237"/>
      <c r="E49" s="179"/>
      <c r="F49" s="179"/>
      <c r="G49" s="237">
        <f t="shared" ref="G49:G100" si="11">SUM(D49:F49)</f>
        <v>0</v>
      </c>
      <c r="H49" s="179">
        <v>0</v>
      </c>
      <c r="I49" s="293">
        <f t="shared" si="10"/>
        <v>0</v>
      </c>
      <c r="J49" s="662"/>
    </row>
    <row r="50" spans="1:10">
      <c r="A50" s="169" t="s">
        <v>289</v>
      </c>
      <c r="B50" s="169" t="s">
        <v>297</v>
      </c>
      <c r="C50" s="194" t="s">
        <v>306</v>
      </c>
      <c r="D50" s="185">
        <v>1378807</v>
      </c>
      <c r="E50" s="179">
        <v>35000</v>
      </c>
      <c r="F50" s="577">
        <v>25000</v>
      </c>
      <c r="G50" s="185">
        <f t="shared" si="11"/>
        <v>1438807</v>
      </c>
      <c r="H50" s="185">
        <v>1462200</v>
      </c>
      <c r="I50" s="268">
        <f t="shared" si="10"/>
        <v>23393</v>
      </c>
      <c r="J50" s="634">
        <f>I50/G50</f>
        <v>1.6258608694564317E-2</v>
      </c>
    </row>
    <row r="51" spans="1:10">
      <c r="C51" s="196" t="s">
        <v>291</v>
      </c>
      <c r="D51" s="189">
        <v>5000</v>
      </c>
      <c r="E51" s="179"/>
      <c r="F51" s="179"/>
      <c r="G51" s="189">
        <f t="shared" si="11"/>
        <v>5000</v>
      </c>
      <c r="H51" s="189">
        <v>0</v>
      </c>
      <c r="I51" s="184">
        <f t="shared" si="10"/>
        <v>-5000</v>
      </c>
      <c r="J51" s="632">
        <f>I51/G51</f>
        <v>-1</v>
      </c>
    </row>
    <row r="52" spans="1:10">
      <c r="C52" s="198"/>
      <c r="D52" s="185"/>
      <c r="E52" s="179"/>
      <c r="F52" s="179"/>
      <c r="G52" s="185">
        <f t="shared" si="11"/>
        <v>0</v>
      </c>
      <c r="H52" s="185">
        <v>0</v>
      </c>
      <c r="I52" s="268">
        <f t="shared" si="10"/>
        <v>0</v>
      </c>
      <c r="J52" s="634"/>
    </row>
    <row r="53" spans="1:10">
      <c r="A53" s="169" t="s">
        <v>292</v>
      </c>
      <c r="B53" s="169" t="s">
        <v>297</v>
      </c>
      <c r="C53" s="195" t="s">
        <v>307</v>
      </c>
      <c r="D53" s="185">
        <f>1480038+1913</f>
        <v>1481951</v>
      </c>
      <c r="E53" s="179"/>
      <c r="F53" s="179"/>
      <c r="G53" s="185">
        <f t="shared" si="11"/>
        <v>1481951</v>
      </c>
      <c r="H53" s="185">
        <v>1577690</v>
      </c>
      <c r="I53" s="268">
        <f t="shared" si="10"/>
        <v>95739</v>
      </c>
      <c r="J53" s="634">
        <f>I53/G53</f>
        <v>6.4603350583116448E-2</v>
      </c>
    </row>
    <row r="54" spans="1:10">
      <c r="C54" s="196" t="s">
        <v>291</v>
      </c>
      <c r="D54" s="189">
        <f>1100567+1430</f>
        <v>1101997</v>
      </c>
      <c r="E54" s="179"/>
      <c r="F54" s="179"/>
      <c r="G54" s="189">
        <f t="shared" si="11"/>
        <v>1101997</v>
      </c>
      <c r="H54" s="189">
        <v>1171951</v>
      </c>
      <c r="I54" s="184">
        <f t="shared" si="10"/>
        <v>69954</v>
      </c>
      <c r="J54" s="632">
        <f>I54/G54</f>
        <v>6.347930166779038E-2</v>
      </c>
    </row>
    <row r="55" spans="1:10">
      <c r="C55" s="199"/>
      <c r="D55" s="185"/>
      <c r="E55" s="179"/>
      <c r="F55" s="179"/>
      <c r="G55" s="185">
        <f t="shared" si="11"/>
        <v>0</v>
      </c>
      <c r="H55" s="185">
        <v>0</v>
      </c>
      <c r="I55" s="268">
        <f t="shared" si="10"/>
        <v>0</v>
      </c>
      <c r="J55" s="634"/>
    </row>
    <row r="56" spans="1:10">
      <c r="A56" s="169" t="s">
        <v>289</v>
      </c>
      <c r="B56" s="169" t="s">
        <v>297</v>
      </c>
      <c r="C56" s="200" t="s">
        <v>308</v>
      </c>
      <c r="D56" s="185">
        <f>7929743+98230+26265-1913-957</f>
        <v>8051368</v>
      </c>
      <c r="E56" s="179">
        <v>556221</v>
      </c>
      <c r="F56" s="577">
        <v>-34282</v>
      </c>
      <c r="G56" s="185">
        <f t="shared" si="11"/>
        <v>8573307</v>
      </c>
      <c r="H56" s="185">
        <v>9249630</v>
      </c>
      <c r="I56" s="268">
        <f t="shared" si="10"/>
        <v>676323</v>
      </c>
      <c r="J56" s="634">
        <f>I56/G56</f>
        <v>7.8887061900384525E-2</v>
      </c>
    </row>
    <row r="57" spans="1:10">
      <c r="C57" s="196" t="s">
        <v>291</v>
      </c>
      <c r="D57" s="189">
        <f>5926564+73416+19630-1430-715</f>
        <v>6017465</v>
      </c>
      <c r="E57" s="189">
        <v>415710</v>
      </c>
      <c r="F57" s="579">
        <v>-25622</v>
      </c>
      <c r="G57" s="189">
        <f t="shared" si="11"/>
        <v>6407553</v>
      </c>
      <c r="H57" s="189">
        <v>6938953</v>
      </c>
      <c r="I57" s="184">
        <f t="shared" si="10"/>
        <v>531400</v>
      </c>
      <c r="J57" s="632">
        <f>I57/G57</f>
        <v>8.2933375658383157E-2</v>
      </c>
    </row>
    <row r="58" spans="1:10">
      <c r="C58" s="201"/>
      <c r="D58" s="185"/>
      <c r="E58" s="179"/>
      <c r="F58" s="577">
        <v>0</v>
      </c>
      <c r="G58" s="185">
        <f t="shared" si="11"/>
        <v>0</v>
      </c>
      <c r="H58" s="185">
        <v>0</v>
      </c>
      <c r="I58" s="268">
        <f t="shared" si="10"/>
        <v>0</v>
      </c>
      <c r="J58" s="634"/>
    </row>
    <row r="59" spans="1:10">
      <c r="A59" s="169" t="s">
        <v>289</v>
      </c>
      <c r="B59" s="169" t="s">
        <v>297</v>
      </c>
      <c r="C59" s="194" t="s">
        <v>309</v>
      </c>
      <c r="D59" s="185">
        <v>373041</v>
      </c>
      <c r="E59" s="179"/>
      <c r="F59" s="577">
        <v>-19121</v>
      </c>
      <c r="G59" s="185">
        <f t="shared" si="11"/>
        <v>353920</v>
      </c>
      <c r="H59" s="185">
        <v>363850</v>
      </c>
      <c r="I59" s="268">
        <f t="shared" si="10"/>
        <v>9930</v>
      </c>
      <c r="J59" s="634">
        <f>I59/G59</f>
        <v>2.8057188065099457E-2</v>
      </c>
    </row>
    <row r="60" spans="1:10">
      <c r="C60" s="202"/>
      <c r="D60" s="185"/>
      <c r="E60" s="179"/>
      <c r="F60" s="179"/>
      <c r="G60" s="185">
        <f t="shared" si="11"/>
        <v>0</v>
      </c>
      <c r="H60" s="185">
        <v>0</v>
      </c>
      <c r="I60" s="268">
        <f t="shared" si="10"/>
        <v>0</v>
      </c>
      <c r="J60" s="634"/>
    </row>
    <row r="61" spans="1:10">
      <c r="A61" s="169" t="s">
        <v>289</v>
      </c>
      <c r="B61" s="169" t="s">
        <v>297</v>
      </c>
      <c r="C61" s="195" t="s">
        <v>310</v>
      </c>
      <c r="D61" s="185">
        <v>251000</v>
      </c>
      <c r="E61" s="179"/>
      <c r="F61" s="179"/>
      <c r="G61" s="185">
        <f t="shared" si="11"/>
        <v>251000</v>
      </c>
      <c r="H61" s="185">
        <v>256000</v>
      </c>
      <c r="I61" s="268">
        <f t="shared" si="10"/>
        <v>5000</v>
      </c>
      <c r="J61" s="634">
        <f>I61/G61</f>
        <v>1.9920318725099601E-2</v>
      </c>
    </row>
    <row r="62" spans="1:10">
      <c r="C62" s="203"/>
      <c r="D62" s="185"/>
      <c r="E62" s="179"/>
      <c r="F62" s="179"/>
      <c r="G62" s="185">
        <f t="shared" si="11"/>
        <v>0</v>
      </c>
      <c r="H62" s="185">
        <v>0</v>
      </c>
      <c r="I62" s="268">
        <f t="shared" si="10"/>
        <v>0</v>
      </c>
      <c r="J62" s="634"/>
    </row>
    <row r="63" spans="1:10">
      <c r="A63" s="169" t="s">
        <v>289</v>
      </c>
      <c r="B63" s="169" t="s">
        <v>297</v>
      </c>
      <c r="C63" s="194" t="s">
        <v>311</v>
      </c>
      <c r="D63" s="185">
        <v>341000</v>
      </c>
      <c r="E63" s="179"/>
      <c r="F63" s="185">
        <v>-10000</v>
      </c>
      <c r="G63" s="185">
        <f t="shared" si="11"/>
        <v>331000</v>
      </c>
      <c r="H63" s="185">
        <v>326000</v>
      </c>
      <c r="I63" s="268">
        <f t="shared" si="10"/>
        <v>-5000</v>
      </c>
      <c r="J63" s="634">
        <f>I63/G63</f>
        <v>-1.5105740181268883E-2</v>
      </c>
    </row>
    <row r="64" spans="1:10" s="409" customFormat="1">
      <c r="C64" s="410"/>
      <c r="D64" s="411"/>
      <c r="E64" s="411"/>
      <c r="F64" s="580"/>
      <c r="G64" s="411">
        <f t="shared" si="11"/>
        <v>0</v>
      </c>
      <c r="H64" s="411">
        <v>0</v>
      </c>
      <c r="I64" s="411">
        <f t="shared" si="10"/>
        <v>0</v>
      </c>
      <c r="J64" s="633"/>
    </row>
    <row r="65" spans="1:10" s="409" customFormat="1">
      <c r="A65" s="169" t="s">
        <v>289</v>
      </c>
      <c r="B65" s="169" t="s">
        <v>297</v>
      </c>
      <c r="C65" s="195" t="s">
        <v>1040</v>
      </c>
      <c r="D65" s="580"/>
      <c r="E65" s="580"/>
      <c r="F65" s="580"/>
      <c r="G65" s="580">
        <f t="shared" si="11"/>
        <v>0</v>
      </c>
      <c r="H65" s="580">
        <v>475000</v>
      </c>
      <c r="I65" s="580">
        <f t="shared" si="10"/>
        <v>475000</v>
      </c>
      <c r="J65" s="633"/>
    </row>
    <row r="66" spans="1:10" s="409" customFormat="1">
      <c r="C66" s="196" t="s">
        <v>291</v>
      </c>
      <c r="D66" s="580"/>
      <c r="E66" s="580"/>
      <c r="F66" s="580"/>
      <c r="G66" s="580">
        <f t="shared" si="11"/>
        <v>0</v>
      </c>
      <c r="H66" s="580">
        <v>318830</v>
      </c>
      <c r="I66" s="580">
        <f t="shared" si="10"/>
        <v>318830</v>
      </c>
      <c r="J66" s="633"/>
    </row>
    <row r="67" spans="1:10">
      <c r="C67" s="204"/>
      <c r="D67" s="185"/>
      <c r="E67" s="179"/>
      <c r="F67" s="179"/>
      <c r="G67" s="185">
        <f t="shared" si="11"/>
        <v>0</v>
      </c>
      <c r="H67" s="185">
        <v>0</v>
      </c>
      <c r="I67" s="268">
        <f t="shared" si="10"/>
        <v>0</v>
      </c>
      <c r="J67" s="634"/>
    </row>
    <row r="68" spans="1:10">
      <c r="A68" s="169" t="s">
        <v>289</v>
      </c>
      <c r="B68" s="169" t="s">
        <v>297</v>
      </c>
      <c r="C68" s="195" t="s">
        <v>312</v>
      </c>
      <c r="D68" s="185">
        <v>31000</v>
      </c>
      <c r="E68" s="179"/>
      <c r="F68" s="577">
        <v>-31000</v>
      </c>
      <c r="G68" s="185">
        <f t="shared" si="11"/>
        <v>0</v>
      </c>
      <c r="H68" s="185">
        <v>31000</v>
      </c>
      <c r="I68" s="268">
        <f t="shared" si="10"/>
        <v>31000</v>
      </c>
      <c r="J68" s="634"/>
    </row>
    <row r="69" spans="1:10">
      <c r="C69" s="196" t="s">
        <v>291</v>
      </c>
      <c r="D69" s="189">
        <v>10226</v>
      </c>
      <c r="E69" s="179"/>
      <c r="F69" s="579">
        <v>-10226</v>
      </c>
      <c r="G69" s="189">
        <f t="shared" si="11"/>
        <v>0</v>
      </c>
      <c r="H69" s="189">
        <v>10230</v>
      </c>
      <c r="I69" s="184">
        <f t="shared" si="10"/>
        <v>10230</v>
      </c>
      <c r="J69" s="632"/>
    </row>
    <row r="70" spans="1:10">
      <c r="C70" s="205"/>
      <c r="D70" s="189"/>
      <c r="E70" s="179"/>
      <c r="F70" s="179"/>
      <c r="G70" s="189">
        <f t="shared" si="11"/>
        <v>0</v>
      </c>
      <c r="H70" s="189">
        <v>0</v>
      </c>
      <c r="I70" s="184">
        <f t="shared" si="10"/>
        <v>0</v>
      </c>
      <c r="J70" s="632"/>
    </row>
    <row r="71" spans="1:10">
      <c r="A71" s="169" t="s">
        <v>289</v>
      </c>
      <c r="B71" s="169" t="s">
        <v>297</v>
      </c>
      <c r="C71" s="206" t="s">
        <v>313</v>
      </c>
      <c r="D71" s="185">
        <f>437470+5000</f>
        <v>442470</v>
      </c>
      <c r="E71" s="179"/>
      <c r="F71" s="179"/>
      <c r="G71" s="185">
        <f t="shared" si="11"/>
        <v>442470</v>
      </c>
      <c r="H71" s="185">
        <v>442470</v>
      </c>
      <c r="I71" s="268">
        <f t="shared" si="10"/>
        <v>0</v>
      </c>
      <c r="J71" s="634">
        <f>I71/G71</f>
        <v>0</v>
      </c>
    </row>
    <row r="72" spans="1:10">
      <c r="C72" s="196" t="s">
        <v>291</v>
      </c>
      <c r="D72" s="189">
        <v>47832</v>
      </c>
      <c r="E72" s="179"/>
      <c r="F72" s="179"/>
      <c r="G72" s="189">
        <f t="shared" si="11"/>
        <v>47832</v>
      </c>
      <c r="H72" s="189">
        <v>47000</v>
      </c>
      <c r="I72" s="184">
        <f t="shared" si="10"/>
        <v>-832</v>
      </c>
      <c r="J72" s="632">
        <f>I72/G72</f>
        <v>-1.739421307911022E-2</v>
      </c>
    </row>
    <row r="73" spans="1:10" ht="24">
      <c r="C73" s="207" t="s">
        <v>314</v>
      </c>
      <c r="D73" s="189">
        <v>16000</v>
      </c>
      <c r="E73" s="179"/>
      <c r="F73" s="179"/>
      <c r="G73" s="189">
        <f t="shared" si="11"/>
        <v>16000</v>
      </c>
      <c r="H73" s="189">
        <v>16000</v>
      </c>
      <c r="I73" s="184">
        <f t="shared" ref="I73:I104" si="12">H73-G73</f>
        <v>0</v>
      </c>
      <c r="J73" s="632">
        <f>I73/G73</f>
        <v>0</v>
      </c>
    </row>
    <row r="74" spans="1:10">
      <c r="C74" s="202" t="s">
        <v>291</v>
      </c>
      <c r="D74" s="189">
        <v>11958</v>
      </c>
      <c r="E74" s="179"/>
      <c r="F74" s="179"/>
      <c r="G74" s="189">
        <f t="shared" si="11"/>
        <v>11958</v>
      </c>
      <c r="H74" s="189">
        <v>12000</v>
      </c>
      <c r="I74" s="184">
        <f t="shared" si="12"/>
        <v>42</v>
      </c>
      <c r="J74" s="632">
        <f>I74/G74</f>
        <v>3.5122930255895636E-3</v>
      </c>
    </row>
    <row r="75" spans="1:10">
      <c r="C75" s="207" t="s">
        <v>315</v>
      </c>
      <c r="D75" s="189">
        <v>5000</v>
      </c>
      <c r="E75" s="179"/>
      <c r="F75" s="179"/>
      <c r="G75" s="189">
        <f t="shared" si="11"/>
        <v>5000</v>
      </c>
      <c r="H75" s="189">
        <v>0</v>
      </c>
      <c r="I75" s="184">
        <f t="shared" si="12"/>
        <v>-5000</v>
      </c>
      <c r="J75" s="632">
        <f>I75/G75</f>
        <v>-1</v>
      </c>
    </row>
    <row r="76" spans="1:10">
      <c r="C76" s="208"/>
      <c r="D76" s="185"/>
      <c r="E76" s="179"/>
      <c r="F76" s="179"/>
      <c r="G76" s="185">
        <f t="shared" si="11"/>
        <v>0</v>
      </c>
      <c r="H76" s="185">
        <v>0</v>
      </c>
      <c r="I76" s="268">
        <f t="shared" si="12"/>
        <v>0</v>
      </c>
      <c r="J76" s="634"/>
    </row>
    <row r="77" spans="1:10">
      <c r="A77" s="169" t="s">
        <v>289</v>
      </c>
      <c r="B77" s="169" t="s">
        <v>297</v>
      </c>
      <c r="C77" s="206" t="s">
        <v>316</v>
      </c>
      <c r="D77" s="185">
        <v>30000</v>
      </c>
      <c r="E77" s="179">
        <v>-9524</v>
      </c>
      <c r="F77" s="179"/>
      <c r="G77" s="185">
        <f t="shared" si="11"/>
        <v>20476</v>
      </c>
      <c r="H77" s="185">
        <v>20000</v>
      </c>
      <c r="I77" s="268">
        <f t="shared" si="12"/>
        <v>-476</v>
      </c>
      <c r="J77" s="634">
        <f>I77/G77</f>
        <v>-2.3246727876538385E-2</v>
      </c>
    </row>
    <row r="78" spans="1:10">
      <c r="C78" s="196" t="s">
        <v>291</v>
      </c>
      <c r="D78" s="189">
        <v>4000</v>
      </c>
      <c r="E78" s="179"/>
      <c r="F78" s="179"/>
      <c r="G78" s="189">
        <f t="shared" si="11"/>
        <v>4000</v>
      </c>
      <c r="H78" s="189">
        <v>4000</v>
      </c>
      <c r="I78" s="184">
        <f t="shared" si="12"/>
        <v>0</v>
      </c>
      <c r="J78" s="632">
        <f>I78/G78</f>
        <v>0</v>
      </c>
    </row>
    <row r="79" spans="1:10">
      <c r="C79" s="196"/>
      <c r="D79" s="189"/>
      <c r="E79" s="179"/>
      <c r="F79" s="179"/>
      <c r="G79" s="189">
        <f t="shared" si="11"/>
        <v>0</v>
      </c>
      <c r="H79" s="189">
        <v>0</v>
      </c>
      <c r="I79" s="184">
        <f t="shared" si="12"/>
        <v>0</v>
      </c>
      <c r="J79" s="632"/>
    </row>
    <row r="80" spans="1:10">
      <c r="A80" s="169" t="s">
        <v>317</v>
      </c>
      <c r="B80" s="169" t="s">
        <v>297</v>
      </c>
      <c r="C80" s="206" t="s">
        <v>318</v>
      </c>
      <c r="D80" s="185">
        <v>46200</v>
      </c>
      <c r="E80" s="179"/>
      <c r="F80" s="577">
        <v>1440</v>
      </c>
      <c r="G80" s="185">
        <f t="shared" si="11"/>
        <v>47640</v>
      </c>
      <c r="H80" s="185">
        <v>53760</v>
      </c>
      <c r="I80" s="268">
        <f t="shared" si="12"/>
        <v>6120</v>
      </c>
      <c r="J80" s="634">
        <f>I80/G80</f>
        <v>0.12846347607052896</v>
      </c>
    </row>
    <row r="81" spans="1:10">
      <c r="C81" s="201"/>
      <c r="D81" s="185"/>
      <c r="E81" s="179"/>
      <c r="F81" s="179"/>
      <c r="G81" s="185">
        <f t="shared" si="11"/>
        <v>0</v>
      </c>
      <c r="H81" s="185">
        <v>0</v>
      </c>
      <c r="I81" s="268">
        <f t="shared" si="12"/>
        <v>0</v>
      </c>
      <c r="J81" s="634"/>
    </row>
    <row r="82" spans="1:10">
      <c r="A82" s="169" t="s">
        <v>317</v>
      </c>
      <c r="B82" s="169" t="s">
        <v>297</v>
      </c>
      <c r="C82" s="206" t="s">
        <v>319</v>
      </c>
      <c r="D82" s="185">
        <v>60000</v>
      </c>
      <c r="E82" s="179"/>
      <c r="F82" s="179"/>
      <c r="G82" s="185">
        <f t="shared" si="11"/>
        <v>60000</v>
      </c>
      <c r="H82" s="185">
        <v>60000</v>
      </c>
      <c r="I82" s="268">
        <f t="shared" si="12"/>
        <v>0</v>
      </c>
      <c r="J82" s="634">
        <f>I82/G82</f>
        <v>0</v>
      </c>
    </row>
    <row r="83" spans="1:10">
      <c r="C83" s="206"/>
      <c r="D83" s="185"/>
      <c r="E83" s="179"/>
      <c r="F83" s="179"/>
      <c r="G83" s="185">
        <f t="shared" si="11"/>
        <v>0</v>
      </c>
      <c r="H83" s="185">
        <v>0</v>
      </c>
      <c r="I83" s="268">
        <f t="shared" si="12"/>
        <v>0</v>
      </c>
      <c r="J83" s="634"/>
    </row>
    <row r="84" spans="1:10">
      <c r="A84" s="169" t="s">
        <v>317</v>
      </c>
      <c r="B84" s="169" t="s">
        <v>297</v>
      </c>
      <c r="C84" s="194" t="s">
        <v>320</v>
      </c>
      <c r="D84" s="185">
        <v>40785</v>
      </c>
      <c r="E84" s="179"/>
      <c r="F84" s="185">
        <v>-1440</v>
      </c>
      <c r="G84" s="185">
        <f t="shared" si="11"/>
        <v>39345</v>
      </c>
      <c r="H84" s="185">
        <v>40790</v>
      </c>
      <c r="I84" s="268">
        <f t="shared" si="12"/>
        <v>1445</v>
      </c>
      <c r="J84" s="634">
        <f>I84/G84</f>
        <v>3.6726394713432454E-2</v>
      </c>
    </row>
    <row r="85" spans="1:10">
      <c r="C85" s="196" t="s">
        <v>291</v>
      </c>
      <c r="D85" s="189">
        <v>1200</v>
      </c>
      <c r="E85" s="179"/>
      <c r="F85" s="189">
        <v>0</v>
      </c>
      <c r="G85" s="189">
        <f t="shared" si="11"/>
        <v>1200</v>
      </c>
      <c r="H85" s="189">
        <v>1200</v>
      </c>
      <c r="I85" s="184">
        <f t="shared" si="12"/>
        <v>0</v>
      </c>
      <c r="J85" s="632">
        <f>I85/G85</f>
        <v>0</v>
      </c>
    </row>
    <row r="86" spans="1:10">
      <c r="C86" s="196"/>
      <c r="D86" s="185"/>
      <c r="E86" s="179"/>
      <c r="F86" s="185">
        <v>0</v>
      </c>
      <c r="G86" s="185">
        <f t="shared" si="11"/>
        <v>0</v>
      </c>
      <c r="H86" s="185">
        <v>0</v>
      </c>
      <c r="I86" s="268">
        <f t="shared" si="12"/>
        <v>0</v>
      </c>
      <c r="J86" s="634"/>
    </row>
    <row r="87" spans="1:10">
      <c r="A87" s="169" t="s">
        <v>292</v>
      </c>
      <c r="B87" s="169" t="s">
        <v>297</v>
      </c>
      <c r="C87" s="194" t="s">
        <v>321</v>
      </c>
      <c r="D87" s="185">
        <v>17556</v>
      </c>
      <c r="E87" s="179"/>
      <c r="F87" s="185">
        <v>5121</v>
      </c>
      <c r="G87" s="185">
        <f t="shared" si="11"/>
        <v>22677</v>
      </c>
      <c r="H87" s="185">
        <v>26240</v>
      </c>
      <c r="I87" s="268">
        <f t="shared" si="12"/>
        <v>3563</v>
      </c>
      <c r="J87" s="634">
        <f>I87/G87</f>
        <v>0.15711954844115184</v>
      </c>
    </row>
    <row r="88" spans="1:10">
      <c r="C88" s="196" t="s">
        <v>291</v>
      </c>
      <c r="D88" s="189">
        <v>13200</v>
      </c>
      <c r="E88" s="179"/>
      <c r="F88" s="189">
        <v>3850</v>
      </c>
      <c r="G88" s="189">
        <f t="shared" si="11"/>
        <v>17050</v>
      </c>
      <c r="H88" s="189">
        <v>19800</v>
      </c>
      <c r="I88" s="184">
        <f t="shared" si="12"/>
        <v>2750</v>
      </c>
      <c r="J88" s="632">
        <f>I88/G88</f>
        <v>0.16129032258064516</v>
      </c>
    </row>
    <row r="89" spans="1:10">
      <c r="C89" s="203"/>
      <c r="D89" s="185"/>
      <c r="E89" s="179"/>
      <c r="F89" s="179"/>
      <c r="G89" s="185">
        <f t="shared" si="11"/>
        <v>0</v>
      </c>
      <c r="H89" s="185">
        <v>0</v>
      </c>
      <c r="I89" s="268">
        <f t="shared" si="12"/>
        <v>0</v>
      </c>
      <c r="J89" s="634"/>
    </row>
    <row r="90" spans="1:10">
      <c r="A90" s="169" t="s">
        <v>289</v>
      </c>
      <c r="B90" s="169" t="s">
        <v>297</v>
      </c>
      <c r="C90" s="200" t="s">
        <v>322</v>
      </c>
      <c r="D90" s="185">
        <v>84170</v>
      </c>
      <c r="E90" s="179">
        <v>53209</v>
      </c>
      <c r="F90" s="179"/>
      <c r="G90" s="185">
        <f t="shared" si="11"/>
        <v>137379</v>
      </c>
      <c r="H90" s="185">
        <v>177000</v>
      </c>
      <c r="I90" s="268">
        <f t="shared" si="12"/>
        <v>39621</v>
      </c>
      <c r="J90" s="634">
        <f>I90/G90</f>
        <v>0.28840652501474023</v>
      </c>
    </row>
    <row r="91" spans="1:10">
      <c r="C91" s="196"/>
      <c r="D91" s="185"/>
      <c r="E91" s="179"/>
      <c r="F91" s="179"/>
      <c r="G91" s="185">
        <f t="shared" si="11"/>
        <v>0</v>
      </c>
      <c r="H91" s="185">
        <v>0</v>
      </c>
      <c r="I91" s="268">
        <f t="shared" si="12"/>
        <v>0</v>
      </c>
      <c r="J91" s="634"/>
    </row>
    <row r="92" spans="1:10">
      <c r="A92" s="169" t="s">
        <v>300</v>
      </c>
      <c r="B92" s="169" t="s">
        <v>297</v>
      </c>
      <c r="C92" s="206" t="s">
        <v>323</v>
      </c>
      <c r="D92" s="209">
        <f>SUM(D93:D100)</f>
        <v>48110</v>
      </c>
      <c r="E92" s="179"/>
      <c r="F92" s="179"/>
      <c r="G92" s="209">
        <f t="shared" si="11"/>
        <v>48110</v>
      </c>
      <c r="H92" s="209">
        <v>48110</v>
      </c>
      <c r="I92" s="211">
        <f t="shared" si="12"/>
        <v>0</v>
      </c>
      <c r="J92" s="634">
        <f t="shared" ref="J92:J100" si="13">I92/G92</f>
        <v>0</v>
      </c>
    </row>
    <row r="93" spans="1:10">
      <c r="C93" s="210" t="s">
        <v>324</v>
      </c>
      <c r="D93" s="211">
        <v>12800</v>
      </c>
      <c r="E93" s="179"/>
      <c r="F93" s="179"/>
      <c r="G93" s="211">
        <f t="shared" si="11"/>
        <v>12800</v>
      </c>
      <c r="H93" s="211">
        <v>12800</v>
      </c>
      <c r="I93" s="211">
        <f t="shared" si="12"/>
        <v>0</v>
      </c>
      <c r="J93" s="634">
        <f t="shared" si="13"/>
        <v>0</v>
      </c>
    </row>
    <row r="94" spans="1:10">
      <c r="C94" s="212" t="s">
        <v>325</v>
      </c>
      <c r="D94" s="211">
        <v>10000</v>
      </c>
      <c r="E94" s="179"/>
      <c r="F94" s="179"/>
      <c r="G94" s="211">
        <f t="shared" si="11"/>
        <v>10000</v>
      </c>
      <c r="H94" s="211">
        <v>10000</v>
      </c>
      <c r="I94" s="211">
        <f t="shared" si="12"/>
        <v>0</v>
      </c>
      <c r="J94" s="634">
        <f t="shared" si="13"/>
        <v>0</v>
      </c>
    </row>
    <row r="95" spans="1:10">
      <c r="C95" s="212" t="s">
        <v>326</v>
      </c>
      <c r="D95" s="211">
        <v>5760</v>
      </c>
      <c r="E95" s="179"/>
      <c r="F95" s="179"/>
      <c r="G95" s="211">
        <f t="shared" si="11"/>
        <v>5760</v>
      </c>
      <c r="H95" s="211">
        <v>5760</v>
      </c>
      <c r="I95" s="211">
        <f t="shared" si="12"/>
        <v>0</v>
      </c>
      <c r="J95" s="634">
        <f t="shared" si="13"/>
        <v>0</v>
      </c>
    </row>
    <row r="96" spans="1:10">
      <c r="C96" s="212" t="s">
        <v>327</v>
      </c>
      <c r="D96" s="211">
        <v>6400</v>
      </c>
      <c r="E96" s="179"/>
      <c r="F96" s="179"/>
      <c r="G96" s="211">
        <f t="shared" si="11"/>
        <v>6400</v>
      </c>
      <c r="H96" s="211">
        <v>6400</v>
      </c>
      <c r="I96" s="211">
        <f t="shared" si="12"/>
        <v>0</v>
      </c>
      <c r="J96" s="634">
        <f t="shared" si="13"/>
        <v>0</v>
      </c>
    </row>
    <row r="97" spans="1:10">
      <c r="C97" s="212" t="s">
        <v>328</v>
      </c>
      <c r="D97" s="211">
        <v>5750</v>
      </c>
      <c r="E97" s="179"/>
      <c r="F97" s="179"/>
      <c r="G97" s="211">
        <f t="shared" si="11"/>
        <v>5750</v>
      </c>
      <c r="H97" s="211">
        <v>5750</v>
      </c>
      <c r="I97" s="211">
        <f t="shared" si="12"/>
        <v>0</v>
      </c>
      <c r="J97" s="634">
        <f t="shared" si="13"/>
        <v>0</v>
      </c>
    </row>
    <row r="98" spans="1:10">
      <c r="C98" s="212" t="s">
        <v>329</v>
      </c>
      <c r="D98" s="211">
        <v>3200</v>
      </c>
      <c r="E98" s="179"/>
      <c r="F98" s="179"/>
      <c r="G98" s="211">
        <f t="shared" si="11"/>
        <v>3200</v>
      </c>
      <c r="H98" s="211">
        <v>3200</v>
      </c>
      <c r="I98" s="211">
        <f t="shared" si="12"/>
        <v>0</v>
      </c>
      <c r="J98" s="634">
        <f t="shared" si="13"/>
        <v>0</v>
      </c>
    </row>
    <row r="99" spans="1:10">
      <c r="C99" s="212" t="s">
        <v>330</v>
      </c>
      <c r="D99" s="211">
        <v>3200</v>
      </c>
      <c r="E99" s="179"/>
      <c r="F99" s="179"/>
      <c r="G99" s="211">
        <f t="shared" si="11"/>
        <v>3200</v>
      </c>
      <c r="H99" s="211">
        <v>3200</v>
      </c>
      <c r="I99" s="211">
        <f t="shared" si="12"/>
        <v>0</v>
      </c>
      <c r="J99" s="634">
        <f t="shared" si="13"/>
        <v>0</v>
      </c>
    </row>
    <row r="100" spans="1:10">
      <c r="C100" s="212" t="s">
        <v>331</v>
      </c>
      <c r="D100" s="211">
        <v>1000</v>
      </c>
      <c r="E100" s="179"/>
      <c r="F100" s="179"/>
      <c r="G100" s="211">
        <f t="shared" si="11"/>
        <v>1000</v>
      </c>
      <c r="H100" s="211">
        <v>1000</v>
      </c>
      <c r="I100" s="211">
        <f t="shared" si="12"/>
        <v>0</v>
      </c>
      <c r="J100" s="634">
        <f t="shared" si="13"/>
        <v>0</v>
      </c>
    </row>
    <row r="101" spans="1:10">
      <c r="C101" s="196"/>
      <c r="D101" s="185"/>
      <c r="E101" s="179"/>
      <c r="F101" s="179"/>
      <c r="G101" s="185">
        <f t="shared" ref="G101:G144" si="14">SUM(D101:F101)</f>
        <v>0</v>
      </c>
      <c r="H101" s="185">
        <v>0</v>
      </c>
      <c r="I101" s="268">
        <f t="shared" si="12"/>
        <v>0</v>
      </c>
      <c r="J101" s="634"/>
    </row>
    <row r="102" spans="1:10">
      <c r="A102" s="169" t="s">
        <v>289</v>
      </c>
      <c r="B102" s="169" t="s">
        <v>297</v>
      </c>
      <c r="C102" s="206" t="s">
        <v>332</v>
      </c>
      <c r="D102" s="185">
        <v>85000</v>
      </c>
      <c r="E102" s="179"/>
      <c r="F102" s="179"/>
      <c r="G102" s="185">
        <f t="shared" si="14"/>
        <v>85000</v>
      </c>
      <c r="H102" s="185">
        <v>85000</v>
      </c>
      <c r="I102" s="268">
        <f t="shared" si="12"/>
        <v>0</v>
      </c>
      <c r="J102" s="634">
        <f>I102/G102</f>
        <v>0</v>
      </c>
    </row>
    <row r="103" spans="1:10">
      <c r="C103" s="196" t="s">
        <v>291</v>
      </c>
      <c r="D103" s="189">
        <v>3000</v>
      </c>
      <c r="E103" s="179"/>
      <c r="F103" s="179"/>
      <c r="G103" s="189">
        <f t="shared" si="14"/>
        <v>3000</v>
      </c>
      <c r="H103" s="189">
        <v>3000</v>
      </c>
      <c r="I103" s="184">
        <f t="shared" si="12"/>
        <v>0</v>
      </c>
      <c r="J103" s="632">
        <f>I103/G103</f>
        <v>0</v>
      </c>
    </row>
    <row r="104" spans="1:10">
      <c r="C104" s="213"/>
      <c r="D104" s="189"/>
      <c r="E104" s="179"/>
      <c r="F104" s="179"/>
      <c r="G104" s="189">
        <f t="shared" si="14"/>
        <v>0</v>
      </c>
      <c r="H104" s="189">
        <v>0</v>
      </c>
      <c r="I104" s="184">
        <f t="shared" si="12"/>
        <v>0</v>
      </c>
      <c r="J104" s="632"/>
    </row>
    <row r="105" spans="1:10" ht="25.5">
      <c r="A105" s="169" t="s">
        <v>289</v>
      </c>
      <c r="B105" s="169" t="s">
        <v>297</v>
      </c>
      <c r="C105" s="213" t="s">
        <v>333</v>
      </c>
      <c r="D105" s="185">
        <f>D108</f>
        <v>248</v>
      </c>
      <c r="E105" s="179"/>
      <c r="F105" s="179"/>
      <c r="G105" s="185">
        <f t="shared" si="14"/>
        <v>248</v>
      </c>
      <c r="H105" s="185">
        <v>0</v>
      </c>
      <c r="I105" s="268">
        <f t="shared" ref="I105:I136" si="15">H105-G105</f>
        <v>-248</v>
      </c>
      <c r="J105" s="634">
        <f>I105/G105</f>
        <v>-1</v>
      </c>
    </row>
    <row r="106" spans="1:10">
      <c r="C106" s="196" t="s">
        <v>291</v>
      </c>
      <c r="D106" s="214">
        <v>163</v>
      </c>
      <c r="E106" s="179"/>
      <c r="F106" s="179"/>
      <c r="G106" s="214">
        <f t="shared" si="14"/>
        <v>163</v>
      </c>
      <c r="H106" s="214">
        <v>0</v>
      </c>
      <c r="I106" s="663">
        <f t="shared" si="15"/>
        <v>-163</v>
      </c>
      <c r="J106" s="664">
        <f>I106/G106</f>
        <v>-1</v>
      </c>
    </row>
    <row r="107" spans="1:10">
      <c r="C107" s="215"/>
      <c r="D107" s="214"/>
      <c r="E107" s="179"/>
      <c r="F107" s="179"/>
      <c r="G107" s="214">
        <f t="shared" si="14"/>
        <v>0</v>
      </c>
      <c r="H107" s="214">
        <v>0</v>
      </c>
      <c r="I107" s="663">
        <f t="shared" si="15"/>
        <v>0</v>
      </c>
      <c r="J107" s="664"/>
    </row>
    <row r="108" spans="1:10">
      <c r="C108" s="196" t="s">
        <v>334</v>
      </c>
      <c r="D108" s="214">
        <v>248</v>
      </c>
      <c r="E108" s="179"/>
      <c r="F108" s="179"/>
      <c r="G108" s="214">
        <f t="shared" si="14"/>
        <v>248</v>
      </c>
      <c r="H108" s="214">
        <v>0</v>
      </c>
      <c r="I108" s="663">
        <f t="shared" si="15"/>
        <v>-248</v>
      </c>
      <c r="J108" s="664">
        <f>I108/G108</f>
        <v>-1</v>
      </c>
    </row>
    <row r="109" spans="1:10">
      <c r="C109" s="196"/>
      <c r="D109" s="214"/>
      <c r="E109" s="179"/>
      <c r="F109" s="179"/>
      <c r="G109" s="214">
        <f t="shared" si="14"/>
        <v>0</v>
      </c>
      <c r="H109" s="214">
        <v>0</v>
      </c>
      <c r="I109" s="663">
        <f t="shared" si="15"/>
        <v>0</v>
      </c>
      <c r="J109" s="664"/>
    </row>
    <row r="110" spans="1:10" ht="25.5">
      <c r="A110" s="169" t="s">
        <v>289</v>
      </c>
      <c r="B110" s="169" t="s">
        <v>297</v>
      </c>
      <c r="C110" s="213" t="s">
        <v>335</v>
      </c>
      <c r="D110" s="185">
        <v>23318</v>
      </c>
      <c r="E110" s="185">
        <v>4114</v>
      </c>
      <c r="F110" s="185"/>
      <c r="G110" s="185">
        <f t="shared" si="14"/>
        <v>27432</v>
      </c>
      <c r="H110" s="185">
        <v>0</v>
      </c>
      <c r="I110" s="268">
        <f t="shared" si="15"/>
        <v>-27432</v>
      </c>
      <c r="J110" s="634">
        <f>I110/G110</f>
        <v>-1</v>
      </c>
    </row>
    <row r="111" spans="1:10">
      <c r="C111" s="215"/>
      <c r="D111" s="214"/>
      <c r="E111" s="179"/>
      <c r="F111" s="179"/>
      <c r="G111" s="214">
        <f t="shared" si="14"/>
        <v>0</v>
      </c>
      <c r="H111" s="214">
        <v>0</v>
      </c>
      <c r="I111" s="663">
        <f t="shared" si="15"/>
        <v>0</v>
      </c>
      <c r="J111" s="664"/>
    </row>
    <row r="112" spans="1:10">
      <c r="C112" s="196" t="s">
        <v>334</v>
      </c>
      <c r="D112" s="216">
        <v>19203</v>
      </c>
      <c r="E112" s="179"/>
      <c r="F112" s="179"/>
      <c r="G112" s="216">
        <f t="shared" si="14"/>
        <v>19203</v>
      </c>
      <c r="H112" s="216">
        <v>0</v>
      </c>
      <c r="I112" s="234">
        <f t="shared" si="15"/>
        <v>-19203</v>
      </c>
      <c r="J112" s="635">
        <f>I112/G112</f>
        <v>-1</v>
      </c>
    </row>
    <row r="113" spans="1:10">
      <c r="C113" s="196"/>
      <c r="D113" s="216"/>
      <c r="E113" s="179"/>
      <c r="F113" s="179"/>
      <c r="G113" s="216">
        <f t="shared" si="14"/>
        <v>0</v>
      </c>
      <c r="H113" s="216">
        <v>0</v>
      </c>
      <c r="I113" s="234">
        <f t="shared" si="15"/>
        <v>0</v>
      </c>
      <c r="J113" s="635"/>
    </row>
    <row r="114" spans="1:10" ht="25.5">
      <c r="A114" s="169" t="s">
        <v>289</v>
      </c>
      <c r="B114" s="169" t="s">
        <v>297</v>
      </c>
      <c r="C114" s="213" t="s">
        <v>336</v>
      </c>
      <c r="D114" s="216"/>
      <c r="E114" s="179">
        <v>40800</v>
      </c>
      <c r="F114" s="179"/>
      <c r="G114" s="216">
        <f t="shared" si="14"/>
        <v>40800</v>
      </c>
      <c r="H114" s="216">
        <v>0</v>
      </c>
      <c r="I114" s="234">
        <f t="shared" si="15"/>
        <v>-40800</v>
      </c>
      <c r="J114" s="635">
        <f>I114/G114</f>
        <v>-1</v>
      </c>
    </row>
    <row r="115" spans="1:10">
      <c r="C115" s="215"/>
      <c r="D115" s="216"/>
      <c r="E115" s="179"/>
      <c r="F115" s="179"/>
      <c r="G115" s="216">
        <f t="shared" si="14"/>
        <v>0</v>
      </c>
      <c r="H115" s="216">
        <v>0</v>
      </c>
      <c r="I115" s="234">
        <f t="shared" si="15"/>
        <v>0</v>
      </c>
      <c r="J115" s="635"/>
    </row>
    <row r="116" spans="1:10">
      <c r="C116" s="217" t="s">
        <v>337</v>
      </c>
      <c r="D116" s="216"/>
      <c r="E116" s="179">
        <v>34680</v>
      </c>
      <c r="F116" s="179"/>
      <c r="G116" s="216">
        <f t="shared" si="14"/>
        <v>34680</v>
      </c>
      <c r="H116" s="216">
        <v>0</v>
      </c>
      <c r="I116" s="234">
        <f t="shared" si="15"/>
        <v>-34680</v>
      </c>
      <c r="J116" s="635">
        <f>I116/G116</f>
        <v>-1</v>
      </c>
    </row>
    <row r="117" spans="1:10">
      <c r="C117" s="196"/>
      <c r="D117" s="216"/>
      <c r="G117" s="216">
        <f t="shared" si="14"/>
        <v>0</v>
      </c>
      <c r="H117" s="216">
        <v>0</v>
      </c>
      <c r="I117" s="234">
        <f t="shared" si="15"/>
        <v>0</v>
      </c>
      <c r="J117" s="635"/>
    </row>
    <row r="118" spans="1:10">
      <c r="C118" s="196"/>
      <c r="D118" s="216"/>
      <c r="G118" s="216">
        <f t="shared" si="14"/>
        <v>0</v>
      </c>
      <c r="H118" s="216">
        <v>0</v>
      </c>
      <c r="I118" s="234">
        <f t="shared" si="15"/>
        <v>0</v>
      </c>
      <c r="J118" s="635"/>
    </row>
    <row r="119" spans="1:10" ht="15.75">
      <c r="C119" s="218" t="s">
        <v>31</v>
      </c>
      <c r="D119" s="185"/>
      <c r="G119" s="185">
        <f t="shared" si="14"/>
        <v>0</v>
      </c>
      <c r="H119" s="185">
        <v>0</v>
      </c>
      <c r="I119" s="268">
        <f t="shared" si="15"/>
        <v>0</v>
      </c>
      <c r="J119" s="634"/>
    </row>
    <row r="120" spans="1:10">
      <c r="C120" s="201"/>
      <c r="D120" s="185"/>
      <c r="G120" s="185">
        <f t="shared" si="14"/>
        <v>0</v>
      </c>
      <c r="H120" s="185">
        <v>0</v>
      </c>
      <c r="I120" s="268">
        <f t="shared" si="15"/>
        <v>0</v>
      </c>
      <c r="J120" s="634"/>
    </row>
    <row r="121" spans="1:10">
      <c r="C121" s="219" t="s">
        <v>5</v>
      </c>
      <c r="D121" s="176">
        <f>D127</f>
        <v>826765</v>
      </c>
      <c r="F121" s="176">
        <f>F127</f>
        <v>153</v>
      </c>
      <c r="G121" s="176">
        <f t="shared" si="14"/>
        <v>826918</v>
      </c>
      <c r="H121" s="176">
        <v>864620</v>
      </c>
      <c r="I121" s="659">
        <f t="shared" si="15"/>
        <v>37702</v>
      </c>
      <c r="J121" s="660">
        <f>I121/G121</f>
        <v>4.5593396201316215E-2</v>
      </c>
    </row>
    <row r="122" spans="1:10">
      <c r="C122" s="177" t="s">
        <v>285</v>
      </c>
      <c r="D122" s="178">
        <v>75000</v>
      </c>
      <c r="F122" s="178"/>
      <c r="G122" s="178">
        <f t="shared" si="14"/>
        <v>75000</v>
      </c>
      <c r="H122" s="178">
        <v>75000</v>
      </c>
      <c r="I122" s="184">
        <f t="shared" si="15"/>
        <v>0</v>
      </c>
      <c r="J122" s="632">
        <f>I122/G122</f>
        <v>0</v>
      </c>
    </row>
    <row r="123" spans="1:10">
      <c r="C123" s="220" t="s">
        <v>286</v>
      </c>
      <c r="D123" s="176">
        <f>D124+D125</f>
        <v>826765</v>
      </c>
      <c r="F123" s="176">
        <f>F124+F125</f>
        <v>153</v>
      </c>
      <c r="G123" s="176">
        <f t="shared" si="14"/>
        <v>826918</v>
      </c>
      <c r="H123" s="176">
        <v>864620</v>
      </c>
      <c r="I123" s="659">
        <f t="shared" si="15"/>
        <v>37702</v>
      </c>
      <c r="J123" s="660">
        <f>I123/G123</f>
        <v>4.5593396201316215E-2</v>
      </c>
    </row>
    <row r="124" spans="1:10">
      <c r="C124" s="221" t="s">
        <v>287</v>
      </c>
      <c r="D124" s="178">
        <v>34893</v>
      </c>
      <c r="F124" s="178"/>
      <c r="G124" s="178">
        <f t="shared" si="14"/>
        <v>34893</v>
      </c>
      <c r="H124" s="178">
        <v>29066</v>
      </c>
      <c r="I124" s="184">
        <f t="shared" si="15"/>
        <v>-5827</v>
      </c>
      <c r="J124" s="632">
        <f>I124/G124</f>
        <v>-0.1669962456653197</v>
      </c>
    </row>
    <row r="125" spans="1:10">
      <c r="C125" s="222" t="s">
        <v>288</v>
      </c>
      <c r="D125" s="178">
        <f>D121-D124</f>
        <v>791872</v>
      </c>
      <c r="F125" s="178">
        <f>F121-F124</f>
        <v>153</v>
      </c>
      <c r="G125" s="178">
        <f t="shared" si="14"/>
        <v>792025</v>
      </c>
      <c r="H125" s="178">
        <v>835554</v>
      </c>
      <c r="I125" s="184">
        <f t="shared" si="15"/>
        <v>43529</v>
      </c>
      <c r="J125" s="632">
        <f>I125/G125</f>
        <v>5.4959123765032668E-2</v>
      </c>
    </row>
    <row r="126" spans="1:10">
      <c r="C126" s="201"/>
      <c r="D126" s="185"/>
      <c r="F126" s="581"/>
      <c r="G126" s="185">
        <f t="shared" si="14"/>
        <v>0</v>
      </c>
      <c r="H126" s="185">
        <v>0</v>
      </c>
      <c r="I126" s="268">
        <f t="shared" si="15"/>
        <v>0</v>
      </c>
      <c r="J126" s="634"/>
    </row>
    <row r="127" spans="1:10">
      <c r="A127" s="169" t="s">
        <v>289</v>
      </c>
      <c r="B127" s="169" t="s">
        <v>31</v>
      </c>
      <c r="C127" s="223" t="s">
        <v>338</v>
      </c>
      <c r="D127" s="176">
        <f>814378+10212+1218+957</f>
        <v>826765</v>
      </c>
      <c r="F127" s="581">
        <v>153</v>
      </c>
      <c r="G127" s="176">
        <f t="shared" si="14"/>
        <v>826918</v>
      </c>
      <c r="H127" s="176">
        <v>864620</v>
      </c>
      <c r="I127" s="659">
        <f t="shared" si="15"/>
        <v>37702</v>
      </c>
      <c r="J127" s="660">
        <f>I127/G127</f>
        <v>4.5593396201316215E-2</v>
      </c>
    </row>
    <row r="128" spans="1:10">
      <c r="C128" s="202" t="s">
        <v>291</v>
      </c>
      <c r="D128" s="189">
        <f>430235+7632+910+715+33252</f>
        <v>472744</v>
      </c>
      <c r="F128" s="189">
        <v>115</v>
      </c>
      <c r="G128" s="189">
        <f t="shared" si="14"/>
        <v>472859</v>
      </c>
      <c r="H128" s="189">
        <v>483325</v>
      </c>
      <c r="I128" s="184">
        <f t="shared" si="15"/>
        <v>10466</v>
      </c>
      <c r="J128" s="632">
        <f>I128/G128</f>
        <v>2.2133447814253297E-2</v>
      </c>
    </row>
    <row r="129" spans="1:10">
      <c r="C129" s="202"/>
      <c r="D129" s="189"/>
      <c r="G129" s="189">
        <f t="shared" si="14"/>
        <v>0</v>
      </c>
      <c r="H129" s="189">
        <v>0</v>
      </c>
      <c r="I129" s="184">
        <f t="shared" si="15"/>
        <v>0</v>
      </c>
      <c r="J129" s="632"/>
    </row>
    <row r="130" spans="1:10">
      <c r="C130" s="202" t="s">
        <v>339</v>
      </c>
      <c r="D130" s="189">
        <v>45982</v>
      </c>
      <c r="G130" s="189">
        <f t="shared" si="14"/>
        <v>45982</v>
      </c>
      <c r="H130" s="189">
        <v>33131</v>
      </c>
      <c r="I130" s="184">
        <f t="shared" si="15"/>
        <v>-12851</v>
      </c>
      <c r="J130" s="632">
        <f>I130/G130</f>
        <v>-0.27947892653647077</v>
      </c>
    </row>
    <row r="131" spans="1:10">
      <c r="C131" s="208" t="s">
        <v>291</v>
      </c>
      <c r="D131" s="189">
        <v>33252</v>
      </c>
      <c r="G131" s="189">
        <f t="shared" si="14"/>
        <v>33252</v>
      </c>
      <c r="H131" s="189">
        <v>24854</v>
      </c>
      <c r="I131" s="184">
        <f t="shared" si="15"/>
        <v>-8398</v>
      </c>
      <c r="J131" s="632">
        <f>I131/G131</f>
        <v>-0.25255623721881393</v>
      </c>
    </row>
    <row r="132" spans="1:10">
      <c r="C132" s="201"/>
      <c r="D132" s="185"/>
      <c r="G132" s="185">
        <f t="shared" si="14"/>
        <v>0</v>
      </c>
      <c r="H132" s="185">
        <v>0</v>
      </c>
      <c r="I132" s="268">
        <f t="shared" si="15"/>
        <v>0</v>
      </c>
      <c r="J132" s="634"/>
    </row>
    <row r="133" spans="1:10">
      <c r="C133" s="201"/>
      <c r="D133" s="185"/>
      <c r="G133" s="185">
        <f t="shared" si="14"/>
        <v>0</v>
      </c>
      <c r="H133" s="185">
        <v>0</v>
      </c>
      <c r="I133" s="268">
        <f t="shared" si="15"/>
        <v>0</v>
      </c>
      <c r="J133" s="634"/>
    </row>
    <row r="134" spans="1:10" ht="15.75">
      <c r="C134" s="218" t="s">
        <v>340</v>
      </c>
      <c r="D134" s="185"/>
      <c r="G134" s="185">
        <f t="shared" si="14"/>
        <v>0</v>
      </c>
      <c r="H134" s="185">
        <v>0</v>
      </c>
      <c r="I134" s="268">
        <f t="shared" si="15"/>
        <v>0</v>
      </c>
      <c r="J134" s="634"/>
    </row>
    <row r="135" spans="1:10">
      <c r="C135" s="201"/>
      <c r="D135" s="185"/>
      <c r="G135" s="185">
        <f t="shared" si="14"/>
        <v>0</v>
      </c>
      <c r="H135" s="185">
        <v>0</v>
      </c>
      <c r="I135" s="268">
        <f t="shared" si="15"/>
        <v>0</v>
      </c>
      <c r="J135" s="634"/>
    </row>
    <row r="136" spans="1:10">
      <c r="C136" s="219" t="s">
        <v>5</v>
      </c>
      <c r="D136" s="176">
        <f>D143</f>
        <v>498689</v>
      </c>
      <c r="E136" s="176">
        <f t="shared" ref="E136" si="16">E143</f>
        <v>2300</v>
      </c>
      <c r="F136" s="176">
        <f>F143</f>
        <v>-1201</v>
      </c>
      <c r="G136" s="176">
        <f t="shared" si="14"/>
        <v>499788</v>
      </c>
      <c r="H136" s="176">
        <v>974290</v>
      </c>
      <c r="I136" s="659">
        <f t="shared" si="15"/>
        <v>474502</v>
      </c>
      <c r="J136" s="660">
        <f>I136/G136</f>
        <v>0.94940654837651162</v>
      </c>
    </row>
    <row r="137" spans="1:10">
      <c r="C137" s="177" t="s">
        <v>285</v>
      </c>
      <c r="D137" s="178">
        <v>60500</v>
      </c>
      <c r="E137" s="179"/>
      <c r="F137" s="178"/>
      <c r="G137" s="178">
        <f t="shared" si="14"/>
        <v>60500</v>
      </c>
      <c r="H137" s="178">
        <v>67150</v>
      </c>
      <c r="I137" s="184">
        <f t="shared" ref="I137:I168" si="17">H137-G137</f>
        <v>6650</v>
      </c>
      <c r="J137" s="632">
        <f>I137/G137</f>
        <v>0.10991735537190082</v>
      </c>
    </row>
    <row r="138" spans="1:10">
      <c r="C138" s="220" t="s">
        <v>286</v>
      </c>
      <c r="D138" s="176">
        <f>D139+D141</f>
        <v>498689</v>
      </c>
      <c r="E138" s="176">
        <f t="shared" ref="E138:F138" si="18">E139+E141</f>
        <v>2300</v>
      </c>
      <c r="F138" s="176">
        <f t="shared" si="18"/>
        <v>-1201</v>
      </c>
      <c r="G138" s="176">
        <f t="shared" si="14"/>
        <v>499788</v>
      </c>
      <c r="H138" s="176">
        <v>974290</v>
      </c>
      <c r="I138" s="659">
        <f t="shared" si="17"/>
        <v>474502</v>
      </c>
      <c r="J138" s="660">
        <f>I138/G138</f>
        <v>0.94940654837651162</v>
      </c>
    </row>
    <row r="139" spans="1:10">
      <c r="C139" s="221" t="s">
        <v>287</v>
      </c>
      <c r="D139" s="178">
        <v>221343</v>
      </c>
      <c r="E139" s="178">
        <v>0</v>
      </c>
      <c r="F139" s="178">
        <v>0</v>
      </c>
      <c r="G139" s="178">
        <f t="shared" si="14"/>
        <v>221343</v>
      </c>
      <c r="H139" s="178">
        <v>215185</v>
      </c>
      <c r="I139" s="184">
        <f t="shared" si="17"/>
        <v>-6158</v>
      </c>
      <c r="J139" s="632">
        <f>I139/G139</f>
        <v>-2.7821074079595921E-2</v>
      </c>
    </row>
    <row r="140" spans="1:10">
      <c r="C140" s="222" t="s">
        <v>1041</v>
      </c>
      <c r="D140" s="178"/>
      <c r="E140" s="178"/>
      <c r="F140" s="178"/>
      <c r="G140" s="178">
        <f t="shared" si="14"/>
        <v>0</v>
      </c>
      <c r="H140" s="178">
        <v>500742</v>
      </c>
      <c r="I140" s="184">
        <f t="shared" si="17"/>
        <v>500742</v>
      </c>
      <c r="J140" s="632"/>
    </row>
    <row r="141" spans="1:10">
      <c r="C141" s="222" t="s">
        <v>288</v>
      </c>
      <c r="D141" s="178">
        <f>D136-D139</f>
        <v>277346</v>
      </c>
      <c r="E141" s="178">
        <f t="shared" ref="E141:F141" si="19">E136-E139</f>
        <v>2300</v>
      </c>
      <c r="F141" s="178">
        <f t="shared" si="19"/>
        <v>-1201</v>
      </c>
      <c r="G141" s="178">
        <f t="shared" si="14"/>
        <v>278445</v>
      </c>
      <c r="H141" s="178">
        <v>258363</v>
      </c>
      <c r="I141" s="184">
        <f t="shared" si="17"/>
        <v>-20082</v>
      </c>
      <c r="J141" s="632">
        <f>I141/G141</f>
        <v>-7.2121963044766466E-2</v>
      </c>
    </row>
    <row r="142" spans="1:10">
      <c r="C142" s="201"/>
      <c r="D142" s="185"/>
      <c r="E142" s="179"/>
      <c r="F142" s="577"/>
      <c r="G142" s="185">
        <f t="shared" si="14"/>
        <v>0</v>
      </c>
      <c r="H142" s="185">
        <v>0</v>
      </c>
      <c r="I142" s="268">
        <f t="shared" si="17"/>
        <v>0</v>
      </c>
      <c r="J142" s="634"/>
    </row>
    <row r="143" spans="1:10">
      <c r="A143" s="169" t="s">
        <v>289</v>
      </c>
      <c r="B143" s="169" t="s">
        <v>340</v>
      </c>
      <c r="C143" s="223" t="s">
        <v>341</v>
      </c>
      <c r="D143" s="176">
        <f>486477+10212+2000</f>
        <v>498689</v>
      </c>
      <c r="E143" s="179">
        <v>2300</v>
      </c>
      <c r="F143" s="581">
        <v>-1201</v>
      </c>
      <c r="G143" s="176">
        <f t="shared" si="14"/>
        <v>499788</v>
      </c>
      <c r="H143" s="176">
        <v>974290</v>
      </c>
      <c r="I143" s="659">
        <f t="shared" si="17"/>
        <v>474502</v>
      </c>
      <c r="J143" s="660">
        <f>I143/G143</f>
        <v>0.94940654837651162</v>
      </c>
    </row>
    <row r="144" spans="1:10">
      <c r="C144" s="202" t="s">
        <v>291</v>
      </c>
      <c r="D144" s="189">
        <f>275210+7632+1495</f>
        <v>284337</v>
      </c>
      <c r="F144" s="579">
        <v>-898</v>
      </c>
      <c r="G144" s="189">
        <f t="shared" si="14"/>
        <v>283439</v>
      </c>
      <c r="H144" s="189">
        <v>630344</v>
      </c>
      <c r="I144" s="184">
        <f t="shared" si="17"/>
        <v>346905</v>
      </c>
      <c r="J144" s="632">
        <f>I144/G144</f>
        <v>1.2239141402559282</v>
      </c>
    </row>
    <row r="145" spans="1:10">
      <c r="C145" s="224"/>
      <c r="D145" s="185"/>
      <c r="F145" s="568"/>
      <c r="G145" s="185">
        <f t="shared" ref="G145:G163" si="20">SUM(D145:F145)</f>
        <v>0</v>
      </c>
      <c r="H145" s="185">
        <v>0</v>
      </c>
      <c r="I145" s="268">
        <f t="shared" si="17"/>
        <v>0</v>
      </c>
      <c r="J145" s="634"/>
    </row>
    <row r="146" spans="1:10">
      <c r="C146" s="224"/>
      <c r="D146" s="185"/>
      <c r="F146" s="568"/>
      <c r="G146" s="185">
        <f t="shared" si="20"/>
        <v>0</v>
      </c>
      <c r="H146" s="185">
        <v>0</v>
      </c>
      <c r="I146" s="268">
        <f t="shared" si="17"/>
        <v>0</v>
      </c>
      <c r="J146" s="634"/>
    </row>
    <row r="147" spans="1:10" ht="15.75">
      <c r="C147" s="225" t="s">
        <v>53</v>
      </c>
      <c r="D147" s="185"/>
      <c r="F147" s="568"/>
      <c r="G147" s="185">
        <f t="shared" si="20"/>
        <v>0</v>
      </c>
      <c r="H147" s="185">
        <v>0</v>
      </c>
      <c r="I147" s="268">
        <f t="shared" si="17"/>
        <v>0</v>
      </c>
      <c r="J147" s="634"/>
    </row>
    <row r="148" spans="1:10">
      <c r="C148" s="219"/>
      <c r="D148" s="185"/>
      <c r="F148" s="568"/>
      <c r="G148" s="185">
        <f t="shared" si="20"/>
        <v>0</v>
      </c>
      <c r="H148" s="185">
        <v>0</v>
      </c>
      <c r="I148" s="268">
        <f t="shared" si="17"/>
        <v>0</v>
      </c>
      <c r="J148" s="634"/>
    </row>
    <row r="149" spans="1:10">
      <c r="C149" s="219" t="s">
        <v>5</v>
      </c>
      <c r="D149" s="226">
        <f>D156+D182</f>
        <v>124740736</v>
      </c>
      <c r="E149" s="226">
        <f>E156+E182</f>
        <v>266097</v>
      </c>
      <c r="F149" s="226">
        <f>F156+F182</f>
        <v>793569</v>
      </c>
      <c r="G149" s="226">
        <f t="shared" si="20"/>
        <v>125800402</v>
      </c>
      <c r="H149" s="226">
        <v>130831025</v>
      </c>
      <c r="I149" s="665">
        <f t="shared" si="17"/>
        <v>5030623</v>
      </c>
      <c r="J149" s="666">
        <f t="shared" ref="J149:J154" si="21">I149/G149</f>
        <v>3.998892626750112E-2</v>
      </c>
    </row>
    <row r="150" spans="1:10">
      <c r="C150" s="177" t="s">
        <v>285</v>
      </c>
      <c r="D150" s="178">
        <v>9373820</v>
      </c>
      <c r="E150" s="178"/>
      <c r="F150" s="178">
        <v>265750</v>
      </c>
      <c r="G150" s="178">
        <f t="shared" si="20"/>
        <v>9639570</v>
      </c>
      <c r="H150" s="178">
        <v>9270200</v>
      </c>
      <c r="I150" s="184">
        <f t="shared" si="17"/>
        <v>-369370</v>
      </c>
      <c r="J150" s="632">
        <f t="shared" si="21"/>
        <v>-3.8318099251315151E-2</v>
      </c>
    </row>
    <row r="151" spans="1:10">
      <c r="C151" s="180" t="s">
        <v>286</v>
      </c>
      <c r="D151" s="226">
        <f>SUM(D152:D154)</f>
        <v>124740736</v>
      </c>
      <c r="E151" s="226">
        <f>SUM(E152:E154)</f>
        <v>266097</v>
      </c>
      <c r="F151" s="226">
        <f>SUM(F152:F154)</f>
        <v>793569</v>
      </c>
      <c r="G151" s="226">
        <f t="shared" si="20"/>
        <v>125800402</v>
      </c>
      <c r="H151" s="226">
        <v>130831025</v>
      </c>
      <c r="I151" s="665">
        <f t="shared" si="17"/>
        <v>5030623</v>
      </c>
      <c r="J151" s="666">
        <f t="shared" si="21"/>
        <v>3.998892626750112E-2</v>
      </c>
    </row>
    <row r="152" spans="1:10">
      <c r="C152" s="221" t="s">
        <v>287</v>
      </c>
      <c r="D152" s="178">
        <v>29027000</v>
      </c>
      <c r="E152" s="178">
        <v>307718</v>
      </c>
      <c r="F152" s="178">
        <v>726135</v>
      </c>
      <c r="G152" s="178">
        <f t="shared" si="20"/>
        <v>30060853</v>
      </c>
      <c r="H152" s="178">
        <v>31341000</v>
      </c>
      <c r="I152" s="184">
        <f t="shared" si="17"/>
        <v>1280147</v>
      </c>
      <c r="J152" s="632">
        <f t="shared" si="21"/>
        <v>4.2585185456979549E-2</v>
      </c>
    </row>
    <row r="153" spans="1:10">
      <c r="C153" s="222" t="s">
        <v>298</v>
      </c>
      <c r="D153" s="178"/>
      <c r="E153" s="178">
        <f>E202</f>
        <v>186245</v>
      </c>
      <c r="F153" s="178">
        <f>F207+F212</f>
        <v>60836</v>
      </c>
      <c r="G153" s="178">
        <f t="shared" si="20"/>
        <v>247081</v>
      </c>
      <c r="H153" s="178">
        <v>449736</v>
      </c>
      <c r="I153" s="184">
        <f t="shared" si="17"/>
        <v>202655</v>
      </c>
      <c r="J153" s="632">
        <f t="shared" si="21"/>
        <v>0.82019661568473501</v>
      </c>
    </row>
    <row r="154" spans="1:10">
      <c r="C154" s="222" t="s">
        <v>288</v>
      </c>
      <c r="D154" s="178">
        <f>D149-D152</f>
        <v>95713736</v>
      </c>
      <c r="E154" s="178">
        <f>E149-E152-E153</f>
        <v>-227866</v>
      </c>
      <c r="F154" s="178">
        <f>F149-F152-F153</f>
        <v>6598</v>
      </c>
      <c r="G154" s="178">
        <f t="shared" si="20"/>
        <v>95492468</v>
      </c>
      <c r="H154" s="178">
        <v>99040289</v>
      </c>
      <c r="I154" s="184">
        <f t="shared" si="17"/>
        <v>3547821</v>
      </c>
      <c r="J154" s="632">
        <f t="shared" si="21"/>
        <v>3.7152888330417848E-2</v>
      </c>
    </row>
    <row r="155" spans="1:10">
      <c r="C155" s="227"/>
      <c r="D155" s="185"/>
      <c r="E155" s="179"/>
      <c r="F155" s="568"/>
      <c r="G155" s="237">
        <f t="shared" si="20"/>
        <v>0</v>
      </c>
      <c r="H155" s="185">
        <v>0</v>
      </c>
      <c r="I155" s="268">
        <f t="shared" si="17"/>
        <v>0</v>
      </c>
      <c r="J155" s="634"/>
    </row>
    <row r="156" spans="1:10" ht="15">
      <c r="A156" s="169" t="s">
        <v>300</v>
      </c>
      <c r="B156" s="169" t="s">
        <v>53</v>
      </c>
      <c r="C156" s="228" t="s">
        <v>342</v>
      </c>
      <c r="D156" s="229">
        <f t="shared" ref="D156:F157" si="22">D159+D162+D165+D168+D171</f>
        <v>119967658</v>
      </c>
      <c r="E156" s="229">
        <f t="shared" si="22"/>
        <v>1413552</v>
      </c>
      <c r="F156" s="229">
        <f t="shared" si="22"/>
        <v>733659</v>
      </c>
      <c r="G156" s="229">
        <f t="shared" si="20"/>
        <v>122114869</v>
      </c>
      <c r="H156" s="229">
        <v>127676675</v>
      </c>
      <c r="I156" s="665">
        <f t="shared" si="17"/>
        <v>5561806</v>
      </c>
      <c r="J156" s="666">
        <f>I156/G156</f>
        <v>4.5545690263157058E-2</v>
      </c>
    </row>
    <row r="157" spans="1:10">
      <c r="C157" s="202" t="s">
        <v>291</v>
      </c>
      <c r="D157" s="238">
        <f t="shared" si="22"/>
        <v>53103864</v>
      </c>
      <c r="E157" s="230">
        <f t="shared" si="22"/>
        <v>930249</v>
      </c>
      <c r="F157" s="230">
        <f t="shared" si="22"/>
        <v>178947</v>
      </c>
      <c r="G157" s="238">
        <f t="shared" si="20"/>
        <v>54213060</v>
      </c>
      <c r="H157" s="230">
        <v>58138924</v>
      </c>
      <c r="I157" s="667">
        <f t="shared" si="17"/>
        <v>3925864</v>
      </c>
      <c r="J157" s="668">
        <f>I157/G157</f>
        <v>7.2415465941232604E-2</v>
      </c>
    </row>
    <row r="158" spans="1:10" ht="15">
      <c r="C158" s="228"/>
      <c r="D158" s="229"/>
      <c r="E158" s="179"/>
      <c r="F158" s="229"/>
      <c r="G158" s="229">
        <f t="shared" si="20"/>
        <v>0</v>
      </c>
      <c r="H158" s="229">
        <v>0</v>
      </c>
      <c r="I158" s="665">
        <f t="shared" si="17"/>
        <v>0</v>
      </c>
      <c r="J158" s="666"/>
    </row>
    <row r="159" spans="1:10">
      <c r="C159" s="223" t="s">
        <v>343</v>
      </c>
      <c r="D159" s="434">
        <v>71632600</v>
      </c>
      <c r="E159" s="231">
        <v>1041565</v>
      </c>
      <c r="F159" s="434">
        <f>163000-47929+1200+300+1100+90+67000+100000</f>
        <v>284761</v>
      </c>
      <c r="G159" s="434">
        <f t="shared" si="20"/>
        <v>72958926</v>
      </c>
      <c r="H159" s="231">
        <v>77393705</v>
      </c>
      <c r="I159" s="669">
        <f t="shared" si="17"/>
        <v>4434779</v>
      </c>
      <c r="J159" s="670">
        <f>I159/G159</f>
        <v>6.0784598172401824E-2</v>
      </c>
    </row>
    <row r="160" spans="1:10">
      <c r="C160" s="202" t="s">
        <v>291</v>
      </c>
      <c r="D160" s="238">
        <v>38788020</v>
      </c>
      <c r="E160" s="230">
        <v>834132</v>
      </c>
      <c r="F160" s="238">
        <v>4736</v>
      </c>
      <c r="G160" s="238">
        <f t="shared" si="20"/>
        <v>39626888</v>
      </c>
      <c r="H160" s="230">
        <v>42643290</v>
      </c>
      <c r="I160" s="667">
        <f t="shared" si="17"/>
        <v>3016402</v>
      </c>
      <c r="J160" s="668">
        <f>I160/G160</f>
        <v>7.6120082909361952E-2</v>
      </c>
    </row>
    <row r="161" spans="3:10">
      <c r="C161" s="233"/>
      <c r="D161" s="234"/>
      <c r="F161" s="572"/>
      <c r="G161" s="357">
        <f t="shared" si="20"/>
        <v>0</v>
      </c>
      <c r="H161" s="234">
        <v>0</v>
      </c>
      <c r="I161" s="234">
        <f t="shared" si="17"/>
        <v>0</v>
      </c>
      <c r="J161" s="635"/>
    </row>
    <row r="162" spans="3:10">
      <c r="C162" s="223" t="s">
        <v>344</v>
      </c>
      <c r="D162" s="434">
        <v>40398534</v>
      </c>
      <c r="E162" s="434">
        <v>314186</v>
      </c>
      <c r="F162" s="434">
        <v>318922</v>
      </c>
      <c r="G162" s="434">
        <f t="shared" si="20"/>
        <v>41031642</v>
      </c>
      <c r="H162" s="434">
        <v>41811720</v>
      </c>
      <c r="I162" s="671">
        <f t="shared" si="17"/>
        <v>780078</v>
      </c>
      <c r="J162" s="672">
        <f>I162/G162</f>
        <v>1.9011620348997976E-2</v>
      </c>
    </row>
    <row r="163" spans="3:10">
      <c r="C163" s="202" t="s">
        <v>291</v>
      </c>
      <c r="D163" s="238">
        <v>9562113</v>
      </c>
      <c r="E163" s="238">
        <v>121967</v>
      </c>
      <c r="F163" s="238">
        <v>185534</v>
      </c>
      <c r="G163" s="238">
        <f t="shared" si="20"/>
        <v>9869614</v>
      </c>
      <c r="H163" s="238">
        <v>10466616</v>
      </c>
      <c r="I163" s="673">
        <f t="shared" si="17"/>
        <v>597002</v>
      </c>
      <c r="J163" s="674">
        <f>I163/G163</f>
        <v>6.0488890446982017E-2</v>
      </c>
    </row>
    <row r="164" spans="3:10">
      <c r="C164" s="233"/>
      <c r="D164" s="234"/>
      <c r="F164" s="571"/>
      <c r="G164" s="357">
        <f t="shared" ref="G164:G218" si="23">SUM(D164:F164)</f>
        <v>0</v>
      </c>
      <c r="H164" s="234">
        <v>0</v>
      </c>
      <c r="I164" s="234">
        <f t="shared" si="17"/>
        <v>0</v>
      </c>
      <c r="J164" s="635"/>
    </row>
    <row r="165" spans="3:10">
      <c r="C165" s="223" t="s">
        <v>345</v>
      </c>
      <c r="D165" s="434">
        <v>434140</v>
      </c>
      <c r="E165" s="231">
        <v>1308</v>
      </c>
      <c r="F165" s="231">
        <v>72660</v>
      </c>
      <c r="G165" s="434">
        <f t="shared" si="23"/>
        <v>508108</v>
      </c>
      <c r="H165" s="231">
        <v>440775</v>
      </c>
      <c r="I165" s="669">
        <f t="shared" si="17"/>
        <v>-67333</v>
      </c>
      <c r="J165" s="670">
        <f>I165/G165</f>
        <v>-0.13251710266321334</v>
      </c>
    </row>
    <row r="166" spans="3:10">
      <c r="C166" s="202" t="s">
        <v>291</v>
      </c>
      <c r="D166" s="238">
        <v>149242</v>
      </c>
      <c r="E166" s="230">
        <v>978</v>
      </c>
      <c r="F166" s="230">
        <v>-7000</v>
      </c>
      <c r="G166" s="238">
        <f t="shared" si="23"/>
        <v>143220</v>
      </c>
      <c r="H166" s="230">
        <v>155767</v>
      </c>
      <c r="I166" s="667">
        <f t="shared" si="17"/>
        <v>12547</v>
      </c>
      <c r="J166" s="668">
        <f>I166/G166</f>
        <v>8.760647954196342E-2</v>
      </c>
    </row>
    <row r="167" spans="3:10">
      <c r="C167" s="233"/>
      <c r="D167" s="234"/>
      <c r="F167" s="234"/>
      <c r="G167" s="357">
        <f t="shared" si="23"/>
        <v>0</v>
      </c>
      <c r="H167" s="234">
        <v>0</v>
      </c>
      <c r="I167" s="234">
        <f t="shared" si="17"/>
        <v>0</v>
      </c>
      <c r="J167" s="635"/>
    </row>
    <row r="168" spans="3:10">
      <c r="C168" s="223" t="s">
        <v>346</v>
      </c>
      <c r="D168" s="434">
        <v>6998781</v>
      </c>
      <c r="E168" s="231">
        <v>217955</v>
      </c>
      <c r="F168" s="231">
        <f>55816+1500</f>
        <v>57316</v>
      </c>
      <c r="G168" s="434">
        <f t="shared" si="23"/>
        <v>7274052</v>
      </c>
      <c r="H168" s="231">
        <v>7698275</v>
      </c>
      <c r="I168" s="669">
        <f t="shared" si="17"/>
        <v>424223</v>
      </c>
      <c r="J168" s="670">
        <f>I168/G168</f>
        <v>5.8320039504804203E-2</v>
      </c>
    </row>
    <row r="169" spans="3:10">
      <c r="C169" s="202" t="s">
        <v>291</v>
      </c>
      <c r="D169" s="238">
        <v>4364526</v>
      </c>
      <c r="E169" s="230">
        <v>74974</v>
      </c>
      <c r="F169" s="230">
        <v>-4323</v>
      </c>
      <c r="G169" s="238">
        <f t="shared" si="23"/>
        <v>4435177</v>
      </c>
      <c r="H169" s="230">
        <v>4738903</v>
      </c>
      <c r="I169" s="667">
        <f t="shared" ref="I169:I195" si="24">H169-G169</f>
        <v>303726</v>
      </c>
      <c r="J169" s="668">
        <f>I169/G169</f>
        <v>6.8481145171883778E-2</v>
      </c>
    </row>
    <row r="170" spans="3:10">
      <c r="C170" s="233"/>
      <c r="D170" s="234"/>
      <c r="F170" s="569"/>
      <c r="G170" s="357">
        <f t="shared" si="23"/>
        <v>0</v>
      </c>
      <c r="H170" s="234">
        <v>0</v>
      </c>
      <c r="I170" s="234">
        <f t="shared" si="24"/>
        <v>0</v>
      </c>
      <c r="J170" s="635"/>
    </row>
    <row r="171" spans="3:10">
      <c r="C171" s="223" t="s">
        <v>347</v>
      </c>
      <c r="D171" s="226">
        <v>503603</v>
      </c>
      <c r="E171" s="226">
        <v>-161462</v>
      </c>
      <c r="F171" s="568"/>
      <c r="G171" s="226">
        <f t="shared" si="23"/>
        <v>342141</v>
      </c>
      <c r="H171" s="226">
        <v>332200</v>
      </c>
      <c r="I171" s="665">
        <f t="shared" si="24"/>
        <v>-9941</v>
      </c>
      <c r="J171" s="666">
        <f>I171/G171</f>
        <v>-2.9055272533838387E-2</v>
      </c>
    </row>
    <row r="172" spans="3:10">
      <c r="C172" s="202" t="s">
        <v>291</v>
      </c>
      <c r="D172" s="189">
        <v>239963</v>
      </c>
      <c r="E172" s="189">
        <v>-101802</v>
      </c>
      <c r="F172" s="573"/>
      <c r="G172" s="189">
        <f t="shared" si="23"/>
        <v>138161</v>
      </c>
      <c r="H172" s="189">
        <v>134348</v>
      </c>
      <c r="I172" s="184">
        <f t="shared" si="24"/>
        <v>-3813</v>
      </c>
      <c r="J172" s="632">
        <f>I172/G172</f>
        <v>-2.7598236839629128E-2</v>
      </c>
    </row>
    <row r="173" spans="3:10">
      <c r="C173" s="202"/>
      <c r="D173" s="189"/>
      <c r="F173" s="571"/>
      <c r="G173" s="357">
        <f t="shared" si="23"/>
        <v>0</v>
      </c>
      <c r="H173" s="189">
        <v>0</v>
      </c>
      <c r="I173" s="184">
        <f t="shared" si="24"/>
        <v>0</v>
      </c>
      <c r="J173" s="632"/>
    </row>
    <row r="174" spans="3:10">
      <c r="C174" s="235" t="s">
        <v>348</v>
      </c>
      <c r="D174" s="185"/>
      <c r="F174" s="569"/>
      <c r="G174" s="357">
        <f t="shared" si="23"/>
        <v>0</v>
      </c>
      <c r="H174" s="185">
        <v>0</v>
      </c>
      <c r="I174" s="268">
        <f t="shared" si="24"/>
        <v>0</v>
      </c>
      <c r="J174" s="634"/>
    </row>
    <row r="175" spans="3:10">
      <c r="C175" s="236" t="s">
        <v>349</v>
      </c>
      <c r="D175" s="237">
        <v>174865</v>
      </c>
      <c r="E175" s="237">
        <v>-162394</v>
      </c>
      <c r="F175" s="568"/>
      <c r="G175" s="237">
        <f t="shared" si="23"/>
        <v>12471</v>
      </c>
      <c r="H175" s="179">
        <v>0</v>
      </c>
      <c r="I175" s="293">
        <f t="shared" si="24"/>
        <v>-12471</v>
      </c>
      <c r="J175" s="662">
        <f>I175/G175</f>
        <v>-1</v>
      </c>
    </row>
    <row r="176" spans="3:10">
      <c r="C176" s="208" t="s">
        <v>291</v>
      </c>
      <c r="D176" s="238">
        <v>115589</v>
      </c>
      <c r="E176" s="238">
        <v>-106983</v>
      </c>
      <c r="F176" s="573"/>
      <c r="G176" s="238">
        <f t="shared" si="23"/>
        <v>8606</v>
      </c>
      <c r="H176" s="230">
        <v>0</v>
      </c>
      <c r="I176" s="667">
        <f t="shared" si="24"/>
        <v>-8606</v>
      </c>
      <c r="J176" s="668">
        <f>I176/G176</f>
        <v>-1</v>
      </c>
    </row>
    <row r="177" spans="1:10">
      <c r="C177" s="239"/>
      <c r="D177" s="189"/>
      <c r="F177" s="571"/>
      <c r="G177" s="357">
        <f t="shared" si="23"/>
        <v>0</v>
      </c>
      <c r="H177" s="189">
        <v>0</v>
      </c>
      <c r="I177" s="184">
        <f t="shared" si="24"/>
        <v>0</v>
      </c>
      <c r="J177" s="632"/>
    </row>
    <row r="178" spans="1:10">
      <c r="C178" s="235" t="s">
        <v>348</v>
      </c>
      <c r="D178" s="185"/>
      <c r="F178" s="574"/>
      <c r="G178" s="357">
        <f t="shared" si="23"/>
        <v>0</v>
      </c>
      <c r="H178" s="185">
        <v>0</v>
      </c>
      <c r="I178" s="268">
        <f t="shared" si="24"/>
        <v>0</v>
      </c>
      <c r="J178" s="634"/>
    </row>
    <row r="179" spans="1:10">
      <c r="C179" s="236" t="s">
        <v>350</v>
      </c>
      <c r="D179" s="237">
        <v>328738</v>
      </c>
      <c r="E179" s="237">
        <v>932</v>
      </c>
      <c r="F179" s="570"/>
      <c r="G179" s="237">
        <f t="shared" si="23"/>
        <v>329670</v>
      </c>
      <c r="H179" s="179">
        <v>332200</v>
      </c>
      <c r="I179" s="293">
        <f t="shared" si="24"/>
        <v>2530</v>
      </c>
      <c r="J179" s="662">
        <f>I179/G179</f>
        <v>7.6743410076743407E-3</v>
      </c>
    </row>
    <row r="180" spans="1:10">
      <c r="C180" s="208" t="s">
        <v>291</v>
      </c>
      <c r="D180" s="238">
        <v>124374</v>
      </c>
      <c r="E180" s="238">
        <v>5181</v>
      </c>
      <c r="F180" s="575"/>
      <c r="G180" s="238">
        <f t="shared" si="23"/>
        <v>129555</v>
      </c>
      <c r="H180" s="230">
        <v>134348</v>
      </c>
      <c r="I180" s="667">
        <f t="shared" si="24"/>
        <v>4793</v>
      </c>
      <c r="J180" s="668">
        <f>I180/G180</f>
        <v>3.6995870479719035E-2</v>
      </c>
    </row>
    <row r="181" spans="1:10">
      <c r="C181" s="240"/>
      <c r="D181" s="241"/>
      <c r="F181" s="568"/>
      <c r="G181" s="357">
        <f t="shared" si="23"/>
        <v>0</v>
      </c>
      <c r="H181" s="241">
        <v>0</v>
      </c>
      <c r="I181" s="241">
        <f t="shared" si="24"/>
        <v>0</v>
      </c>
      <c r="J181" s="636"/>
    </row>
    <row r="182" spans="1:10">
      <c r="C182" s="219" t="s">
        <v>351</v>
      </c>
      <c r="D182" s="226">
        <f>D184+D187+D191+D193+D195+D199</f>
        <v>4773078</v>
      </c>
      <c r="E182" s="226">
        <f>E184+E187+E191+E193+E195+E199</f>
        <v>-1147455</v>
      </c>
      <c r="F182" s="226">
        <f>F184+F187+F191+F193+F195+F199+F204+F209+F197</f>
        <v>59910</v>
      </c>
      <c r="G182" s="226">
        <f t="shared" si="23"/>
        <v>3685533</v>
      </c>
      <c r="H182" s="226">
        <v>3154350</v>
      </c>
      <c r="I182" s="665">
        <f t="shared" si="24"/>
        <v>-531183</v>
      </c>
      <c r="J182" s="666">
        <f>I182/G182</f>
        <v>-0.14412650761775841</v>
      </c>
    </row>
    <row r="183" spans="1:10">
      <c r="C183" s="219"/>
      <c r="D183" s="242"/>
      <c r="F183" s="242"/>
      <c r="G183" s="357">
        <f t="shared" si="23"/>
        <v>0</v>
      </c>
      <c r="H183" s="242">
        <v>0</v>
      </c>
      <c r="I183" s="520">
        <f t="shared" si="24"/>
        <v>0</v>
      </c>
      <c r="J183" s="638"/>
    </row>
    <row r="184" spans="1:10">
      <c r="A184" s="169" t="s">
        <v>300</v>
      </c>
      <c r="B184" s="169" t="s">
        <v>53</v>
      </c>
      <c r="C184" s="195" t="s">
        <v>352</v>
      </c>
      <c r="D184" s="185">
        <f>3053456+12138+15394</f>
        <v>3080988</v>
      </c>
      <c r="E184" s="185">
        <f>-559433+1807+12000</f>
        <v>-545626</v>
      </c>
      <c r="F184" s="185">
        <v>-2926</v>
      </c>
      <c r="G184" s="185">
        <f t="shared" si="23"/>
        <v>2532436</v>
      </c>
      <c r="H184" s="185">
        <v>2150114</v>
      </c>
      <c r="I184" s="268">
        <f t="shared" si="24"/>
        <v>-382322</v>
      </c>
      <c r="J184" s="634">
        <f>I184/G184</f>
        <v>-0.15097005412969963</v>
      </c>
    </row>
    <row r="185" spans="1:10">
      <c r="C185" s="196" t="s">
        <v>291</v>
      </c>
      <c r="D185" s="189">
        <f>1907843+9072+11505</f>
        <v>1928420</v>
      </c>
      <c r="E185" s="189">
        <f>-413884+1350</f>
        <v>-412534</v>
      </c>
      <c r="F185" s="189">
        <v>-2187</v>
      </c>
      <c r="G185" s="189">
        <f t="shared" si="23"/>
        <v>1513699</v>
      </c>
      <c r="H185" s="189">
        <v>1244116</v>
      </c>
      <c r="I185" s="184">
        <f t="shared" si="24"/>
        <v>-269583</v>
      </c>
      <c r="J185" s="632">
        <f>I185/G185</f>
        <v>-0.17809551304453528</v>
      </c>
    </row>
    <row r="186" spans="1:10">
      <c r="C186" s="243"/>
      <c r="D186" s="185"/>
      <c r="F186" s="569"/>
      <c r="G186" s="357">
        <f t="shared" si="23"/>
        <v>0</v>
      </c>
      <c r="H186" s="185">
        <v>0</v>
      </c>
      <c r="I186" s="268">
        <f t="shared" si="24"/>
        <v>0</v>
      </c>
      <c r="J186" s="634"/>
    </row>
    <row r="187" spans="1:10">
      <c r="A187" s="169" t="s">
        <v>300</v>
      </c>
      <c r="B187" s="169" t="s">
        <v>53</v>
      </c>
      <c r="C187" s="195" t="s">
        <v>353</v>
      </c>
      <c r="D187" s="185">
        <v>188500</v>
      </c>
      <c r="E187" s="185">
        <v>8000</v>
      </c>
      <c r="F187" s="569"/>
      <c r="G187" s="185">
        <f t="shared" si="23"/>
        <v>196500</v>
      </c>
      <c r="H187" s="185">
        <v>196500</v>
      </c>
      <c r="I187" s="268">
        <f t="shared" si="24"/>
        <v>0</v>
      </c>
      <c r="J187" s="634">
        <f>I187/G187</f>
        <v>0</v>
      </c>
    </row>
    <row r="188" spans="1:10">
      <c r="C188" s="196" t="s">
        <v>291</v>
      </c>
      <c r="D188" s="189">
        <v>10810</v>
      </c>
      <c r="F188" s="568"/>
      <c r="G188" s="357">
        <f t="shared" si="23"/>
        <v>10810</v>
      </c>
      <c r="H188" s="189">
        <v>10810</v>
      </c>
      <c r="I188" s="184">
        <f t="shared" si="24"/>
        <v>0</v>
      </c>
      <c r="J188" s="632">
        <f>I188/G188</f>
        <v>0</v>
      </c>
    </row>
    <row r="189" spans="1:10">
      <c r="C189" s="202" t="s">
        <v>354</v>
      </c>
      <c r="D189" s="189">
        <v>14000</v>
      </c>
      <c r="F189" s="569"/>
      <c r="G189" s="357">
        <f t="shared" si="23"/>
        <v>14000</v>
      </c>
      <c r="H189" s="189">
        <v>14000</v>
      </c>
      <c r="I189" s="184">
        <f t="shared" si="24"/>
        <v>0</v>
      </c>
      <c r="J189" s="632">
        <f>I189/G189</f>
        <v>0</v>
      </c>
    </row>
    <row r="190" spans="1:10">
      <c r="C190" s="208"/>
      <c r="D190" s="189"/>
      <c r="F190" s="568"/>
      <c r="G190" s="357">
        <f t="shared" si="23"/>
        <v>0</v>
      </c>
      <c r="H190" s="189">
        <v>0</v>
      </c>
      <c r="I190" s="184">
        <f t="shared" si="24"/>
        <v>0</v>
      </c>
      <c r="J190" s="632"/>
    </row>
    <row r="191" spans="1:10">
      <c r="A191" s="169" t="s">
        <v>300</v>
      </c>
      <c r="B191" s="169" t="s">
        <v>53</v>
      </c>
      <c r="C191" s="195" t="s">
        <v>355</v>
      </c>
      <c r="D191" s="185">
        <f>875590+550000</f>
        <v>1425590</v>
      </c>
      <c r="E191" s="185">
        <v>-796074</v>
      </c>
      <c r="F191" s="568"/>
      <c r="G191" s="185">
        <f t="shared" si="23"/>
        <v>629516</v>
      </c>
      <c r="H191" s="185">
        <v>280000</v>
      </c>
      <c r="I191" s="268">
        <f t="shared" si="24"/>
        <v>-349516</v>
      </c>
      <c r="J191" s="634">
        <f>I191/G191</f>
        <v>-0.55521384682835706</v>
      </c>
    </row>
    <row r="192" spans="1:10">
      <c r="C192" s="208"/>
      <c r="D192" s="189"/>
      <c r="F192" s="568"/>
      <c r="G192" s="357">
        <f t="shared" si="23"/>
        <v>0</v>
      </c>
      <c r="H192" s="189">
        <v>0</v>
      </c>
      <c r="I192" s="184">
        <f t="shared" si="24"/>
        <v>0</v>
      </c>
      <c r="J192" s="632"/>
    </row>
    <row r="193" spans="1:10">
      <c r="A193" s="169" t="s">
        <v>300</v>
      </c>
      <c r="B193" s="169" t="s">
        <v>53</v>
      </c>
      <c r="C193" s="206" t="s">
        <v>356</v>
      </c>
      <c r="D193" s="185">
        <v>18000</v>
      </c>
      <c r="F193" s="568"/>
      <c r="G193" s="357">
        <f t="shared" si="23"/>
        <v>18000</v>
      </c>
      <c r="H193" s="185">
        <v>18000</v>
      </c>
      <c r="I193" s="268">
        <f t="shared" si="24"/>
        <v>0</v>
      </c>
      <c r="J193" s="634">
        <f>I193/G193</f>
        <v>0</v>
      </c>
    </row>
    <row r="194" spans="1:10">
      <c r="C194" s="206"/>
      <c r="D194" s="185"/>
      <c r="F194" s="568"/>
      <c r="G194" s="357">
        <f t="shared" si="23"/>
        <v>0</v>
      </c>
      <c r="H194" s="185">
        <v>0</v>
      </c>
      <c r="I194" s="268">
        <f t="shared" si="24"/>
        <v>0</v>
      </c>
      <c r="J194" s="634"/>
    </row>
    <row r="195" spans="1:10">
      <c r="A195" s="169" t="s">
        <v>300</v>
      </c>
      <c r="B195" s="169" t="s">
        <v>53</v>
      </c>
      <c r="C195" s="206" t="s">
        <v>357</v>
      </c>
      <c r="D195" s="185">
        <v>60000</v>
      </c>
      <c r="F195" s="568"/>
      <c r="G195" s="357">
        <f t="shared" si="23"/>
        <v>60000</v>
      </c>
      <c r="H195" s="185">
        <v>60000</v>
      </c>
      <c r="I195" s="268">
        <f t="shared" si="24"/>
        <v>0</v>
      </c>
      <c r="J195" s="634">
        <f>I195/G195</f>
        <v>0</v>
      </c>
    </row>
    <row r="196" spans="1:10">
      <c r="C196" s="206"/>
      <c r="D196" s="185"/>
      <c r="F196" s="568"/>
      <c r="G196" s="357"/>
      <c r="H196" s="185">
        <v>0</v>
      </c>
      <c r="I196" s="268"/>
      <c r="J196" s="634"/>
    </row>
    <row r="197" spans="1:10">
      <c r="A197" s="169" t="s">
        <v>300</v>
      </c>
      <c r="B197" s="169" t="s">
        <v>53</v>
      </c>
      <c r="C197" s="206" t="s">
        <v>1160</v>
      </c>
      <c r="D197" s="185"/>
      <c r="F197" s="568">
        <v>2000</v>
      </c>
      <c r="G197" s="357">
        <f t="shared" ref="G197" si="25">SUM(D197:F197)</f>
        <v>2000</v>
      </c>
      <c r="H197" s="185">
        <v>0</v>
      </c>
      <c r="I197" s="268">
        <f>H197-G197</f>
        <v>-2000</v>
      </c>
      <c r="J197" s="634">
        <f>I197/G197</f>
        <v>-1</v>
      </c>
    </row>
    <row r="198" spans="1:10">
      <c r="C198" s="206"/>
      <c r="D198" s="185"/>
      <c r="F198" s="568"/>
      <c r="G198" s="357"/>
      <c r="H198" s="185">
        <v>0</v>
      </c>
      <c r="I198" s="268"/>
      <c r="J198" s="634"/>
    </row>
    <row r="199" spans="1:10" ht="25.5">
      <c r="A199" s="169" t="s">
        <v>300</v>
      </c>
      <c r="B199" s="169" t="s">
        <v>53</v>
      </c>
      <c r="C199" s="244" t="s">
        <v>358</v>
      </c>
      <c r="D199" s="185"/>
      <c r="E199" s="245">
        <v>186245</v>
      </c>
      <c r="F199" s="568"/>
      <c r="G199" s="245">
        <f t="shared" si="23"/>
        <v>186245</v>
      </c>
      <c r="H199" s="185">
        <v>187135</v>
      </c>
      <c r="I199" s="268">
        <f t="shared" ref="I199:I230" si="26">H199-G199</f>
        <v>890</v>
      </c>
      <c r="J199" s="634">
        <f>I199/G199</f>
        <v>4.7786517758866007E-3</v>
      </c>
    </row>
    <row r="200" spans="1:10">
      <c r="C200" s="196" t="s">
        <v>291</v>
      </c>
      <c r="D200" s="185"/>
      <c r="E200" s="246">
        <v>134201</v>
      </c>
      <c r="F200" s="567"/>
      <c r="G200" s="246">
        <f t="shared" si="23"/>
        <v>134201</v>
      </c>
      <c r="H200" s="185">
        <v>131734</v>
      </c>
      <c r="I200" s="268">
        <f t="shared" si="26"/>
        <v>-2467</v>
      </c>
      <c r="J200" s="634">
        <f>I200/G200</f>
        <v>-1.8382873451017502E-2</v>
      </c>
    </row>
    <row r="201" spans="1:10">
      <c r="C201" s="247"/>
      <c r="D201" s="185"/>
      <c r="E201" s="248"/>
      <c r="F201" s="571"/>
      <c r="G201" s="248">
        <f t="shared" si="23"/>
        <v>0</v>
      </c>
      <c r="H201" s="185">
        <v>0</v>
      </c>
      <c r="I201" s="268">
        <f t="shared" si="26"/>
        <v>0</v>
      </c>
      <c r="J201" s="634"/>
    </row>
    <row r="202" spans="1:10">
      <c r="C202" s="217" t="s">
        <v>337</v>
      </c>
      <c r="D202" s="185"/>
      <c r="E202" s="238">
        <v>186245</v>
      </c>
      <c r="F202" s="568"/>
      <c r="G202" s="238">
        <f t="shared" si="23"/>
        <v>186245</v>
      </c>
      <c r="H202" s="185">
        <v>187135</v>
      </c>
      <c r="I202" s="268">
        <f t="shared" si="26"/>
        <v>890</v>
      </c>
      <c r="J202" s="634">
        <f>I202/G202</f>
        <v>4.7786517758866007E-3</v>
      </c>
    </row>
    <row r="203" spans="1:10">
      <c r="C203" s="217"/>
      <c r="D203" s="185"/>
      <c r="E203" s="238"/>
      <c r="F203" s="568"/>
      <c r="G203" s="226">
        <f t="shared" si="23"/>
        <v>0</v>
      </c>
      <c r="H203" s="185">
        <v>0</v>
      </c>
      <c r="I203" s="268">
        <f t="shared" si="26"/>
        <v>0</v>
      </c>
      <c r="J203" s="634"/>
    </row>
    <row r="204" spans="1:10" ht="25.5">
      <c r="A204" s="169" t="s">
        <v>300</v>
      </c>
      <c r="B204" s="169" t="s">
        <v>53</v>
      </c>
      <c r="C204" s="244" t="s">
        <v>1037</v>
      </c>
      <c r="D204" s="185"/>
      <c r="E204" s="238"/>
      <c r="F204" s="586">
        <v>45692</v>
      </c>
      <c r="G204" s="586">
        <f t="shared" si="23"/>
        <v>45692</v>
      </c>
      <c r="H204" s="185">
        <v>104720</v>
      </c>
      <c r="I204" s="268">
        <f t="shared" si="26"/>
        <v>59028</v>
      </c>
      <c r="J204" s="634">
        <f>I204/G204</f>
        <v>1.2918672853015845</v>
      </c>
    </row>
    <row r="205" spans="1:10">
      <c r="C205" s="196" t="s">
        <v>291</v>
      </c>
      <c r="D205" s="185"/>
      <c r="E205" s="238"/>
      <c r="F205" s="216">
        <v>29825</v>
      </c>
      <c r="G205" s="216">
        <f t="shared" si="23"/>
        <v>29825</v>
      </c>
      <c r="H205" s="185">
        <v>97458</v>
      </c>
      <c r="I205" s="268">
        <f t="shared" si="26"/>
        <v>67633</v>
      </c>
      <c r="J205" s="634">
        <f>I205/G205</f>
        <v>2.2676613579212068</v>
      </c>
    </row>
    <row r="206" spans="1:10">
      <c r="C206" s="247"/>
      <c r="D206" s="185"/>
      <c r="E206" s="238"/>
      <c r="F206" s="587"/>
      <c r="G206" s="545">
        <f t="shared" si="23"/>
        <v>0</v>
      </c>
      <c r="H206" s="185">
        <v>0</v>
      </c>
      <c r="I206" s="268">
        <f t="shared" si="26"/>
        <v>0</v>
      </c>
      <c r="J206" s="634"/>
    </row>
    <row r="207" spans="1:10">
      <c r="C207" s="217" t="s">
        <v>337</v>
      </c>
      <c r="D207" s="185"/>
      <c r="E207" s="238"/>
      <c r="F207" s="588">
        <v>45692</v>
      </c>
      <c r="G207" s="588">
        <f t="shared" si="23"/>
        <v>45692</v>
      </c>
      <c r="H207" s="185">
        <v>104720</v>
      </c>
      <c r="I207" s="268">
        <f t="shared" si="26"/>
        <v>59028</v>
      </c>
      <c r="J207" s="634">
        <f>I207/G207</f>
        <v>1.2918672853015845</v>
      </c>
    </row>
    <row r="208" spans="1:10">
      <c r="C208" s="217"/>
      <c r="D208" s="185"/>
      <c r="E208" s="238"/>
      <c r="F208" s="588"/>
      <c r="G208" s="588">
        <f t="shared" si="23"/>
        <v>0</v>
      </c>
      <c r="H208" s="185">
        <v>0</v>
      </c>
      <c r="I208" s="268">
        <f t="shared" si="26"/>
        <v>0</v>
      </c>
      <c r="J208" s="634"/>
    </row>
    <row r="209" spans="1:10" ht="25.5">
      <c r="A209" s="169" t="s">
        <v>300</v>
      </c>
      <c r="B209" s="169" t="s">
        <v>53</v>
      </c>
      <c r="C209" s="244" t="s">
        <v>1038</v>
      </c>
      <c r="D209" s="185"/>
      <c r="E209" s="238"/>
      <c r="F209" s="586">
        <v>15144</v>
      </c>
      <c r="G209" s="586">
        <f t="shared" si="23"/>
        <v>15144</v>
      </c>
      <c r="H209" s="185">
        <v>157881</v>
      </c>
      <c r="I209" s="268">
        <f t="shared" si="26"/>
        <v>142737</v>
      </c>
      <c r="J209" s="634">
        <f>I209/G209</f>
        <v>9.4253169572107769</v>
      </c>
    </row>
    <row r="210" spans="1:10">
      <c r="C210" s="196" t="s">
        <v>291</v>
      </c>
      <c r="D210" s="185"/>
      <c r="E210" s="238"/>
      <c r="F210" s="216">
        <v>11318</v>
      </c>
      <c r="G210" s="216">
        <f t="shared" si="23"/>
        <v>11318</v>
      </c>
      <c r="H210" s="185">
        <v>75623</v>
      </c>
      <c r="I210" s="268">
        <f t="shared" si="26"/>
        <v>64305</v>
      </c>
      <c r="J210" s="634">
        <f>I210/G210</f>
        <v>5.6816575366672559</v>
      </c>
    </row>
    <row r="211" spans="1:10">
      <c r="C211" s="247"/>
      <c r="D211" s="185"/>
      <c r="E211" s="238"/>
      <c r="F211" s="587"/>
      <c r="G211" s="545">
        <f t="shared" si="23"/>
        <v>0</v>
      </c>
      <c r="H211" s="185">
        <v>0</v>
      </c>
      <c r="I211" s="268">
        <f t="shared" si="26"/>
        <v>0</v>
      </c>
      <c r="J211" s="634"/>
    </row>
    <row r="212" spans="1:10">
      <c r="C212" s="217" t="s">
        <v>337</v>
      </c>
      <c r="D212" s="185"/>
      <c r="E212" s="238"/>
      <c r="F212" s="588">
        <v>15144</v>
      </c>
      <c r="G212" s="588">
        <f t="shared" si="23"/>
        <v>15144</v>
      </c>
      <c r="H212" s="185">
        <v>157881</v>
      </c>
      <c r="I212" s="268">
        <f t="shared" si="26"/>
        <v>142737</v>
      </c>
      <c r="J212" s="634">
        <f>I212/G212</f>
        <v>9.4253169572107769</v>
      </c>
    </row>
    <row r="213" spans="1:10">
      <c r="C213" s="249"/>
      <c r="D213" s="250"/>
      <c r="F213" s="571"/>
      <c r="G213" s="250">
        <f t="shared" si="23"/>
        <v>0</v>
      </c>
      <c r="H213" s="250">
        <v>0</v>
      </c>
      <c r="I213" s="675">
        <f t="shared" si="26"/>
        <v>0</v>
      </c>
      <c r="J213" s="632"/>
    </row>
    <row r="214" spans="1:10">
      <c r="C214" s="217"/>
      <c r="D214" s="238"/>
      <c r="F214" s="573"/>
      <c r="G214" s="238">
        <f t="shared" si="23"/>
        <v>0</v>
      </c>
      <c r="H214" s="230">
        <v>0</v>
      </c>
      <c r="I214" s="667">
        <f t="shared" si="26"/>
        <v>0</v>
      </c>
      <c r="J214" s="668"/>
    </row>
    <row r="215" spans="1:10" ht="15.75">
      <c r="C215" s="225" t="s">
        <v>54</v>
      </c>
      <c r="D215" s="185"/>
      <c r="F215" s="570"/>
      <c r="G215" s="185">
        <f t="shared" si="23"/>
        <v>0</v>
      </c>
      <c r="H215" s="185">
        <v>0</v>
      </c>
      <c r="I215" s="268">
        <f t="shared" si="26"/>
        <v>0</v>
      </c>
      <c r="J215" s="634"/>
    </row>
    <row r="216" spans="1:10" ht="15">
      <c r="C216" s="251"/>
      <c r="D216" s="185"/>
      <c r="F216" s="571"/>
      <c r="G216" s="185">
        <f t="shared" si="23"/>
        <v>0</v>
      </c>
      <c r="H216" s="185">
        <v>0</v>
      </c>
      <c r="I216" s="268">
        <f t="shared" si="26"/>
        <v>0</v>
      </c>
      <c r="J216" s="634"/>
    </row>
    <row r="217" spans="1:10">
      <c r="C217" s="219" t="s">
        <v>5</v>
      </c>
      <c r="D217" s="226">
        <f>D224+D249</f>
        <v>17102956</v>
      </c>
      <c r="E217" s="226">
        <f>E224+E249</f>
        <v>217077</v>
      </c>
      <c r="F217" s="226">
        <f>F224+F249</f>
        <v>118268</v>
      </c>
      <c r="G217" s="226">
        <f t="shared" si="23"/>
        <v>17438301</v>
      </c>
      <c r="H217" s="226">
        <v>17928305</v>
      </c>
      <c r="I217" s="665">
        <f t="shared" si="26"/>
        <v>490004</v>
      </c>
      <c r="J217" s="666">
        <f t="shared" ref="J217:J222" si="27">I217/G217</f>
        <v>2.8099297058813241E-2</v>
      </c>
    </row>
    <row r="218" spans="1:10">
      <c r="C218" s="177" t="s">
        <v>285</v>
      </c>
      <c r="D218" s="178">
        <v>2745800</v>
      </c>
      <c r="E218" s="178"/>
      <c r="F218" s="178"/>
      <c r="G218" s="178">
        <f t="shared" si="23"/>
        <v>2745800</v>
      </c>
      <c r="H218" s="178">
        <v>2700000</v>
      </c>
      <c r="I218" s="184">
        <f t="shared" si="26"/>
        <v>-45800</v>
      </c>
      <c r="J218" s="632">
        <f t="shared" si="27"/>
        <v>-1.6680020394784761E-2</v>
      </c>
    </row>
    <row r="219" spans="1:10">
      <c r="C219" s="180" t="s">
        <v>286</v>
      </c>
      <c r="D219" s="252">
        <f>SUM(D220:D222)</f>
        <v>17102956</v>
      </c>
      <c r="E219" s="252">
        <f>SUM(E220:E222)</f>
        <v>217077</v>
      </c>
      <c r="F219" s="252">
        <f>SUM(F220:F222)</f>
        <v>118268</v>
      </c>
      <c r="G219" s="252">
        <f t="shared" ref="G219:G268" si="28">SUM(D219:F219)</f>
        <v>17438301</v>
      </c>
      <c r="H219" s="252">
        <v>17928305</v>
      </c>
      <c r="I219" s="676">
        <f t="shared" si="26"/>
        <v>490004</v>
      </c>
      <c r="J219" s="660">
        <f t="shared" si="27"/>
        <v>2.8099297058813241E-2</v>
      </c>
    </row>
    <row r="220" spans="1:10">
      <c r="C220" s="221" t="s">
        <v>287</v>
      </c>
      <c r="D220" s="242">
        <v>4963500</v>
      </c>
      <c r="E220" s="242">
        <v>43000</v>
      </c>
      <c r="F220" s="242">
        <v>112000</v>
      </c>
      <c r="G220" s="242">
        <f t="shared" si="28"/>
        <v>5118500</v>
      </c>
      <c r="H220" s="242">
        <v>5182750</v>
      </c>
      <c r="I220" s="520">
        <f t="shared" si="26"/>
        <v>64250</v>
      </c>
      <c r="J220" s="638">
        <f t="shared" si="27"/>
        <v>1.2552505616879945E-2</v>
      </c>
    </row>
    <row r="221" spans="1:10">
      <c r="C221" s="222" t="s">
        <v>298</v>
      </c>
      <c r="D221" s="242">
        <v>28547</v>
      </c>
      <c r="E221" s="242">
        <v>0</v>
      </c>
      <c r="F221" s="242"/>
      <c r="G221" s="242">
        <f t="shared" si="28"/>
        <v>28547</v>
      </c>
      <c r="H221" s="242">
        <v>20897</v>
      </c>
      <c r="I221" s="520">
        <f t="shared" si="26"/>
        <v>-7650</v>
      </c>
      <c r="J221" s="638">
        <f t="shared" si="27"/>
        <v>-0.26797912214943775</v>
      </c>
    </row>
    <row r="222" spans="1:10">
      <c r="C222" s="222" t="s">
        <v>288</v>
      </c>
      <c r="D222" s="242">
        <f>D217-D220-D221</f>
        <v>12110909</v>
      </c>
      <c r="E222" s="242">
        <f>E217-E220-E221</f>
        <v>174077</v>
      </c>
      <c r="F222" s="242">
        <f>F217-F220-F221</f>
        <v>6268</v>
      </c>
      <c r="G222" s="242">
        <f t="shared" si="28"/>
        <v>12291254</v>
      </c>
      <c r="H222" s="242">
        <v>12724658</v>
      </c>
      <c r="I222" s="520">
        <f t="shared" si="26"/>
        <v>433404</v>
      </c>
      <c r="J222" s="638">
        <f t="shared" si="27"/>
        <v>3.5261170259763566E-2</v>
      </c>
    </row>
    <row r="223" spans="1:10">
      <c r="C223" s="222"/>
      <c r="D223" s="185"/>
      <c r="E223" s="185"/>
      <c r="F223" s="185"/>
      <c r="G223" s="185">
        <f t="shared" si="28"/>
        <v>0</v>
      </c>
      <c r="H223" s="185">
        <v>0</v>
      </c>
      <c r="I223" s="268">
        <f t="shared" si="26"/>
        <v>0</v>
      </c>
      <c r="J223" s="634"/>
    </row>
    <row r="224" spans="1:10" ht="15">
      <c r="A224" s="169" t="s">
        <v>295</v>
      </c>
      <c r="B224" s="169" t="s">
        <v>54</v>
      </c>
      <c r="C224" s="228" t="s">
        <v>359</v>
      </c>
      <c r="D224" s="229">
        <f t="shared" ref="D224:F225" si="29">D227+D230+D233+D236+D239+D242+D246</f>
        <v>13705957</v>
      </c>
      <c r="E224" s="229">
        <f t="shared" si="29"/>
        <v>137384</v>
      </c>
      <c r="F224" s="229">
        <f t="shared" si="29"/>
        <v>86938</v>
      </c>
      <c r="G224" s="229">
        <f t="shared" si="28"/>
        <v>13930279</v>
      </c>
      <c r="H224" s="229">
        <v>14686630</v>
      </c>
      <c r="I224" s="665">
        <f t="shared" si="26"/>
        <v>756351</v>
      </c>
      <c r="J224" s="666">
        <f>I224/G224</f>
        <v>5.4295466731140128E-2</v>
      </c>
    </row>
    <row r="225" spans="3:10">
      <c r="C225" s="202" t="s">
        <v>291</v>
      </c>
      <c r="D225" s="238">
        <f t="shared" si="29"/>
        <v>6536657</v>
      </c>
      <c r="E225" s="230">
        <f t="shared" si="29"/>
        <v>22760</v>
      </c>
      <c r="F225" s="230">
        <f t="shared" si="29"/>
        <v>28300</v>
      </c>
      <c r="G225" s="238">
        <f t="shared" si="28"/>
        <v>6587717</v>
      </c>
      <c r="H225" s="230">
        <v>6998380</v>
      </c>
      <c r="I225" s="667">
        <f t="shared" si="26"/>
        <v>410663</v>
      </c>
      <c r="J225" s="668">
        <f>I225/G225</f>
        <v>6.2337680868804778E-2</v>
      </c>
    </row>
    <row r="226" spans="3:10" ht="15">
      <c r="C226" s="228"/>
      <c r="D226" s="237"/>
      <c r="E226" s="179"/>
      <c r="F226" s="179"/>
      <c r="G226" s="237">
        <f t="shared" si="28"/>
        <v>0</v>
      </c>
      <c r="H226" s="179">
        <v>0</v>
      </c>
      <c r="I226" s="293">
        <f t="shared" si="26"/>
        <v>0</v>
      </c>
      <c r="J226" s="662"/>
    </row>
    <row r="227" spans="3:10" s="253" customFormat="1">
      <c r="C227" s="223" t="s">
        <v>360</v>
      </c>
      <c r="D227" s="226">
        <v>2657081</v>
      </c>
      <c r="E227" s="226">
        <v>0</v>
      </c>
      <c r="F227" s="176">
        <v>4750</v>
      </c>
      <c r="G227" s="226">
        <f t="shared" si="28"/>
        <v>2661831</v>
      </c>
      <c r="H227" s="226">
        <v>2873965</v>
      </c>
      <c r="I227" s="665">
        <f t="shared" si="26"/>
        <v>212134</v>
      </c>
      <c r="J227" s="666">
        <f>I227/G227</f>
        <v>7.9694766497196853E-2</v>
      </c>
    </row>
    <row r="228" spans="3:10">
      <c r="C228" s="202" t="s">
        <v>291</v>
      </c>
      <c r="D228" s="238">
        <v>1403038</v>
      </c>
      <c r="E228" s="230">
        <v>0</v>
      </c>
      <c r="F228" s="230"/>
      <c r="G228" s="238">
        <f t="shared" si="28"/>
        <v>1403038</v>
      </c>
      <c r="H228" s="230">
        <v>1562950</v>
      </c>
      <c r="I228" s="667">
        <f t="shared" si="26"/>
        <v>159912</v>
      </c>
      <c r="J228" s="668">
        <f>I228/G228</f>
        <v>0.1139755302422315</v>
      </c>
    </row>
    <row r="229" spans="3:10">
      <c r="C229" s="233"/>
      <c r="D229" s="234"/>
      <c r="G229" s="234">
        <f t="shared" si="28"/>
        <v>0</v>
      </c>
      <c r="H229" s="234">
        <v>0</v>
      </c>
      <c r="I229" s="234">
        <f t="shared" si="26"/>
        <v>0</v>
      </c>
      <c r="J229" s="635"/>
    </row>
    <row r="230" spans="3:10" s="253" customFormat="1" ht="24">
      <c r="C230" s="254" t="s">
        <v>361</v>
      </c>
      <c r="D230" s="226">
        <v>874537</v>
      </c>
      <c r="E230" s="226">
        <v>600</v>
      </c>
      <c r="F230" s="226">
        <v>-6000</v>
      </c>
      <c r="G230" s="226">
        <f t="shared" si="28"/>
        <v>869137</v>
      </c>
      <c r="H230" s="226">
        <v>911010</v>
      </c>
      <c r="I230" s="665">
        <f t="shared" si="26"/>
        <v>41873</v>
      </c>
      <c r="J230" s="666">
        <f>I230/G230</f>
        <v>4.8177675096101075E-2</v>
      </c>
    </row>
    <row r="231" spans="3:10">
      <c r="C231" s="202" t="s">
        <v>291</v>
      </c>
      <c r="D231" s="238">
        <v>488936</v>
      </c>
      <c r="E231" s="230">
        <v>0</v>
      </c>
      <c r="F231" s="230">
        <v>2000</v>
      </c>
      <c r="G231" s="238">
        <f t="shared" si="28"/>
        <v>490936</v>
      </c>
      <c r="H231" s="230">
        <v>514500</v>
      </c>
      <c r="I231" s="667">
        <f t="shared" ref="I231:I262" si="30">H231-G231</f>
        <v>23564</v>
      </c>
      <c r="J231" s="668">
        <f>I231/G231</f>
        <v>4.7998109733244254E-2</v>
      </c>
    </row>
    <row r="232" spans="3:10">
      <c r="C232" s="233"/>
      <c r="D232" s="234"/>
      <c r="G232" s="234">
        <f t="shared" si="28"/>
        <v>0</v>
      </c>
      <c r="H232" s="234">
        <v>0</v>
      </c>
      <c r="I232" s="234">
        <f t="shared" si="30"/>
        <v>0</v>
      </c>
      <c r="J232" s="635"/>
    </row>
    <row r="233" spans="3:10" s="253" customFormat="1">
      <c r="C233" s="223" t="s">
        <v>362</v>
      </c>
      <c r="D233" s="226">
        <v>2152599</v>
      </c>
      <c r="E233" s="226">
        <v>103000</v>
      </c>
      <c r="F233" s="176">
        <v>-2362</v>
      </c>
      <c r="G233" s="226">
        <f t="shared" si="28"/>
        <v>2253237</v>
      </c>
      <c r="H233" s="226">
        <v>2364725</v>
      </c>
      <c r="I233" s="665">
        <f t="shared" si="30"/>
        <v>111488</v>
      </c>
      <c r="J233" s="666">
        <f>I233/G233</f>
        <v>4.947903837900762E-2</v>
      </c>
    </row>
    <row r="234" spans="3:10">
      <c r="C234" s="202" t="s">
        <v>291</v>
      </c>
      <c r="D234" s="238">
        <v>1083882</v>
      </c>
      <c r="E234" s="230">
        <v>22760</v>
      </c>
      <c r="F234" s="230"/>
      <c r="G234" s="238">
        <f t="shared" si="28"/>
        <v>1106642</v>
      </c>
      <c r="H234" s="230">
        <v>1135457</v>
      </c>
      <c r="I234" s="667">
        <f t="shared" si="30"/>
        <v>28815</v>
      </c>
      <c r="J234" s="668">
        <f>I234/G234</f>
        <v>2.6038230972618065E-2</v>
      </c>
    </row>
    <row r="235" spans="3:10">
      <c r="C235" s="233"/>
      <c r="D235" s="234"/>
      <c r="G235" s="234">
        <f t="shared" si="28"/>
        <v>0</v>
      </c>
      <c r="H235" s="234">
        <v>0</v>
      </c>
      <c r="I235" s="234">
        <f t="shared" si="30"/>
        <v>0</v>
      </c>
      <c r="J235" s="635"/>
    </row>
    <row r="236" spans="3:10">
      <c r="C236" s="223" t="s">
        <v>363</v>
      </c>
      <c r="D236" s="226">
        <v>4897982</v>
      </c>
      <c r="E236" s="226">
        <v>1484</v>
      </c>
      <c r="F236" s="176">
        <v>-24450</v>
      </c>
      <c r="G236" s="226">
        <f t="shared" si="28"/>
        <v>4875016</v>
      </c>
      <c r="H236" s="226">
        <v>5159825</v>
      </c>
      <c r="I236" s="665">
        <f t="shared" si="30"/>
        <v>284809</v>
      </c>
      <c r="J236" s="666">
        <f>I236/G236</f>
        <v>5.8422167229810119E-2</v>
      </c>
    </row>
    <row r="237" spans="3:10">
      <c r="C237" s="202" t="s">
        <v>291</v>
      </c>
      <c r="D237" s="238">
        <v>2115423</v>
      </c>
      <c r="E237" s="230">
        <v>0</v>
      </c>
      <c r="F237" s="230">
        <v>26300</v>
      </c>
      <c r="G237" s="238">
        <f t="shared" si="28"/>
        <v>2141723</v>
      </c>
      <c r="H237" s="230">
        <v>2244712</v>
      </c>
      <c r="I237" s="667">
        <f t="shared" si="30"/>
        <v>102989</v>
      </c>
      <c r="J237" s="668">
        <f>I237/G237</f>
        <v>4.8086984171155651E-2</v>
      </c>
    </row>
    <row r="238" spans="3:10">
      <c r="C238" s="233"/>
      <c r="D238" s="234"/>
      <c r="G238" s="234">
        <f t="shared" si="28"/>
        <v>0</v>
      </c>
      <c r="H238" s="234">
        <v>0</v>
      </c>
      <c r="I238" s="234">
        <f t="shared" si="30"/>
        <v>0</v>
      </c>
      <c r="J238" s="635"/>
    </row>
    <row r="239" spans="3:10">
      <c r="C239" s="223" t="s">
        <v>364</v>
      </c>
      <c r="D239" s="226">
        <v>1873347</v>
      </c>
      <c r="E239" s="226">
        <v>26300</v>
      </c>
      <c r="F239" s="226">
        <f>50000+65000</f>
        <v>115000</v>
      </c>
      <c r="G239" s="226">
        <f t="shared" si="28"/>
        <v>2014647</v>
      </c>
      <c r="H239" s="226">
        <v>2074150</v>
      </c>
      <c r="I239" s="665">
        <f t="shared" si="30"/>
        <v>59503</v>
      </c>
      <c r="J239" s="666">
        <f>I239/G239</f>
        <v>2.9535198970340709E-2</v>
      </c>
    </row>
    <row r="240" spans="3:10">
      <c r="C240" s="202" t="s">
        <v>291</v>
      </c>
      <c r="D240" s="238">
        <v>768814</v>
      </c>
      <c r="E240" s="230">
        <v>0</v>
      </c>
      <c r="F240" s="230"/>
      <c r="G240" s="238">
        <f t="shared" si="28"/>
        <v>768814</v>
      </c>
      <c r="H240" s="230">
        <v>836886</v>
      </c>
      <c r="I240" s="667">
        <f t="shared" si="30"/>
        <v>68072</v>
      </c>
      <c r="J240" s="668">
        <f>I240/G240</f>
        <v>8.8541571823614038E-2</v>
      </c>
    </row>
    <row r="241" spans="1:10">
      <c r="C241" s="233"/>
      <c r="D241" s="234"/>
      <c r="G241" s="234">
        <f t="shared" si="28"/>
        <v>0</v>
      </c>
      <c r="H241" s="234">
        <v>0</v>
      </c>
      <c r="I241" s="234">
        <f t="shared" si="30"/>
        <v>0</v>
      </c>
      <c r="J241" s="635"/>
    </row>
    <row r="242" spans="1:10">
      <c r="C242" s="223" t="s">
        <v>365</v>
      </c>
      <c r="D242" s="226">
        <v>927524</v>
      </c>
      <c r="E242" s="226">
        <v>0</v>
      </c>
      <c r="F242" s="226"/>
      <c r="G242" s="226">
        <f t="shared" si="28"/>
        <v>927524</v>
      </c>
      <c r="H242" s="226">
        <v>968940</v>
      </c>
      <c r="I242" s="665">
        <f t="shared" si="30"/>
        <v>41416</v>
      </c>
      <c r="J242" s="666">
        <f>I242/G242</f>
        <v>4.4652213851070162E-2</v>
      </c>
    </row>
    <row r="243" spans="1:10">
      <c r="C243" s="202" t="s">
        <v>291</v>
      </c>
      <c r="D243" s="238">
        <v>519726</v>
      </c>
      <c r="E243" s="230">
        <v>0</v>
      </c>
      <c r="F243" s="230"/>
      <c r="G243" s="238">
        <f t="shared" si="28"/>
        <v>519726</v>
      </c>
      <c r="H243" s="230">
        <v>542257</v>
      </c>
      <c r="I243" s="667">
        <f t="shared" si="30"/>
        <v>22531</v>
      </c>
      <c r="J243" s="668">
        <f>I243/G243</f>
        <v>4.3351689159287776E-2</v>
      </c>
    </row>
    <row r="244" spans="1:10">
      <c r="C244" s="208" t="s">
        <v>1012</v>
      </c>
      <c r="D244" s="238"/>
      <c r="E244" s="230"/>
      <c r="F244" s="230"/>
      <c r="G244" s="238">
        <f t="shared" si="28"/>
        <v>0</v>
      </c>
      <c r="H244" s="230">
        <v>15000</v>
      </c>
      <c r="I244" s="667">
        <f t="shared" si="30"/>
        <v>15000</v>
      </c>
      <c r="J244" s="668"/>
    </row>
    <row r="245" spans="1:10">
      <c r="C245" s="233"/>
      <c r="D245" s="234"/>
      <c r="G245" s="234">
        <f t="shared" si="28"/>
        <v>0</v>
      </c>
      <c r="H245" s="234">
        <v>0</v>
      </c>
      <c r="I245" s="234">
        <f t="shared" si="30"/>
        <v>0</v>
      </c>
      <c r="J245" s="635"/>
    </row>
    <row r="246" spans="1:10">
      <c r="C246" s="223" t="s">
        <v>366</v>
      </c>
      <c r="D246" s="226">
        <v>322887</v>
      </c>
      <c r="E246" s="226">
        <v>6000</v>
      </c>
      <c r="F246" s="226"/>
      <c r="G246" s="226">
        <f t="shared" si="28"/>
        <v>328887</v>
      </c>
      <c r="H246" s="226">
        <v>334015</v>
      </c>
      <c r="I246" s="665">
        <f t="shared" si="30"/>
        <v>5128</v>
      </c>
      <c r="J246" s="666">
        <f>I246/G246</f>
        <v>1.5591981440433949E-2</v>
      </c>
    </row>
    <row r="247" spans="1:10">
      <c r="C247" s="202" t="s">
        <v>291</v>
      </c>
      <c r="D247" s="238">
        <v>156838</v>
      </c>
      <c r="E247" s="230">
        <v>0</v>
      </c>
      <c r="F247" s="230"/>
      <c r="G247" s="238">
        <f t="shared" si="28"/>
        <v>156838</v>
      </c>
      <c r="H247" s="230">
        <v>161618</v>
      </c>
      <c r="I247" s="667">
        <f t="shared" si="30"/>
        <v>4780</v>
      </c>
      <c r="J247" s="668">
        <f>I247/G247</f>
        <v>3.047730779530471E-2</v>
      </c>
    </row>
    <row r="248" spans="1:10">
      <c r="C248" s="233"/>
      <c r="D248" s="234"/>
      <c r="G248" s="234">
        <f t="shared" si="28"/>
        <v>0</v>
      </c>
      <c r="H248" s="234">
        <v>0</v>
      </c>
      <c r="I248" s="234">
        <f t="shared" si="30"/>
        <v>0</v>
      </c>
      <c r="J248" s="635"/>
    </row>
    <row r="249" spans="1:10">
      <c r="C249" s="219" t="s">
        <v>351</v>
      </c>
      <c r="D249" s="226">
        <f>D251+D254+D279+D301+D303+D307+D309+D311+D313+D305</f>
        <v>3396999</v>
      </c>
      <c r="E249" s="226">
        <f>E251+E254+E279+E301+E303+E307+E309+E311+E313+E305</f>
        <v>79693</v>
      </c>
      <c r="F249" s="226">
        <f>F251+F254+F279+F303+F311</f>
        <v>31330</v>
      </c>
      <c r="G249" s="226">
        <f t="shared" si="28"/>
        <v>3508022</v>
      </c>
      <c r="H249" s="226">
        <v>3241675</v>
      </c>
      <c r="I249" s="665">
        <f t="shared" si="30"/>
        <v>-266347</v>
      </c>
      <c r="J249" s="666">
        <f>I249/G249</f>
        <v>-7.5925122476426882E-2</v>
      </c>
    </row>
    <row r="250" spans="1:10">
      <c r="C250" s="219"/>
      <c r="D250" s="242"/>
      <c r="F250" s="242"/>
      <c r="G250" s="242">
        <f t="shared" si="28"/>
        <v>0</v>
      </c>
      <c r="H250" s="242">
        <v>0</v>
      </c>
      <c r="I250" s="520">
        <f t="shared" si="30"/>
        <v>0</v>
      </c>
      <c r="J250" s="638"/>
    </row>
    <row r="251" spans="1:10">
      <c r="A251" s="169" t="s">
        <v>295</v>
      </c>
      <c r="B251" s="169" t="s">
        <v>54</v>
      </c>
      <c r="C251" s="195" t="s">
        <v>367</v>
      </c>
      <c r="D251" s="245">
        <f>588278+11496+23662+203+123600-78600+1131</f>
        <v>669770</v>
      </c>
      <c r="E251" s="245">
        <f>-1300+5993</f>
        <v>4693</v>
      </c>
      <c r="F251" s="245">
        <f>12000-2232-2000+7000</f>
        <v>14768</v>
      </c>
      <c r="G251" s="245">
        <f t="shared" si="28"/>
        <v>689231</v>
      </c>
      <c r="H251" s="245">
        <v>692935</v>
      </c>
      <c r="I251" s="255">
        <f t="shared" si="30"/>
        <v>3704</v>
      </c>
      <c r="J251" s="637">
        <f>I251/G251</f>
        <v>5.3741053434915144E-3</v>
      </c>
    </row>
    <row r="252" spans="1:10">
      <c r="C252" s="196" t="s">
        <v>291</v>
      </c>
      <c r="D252" s="246">
        <f>333015+8592+17685+845</f>
        <v>360137</v>
      </c>
      <c r="E252" s="246"/>
      <c r="F252" s="246">
        <v>-1668</v>
      </c>
      <c r="G252" s="246">
        <f t="shared" si="28"/>
        <v>358469</v>
      </c>
      <c r="H252" s="246">
        <v>382545</v>
      </c>
      <c r="I252" s="520">
        <f t="shared" si="30"/>
        <v>24076</v>
      </c>
      <c r="J252" s="638">
        <f>I252/G252</f>
        <v>6.7163408830331214E-2</v>
      </c>
    </row>
    <row r="253" spans="1:10">
      <c r="C253" s="219"/>
      <c r="D253" s="242"/>
      <c r="G253" s="242">
        <f t="shared" si="28"/>
        <v>0</v>
      </c>
      <c r="H253" s="242">
        <v>0</v>
      </c>
      <c r="I253" s="520">
        <f t="shared" si="30"/>
        <v>0</v>
      </c>
      <c r="J253" s="638"/>
    </row>
    <row r="254" spans="1:10">
      <c r="A254" s="169" t="s">
        <v>295</v>
      </c>
      <c r="B254" s="169" t="s">
        <v>54</v>
      </c>
      <c r="C254" s="195" t="s">
        <v>368</v>
      </c>
      <c r="D254" s="245">
        <f>1321190+4000</f>
        <v>1325190</v>
      </c>
      <c r="E254" s="245">
        <f>130000+25000</f>
        <v>155000</v>
      </c>
      <c r="F254" s="245">
        <f>18000+1200</f>
        <v>19200</v>
      </c>
      <c r="G254" s="245">
        <f t="shared" si="28"/>
        <v>1499390</v>
      </c>
      <c r="H254" s="245">
        <v>1345200</v>
      </c>
      <c r="I254" s="255">
        <f t="shared" si="30"/>
        <v>-154190</v>
      </c>
      <c r="J254" s="637">
        <f>I254/G254</f>
        <v>-0.10283515296220463</v>
      </c>
    </row>
    <row r="255" spans="1:10">
      <c r="C255" s="196" t="s">
        <v>291</v>
      </c>
      <c r="D255" s="246">
        <v>90000</v>
      </c>
      <c r="G255" s="246">
        <f t="shared" si="28"/>
        <v>90000</v>
      </c>
      <c r="H255" s="246">
        <v>77000</v>
      </c>
      <c r="I255" s="520">
        <f t="shared" si="30"/>
        <v>-13000</v>
      </c>
      <c r="J255" s="638">
        <f>I255/G255</f>
        <v>-0.14444444444444443</v>
      </c>
    </row>
    <row r="256" spans="1:10">
      <c r="C256" s="196" t="s">
        <v>369</v>
      </c>
      <c r="D256" s="246"/>
      <c r="G256" s="246">
        <f t="shared" si="28"/>
        <v>0</v>
      </c>
      <c r="H256" s="246">
        <v>0</v>
      </c>
      <c r="I256" s="520">
        <f t="shared" si="30"/>
        <v>0</v>
      </c>
      <c r="J256" s="638"/>
    </row>
    <row r="257" spans="3:10">
      <c r="C257" s="212" t="s">
        <v>370</v>
      </c>
      <c r="D257" s="255">
        <v>60000</v>
      </c>
      <c r="E257" s="255">
        <v>4765</v>
      </c>
      <c r="F257" s="255"/>
      <c r="G257" s="255">
        <f t="shared" si="28"/>
        <v>64765</v>
      </c>
      <c r="H257" s="255">
        <v>60000</v>
      </c>
      <c r="I257" s="255">
        <f t="shared" si="30"/>
        <v>-4765</v>
      </c>
      <c r="J257" s="637">
        <f>I257/G257</f>
        <v>-7.3573689492781591E-2</v>
      </c>
    </row>
    <row r="258" spans="3:10">
      <c r="C258" s="212" t="s">
        <v>1015</v>
      </c>
      <c r="D258" s="255"/>
      <c r="E258" s="255"/>
      <c r="F258" s="255"/>
      <c r="G258" s="255">
        <f t="shared" si="28"/>
        <v>0</v>
      </c>
      <c r="H258" s="255">
        <v>20000</v>
      </c>
      <c r="I258" s="255">
        <f t="shared" si="30"/>
        <v>20000</v>
      </c>
      <c r="J258" s="637"/>
    </row>
    <row r="259" spans="3:10">
      <c r="C259" s="212" t="s">
        <v>371</v>
      </c>
      <c r="D259" s="255">
        <v>20000</v>
      </c>
      <c r="E259" s="255"/>
      <c r="F259" s="255"/>
      <c r="G259" s="255">
        <f t="shared" si="28"/>
        <v>20000</v>
      </c>
      <c r="H259" s="255">
        <v>0</v>
      </c>
      <c r="I259" s="255">
        <f t="shared" si="30"/>
        <v>-20000</v>
      </c>
      <c r="J259" s="637">
        <f>I259/G259</f>
        <v>-1</v>
      </c>
    </row>
    <row r="260" spans="3:10">
      <c r="C260" s="212" t="s">
        <v>372</v>
      </c>
      <c r="D260" s="255">
        <v>40000</v>
      </c>
      <c r="E260" s="255">
        <v>20000</v>
      </c>
      <c r="F260" s="255"/>
      <c r="G260" s="255">
        <f t="shared" si="28"/>
        <v>60000</v>
      </c>
      <c r="H260" s="255">
        <v>40000</v>
      </c>
      <c r="I260" s="255">
        <f t="shared" si="30"/>
        <v>-20000</v>
      </c>
      <c r="J260" s="637">
        <f>I260/G260</f>
        <v>-0.33333333333333331</v>
      </c>
    </row>
    <row r="261" spans="3:10">
      <c r="C261" s="212" t="s">
        <v>373</v>
      </c>
      <c r="D261" s="255">
        <v>12800</v>
      </c>
      <c r="E261" s="255"/>
      <c r="F261" s="255"/>
      <c r="G261" s="255">
        <f t="shared" si="28"/>
        <v>12800</v>
      </c>
      <c r="H261" s="255">
        <v>12800</v>
      </c>
      <c r="I261" s="255">
        <f t="shared" si="30"/>
        <v>0</v>
      </c>
      <c r="J261" s="637">
        <f>I261/G261</f>
        <v>0</v>
      </c>
    </row>
    <row r="262" spans="3:10">
      <c r="C262" s="212" t="s">
        <v>1014</v>
      </c>
      <c r="D262" s="255"/>
      <c r="E262" s="255"/>
      <c r="F262" s="255"/>
      <c r="G262" s="255">
        <f t="shared" si="28"/>
        <v>0</v>
      </c>
      <c r="H262" s="255">
        <v>45000</v>
      </c>
      <c r="I262" s="255">
        <f t="shared" si="30"/>
        <v>45000</v>
      </c>
      <c r="J262" s="637"/>
    </row>
    <row r="263" spans="3:10">
      <c r="C263" s="212" t="s">
        <v>374</v>
      </c>
      <c r="D263" s="255">
        <f>235000+4000</f>
        <v>239000</v>
      </c>
      <c r="E263" s="255"/>
      <c r="F263" s="255">
        <v>18000</v>
      </c>
      <c r="G263" s="255">
        <f t="shared" si="28"/>
        <v>257000</v>
      </c>
      <c r="H263" s="255">
        <v>294000</v>
      </c>
      <c r="I263" s="255">
        <f t="shared" ref="I263:I294" si="31">H263-G263</f>
        <v>37000</v>
      </c>
      <c r="J263" s="637">
        <f>I263/G263</f>
        <v>0.14396887159533073</v>
      </c>
    </row>
    <row r="264" spans="3:10" s="518" customFormat="1">
      <c r="C264" s="519" t="s">
        <v>375</v>
      </c>
      <c r="D264" s="520">
        <v>4000</v>
      </c>
      <c r="E264" s="520"/>
      <c r="F264" s="520"/>
      <c r="G264" s="520">
        <f t="shared" si="28"/>
        <v>4000</v>
      </c>
      <c r="H264" s="520">
        <v>0</v>
      </c>
      <c r="I264" s="520">
        <f t="shared" si="31"/>
        <v>-4000</v>
      </c>
      <c r="J264" s="638">
        <f>I264/G264</f>
        <v>-1</v>
      </c>
    </row>
    <row r="265" spans="3:10" s="518" customFormat="1">
      <c r="C265" s="519" t="s">
        <v>1017</v>
      </c>
      <c r="D265" s="520"/>
      <c r="E265" s="520"/>
      <c r="F265" s="520"/>
      <c r="G265" s="520">
        <f t="shared" si="28"/>
        <v>0</v>
      </c>
      <c r="H265" s="520">
        <v>55000</v>
      </c>
      <c r="I265" s="520">
        <f t="shared" si="31"/>
        <v>55000</v>
      </c>
      <c r="J265" s="638"/>
    </row>
    <row r="266" spans="3:10">
      <c r="C266" s="212" t="s">
        <v>376</v>
      </c>
      <c r="D266" s="255">
        <v>618000</v>
      </c>
      <c r="E266" s="255"/>
      <c r="F266" s="255"/>
      <c r="G266" s="255">
        <f t="shared" si="28"/>
        <v>618000</v>
      </c>
      <c r="H266" s="255">
        <v>618000</v>
      </c>
      <c r="I266" s="255">
        <f t="shared" si="31"/>
        <v>0</v>
      </c>
      <c r="J266" s="637">
        <f>I266/G266</f>
        <v>0</v>
      </c>
    </row>
    <row r="267" spans="3:10">
      <c r="C267" s="212" t="s">
        <v>377</v>
      </c>
      <c r="D267" s="255">
        <v>15000</v>
      </c>
      <c r="E267" s="255">
        <v>90000</v>
      </c>
      <c r="F267" s="255"/>
      <c r="G267" s="255">
        <f t="shared" si="28"/>
        <v>105000</v>
      </c>
      <c r="H267" s="255">
        <v>30000</v>
      </c>
      <c r="I267" s="255">
        <f t="shared" si="31"/>
        <v>-75000</v>
      </c>
      <c r="J267" s="637">
        <f>I267/G267</f>
        <v>-0.7142857142857143</v>
      </c>
    </row>
    <row r="268" spans="3:10">
      <c r="C268" s="212" t="s">
        <v>378</v>
      </c>
      <c r="D268" s="255">
        <v>30000</v>
      </c>
      <c r="E268" s="255"/>
      <c r="F268" s="255"/>
      <c r="G268" s="255">
        <f t="shared" si="28"/>
        <v>30000</v>
      </c>
      <c r="H268" s="255">
        <v>40000</v>
      </c>
      <c r="I268" s="255">
        <f t="shared" si="31"/>
        <v>10000</v>
      </c>
      <c r="J268" s="637">
        <f>I268/G268</f>
        <v>0.33333333333333331</v>
      </c>
    </row>
    <row r="269" spans="3:10">
      <c r="C269" s="212" t="s">
        <v>379</v>
      </c>
      <c r="D269" s="255">
        <v>30000</v>
      </c>
      <c r="E269" s="255"/>
      <c r="F269" s="255"/>
      <c r="G269" s="255">
        <f t="shared" ref="G269:G330" si="32">SUM(D269:F269)</f>
        <v>30000</v>
      </c>
      <c r="H269" s="255">
        <v>30000</v>
      </c>
      <c r="I269" s="255">
        <f t="shared" si="31"/>
        <v>0</v>
      </c>
      <c r="J269" s="637">
        <f>I269/G269</f>
        <v>0</v>
      </c>
    </row>
    <row r="270" spans="3:10">
      <c r="C270" s="212" t="s">
        <v>380</v>
      </c>
      <c r="D270" s="255">
        <v>30000</v>
      </c>
      <c r="E270" s="255"/>
      <c r="F270" s="255"/>
      <c r="G270" s="255">
        <f t="shared" si="32"/>
        <v>30000</v>
      </c>
      <c r="H270" s="255">
        <v>0</v>
      </c>
      <c r="I270" s="255">
        <f t="shared" si="31"/>
        <v>-30000</v>
      </c>
      <c r="J270" s="637">
        <f>I270/G270</f>
        <v>-1</v>
      </c>
    </row>
    <row r="271" spans="3:10">
      <c r="C271" s="212" t="s">
        <v>1013</v>
      </c>
      <c r="D271" s="255"/>
      <c r="E271" s="255"/>
      <c r="F271" s="255"/>
      <c r="G271" s="255">
        <f t="shared" si="32"/>
        <v>0</v>
      </c>
      <c r="H271" s="255">
        <v>15000</v>
      </c>
      <c r="I271" s="255">
        <f t="shared" si="31"/>
        <v>15000</v>
      </c>
      <c r="J271" s="637"/>
    </row>
    <row r="272" spans="3:10">
      <c r="C272" s="212" t="s">
        <v>381</v>
      </c>
      <c r="D272" s="255">
        <v>6000</v>
      </c>
      <c r="E272" s="255"/>
      <c r="F272" s="255"/>
      <c r="G272" s="255">
        <f t="shared" si="32"/>
        <v>6000</v>
      </c>
      <c r="H272" s="255">
        <v>6000</v>
      </c>
      <c r="I272" s="255">
        <f t="shared" si="31"/>
        <v>0</v>
      </c>
      <c r="J272" s="637">
        <f>I272/G272</f>
        <v>0</v>
      </c>
    </row>
    <row r="273" spans="1:10">
      <c r="C273" s="212" t="s">
        <v>382</v>
      </c>
      <c r="D273" s="255">
        <v>30000</v>
      </c>
      <c r="E273" s="255">
        <v>30000</v>
      </c>
      <c r="F273" s="255"/>
      <c r="G273" s="255">
        <f t="shared" si="32"/>
        <v>60000</v>
      </c>
      <c r="H273" s="255">
        <v>0</v>
      </c>
      <c r="I273" s="255">
        <f t="shared" si="31"/>
        <v>-60000</v>
      </c>
      <c r="J273" s="637">
        <f>I273/G273</f>
        <v>-1</v>
      </c>
    </row>
    <row r="274" spans="1:10">
      <c r="C274" s="212" t="s">
        <v>383</v>
      </c>
      <c r="D274" s="255">
        <v>6000</v>
      </c>
      <c r="E274" s="255"/>
      <c r="F274" s="255"/>
      <c r="G274" s="255">
        <f t="shared" si="32"/>
        <v>6000</v>
      </c>
      <c r="H274" s="255">
        <v>6000</v>
      </c>
      <c r="I274" s="255">
        <f t="shared" si="31"/>
        <v>0</v>
      </c>
      <c r="J274" s="637">
        <f>I274/G274</f>
        <v>0</v>
      </c>
    </row>
    <row r="275" spans="1:10">
      <c r="C275" s="212" t="s">
        <v>384</v>
      </c>
      <c r="D275" s="255">
        <v>70000</v>
      </c>
      <c r="E275" s="255">
        <v>25000</v>
      </c>
      <c r="F275" s="255"/>
      <c r="G275" s="255">
        <f t="shared" si="32"/>
        <v>95000</v>
      </c>
      <c r="H275" s="255">
        <v>20000</v>
      </c>
      <c r="I275" s="255">
        <f t="shared" si="31"/>
        <v>-75000</v>
      </c>
      <c r="J275" s="637">
        <f>I275/G275</f>
        <v>-0.78947368421052633</v>
      </c>
    </row>
    <row r="276" spans="1:10">
      <c r="C276" s="212"/>
      <c r="D276" s="255"/>
      <c r="G276" s="255">
        <f t="shared" si="32"/>
        <v>0</v>
      </c>
      <c r="H276" s="255">
        <v>0</v>
      </c>
      <c r="I276" s="255">
        <f t="shared" si="31"/>
        <v>0</v>
      </c>
      <c r="J276" s="637"/>
    </row>
    <row r="277" spans="1:10" ht="22.5">
      <c r="C277" s="257" t="s">
        <v>385</v>
      </c>
      <c r="D277" s="255"/>
      <c r="G277" s="255">
        <f t="shared" si="32"/>
        <v>0</v>
      </c>
      <c r="H277" s="255">
        <v>0</v>
      </c>
      <c r="I277" s="255">
        <f t="shared" si="31"/>
        <v>0</v>
      </c>
      <c r="J277" s="637"/>
    </row>
    <row r="278" spans="1:10">
      <c r="C278" s="258"/>
      <c r="D278" s="242"/>
      <c r="G278" s="242">
        <f t="shared" si="32"/>
        <v>0</v>
      </c>
      <c r="H278" s="259">
        <v>0</v>
      </c>
      <c r="I278" s="368">
        <f t="shared" si="31"/>
        <v>0</v>
      </c>
      <c r="J278" s="649"/>
    </row>
    <row r="279" spans="1:10">
      <c r="A279" s="169" t="s">
        <v>295</v>
      </c>
      <c r="B279" s="169" t="s">
        <v>54</v>
      </c>
      <c r="C279" s="195" t="s">
        <v>386</v>
      </c>
      <c r="D279" s="245">
        <f>729225-4000</f>
        <v>725225</v>
      </c>
      <c r="E279" s="245">
        <v>15000</v>
      </c>
      <c r="F279" s="245">
        <v>7000</v>
      </c>
      <c r="G279" s="245">
        <f t="shared" si="32"/>
        <v>747225</v>
      </c>
      <c r="H279" s="245">
        <v>836025</v>
      </c>
      <c r="I279" s="255">
        <f t="shared" si="31"/>
        <v>88800</v>
      </c>
      <c r="J279" s="637">
        <f t="shared" ref="J279:J288" si="33">I279/G279</f>
        <v>0.11883970691558768</v>
      </c>
    </row>
    <row r="280" spans="1:10">
      <c r="C280" s="260" t="s">
        <v>387</v>
      </c>
      <c r="D280" s="255">
        <v>25000</v>
      </c>
      <c r="F280" s="255"/>
      <c r="G280" s="255">
        <f t="shared" si="32"/>
        <v>25000</v>
      </c>
      <c r="H280" s="255">
        <v>25000</v>
      </c>
      <c r="I280" s="255">
        <f t="shared" si="31"/>
        <v>0</v>
      </c>
      <c r="J280" s="637">
        <f t="shared" si="33"/>
        <v>0</v>
      </c>
    </row>
    <row r="281" spans="1:10" s="518" customFormat="1">
      <c r="C281" s="367" t="s">
        <v>388</v>
      </c>
      <c r="D281" s="520">
        <v>12000</v>
      </c>
      <c r="F281" s="520"/>
      <c r="G281" s="520">
        <f t="shared" si="32"/>
        <v>12000</v>
      </c>
      <c r="H281" s="255">
        <v>12000</v>
      </c>
      <c r="I281" s="255">
        <f t="shared" si="31"/>
        <v>0</v>
      </c>
      <c r="J281" s="637">
        <f t="shared" si="33"/>
        <v>0</v>
      </c>
    </row>
    <row r="282" spans="1:10">
      <c r="C282" s="261" t="s">
        <v>389</v>
      </c>
      <c r="D282" s="255">
        <v>57000</v>
      </c>
      <c r="F282" s="255"/>
      <c r="G282" s="255">
        <f t="shared" si="32"/>
        <v>57000</v>
      </c>
      <c r="H282" s="255">
        <v>57000</v>
      </c>
      <c r="I282" s="255">
        <f t="shared" si="31"/>
        <v>0</v>
      </c>
      <c r="J282" s="637">
        <f t="shared" si="33"/>
        <v>0</v>
      </c>
    </row>
    <row r="283" spans="1:10">
      <c r="C283" s="261" t="s">
        <v>390</v>
      </c>
      <c r="D283" s="255">
        <v>10000</v>
      </c>
      <c r="F283" s="255"/>
      <c r="G283" s="255">
        <f t="shared" si="32"/>
        <v>10000</v>
      </c>
      <c r="H283" s="255">
        <v>10000</v>
      </c>
      <c r="I283" s="255">
        <f t="shared" si="31"/>
        <v>0</v>
      </c>
      <c r="J283" s="637">
        <f t="shared" si="33"/>
        <v>0</v>
      </c>
    </row>
    <row r="284" spans="1:10">
      <c r="C284" s="261" t="s">
        <v>391</v>
      </c>
      <c r="D284" s="255">
        <v>30000</v>
      </c>
      <c r="F284" s="255"/>
      <c r="G284" s="255">
        <f t="shared" si="32"/>
        <v>30000</v>
      </c>
      <c r="H284" s="255">
        <v>23000</v>
      </c>
      <c r="I284" s="255">
        <f t="shared" si="31"/>
        <v>-7000</v>
      </c>
      <c r="J284" s="637">
        <f t="shared" si="33"/>
        <v>-0.23333333333333334</v>
      </c>
    </row>
    <row r="285" spans="1:10">
      <c r="C285" s="261" t="s">
        <v>392</v>
      </c>
      <c r="D285" s="255">
        <v>35000</v>
      </c>
      <c r="F285" s="255">
        <v>7000</v>
      </c>
      <c r="G285" s="255">
        <f t="shared" si="32"/>
        <v>42000</v>
      </c>
      <c r="H285" s="255">
        <v>42000</v>
      </c>
      <c r="I285" s="255">
        <f t="shared" si="31"/>
        <v>0</v>
      </c>
      <c r="J285" s="637">
        <f t="shared" si="33"/>
        <v>0</v>
      </c>
    </row>
    <row r="286" spans="1:10">
      <c r="C286" s="261" t="s">
        <v>393</v>
      </c>
      <c r="D286" s="255">
        <v>10000</v>
      </c>
      <c r="F286" s="255"/>
      <c r="G286" s="255">
        <f t="shared" si="32"/>
        <v>10000</v>
      </c>
      <c r="H286" s="255">
        <v>10000</v>
      </c>
      <c r="I286" s="255">
        <f t="shared" si="31"/>
        <v>0</v>
      </c>
      <c r="J286" s="637">
        <f t="shared" si="33"/>
        <v>0</v>
      </c>
    </row>
    <row r="287" spans="1:10">
      <c r="C287" s="261" t="s">
        <v>394</v>
      </c>
      <c r="D287" s="255">
        <v>40000</v>
      </c>
      <c r="F287" s="255"/>
      <c r="G287" s="255">
        <f t="shared" si="32"/>
        <v>40000</v>
      </c>
      <c r="H287" s="255">
        <v>40000</v>
      </c>
      <c r="I287" s="255">
        <f t="shared" si="31"/>
        <v>0</v>
      </c>
      <c r="J287" s="637">
        <f t="shared" si="33"/>
        <v>0</v>
      </c>
    </row>
    <row r="288" spans="1:10">
      <c r="C288" s="261" t="s">
        <v>395</v>
      </c>
      <c r="D288" s="255">
        <v>20000</v>
      </c>
      <c r="F288" s="255"/>
      <c r="G288" s="255">
        <f t="shared" si="32"/>
        <v>20000</v>
      </c>
      <c r="H288" s="255">
        <v>70000</v>
      </c>
      <c r="I288" s="255">
        <f t="shared" si="31"/>
        <v>50000</v>
      </c>
      <c r="J288" s="637">
        <f t="shared" si="33"/>
        <v>2.5</v>
      </c>
    </row>
    <row r="289" spans="1:10" s="518" customFormat="1">
      <c r="C289" s="519" t="s">
        <v>1016</v>
      </c>
      <c r="D289" s="520"/>
      <c r="E289" s="520"/>
      <c r="F289" s="520"/>
      <c r="G289" s="520">
        <f t="shared" si="32"/>
        <v>0</v>
      </c>
      <c r="H289" s="255">
        <v>50000</v>
      </c>
      <c r="I289" s="255">
        <f t="shared" si="31"/>
        <v>50000</v>
      </c>
      <c r="J289" s="637"/>
    </row>
    <row r="290" spans="1:10">
      <c r="C290" s="261" t="s">
        <v>396</v>
      </c>
      <c r="D290" s="255">
        <v>17000</v>
      </c>
      <c r="F290" s="255"/>
      <c r="G290" s="255">
        <f t="shared" si="32"/>
        <v>17000</v>
      </c>
      <c r="H290" s="255">
        <v>17000</v>
      </c>
      <c r="I290" s="255">
        <f t="shared" si="31"/>
        <v>0</v>
      </c>
      <c r="J290" s="637">
        <f t="shared" ref="J290:J298" si="34">I290/G290</f>
        <v>0</v>
      </c>
    </row>
    <row r="291" spans="1:10">
      <c r="C291" s="261" t="s">
        <v>397</v>
      </c>
      <c r="D291" s="255">
        <v>15000</v>
      </c>
      <c r="G291" s="255">
        <f t="shared" si="32"/>
        <v>15000</v>
      </c>
      <c r="H291" s="255">
        <v>60000</v>
      </c>
      <c r="I291" s="255">
        <f t="shared" si="31"/>
        <v>45000</v>
      </c>
      <c r="J291" s="637">
        <f t="shared" si="34"/>
        <v>3</v>
      </c>
    </row>
    <row r="292" spans="1:10">
      <c r="C292" s="261" t="s">
        <v>398</v>
      </c>
      <c r="D292" s="255">
        <v>2500</v>
      </c>
      <c r="G292" s="255">
        <f t="shared" si="32"/>
        <v>2500</v>
      </c>
      <c r="H292" s="255">
        <v>3000</v>
      </c>
      <c r="I292" s="255">
        <f t="shared" si="31"/>
        <v>500</v>
      </c>
      <c r="J292" s="637">
        <f t="shared" si="34"/>
        <v>0.2</v>
      </c>
    </row>
    <row r="293" spans="1:10">
      <c r="C293" s="261" t="s">
        <v>399</v>
      </c>
      <c r="D293" s="255">
        <v>50000</v>
      </c>
      <c r="G293" s="255">
        <f t="shared" si="32"/>
        <v>50000</v>
      </c>
      <c r="H293" s="255">
        <v>50000</v>
      </c>
      <c r="I293" s="255">
        <f t="shared" si="31"/>
        <v>0</v>
      </c>
      <c r="J293" s="637">
        <f t="shared" si="34"/>
        <v>0</v>
      </c>
    </row>
    <row r="294" spans="1:10">
      <c r="C294" s="261" t="s">
        <v>400</v>
      </c>
      <c r="D294" s="255">
        <v>28000</v>
      </c>
      <c r="G294" s="255">
        <f t="shared" si="32"/>
        <v>28000</v>
      </c>
      <c r="H294" s="255">
        <v>28000</v>
      </c>
      <c r="I294" s="255">
        <f t="shared" si="31"/>
        <v>0</v>
      </c>
      <c r="J294" s="637">
        <f t="shared" si="34"/>
        <v>0</v>
      </c>
    </row>
    <row r="295" spans="1:10">
      <c r="C295" s="261" t="s">
        <v>401</v>
      </c>
      <c r="D295" s="255">
        <v>10000</v>
      </c>
      <c r="G295" s="255">
        <f t="shared" si="32"/>
        <v>10000</v>
      </c>
      <c r="H295" s="255">
        <v>0</v>
      </c>
      <c r="I295" s="255">
        <f t="shared" ref="I295:I298" si="35">H295-G295</f>
        <v>-10000</v>
      </c>
      <c r="J295" s="637">
        <f t="shared" si="34"/>
        <v>-1</v>
      </c>
    </row>
    <row r="296" spans="1:10">
      <c r="C296" s="261" t="s">
        <v>402</v>
      </c>
      <c r="D296" s="255">
        <v>15000</v>
      </c>
      <c r="G296" s="255">
        <f t="shared" si="32"/>
        <v>15000</v>
      </c>
      <c r="H296" s="255">
        <v>0</v>
      </c>
      <c r="I296" s="255">
        <f t="shared" si="35"/>
        <v>-15000</v>
      </c>
      <c r="J296" s="637">
        <f t="shared" si="34"/>
        <v>-1</v>
      </c>
    </row>
    <row r="297" spans="1:10">
      <c r="C297" s="261" t="s">
        <v>403</v>
      </c>
      <c r="D297" s="255"/>
      <c r="E297" s="255">
        <v>5000</v>
      </c>
      <c r="F297" s="255"/>
      <c r="G297" s="255">
        <f t="shared" si="32"/>
        <v>5000</v>
      </c>
      <c r="H297" s="255">
        <v>0</v>
      </c>
      <c r="I297" s="255">
        <f t="shared" si="35"/>
        <v>-5000</v>
      </c>
      <c r="J297" s="637">
        <f t="shared" si="34"/>
        <v>-1</v>
      </c>
    </row>
    <row r="298" spans="1:10">
      <c r="C298" s="261" t="s">
        <v>404</v>
      </c>
      <c r="D298" s="255"/>
      <c r="E298" s="255">
        <v>10000</v>
      </c>
      <c r="F298" s="255"/>
      <c r="G298" s="255">
        <f t="shared" si="32"/>
        <v>10000</v>
      </c>
      <c r="H298" s="255">
        <v>0</v>
      </c>
      <c r="I298" s="255">
        <f t="shared" si="35"/>
        <v>-10000</v>
      </c>
      <c r="J298" s="637">
        <f t="shared" si="34"/>
        <v>-1</v>
      </c>
    </row>
    <row r="299" spans="1:10">
      <c r="C299" s="261" t="s">
        <v>1162</v>
      </c>
      <c r="D299" s="255"/>
      <c r="E299" s="255"/>
      <c r="F299" s="255"/>
      <c r="G299" s="255"/>
      <c r="H299" s="255">
        <v>40000</v>
      </c>
      <c r="I299" s="255"/>
      <c r="J299" s="637"/>
    </row>
    <row r="300" spans="1:10">
      <c r="C300" s="261"/>
      <c r="D300" s="255"/>
      <c r="G300" s="255"/>
      <c r="H300" s="255">
        <v>0</v>
      </c>
      <c r="I300" s="255"/>
      <c r="J300" s="637"/>
    </row>
    <row r="301" spans="1:10">
      <c r="A301" s="169" t="s">
        <v>295</v>
      </c>
      <c r="B301" s="169" t="s">
        <v>54</v>
      </c>
      <c r="C301" s="195" t="s">
        <v>405</v>
      </c>
      <c r="D301" s="245">
        <v>500000</v>
      </c>
      <c r="F301" s="245"/>
      <c r="G301" s="245">
        <f t="shared" si="32"/>
        <v>500000</v>
      </c>
      <c r="H301" s="245">
        <v>300000</v>
      </c>
      <c r="I301" s="255">
        <f t="shared" ref="I301:I309" si="36">H301-G301</f>
        <v>-200000</v>
      </c>
      <c r="J301" s="637">
        <f>I301/G301</f>
        <v>-0.4</v>
      </c>
    </row>
    <row r="302" spans="1:10">
      <c r="C302" s="261"/>
      <c r="D302" s="255"/>
      <c r="F302" s="255"/>
      <c r="G302" s="255">
        <f t="shared" si="32"/>
        <v>0</v>
      </c>
      <c r="H302" s="255">
        <v>0</v>
      </c>
      <c r="I302" s="255">
        <f t="shared" si="36"/>
        <v>0</v>
      </c>
      <c r="J302" s="637"/>
    </row>
    <row r="303" spans="1:10">
      <c r="A303" s="169" t="s">
        <v>295</v>
      </c>
      <c r="B303" s="169" t="s">
        <v>54</v>
      </c>
      <c r="C303" s="195" t="s">
        <v>406</v>
      </c>
      <c r="D303" s="237">
        <v>100000</v>
      </c>
      <c r="E303" s="179">
        <v>-95000</v>
      </c>
      <c r="F303" s="179">
        <v>2362</v>
      </c>
      <c r="G303" s="237">
        <f t="shared" si="32"/>
        <v>7362</v>
      </c>
      <c r="H303" s="179">
        <v>0</v>
      </c>
      <c r="I303" s="293">
        <f t="shared" si="36"/>
        <v>-7362</v>
      </c>
      <c r="J303" s="662">
        <f>I303/G303</f>
        <v>-1</v>
      </c>
    </row>
    <row r="304" spans="1:10">
      <c r="C304" s="195"/>
      <c r="D304" s="237"/>
      <c r="F304" s="179"/>
      <c r="G304" s="237">
        <f t="shared" si="32"/>
        <v>0</v>
      </c>
      <c r="H304" s="179">
        <v>0</v>
      </c>
      <c r="I304" s="293">
        <f t="shared" si="36"/>
        <v>0</v>
      </c>
      <c r="J304" s="662"/>
    </row>
    <row r="305" spans="1:10">
      <c r="A305" s="169" t="s">
        <v>295</v>
      </c>
      <c r="B305" s="169" t="s">
        <v>54</v>
      </c>
      <c r="C305" s="195" t="s">
        <v>407</v>
      </c>
      <c r="D305" s="237">
        <v>25500</v>
      </c>
      <c r="F305" s="179"/>
      <c r="G305" s="237">
        <f t="shared" si="32"/>
        <v>25500</v>
      </c>
      <c r="H305" s="179">
        <v>25500</v>
      </c>
      <c r="I305" s="293">
        <f t="shared" si="36"/>
        <v>0</v>
      </c>
      <c r="J305" s="662">
        <f>I305/G305</f>
        <v>0</v>
      </c>
    </row>
    <row r="306" spans="1:10">
      <c r="C306" s="195"/>
      <c r="D306" s="237"/>
      <c r="F306" s="179"/>
      <c r="G306" s="237">
        <f t="shared" si="32"/>
        <v>0</v>
      </c>
      <c r="H306" s="179">
        <v>0</v>
      </c>
      <c r="I306" s="293">
        <f t="shared" si="36"/>
        <v>0</v>
      </c>
      <c r="J306" s="662"/>
    </row>
    <row r="307" spans="1:10">
      <c r="A307" s="169" t="s">
        <v>295</v>
      </c>
      <c r="B307" s="169" t="s">
        <v>54</v>
      </c>
      <c r="C307" s="195" t="s">
        <v>408</v>
      </c>
      <c r="D307" s="245">
        <v>1300</v>
      </c>
      <c r="F307" s="245"/>
      <c r="G307" s="245">
        <f t="shared" si="32"/>
        <v>1300</v>
      </c>
      <c r="H307" s="245">
        <v>1000</v>
      </c>
      <c r="I307" s="255">
        <f t="shared" si="36"/>
        <v>-300</v>
      </c>
      <c r="J307" s="637">
        <f>I307/G307</f>
        <v>-0.23076923076923078</v>
      </c>
    </row>
    <row r="308" spans="1:10">
      <c r="C308" s="195"/>
      <c r="D308" s="245"/>
      <c r="F308" s="245"/>
      <c r="G308" s="245">
        <f t="shared" si="32"/>
        <v>0</v>
      </c>
      <c r="H308" s="245">
        <v>0</v>
      </c>
      <c r="I308" s="255">
        <f t="shared" si="36"/>
        <v>0</v>
      </c>
      <c r="J308" s="637"/>
    </row>
    <row r="309" spans="1:10">
      <c r="A309" s="169" t="s">
        <v>295</v>
      </c>
      <c r="B309" s="169" t="s">
        <v>54</v>
      </c>
      <c r="C309" s="195" t="s">
        <v>409</v>
      </c>
      <c r="D309" s="245">
        <v>4430</v>
      </c>
      <c r="F309" s="245"/>
      <c r="G309" s="245">
        <f t="shared" si="32"/>
        <v>4430</v>
      </c>
      <c r="H309" s="245">
        <v>4430</v>
      </c>
      <c r="I309" s="255">
        <f t="shared" si="36"/>
        <v>0</v>
      </c>
      <c r="J309" s="637">
        <f>I309/G309</f>
        <v>0</v>
      </c>
    </row>
    <row r="310" spans="1:10">
      <c r="C310" s="195"/>
      <c r="D310" s="245"/>
      <c r="F310" s="245"/>
      <c r="G310" s="245"/>
      <c r="H310" s="245">
        <v>0</v>
      </c>
      <c r="I310" s="255"/>
      <c r="J310" s="637"/>
    </row>
    <row r="311" spans="1:10">
      <c r="A311" s="169" t="s">
        <v>295</v>
      </c>
      <c r="B311" s="169" t="s">
        <v>54</v>
      </c>
      <c r="C311" s="262" t="s">
        <v>410</v>
      </c>
      <c r="D311" s="245">
        <v>12000</v>
      </c>
      <c r="F311" s="245">
        <v>-12000</v>
      </c>
      <c r="G311" s="245">
        <f t="shared" si="32"/>
        <v>0</v>
      </c>
      <c r="H311" s="245">
        <v>12000</v>
      </c>
      <c r="I311" s="255">
        <f t="shared" ref="I311:I342" si="37">H311-G311</f>
        <v>12000</v>
      </c>
      <c r="J311" s="637"/>
    </row>
    <row r="312" spans="1:10">
      <c r="C312" s="217"/>
      <c r="D312" s="185"/>
      <c r="F312" s="185"/>
      <c r="G312" s="185">
        <f t="shared" si="32"/>
        <v>0</v>
      </c>
      <c r="H312" s="185">
        <v>0</v>
      </c>
      <c r="I312" s="268">
        <f t="shared" si="37"/>
        <v>0</v>
      </c>
      <c r="J312" s="634"/>
    </row>
    <row r="313" spans="1:10" ht="38.25">
      <c r="A313" s="169" t="s">
        <v>295</v>
      </c>
      <c r="B313" s="169" t="s">
        <v>54</v>
      </c>
      <c r="C313" s="263" t="s">
        <v>411</v>
      </c>
      <c r="D313" s="245">
        <v>33584</v>
      </c>
      <c r="F313" s="245"/>
      <c r="G313" s="245">
        <f t="shared" si="32"/>
        <v>33584</v>
      </c>
      <c r="H313" s="245">
        <v>24585</v>
      </c>
      <c r="I313" s="255">
        <f t="shared" si="37"/>
        <v>-8999</v>
      </c>
      <c r="J313" s="637">
        <f>I313/G313</f>
        <v>-0.26795497856121964</v>
      </c>
    </row>
    <row r="314" spans="1:10">
      <c r="C314" s="196" t="s">
        <v>291</v>
      </c>
      <c r="D314" s="246">
        <v>13345</v>
      </c>
      <c r="F314" s="246"/>
      <c r="G314" s="246">
        <f t="shared" si="32"/>
        <v>13345</v>
      </c>
      <c r="H314" s="246">
        <v>13345</v>
      </c>
      <c r="I314" s="520">
        <f t="shared" si="37"/>
        <v>0</v>
      </c>
      <c r="J314" s="638">
        <f>I314/G314</f>
        <v>0</v>
      </c>
    </row>
    <row r="315" spans="1:10">
      <c r="C315" s="247"/>
      <c r="D315" s="248"/>
      <c r="F315" s="248"/>
      <c r="G315" s="248">
        <f t="shared" si="32"/>
        <v>0</v>
      </c>
      <c r="H315" s="248">
        <v>0</v>
      </c>
      <c r="I315" s="673">
        <f t="shared" si="37"/>
        <v>0</v>
      </c>
      <c r="J315" s="674"/>
    </row>
    <row r="316" spans="1:10">
      <c r="C316" s="217" t="s">
        <v>337</v>
      </c>
      <c r="D316" s="238">
        <v>28547</v>
      </c>
      <c r="F316" s="238"/>
      <c r="G316" s="238">
        <f t="shared" si="32"/>
        <v>28547</v>
      </c>
      <c r="H316" s="238">
        <v>20897</v>
      </c>
      <c r="I316" s="673">
        <f t="shared" si="37"/>
        <v>-7650</v>
      </c>
      <c r="J316" s="674">
        <f>I316/G316</f>
        <v>-0.26797912214943775</v>
      </c>
    </row>
    <row r="317" spans="1:10">
      <c r="C317" s="217"/>
      <c r="D317" s="185"/>
      <c r="G317" s="185">
        <f t="shared" si="32"/>
        <v>0</v>
      </c>
      <c r="H317" s="185">
        <v>0</v>
      </c>
      <c r="I317" s="268">
        <f t="shared" si="37"/>
        <v>0</v>
      </c>
      <c r="J317" s="634"/>
    </row>
    <row r="318" spans="1:10">
      <c r="C318" s="196"/>
      <c r="D318" s="185"/>
      <c r="G318" s="185">
        <f t="shared" si="32"/>
        <v>0</v>
      </c>
      <c r="H318" s="185">
        <v>0</v>
      </c>
      <c r="I318" s="268">
        <f t="shared" si="37"/>
        <v>0</v>
      </c>
      <c r="J318" s="634"/>
    </row>
    <row r="319" spans="1:10" ht="15.75">
      <c r="C319" s="225" t="s">
        <v>254</v>
      </c>
      <c r="D319" s="185"/>
      <c r="G319" s="185">
        <f t="shared" si="32"/>
        <v>0</v>
      </c>
      <c r="H319" s="185">
        <v>0</v>
      </c>
      <c r="I319" s="268">
        <f t="shared" si="37"/>
        <v>0</v>
      </c>
      <c r="J319" s="634"/>
    </row>
    <row r="320" spans="1:10">
      <c r="C320" s="219"/>
      <c r="D320" s="185"/>
      <c r="G320" s="185">
        <f t="shared" si="32"/>
        <v>0</v>
      </c>
      <c r="H320" s="185">
        <v>0</v>
      </c>
      <c r="I320" s="268">
        <f t="shared" si="37"/>
        <v>0</v>
      </c>
      <c r="J320" s="634"/>
    </row>
    <row r="321" spans="1:10">
      <c r="C321" s="219" t="s">
        <v>5</v>
      </c>
      <c r="D321" s="176">
        <f>D328+D360+D368</f>
        <v>15119766</v>
      </c>
      <c r="E321" s="176">
        <f>E328+E360+E368</f>
        <v>103015</v>
      </c>
      <c r="F321" s="176">
        <f>F328+F360+F368</f>
        <v>-127782</v>
      </c>
      <c r="G321" s="176">
        <f t="shared" si="32"/>
        <v>15094999</v>
      </c>
      <c r="H321" s="176">
        <v>15900550</v>
      </c>
      <c r="I321" s="659">
        <f t="shared" si="37"/>
        <v>805551</v>
      </c>
      <c r="J321" s="660">
        <f t="shared" ref="J321:J326" si="38">I321/G321</f>
        <v>5.3365422548222761E-2</v>
      </c>
    </row>
    <row r="322" spans="1:10">
      <c r="C322" s="177" t="s">
        <v>285</v>
      </c>
      <c r="D322" s="178">
        <v>2899920</v>
      </c>
      <c r="E322" s="179">
        <v>50315</v>
      </c>
      <c r="F322" s="178">
        <v>71592</v>
      </c>
      <c r="G322" s="178">
        <f t="shared" si="32"/>
        <v>3021827</v>
      </c>
      <c r="H322" s="178">
        <v>2732475</v>
      </c>
      <c r="I322" s="184">
        <f t="shared" si="37"/>
        <v>-289352</v>
      </c>
      <c r="J322" s="632">
        <f t="shared" si="38"/>
        <v>-9.5753992534979668E-2</v>
      </c>
    </row>
    <row r="323" spans="1:10">
      <c r="C323" s="220" t="s">
        <v>286</v>
      </c>
      <c r="D323" s="176">
        <f>SUM(D324:D326)</f>
        <v>15119766</v>
      </c>
      <c r="E323" s="176">
        <f t="shared" ref="E323" si="39">SUM(E324:E326)</f>
        <v>103015</v>
      </c>
      <c r="F323" s="176">
        <f>SUM(F324:F326)</f>
        <v>-127782</v>
      </c>
      <c r="G323" s="176">
        <f t="shared" si="32"/>
        <v>15094999</v>
      </c>
      <c r="H323" s="176">
        <v>15900550</v>
      </c>
      <c r="I323" s="659">
        <f t="shared" si="37"/>
        <v>805551</v>
      </c>
      <c r="J323" s="660">
        <f t="shared" si="38"/>
        <v>5.3365422548222761E-2</v>
      </c>
    </row>
    <row r="324" spans="1:10">
      <c r="C324" s="221" t="s">
        <v>287</v>
      </c>
      <c r="D324" s="178">
        <v>4665001</v>
      </c>
      <c r="E324" s="178">
        <v>-88745</v>
      </c>
      <c r="F324" s="178">
        <v>-44052</v>
      </c>
      <c r="G324" s="178">
        <f t="shared" si="32"/>
        <v>4532204</v>
      </c>
      <c r="H324" s="178">
        <v>4533720</v>
      </c>
      <c r="I324" s="184">
        <f t="shared" si="37"/>
        <v>1516</v>
      </c>
      <c r="J324" s="632">
        <f t="shared" si="38"/>
        <v>3.3449509333648706E-4</v>
      </c>
    </row>
    <row r="325" spans="1:10">
      <c r="C325" s="222" t="s">
        <v>298</v>
      </c>
      <c r="D325" s="178"/>
      <c r="E325" s="178">
        <v>25296</v>
      </c>
      <c r="F325" s="178"/>
      <c r="G325" s="178">
        <f t="shared" si="32"/>
        <v>25296</v>
      </c>
      <c r="H325" s="178">
        <v>0</v>
      </c>
      <c r="I325" s="184">
        <f t="shared" si="37"/>
        <v>-25296</v>
      </c>
      <c r="J325" s="632">
        <f t="shared" si="38"/>
        <v>-1</v>
      </c>
    </row>
    <row r="326" spans="1:10">
      <c r="C326" s="222" t="s">
        <v>288</v>
      </c>
      <c r="D326" s="178">
        <f>D321-D324</f>
        <v>10454765</v>
      </c>
      <c r="E326" s="178">
        <f>E321-E324-E325</f>
        <v>166464</v>
      </c>
      <c r="F326" s="178">
        <f>F321-F324</f>
        <v>-83730</v>
      </c>
      <c r="G326" s="178">
        <f t="shared" si="32"/>
        <v>10537499</v>
      </c>
      <c r="H326" s="178">
        <v>11366830</v>
      </c>
      <c r="I326" s="184">
        <f t="shared" si="37"/>
        <v>829331</v>
      </c>
      <c r="J326" s="632">
        <f t="shared" si="38"/>
        <v>7.870283071912984E-2</v>
      </c>
    </row>
    <row r="327" spans="1:10">
      <c r="C327" s="201"/>
      <c r="D327" s="185"/>
      <c r="E327" s="179"/>
      <c r="F327" s="179"/>
      <c r="G327" s="185">
        <f t="shared" si="32"/>
        <v>0</v>
      </c>
      <c r="H327" s="185">
        <v>0</v>
      </c>
      <c r="I327" s="268">
        <f t="shared" si="37"/>
        <v>0</v>
      </c>
      <c r="J327" s="634"/>
    </row>
    <row r="328" spans="1:10" ht="15">
      <c r="A328" s="169" t="s">
        <v>412</v>
      </c>
      <c r="B328" s="169" t="s">
        <v>254</v>
      </c>
      <c r="C328" s="228" t="s">
        <v>413</v>
      </c>
      <c r="D328" s="229">
        <f>D329+D348+D353</f>
        <v>12298826</v>
      </c>
      <c r="E328" s="229">
        <f>E329+E348+E353</f>
        <v>36255</v>
      </c>
      <c r="F328" s="229">
        <f>F329+F348+F353</f>
        <v>-126691</v>
      </c>
      <c r="G328" s="229">
        <f t="shared" si="32"/>
        <v>12208390</v>
      </c>
      <c r="H328" s="229">
        <v>13095395</v>
      </c>
      <c r="I328" s="665">
        <f t="shared" si="37"/>
        <v>887005</v>
      </c>
      <c r="J328" s="666">
        <f>I328/G328</f>
        <v>7.2655362418795597E-2</v>
      </c>
    </row>
    <row r="329" spans="1:10">
      <c r="C329" s="223" t="s">
        <v>414</v>
      </c>
      <c r="D329" s="176">
        <f t="shared" ref="D329:F330" si="40">D333+D337+D341+D345</f>
        <v>6587471</v>
      </c>
      <c r="E329" s="176">
        <f t="shared" si="40"/>
        <v>-30600</v>
      </c>
      <c r="F329" s="176">
        <f t="shared" si="40"/>
        <v>8635</v>
      </c>
      <c r="G329" s="176">
        <f t="shared" si="32"/>
        <v>6565506</v>
      </c>
      <c r="H329" s="176">
        <v>6482115</v>
      </c>
      <c r="I329" s="659">
        <f t="shared" si="37"/>
        <v>-83391</v>
      </c>
      <c r="J329" s="660">
        <f>I329/G329</f>
        <v>-1.2701382041231857E-2</v>
      </c>
    </row>
    <row r="330" spans="1:10">
      <c r="C330" s="202" t="s">
        <v>291</v>
      </c>
      <c r="D330" s="189">
        <f t="shared" si="40"/>
        <v>2005047</v>
      </c>
      <c r="E330" s="189">
        <f t="shared" si="40"/>
        <v>-51952</v>
      </c>
      <c r="F330" s="189">
        <f t="shared" si="40"/>
        <v>-2687</v>
      </c>
      <c r="G330" s="189">
        <f t="shared" si="32"/>
        <v>1950408</v>
      </c>
      <c r="H330" s="189">
        <v>1995969</v>
      </c>
      <c r="I330" s="184">
        <f t="shared" si="37"/>
        <v>45561</v>
      </c>
      <c r="J330" s="632">
        <f>I330/G330</f>
        <v>2.335972781079651E-2</v>
      </c>
    </row>
    <row r="331" spans="1:10">
      <c r="C331" s="202"/>
      <c r="D331" s="189"/>
      <c r="E331" s="189"/>
      <c r="F331" s="189"/>
      <c r="G331" s="189">
        <f t="shared" ref="G331:G374" si="41">SUM(D331:F331)</f>
        <v>0</v>
      </c>
      <c r="H331" s="189">
        <v>0</v>
      </c>
      <c r="I331" s="184">
        <f t="shared" si="37"/>
        <v>0</v>
      </c>
      <c r="J331" s="632"/>
    </row>
    <row r="332" spans="1:10">
      <c r="C332" s="235" t="s">
        <v>348</v>
      </c>
      <c r="D332" s="189"/>
      <c r="E332" s="189"/>
      <c r="F332" s="189"/>
      <c r="G332" s="189">
        <f t="shared" si="41"/>
        <v>0</v>
      </c>
      <c r="H332" s="189">
        <v>0</v>
      </c>
      <c r="I332" s="184">
        <f t="shared" si="37"/>
        <v>0</v>
      </c>
      <c r="J332" s="632"/>
    </row>
    <row r="333" spans="1:10">
      <c r="C333" s="236" t="s">
        <v>415</v>
      </c>
      <c r="D333" s="185">
        <f>812133+37115</f>
        <v>849248</v>
      </c>
      <c r="E333" s="185">
        <v>-107830</v>
      </c>
      <c r="F333" s="577">
        <v>-20429</v>
      </c>
      <c r="G333" s="185">
        <f t="shared" si="41"/>
        <v>720989</v>
      </c>
      <c r="H333" s="185">
        <v>718230</v>
      </c>
      <c r="I333" s="268">
        <f t="shared" si="37"/>
        <v>-2759</v>
      </c>
      <c r="J333" s="634">
        <f>I333/G333</f>
        <v>-3.8266880632020737E-3</v>
      </c>
    </row>
    <row r="334" spans="1:10">
      <c r="C334" s="208" t="s">
        <v>291</v>
      </c>
      <c r="D334" s="189">
        <f>313168+27739</f>
        <v>340907</v>
      </c>
      <c r="E334" s="189">
        <v>-53752</v>
      </c>
      <c r="F334" s="189"/>
      <c r="G334" s="189">
        <f t="shared" si="41"/>
        <v>287155</v>
      </c>
      <c r="H334" s="189">
        <v>285654</v>
      </c>
      <c r="I334" s="184">
        <f t="shared" si="37"/>
        <v>-1501</v>
      </c>
      <c r="J334" s="632">
        <f>I334/G334</f>
        <v>-5.2271421357803277E-3</v>
      </c>
    </row>
    <row r="335" spans="1:10">
      <c r="C335" s="202"/>
      <c r="D335" s="189"/>
      <c r="E335" s="237"/>
      <c r="F335" s="237"/>
      <c r="G335" s="189">
        <f t="shared" si="41"/>
        <v>0</v>
      </c>
      <c r="H335" s="189">
        <v>0</v>
      </c>
      <c r="I335" s="184">
        <f t="shared" si="37"/>
        <v>0</v>
      </c>
      <c r="J335" s="632"/>
    </row>
    <row r="336" spans="1:10">
      <c r="C336" s="235" t="s">
        <v>348</v>
      </c>
      <c r="D336" s="189"/>
      <c r="E336" s="237"/>
      <c r="F336" s="237"/>
      <c r="G336" s="189">
        <f t="shared" si="41"/>
        <v>0</v>
      </c>
      <c r="H336" s="189">
        <v>0</v>
      </c>
      <c r="I336" s="184">
        <f t="shared" si="37"/>
        <v>0</v>
      </c>
      <c r="J336" s="632"/>
    </row>
    <row r="337" spans="3:10" ht="24">
      <c r="C337" s="236" t="s">
        <v>416</v>
      </c>
      <c r="D337" s="185">
        <f>3975585+48660+241+56000+73000</f>
        <v>4153486</v>
      </c>
      <c r="E337" s="185">
        <v>77230</v>
      </c>
      <c r="F337" s="577">
        <v>66080</v>
      </c>
      <c r="G337" s="185">
        <f t="shared" si="41"/>
        <v>4296796</v>
      </c>
      <c r="H337" s="185">
        <v>4216115</v>
      </c>
      <c r="I337" s="268">
        <f t="shared" si="37"/>
        <v>-80681</v>
      </c>
      <c r="J337" s="634">
        <f>I337/G337</f>
        <v>-1.8777014314852274E-2</v>
      </c>
    </row>
    <row r="338" spans="3:10">
      <c r="C338" s="208" t="s">
        <v>291</v>
      </c>
      <c r="D338" s="189">
        <f>1121380-4000+180+54559</f>
        <v>1172119</v>
      </c>
      <c r="E338" s="189">
        <v>1800</v>
      </c>
      <c r="F338" s="579">
        <v>14298</v>
      </c>
      <c r="G338" s="189">
        <f t="shared" si="41"/>
        <v>1188217</v>
      </c>
      <c r="H338" s="189">
        <v>1242161</v>
      </c>
      <c r="I338" s="184">
        <f t="shared" si="37"/>
        <v>53944</v>
      </c>
      <c r="J338" s="632">
        <f>I338/G338</f>
        <v>4.5399114808153729E-2</v>
      </c>
    </row>
    <row r="339" spans="3:10">
      <c r="C339" s="208"/>
      <c r="D339" s="189"/>
      <c r="E339" s="189"/>
      <c r="F339" s="189"/>
      <c r="G339" s="189">
        <f t="shared" si="41"/>
        <v>0</v>
      </c>
      <c r="H339" s="189">
        <v>0</v>
      </c>
      <c r="I339" s="184">
        <f t="shared" si="37"/>
        <v>0</v>
      </c>
      <c r="J339" s="632"/>
    </row>
    <row r="340" spans="3:10">
      <c r="C340" s="235" t="s">
        <v>348</v>
      </c>
      <c r="D340" s="189"/>
      <c r="E340" s="179"/>
      <c r="F340" s="179"/>
      <c r="G340" s="189">
        <f t="shared" si="41"/>
        <v>0</v>
      </c>
      <c r="H340" s="189">
        <v>0</v>
      </c>
      <c r="I340" s="184">
        <f t="shared" si="37"/>
        <v>0</v>
      </c>
      <c r="J340" s="632"/>
    </row>
    <row r="341" spans="3:10">
      <c r="C341" s="236" t="s">
        <v>417</v>
      </c>
      <c r="D341" s="185">
        <v>1055682</v>
      </c>
      <c r="E341" s="179"/>
      <c r="F341" s="577">
        <v>-1200</v>
      </c>
      <c r="G341" s="185">
        <f t="shared" si="41"/>
        <v>1054482</v>
      </c>
      <c r="H341" s="185">
        <v>1084280</v>
      </c>
      <c r="I341" s="268">
        <f t="shared" si="37"/>
        <v>29798</v>
      </c>
      <c r="J341" s="634">
        <f>I341/G341</f>
        <v>2.8258424515544125E-2</v>
      </c>
    </row>
    <row r="342" spans="3:10">
      <c r="C342" s="208" t="s">
        <v>291</v>
      </c>
      <c r="D342" s="189">
        <v>340761</v>
      </c>
      <c r="E342" s="179"/>
      <c r="F342" s="179"/>
      <c r="G342" s="189">
        <f t="shared" si="41"/>
        <v>340761</v>
      </c>
      <c r="H342" s="189">
        <v>351769</v>
      </c>
      <c r="I342" s="184">
        <f t="shared" si="37"/>
        <v>11008</v>
      </c>
      <c r="J342" s="632">
        <f>I342/G342</f>
        <v>3.2304166263158046E-2</v>
      </c>
    </row>
    <row r="343" spans="3:10">
      <c r="C343" s="208"/>
      <c r="D343" s="189"/>
      <c r="E343" s="179"/>
      <c r="F343" s="179"/>
      <c r="G343" s="189">
        <f t="shared" si="41"/>
        <v>0</v>
      </c>
      <c r="H343" s="189">
        <v>0</v>
      </c>
      <c r="I343" s="184">
        <f t="shared" ref="I343:I374" si="42">H343-G343</f>
        <v>0</v>
      </c>
      <c r="J343" s="632"/>
    </row>
    <row r="344" spans="3:10">
      <c r="C344" s="235" t="s">
        <v>348</v>
      </c>
      <c r="D344" s="189"/>
      <c r="E344" s="179"/>
      <c r="F344" s="179"/>
      <c r="G344" s="189">
        <f t="shared" si="41"/>
        <v>0</v>
      </c>
      <c r="H344" s="189">
        <v>0</v>
      </c>
      <c r="I344" s="184">
        <f t="shared" si="42"/>
        <v>0</v>
      </c>
      <c r="J344" s="632"/>
    </row>
    <row r="345" spans="3:10" ht="24">
      <c r="C345" s="236" t="s">
        <v>418</v>
      </c>
      <c r="D345" s="185">
        <f>526384+2350+321</f>
        <v>529055</v>
      </c>
      <c r="E345" s="179"/>
      <c r="F345" s="577">
        <v>-35816</v>
      </c>
      <c r="G345" s="185">
        <f t="shared" si="41"/>
        <v>493239</v>
      </c>
      <c r="H345" s="185">
        <v>463490</v>
      </c>
      <c r="I345" s="268">
        <f t="shared" si="42"/>
        <v>-29749</v>
      </c>
      <c r="J345" s="634">
        <f>I345/G345</f>
        <v>-6.0313559957748675E-2</v>
      </c>
    </row>
    <row r="346" spans="3:10">
      <c r="C346" s="208" t="s">
        <v>291</v>
      </c>
      <c r="D346" s="189">
        <f>151020+240</f>
        <v>151260</v>
      </c>
      <c r="E346" s="179"/>
      <c r="F346" s="579">
        <v>-16985</v>
      </c>
      <c r="G346" s="189">
        <f t="shared" si="41"/>
        <v>134275</v>
      </c>
      <c r="H346" s="189">
        <v>116385</v>
      </c>
      <c r="I346" s="184">
        <f t="shared" si="42"/>
        <v>-17890</v>
      </c>
      <c r="J346" s="632">
        <f>I346/G346</f>
        <v>-0.13323403463042263</v>
      </c>
    </row>
    <row r="347" spans="3:10">
      <c r="C347" s="208"/>
      <c r="D347" s="185"/>
      <c r="E347" s="179"/>
      <c r="F347" s="179"/>
      <c r="G347" s="185">
        <f t="shared" si="41"/>
        <v>0</v>
      </c>
      <c r="H347" s="185">
        <v>0</v>
      </c>
      <c r="I347" s="268">
        <f t="shared" si="42"/>
        <v>0</v>
      </c>
      <c r="J347" s="634"/>
    </row>
    <row r="348" spans="3:10">
      <c r="C348" s="223" t="s">
        <v>419</v>
      </c>
      <c r="D348" s="176">
        <f>D351</f>
        <v>4295000</v>
      </c>
      <c r="E348" s="176">
        <f>E351</f>
        <v>100000</v>
      </c>
      <c r="F348" s="581">
        <f>F351</f>
        <v>68475</v>
      </c>
      <c r="G348" s="176">
        <f t="shared" si="41"/>
        <v>4463475</v>
      </c>
      <c r="H348" s="176">
        <v>5195000</v>
      </c>
      <c r="I348" s="659">
        <f t="shared" si="42"/>
        <v>731525</v>
      </c>
      <c r="J348" s="660">
        <f>I348/G348</f>
        <v>0.16389136267146115</v>
      </c>
    </row>
    <row r="349" spans="3:10">
      <c r="C349" s="223"/>
      <c r="D349" s="176"/>
      <c r="E349" s="176"/>
      <c r="F349" s="581">
        <v>0</v>
      </c>
      <c r="G349" s="176">
        <f t="shared" si="41"/>
        <v>0</v>
      </c>
      <c r="H349" s="176">
        <v>0</v>
      </c>
      <c r="I349" s="659">
        <f t="shared" si="42"/>
        <v>0</v>
      </c>
      <c r="J349" s="660"/>
    </row>
    <row r="350" spans="3:10">
      <c r="C350" s="235" t="s">
        <v>348</v>
      </c>
      <c r="D350" s="176"/>
      <c r="E350" s="176"/>
      <c r="F350" s="581">
        <v>0</v>
      </c>
      <c r="G350" s="176">
        <f t="shared" si="41"/>
        <v>0</v>
      </c>
      <c r="H350" s="176">
        <v>0</v>
      </c>
      <c r="I350" s="659">
        <f t="shared" si="42"/>
        <v>0</v>
      </c>
      <c r="J350" s="660"/>
    </row>
    <row r="351" spans="3:10">
      <c r="C351" s="236" t="s">
        <v>420</v>
      </c>
      <c r="D351" s="185">
        <f>4145000+150000</f>
        <v>4295000</v>
      </c>
      <c r="E351" s="185">
        <v>100000</v>
      </c>
      <c r="F351" s="577">
        <v>68475</v>
      </c>
      <c r="G351" s="185">
        <f t="shared" si="41"/>
        <v>4463475</v>
      </c>
      <c r="H351" s="185">
        <v>5195000</v>
      </c>
      <c r="I351" s="268">
        <f t="shared" si="42"/>
        <v>731525</v>
      </c>
      <c r="J351" s="634">
        <f>I351/G351</f>
        <v>0.16389136267146115</v>
      </c>
    </row>
    <row r="352" spans="3:10">
      <c r="C352" s="264"/>
      <c r="D352" s="237"/>
      <c r="E352" s="176">
        <f>E356</f>
        <v>0</v>
      </c>
      <c r="F352" s="582">
        <v>0</v>
      </c>
      <c r="G352" s="237">
        <f t="shared" si="41"/>
        <v>0</v>
      </c>
      <c r="H352" s="179">
        <v>0</v>
      </c>
      <c r="I352" s="293">
        <f t="shared" si="42"/>
        <v>0</v>
      </c>
      <c r="J352" s="662"/>
    </row>
    <row r="353" spans="1:10">
      <c r="C353" s="223" t="s">
        <v>421</v>
      </c>
      <c r="D353" s="176">
        <f>D357</f>
        <v>1416355</v>
      </c>
      <c r="E353" s="189">
        <f>E357</f>
        <v>-33145</v>
      </c>
      <c r="F353" s="581">
        <f>F357</f>
        <v>-203801</v>
      </c>
      <c r="G353" s="176">
        <f t="shared" si="41"/>
        <v>1179409</v>
      </c>
      <c r="H353" s="176">
        <v>1418280</v>
      </c>
      <c r="I353" s="659">
        <f t="shared" si="42"/>
        <v>238871</v>
      </c>
      <c r="J353" s="660">
        <f>I353/G353</f>
        <v>0.20253448973172156</v>
      </c>
    </row>
    <row r="354" spans="1:10">
      <c r="C354" s="202" t="s">
        <v>291</v>
      </c>
      <c r="D354" s="189">
        <f>D358</f>
        <v>268171</v>
      </c>
      <c r="E354" s="189">
        <f t="shared" ref="E354" si="43">E358</f>
        <v>9972</v>
      </c>
      <c r="F354" s="579">
        <f>F358</f>
        <v>-62722</v>
      </c>
      <c r="G354" s="189">
        <f t="shared" si="41"/>
        <v>215421</v>
      </c>
      <c r="H354" s="189">
        <v>66658</v>
      </c>
      <c r="I354" s="184">
        <f t="shared" si="42"/>
        <v>-148763</v>
      </c>
      <c r="J354" s="632">
        <f>I354/G354</f>
        <v>-0.69056870035883222</v>
      </c>
    </row>
    <row r="355" spans="1:10">
      <c r="C355" s="265"/>
      <c r="D355" s="237"/>
      <c r="E355" s="237"/>
      <c r="F355" s="582">
        <v>0</v>
      </c>
      <c r="G355" s="237">
        <f t="shared" si="41"/>
        <v>0</v>
      </c>
      <c r="H355" s="179">
        <v>0</v>
      </c>
      <c r="I355" s="293">
        <f t="shared" si="42"/>
        <v>0</v>
      </c>
      <c r="J355" s="662"/>
    </row>
    <row r="356" spans="1:10">
      <c r="C356" s="235" t="s">
        <v>348</v>
      </c>
      <c r="D356" s="237"/>
      <c r="E356" s="237"/>
      <c r="F356" s="582">
        <v>0</v>
      </c>
      <c r="G356" s="237">
        <f t="shared" si="41"/>
        <v>0</v>
      </c>
      <c r="H356" s="179">
        <v>0</v>
      </c>
      <c r="I356" s="293">
        <f t="shared" si="42"/>
        <v>0</v>
      </c>
      <c r="J356" s="662"/>
    </row>
    <row r="357" spans="1:10">
      <c r="C357" s="236" t="s">
        <v>422</v>
      </c>
      <c r="D357" s="185">
        <v>1416355</v>
      </c>
      <c r="E357" s="237">
        <v>-33145</v>
      </c>
      <c r="F357" s="577">
        <v>-203801</v>
      </c>
      <c r="G357" s="185">
        <f t="shared" si="41"/>
        <v>1179409</v>
      </c>
      <c r="H357" s="185">
        <v>1418280</v>
      </c>
      <c r="I357" s="268">
        <f t="shared" si="42"/>
        <v>238871</v>
      </c>
      <c r="J357" s="634">
        <f>I357/G357</f>
        <v>0.20253448973172156</v>
      </c>
    </row>
    <row r="358" spans="1:10">
      <c r="C358" s="208" t="s">
        <v>291</v>
      </c>
      <c r="D358" s="189">
        <v>268171</v>
      </c>
      <c r="E358" s="189">
        <v>9972</v>
      </c>
      <c r="F358" s="579">
        <v>-62722</v>
      </c>
      <c r="G358" s="189">
        <f t="shared" si="41"/>
        <v>215421</v>
      </c>
      <c r="H358" s="189">
        <v>66658</v>
      </c>
      <c r="I358" s="184">
        <f t="shared" si="42"/>
        <v>-148763</v>
      </c>
      <c r="J358" s="632">
        <f>I358/G358</f>
        <v>-0.69056870035883222</v>
      </c>
    </row>
    <row r="359" spans="1:10">
      <c r="C359" s="236"/>
      <c r="D359" s="185"/>
      <c r="E359" s="179"/>
      <c r="F359" s="577">
        <v>0</v>
      </c>
      <c r="G359" s="185">
        <f t="shared" si="41"/>
        <v>0</v>
      </c>
      <c r="H359" s="185">
        <v>0</v>
      </c>
      <c r="I359" s="268">
        <f t="shared" si="42"/>
        <v>0</v>
      </c>
      <c r="J359" s="634"/>
    </row>
    <row r="360" spans="1:10" ht="15">
      <c r="A360" s="169" t="s">
        <v>423</v>
      </c>
      <c r="B360" s="169" t="s">
        <v>254</v>
      </c>
      <c r="C360" s="228" t="s">
        <v>424</v>
      </c>
      <c r="D360" s="229">
        <f>D361</f>
        <v>170017</v>
      </c>
      <c r="E360" s="179"/>
      <c r="F360" s="583">
        <f>F361</f>
        <v>-790</v>
      </c>
      <c r="G360" s="229">
        <f t="shared" si="41"/>
        <v>169227</v>
      </c>
      <c r="H360" s="229">
        <v>175845</v>
      </c>
      <c r="I360" s="665">
        <f t="shared" si="42"/>
        <v>6618</v>
      </c>
      <c r="J360" s="666">
        <f>I360/G360</f>
        <v>3.9107234661135637E-2</v>
      </c>
    </row>
    <row r="361" spans="1:10">
      <c r="C361" s="223" t="s">
        <v>425</v>
      </c>
      <c r="D361" s="176">
        <f>D365</f>
        <v>170017</v>
      </c>
      <c r="E361" s="179"/>
      <c r="F361" s="581">
        <f>F365</f>
        <v>-790</v>
      </c>
      <c r="G361" s="176">
        <f t="shared" si="41"/>
        <v>169227</v>
      </c>
      <c r="H361" s="176">
        <v>175845</v>
      </c>
      <c r="I361" s="659">
        <f t="shared" si="42"/>
        <v>6618</v>
      </c>
      <c r="J361" s="660">
        <f>I361/G361</f>
        <v>3.9107234661135637E-2</v>
      </c>
    </row>
    <row r="362" spans="1:10">
      <c r="C362" s="202" t="s">
        <v>291</v>
      </c>
      <c r="D362" s="189">
        <f>D366</f>
        <v>95041</v>
      </c>
      <c r="E362" s="179"/>
      <c r="F362" s="579">
        <f>F366</f>
        <v>-591</v>
      </c>
      <c r="G362" s="189">
        <f t="shared" si="41"/>
        <v>94450</v>
      </c>
      <c r="H362" s="189">
        <v>99412</v>
      </c>
      <c r="I362" s="184">
        <f t="shared" si="42"/>
        <v>4962</v>
      </c>
      <c r="J362" s="632">
        <f>I362/G362</f>
        <v>5.2535733192165167E-2</v>
      </c>
    </row>
    <row r="363" spans="1:10">
      <c r="C363" s="264"/>
      <c r="D363" s="189"/>
      <c r="E363" s="179"/>
      <c r="F363" s="579">
        <v>0</v>
      </c>
      <c r="G363" s="189">
        <f t="shared" si="41"/>
        <v>0</v>
      </c>
      <c r="H363" s="189">
        <v>0</v>
      </c>
      <c r="I363" s="184">
        <f t="shared" si="42"/>
        <v>0</v>
      </c>
      <c r="J363" s="632"/>
    </row>
    <row r="364" spans="1:10">
      <c r="C364" s="235" t="s">
        <v>348</v>
      </c>
      <c r="D364" s="189"/>
      <c r="E364" s="179"/>
      <c r="F364" s="579">
        <v>0</v>
      </c>
      <c r="G364" s="189">
        <f t="shared" si="41"/>
        <v>0</v>
      </c>
      <c r="H364" s="189">
        <v>0</v>
      </c>
      <c r="I364" s="184">
        <f t="shared" si="42"/>
        <v>0</v>
      </c>
      <c r="J364" s="632"/>
    </row>
    <row r="365" spans="1:10">
      <c r="C365" s="236" t="s">
        <v>426</v>
      </c>
      <c r="D365" s="185">
        <v>170017</v>
      </c>
      <c r="E365" s="179"/>
      <c r="F365" s="577">
        <v>-790</v>
      </c>
      <c r="G365" s="185">
        <f t="shared" si="41"/>
        <v>169227</v>
      </c>
      <c r="H365" s="185">
        <v>175845</v>
      </c>
      <c r="I365" s="268">
        <f t="shared" si="42"/>
        <v>6618</v>
      </c>
      <c r="J365" s="634">
        <f>I365/G365</f>
        <v>3.9107234661135637E-2</v>
      </c>
    </row>
    <row r="366" spans="1:10">
      <c r="C366" s="208" t="s">
        <v>291</v>
      </c>
      <c r="D366" s="189">
        <v>95041</v>
      </c>
      <c r="E366" s="179"/>
      <c r="F366" s="579">
        <v>-591</v>
      </c>
      <c r="G366" s="189">
        <f t="shared" si="41"/>
        <v>94450</v>
      </c>
      <c r="H366" s="189">
        <v>99412</v>
      </c>
      <c r="I366" s="184">
        <f t="shared" si="42"/>
        <v>4962</v>
      </c>
      <c r="J366" s="632">
        <f>I366/G366</f>
        <v>5.2535733192165167E-2</v>
      </c>
    </row>
    <row r="367" spans="1:10">
      <c r="C367" s="236"/>
      <c r="D367" s="185"/>
      <c r="E367" s="179"/>
      <c r="F367" s="577"/>
      <c r="G367" s="185">
        <f t="shared" si="41"/>
        <v>0</v>
      </c>
      <c r="H367" s="185">
        <v>0</v>
      </c>
      <c r="I367" s="268">
        <f t="shared" si="42"/>
        <v>0</v>
      </c>
      <c r="J367" s="634"/>
    </row>
    <row r="368" spans="1:10">
      <c r="C368" s="266" t="s">
        <v>351</v>
      </c>
      <c r="D368" s="176">
        <f>D370+D373+D376+D394+D412</f>
        <v>2650923</v>
      </c>
      <c r="E368" s="176">
        <f>E370+E373+E376+E394+E414</f>
        <v>66760</v>
      </c>
      <c r="F368" s="176">
        <f>F370+F373+F376+F394+F413</f>
        <v>-301</v>
      </c>
      <c r="G368" s="176">
        <f t="shared" si="41"/>
        <v>2717382</v>
      </c>
      <c r="H368" s="176">
        <v>2629310</v>
      </c>
      <c r="I368" s="659">
        <f t="shared" si="42"/>
        <v>-88072</v>
      </c>
      <c r="J368" s="660">
        <f>I368/G368</f>
        <v>-3.2410606973918281E-2</v>
      </c>
    </row>
    <row r="369" spans="1:10">
      <c r="C369" s="201"/>
      <c r="D369" s="185"/>
      <c r="E369" s="179"/>
      <c r="F369" s="577">
        <v>0</v>
      </c>
      <c r="G369" s="185">
        <f t="shared" si="41"/>
        <v>0</v>
      </c>
      <c r="H369" s="185">
        <v>0</v>
      </c>
      <c r="I369" s="268">
        <f t="shared" si="42"/>
        <v>0</v>
      </c>
      <c r="J369" s="634"/>
    </row>
    <row r="370" spans="1:10">
      <c r="A370" s="169" t="s">
        <v>412</v>
      </c>
      <c r="B370" s="169" t="s">
        <v>254</v>
      </c>
      <c r="C370" s="194" t="s">
        <v>13</v>
      </c>
      <c r="D370" s="185">
        <f>612279+12138+696</f>
        <v>625113</v>
      </c>
      <c r="E370" s="179"/>
      <c r="F370" s="577">
        <v>-2226</v>
      </c>
      <c r="G370" s="185">
        <f t="shared" si="41"/>
        <v>622887</v>
      </c>
      <c r="H370" s="185">
        <v>645370</v>
      </c>
      <c r="I370" s="268">
        <f t="shared" si="42"/>
        <v>22483</v>
      </c>
      <c r="J370" s="634">
        <f>I370/G370</f>
        <v>3.6094829399232926E-2</v>
      </c>
    </row>
    <row r="371" spans="1:10">
      <c r="C371" s="196" t="s">
        <v>291</v>
      </c>
      <c r="D371" s="189">
        <f>421193+9072+520</f>
        <v>430785</v>
      </c>
      <c r="E371" s="179"/>
      <c r="F371" s="579">
        <v>-20</v>
      </c>
      <c r="G371" s="189">
        <f t="shared" si="41"/>
        <v>430765</v>
      </c>
      <c r="H371" s="189">
        <v>447917</v>
      </c>
      <c r="I371" s="184">
        <f t="shared" si="42"/>
        <v>17152</v>
      </c>
      <c r="J371" s="632">
        <f>I371/G371</f>
        <v>3.9817533922208166E-2</v>
      </c>
    </row>
    <row r="372" spans="1:10">
      <c r="C372" s="196"/>
      <c r="D372" s="189"/>
      <c r="E372" s="179"/>
      <c r="F372" s="179"/>
      <c r="G372" s="189">
        <f t="shared" si="41"/>
        <v>0</v>
      </c>
      <c r="H372" s="189">
        <v>0</v>
      </c>
      <c r="I372" s="184">
        <f t="shared" si="42"/>
        <v>0</v>
      </c>
      <c r="J372" s="632"/>
    </row>
    <row r="373" spans="1:10">
      <c r="A373" s="169" t="s">
        <v>412</v>
      </c>
      <c r="B373" s="169" t="s">
        <v>254</v>
      </c>
      <c r="C373" s="194" t="s">
        <v>427</v>
      </c>
      <c r="D373" s="185">
        <f>D374</f>
        <v>100000</v>
      </c>
      <c r="E373" s="179"/>
      <c r="F373" s="179"/>
      <c r="G373" s="185">
        <f t="shared" si="41"/>
        <v>100000</v>
      </c>
      <c r="H373" s="185">
        <v>100000</v>
      </c>
      <c r="I373" s="268">
        <f t="shared" si="42"/>
        <v>0</v>
      </c>
      <c r="J373" s="634">
        <f>I373/G373</f>
        <v>0</v>
      </c>
    </row>
    <row r="374" spans="1:10">
      <c r="C374" s="267" t="s">
        <v>428</v>
      </c>
      <c r="D374" s="268">
        <v>100000</v>
      </c>
      <c r="E374" s="179"/>
      <c r="F374" s="179"/>
      <c r="G374" s="268">
        <f t="shared" si="41"/>
        <v>100000</v>
      </c>
      <c r="H374" s="268">
        <v>100000</v>
      </c>
      <c r="I374" s="268">
        <f t="shared" si="42"/>
        <v>0</v>
      </c>
      <c r="J374" s="634">
        <f>I374/G374</f>
        <v>0</v>
      </c>
    </row>
    <row r="375" spans="1:10">
      <c r="C375" s="201"/>
      <c r="D375" s="185"/>
      <c r="E375" s="179"/>
      <c r="F375" s="179"/>
      <c r="G375" s="185">
        <f t="shared" ref="G375:G438" si="44">SUM(D375:F375)</f>
        <v>0</v>
      </c>
      <c r="H375" s="185">
        <v>0</v>
      </c>
      <c r="I375" s="268">
        <f t="shared" ref="I375:I390" si="45">H375-G375</f>
        <v>0</v>
      </c>
      <c r="J375" s="634"/>
    </row>
    <row r="376" spans="1:10">
      <c r="A376" s="169" t="s">
        <v>412</v>
      </c>
      <c r="B376" s="169" t="s">
        <v>254</v>
      </c>
      <c r="C376" s="194" t="s">
        <v>429</v>
      </c>
      <c r="D376" s="185">
        <f>SUM(D377:D393)</f>
        <v>1206400</v>
      </c>
      <c r="E376" s="185">
        <f>E377</f>
        <v>10000</v>
      </c>
      <c r="F376" s="185">
        <f>SUM(F377:F393)</f>
        <v>23000</v>
      </c>
      <c r="G376" s="185">
        <f t="shared" si="44"/>
        <v>1239400</v>
      </c>
      <c r="H376" s="185">
        <v>1260030</v>
      </c>
      <c r="I376" s="268">
        <f t="shared" si="45"/>
        <v>20630</v>
      </c>
      <c r="J376" s="634">
        <f t="shared" ref="J376:J390" si="46">I376/G376</f>
        <v>1.6645150879457803E-2</v>
      </c>
    </row>
    <row r="377" spans="1:10">
      <c r="C377" s="267" t="s">
        <v>430</v>
      </c>
      <c r="D377" s="268">
        <f>64000+64000</f>
        <v>128000</v>
      </c>
      <c r="E377" s="268">
        <v>10000</v>
      </c>
      <c r="F377" s="268"/>
      <c r="G377" s="268">
        <f t="shared" si="44"/>
        <v>138000</v>
      </c>
      <c r="H377" s="268">
        <v>138000</v>
      </c>
      <c r="I377" s="268">
        <f t="shared" si="45"/>
        <v>0</v>
      </c>
      <c r="J377" s="634">
        <f t="shared" si="46"/>
        <v>0</v>
      </c>
    </row>
    <row r="378" spans="1:10">
      <c r="C378" s="269" t="s">
        <v>431</v>
      </c>
      <c r="D378" s="268">
        <v>90000</v>
      </c>
      <c r="E378" s="179"/>
      <c r="F378" s="179"/>
      <c r="G378" s="268">
        <f t="shared" si="44"/>
        <v>90000</v>
      </c>
      <c r="H378" s="268">
        <v>90000</v>
      </c>
      <c r="I378" s="268">
        <f t="shared" si="45"/>
        <v>0</v>
      </c>
      <c r="J378" s="634">
        <f t="shared" si="46"/>
        <v>0</v>
      </c>
    </row>
    <row r="379" spans="1:10">
      <c r="C379" s="269" t="s">
        <v>432</v>
      </c>
      <c r="D379" s="268">
        <f>45000+10000</f>
        <v>55000</v>
      </c>
      <c r="E379" s="179"/>
      <c r="F379" s="179"/>
      <c r="G379" s="268">
        <f t="shared" si="44"/>
        <v>55000</v>
      </c>
      <c r="H379" s="268">
        <v>55000</v>
      </c>
      <c r="I379" s="268">
        <f t="shared" si="45"/>
        <v>0</v>
      </c>
      <c r="J379" s="634">
        <f t="shared" si="46"/>
        <v>0</v>
      </c>
    </row>
    <row r="380" spans="1:10">
      <c r="C380" s="270" t="s">
        <v>433</v>
      </c>
      <c r="D380" s="268">
        <v>3000</v>
      </c>
      <c r="E380" s="179"/>
      <c r="F380" s="179"/>
      <c r="G380" s="268">
        <f t="shared" si="44"/>
        <v>3000</v>
      </c>
      <c r="H380" s="268">
        <v>3000</v>
      </c>
      <c r="I380" s="268">
        <f t="shared" si="45"/>
        <v>0</v>
      </c>
      <c r="J380" s="634">
        <f t="shared" si="46"/>
        <v>0</v>
      </c>
    </row>
    <row r="381" spans="1:10">
      <c r="C381" s="269" t="s">
        <v>434</v>
      </c>
      <c r="D381" s="268">
        <v>130000</v>
      </c>
      <c r="E381" s="179"/>
      <c r="F381" s="179"/>
      <c r="G381" s="268">
        <f t="shared" si="44"/>
        <v>130000</v>
      </c>
      <c r="H381" s="268">
        <v>130000</v>
      </c>
      <c r="I381" s="268">
        <f t="shared" si="45"/>
        <v>0</v>
      </c>
      <c r="J381" s="634">
        <f t="shared" si="46"/>
        <v>0</v>
      </c>
    </row>
    <row r="382" spans="1:10">
      <c r="C382" s="269" t="s">
        <v>435</v>
      </c>
      <c r="D382" s="268">
        <v>55000</v>
      </c>
      <c r="E382" s="179"/>
      <c r="F382" s="179"/>
      <c r="G382" s="268">
        <f t="shared" si="44"/>
        <v>55000</v>
      </c>
      <c r="H382" s="268">
        <v>61900</v>
      </c>
      <c r="I382" s="268">
        <f t="shared" si="45"/>
        <v>6900</v>
      </c>
      <c r="J382" s="634">
        <f t="shared" si="46"/>
        <v>0.12545454545454546</v>
      </c>
    </row>
    <row r="383" spans="1:10">
      <c r="C383" s="269" t="s">
        <v>436</v>
      </c>
      <c r="D383" s="268">
        <v>60000</v>
      </c>
      <c r="E383" s="179"/>
      <c r="F383" s="584">
        <v>23000</v>
      </c>
      <c r="G383" s="268">
        <f t="shared" si="44"/>
        <v>83000</v>
      </c>
      <c r="H383" s="268">
        <v>60000</v>
      </c>
      <c r="I383" s="268">
        <f t="shared" si="45"/>
        <v>-23000</v>
      </c>
      <c r="J383" s="634">
        <f t="shared" si="46"/>
        <v>-0.27710843373493976</v>
      </c>
    </row>
    <row r="384" spans="1:10">
      <c r="C384" s="269" t="s">
        <v>437</v>
      </c>
      <c r="D384" s="268">
        <v>250000</v>
      </c>
      <c r="E384" s="179"/>
      <c r="F384" s="179"/>
      <c r="G384" s="268">
        <f t="shared" si="44"/>
        <v>250000</v>
      </c>
      <c r="H384" s="268">
        <v>250000</v>
      </c>
      <c r="I384" s="268">
        <f t="shared" si="45"/>
        <v>0</v>
      </c>
      <c r="J384" s="634">
        <f t="shared" si="46"/>
        <v>0</v>
      </c>
    </row>
    <row r="385" spans="1:10">
      <c r="C385" s="269" t="s">
        <v>438</v>
      </c>
      <c r="D385" s="268">
        <v>15000</v>
      </c>
      <c r="E385" s="179"/>
      <c r="F385" s="179"/>
      <c r="G385" s="268">
        <f t="shared" si="44"/>
        <v>15000</v>
      </c>
      <c r="H385" s="268">
        <v>22500</v>
      </c>
      <c r="I385" s="268">
        <f t="shared" si="45"/>
        <v>7500</v>
      </c>
      <c r="J385" s="634">
        <f t="shared" si="46"/>
        <v>0.5</v>
      </c>
    </row>
    <row r="386" spans="1:10">
      <c r="C386" s="269" t="s">
        <v>439</v>
      </c>
      <c r="D386" s="268">
        <v>20000</v>
      </c>
      <c r="E386" s="179"/>
      <c r="F386" s="179"/>
      <c r="G386" s="268">
        <f t="shared" si="44"/>
        <v>20000</v>
      </c>
      <c r="H386" s="268">
        <v>20000</v>
      </c>
      <c r="I386" s="268">
        <f t="shared" si="45"/>
        <v>0</v>
      </c>
      <c r="J386" s="634">
        <f t="shared" si="46"/>
        <v>0</v>
      </c>
    </row>
    <row r="387" spans="1:10">
      <c r="C387" s="269" t="s">
        <v>440</v>
      </c>
      <c r="D387" s="268">
        <v>210000</v>
      </c>
      <c r="E387" s="179"/>
      <c r="F387" s="179"/>
      <c r="G387" s="268">
        <f t="shared" si="44"/>
        <v>210000</v>
      </c>
      <c r="H387" s="268">
        <v>210000</v>
      </c>
      <c r="I387" s="268">
        <f t="shared" si="45"/>
        <v>0</v>
      </c>
      <c r="J387" s="634">
        <f t="shared" si="46"/>
        <v>0</v>
      </c>
    </row>
    <row r="388" spans="1:10">
      <c r="C388" s="269" t="s">
        <v>441</v>
      </c>
      <c r="D388" s="268">
        <v>70000</v>
      </c>
      <c r="E388" s="179"/>
      <c r="F388" s="179"/>
      <c r="G388" s="268">
        <f t="shared" si="44"/>
        <v>70000</v>
      </c>
      <c r="H388" s="268">
        <v>70000</v>
      </c>
      <c r="I388" s="268">
        <f t="shared" si="45"/>
        <v>0</v>
      </c>
      <c r="J388" s="634">
        <f t="shared" si="46"/>
        <v>0</v>
      </c>
    </row>
    <row r="389" spans="1:10">
      <c r="C389" s="269" t="s">
        <v>442</v>
      </c>
      <c r="D389" s="268">
        <v>40000</v>
      </c>
      <c r="E389" s="179"/>
      <c r="F389" s="179"/>
      <c r="G389" s="268">
        <f t="shared" si="44"/>
        <v>40000</v>
      </c>
      <c r="H389" s="268">
        <v>42000</v>
      </c>
      <c r="I389" s="268">
        <f t="shared" si="45"/>
        <v>2000</v>
      </c>
      <c r="J389" s="634">
        <f t="shared" si="46"/>
        <v>0.05</v>
      </c>
    </row>
    <row r="390" spans="1:10">
      <c r="C390" s="269" t="s">
        <v>443</v>
      </c>
      <c r="D390" s="268">
        <v>2372</v>
      </c>
      <c r="E390" s="179"/>
      <c r="F390" s="179"/>
      <c r="G390" s="268">
        <f t="shared" si="44"/>
        <v>2372</v>
      </c>
      <c r="H390" s="268">
        <v>0</v>
      </c>
      <c r="I390" s="268">
        <f t="shared" si="45"/>
        <v>-2372</v>
      </c>
      <c r="J390" s="634">
        <f t="shared" si="46"/>
        <v>-1</v>
      </c>
    </row>
    <row r="391" spans="1:10">
      <c r="C391" s="269" t="s">
        <v>1255</v>
      </c>
      <c r="D391" s="268"/>
      <c r="E391" s="179"/>
      <c r="F391" s="179"/>
      <c r="G391" s="268"/>
      <c r="H391" s="268">
        <v>26000</v>
      </c>
      <c r="I391" s="268"/>
      <c r="J391" s="634"/>
    </row>
    <row r="392" spans="1:10">
      <c r="C392" s="269" t="s">
        <v>444</v>
      </c>
      <c r="D392" s="268">
        <f>80400-2372</f>
        <v>78028</v>
      </c>
      <c r="E392" s="179"/>
      <c r="F392" s="179"/>
      <c r="G392" s="268">
        <f t="shared" si="44"/>
        <v>78028</v>
      </c>
      <c r="H392" s="268">
        <v>81630</v>
      </c>
      <c r="I392" s="268">
        <f t="shared" ref="I392:I423" si="47">H392-G392</f>
        <v>3602</v>
      </c>
      <c r="J392" s="634">
        <f>I392/G392</f>
        <v>4.616291587635208E-2</v>
      </c>
    </row>
    <row r="393" spans="1:10">
      <c r="C393" s="201"/>
      <c r="D393" s="185"/>
      <c r="E393" s="179"/>
      <c r="F393" s="179"/>
      <c r="G393" s="185">
        <f t="shared" si="44"/>
        <v>0</v>
      </c>
      <c r="H393" s="185">
        <v>0</v>
      </c>
      <c r="I393" s="268">
        <f t="shared" si="47"/>
        <v>0</v>
      </c>
      <c r="J393" s="634"/>
    </row>
    <row r="394" spans="1:10">
      <c r="A394" s="169" t="s">
        <v>423</v>
      </c>
      <c r="B394" s="169" t="s">
        <v>254</v>
      </c>
      <c r="C394" s="194" t="s">
        <v>445</v>
      </c>
      <c r="D394" s="185">
        <f>D396+D398+D400+D403+D402</f>
        <v>655410</v>
      </c>
      <c r="E394" s="185">
        <f>E396+E398+E400+E403+E402+E408</f>
        <v>27000</v>
      </c>
      <c r="F394" s="185">
        <f>F396+F398+F400+F403+F402</f>
        <v>-21075</v>
      </c>
      <c r="G394" s="185">
        <f t="shared" si="44"/>
        <v>661335</v>
      </c>
      <c r="H394" s="185">
        <v>559910</v>
      </c>
      <c r="I394" s="268">
        <f t="shared" si="47"/>
        <v>-101425</v>
      </c>
      <c r="J394" s="634">
        <f>I394/G394</f>
        <v>-0.15336402882049188</v>
      </c>
    </row>
    <row r="395" spans="1:10">
      <c r="C395" s="196" t="s">
        <v>291</v>
      </c>
      <c r="D395" s="189">
        <f>D399+D401</f>
        <v>4763</v>
      </c>
      <c r="E395" s="179"/>
      <c r="F395" s="579"/>
      <c r="G395" s="189">
        <f t="shared" si="44"/>
        <v>4763</v>
      </c>
      <c r="H395" s="189">
        <v>4763</v>
      </c>
      <c r="I395" s="184">
        <f t="shared" si="47"/>
        <v>0</v>
      </c>
      <c r="J395" s="632">
        <f>I395/G395</f>
        <v>0</v>
      </c>
    </row>
    <row r="396" spans="1:10">
      <c r="C396" s="217" t="s">
        <v>446</v>
      </c>
      <c r="D396" s="189">
        <v>31100</v>
      </c>
      <c r="E396" s="179"/>
      <c r="F396" s="579">
        <v>-1485</v>
      </c>
      <c r="G396" s="189">
        <f t="shared" si="44"/>
        <v>29615</v>
      </c>
      <c r="H396" s="189">
        <v>39020</v>
      </c>
      <c r="I396" s="184">
        <f t="shared" si="47"/>
        <v>9405</v>
      </c>
      <c r="J396" s="632">
        <f>I396/G396</f>
        <v>0.31757555292925882</v>
      </c>
    </row>
    <row r="397" spans="1:10">
      <c r="C397" s="271" t="s">
        <v>291</v>
      </c>
      <c r="D397" s="189"/>
      <c r="E397" s="179"/>
      <c r="F397" s="579"/>
      <c r="G397" s="189">
        <f t="shared" si="44"/>
        <v>0</v>
      </c>
      <c r="H397" s="189">
        <v>3500</v>
      </c>
      <c r="I397" s="184">
        <f t="shared" si="47"/>
        <v>3500</v>
      </c>
      <c r="J397" s="632"/>
    </row>
    <row r="398" spans="1:10">
      <c r="C398" s="217" t="s">
        <v>447</v>
      </c>
      <c r="D398" s="189">
        <v>83920</v>
      </c>
      <c r="E398" s="179"/>
      <c r="F398" s="579">
        <v>1485</v>
      </c>
      <c r="G398" s="189">
        <f t="shared" si="44"/>
        <v>85405</v>
      </c>
      <c r="H398" s="189">
        <v>76000</v>
      </c>
      <c r="I398" s="184">
        <f t="shared" si="47"/>
        <v>-9405</v>
      </c>
      <c r="J398" s="632">
        <f t="shared" ref="J398:J408" si="48">I398/G398</f>
        <v>-0.11012235817575083</v>
      </c>
    </row>
    <row r="399" spans="1:10">
      <c r="C399" s="271" t="s">
        <v>291</v>
      </c>
      <c r="D399" s="189">
        <v>3500</v>
      </c>
      <c r="E399" s="179"/>
      <c r="F399" s="579">
        <v>0</v>
      </c>
      <c r="G399" s="189">
        <f t="shared" si="44"/>
        <v>3500</v>
      </c>
      <c r="H399" s="189">
        <v>0</v>
      </c>
      <c r="I399" s="184">
        <f t="shared" si="47"/>
        <v>-3500</v>
      </c>
      <c r="J399" s="632">
        <f t="shared" si="48"/>
        <v>-1</v>
      </c>
    </row>
    <row r="400" spans="1:10">
      <c r="C400" s="217" t="s">
        <v>448</v>
      </c>
      <c r="D400" s="189">
        <v>1690</v>
      </c>
      <c r="E400" s="179"/>
      <c r="F400" s="579">
        <v>0</v>
      </c>
      <c r="G400" s="189">
        <f t="shared" si="44"/>
        <v>1690</v>
      </c>
      <c r="H400" s="189">
        <v>1690</v>
      </c>
      <c r="I400" s="184">
        <f t="shared" si="47"/>
        <v>0</v>
      </c>
      <c r="J400" s="632">
        <f t="shared" si="48"/>
        <v>0</v>
      </c>
    </row>
    <row r="401" spans="1:10">
      <c r="C401" s="271" t="s">
        <v>291</v>
      </c>
      <c r="D401" s="189">
        <v>1263</v>
      </c>
      <c r="E401" s="179"/>
      <c r="F401" s="579">
        <v>0</v>
      </c>
      <c r="G401" s="189">
        <f t="shared" si="44"/>
        <v>1263</v>
      </c>
      <c r="H401" s="189">
        <v>1263</v>
      </c>
      <c r="I401" s="184">
        <f t="shared" si="47"/>
        <v>0</v>
      </c>
      <c r="J401" s="632">
        <f t="shared" si="48"/>
        <v>0</v>
      </c>
    </row>
    <row r="402" spans="1:10">
      <c r="C402" s="217" t="s">
        <v>449</v>
      </c>
      <c r="D402" s="189">
        <v>51000</v>
      </c>
      <c r="E402" s="189">
        <v>-2000</v>
      </c>
      <c r="F402" s="579">
        <v>-1250</v>
      </c>
      <c r="G402" s="189">
        <f t="shared" si="44"/>
        <v>47750</v>
      </c>
      <c r="H402" s="189">
        <v>48500</v>
      </c>
      <c r="I402" s="184">
        <f t="shared" si="47"/>
        <v>750</v>
      </c>
      <c r="J402" s="632">
        <f t="shared" si="48"/>
        <v>1.5706806282722512E-2</v>
      </c>
    </row>
    <row r="403" spans="1:10">
      <c r="C403" s="202" t="s">
        <v>450</v>
      </c>
      <c r="D403" s="189">
        <f>SUM(D404:D407)</f>
        <v>487700</v>
      </c>
      <c r="E403" s="189">
        <f t="shared" ref="E403" si="49">SUM(E404:E407)</f>
        <v>20000</v>
      </c>
      <c r="F403" s="579">
        <f>F404</f>
        <v>-19825</v>
      </c>
      <c r="G403" s="189">
        <f t="shared" si="44"/>
        <v>487875</v>
      </c>
      <c r="H403" s="189">
        <v>394700</v>
      </c>
      <c r="I403" s="184">
        <f t="shared" si="47"/>
        <v>-93175</v>
      </c>
      <c r="J403" s="632">
        <f t="shared" si="48"/>
        <v>-0.19098129643863695</v>
      </c>
    </row>
    <row r="404" spans="1:10">
      <c r="C404" s="261" t="s">
        <v>451</v>
      </c>
      <c r="D404" s="268">
        <f>273700+95000</f>
        <v>368700</v>
      </c>
      <c r="E404" s="268">
        <v>18000</v>
      </c>
      <c r="F404" s="584">
        <v>-19825</v>
      </c>
      <c r="G404" s="268">
        <f t="shared" si="44"/>
        <v>366875</v>
      </c>
      <c r="H404" s="268">
        <v>273700</v>
      </c>
      <c r="I404" s="268">
        <f t="shared" si="47"/>
        <v>-93175</v>
      </c>
      <c r="J404" s="634">
        <f t="shared" si="48"/>
        <v>-0.25396933560477003</v>
      </c>
    </row>
    <row r="405" spans="1:10">
      <c r="C405" s="272" t="s">
        <v>452</v>
      </c>
      <c r="D405" s="268">
        <v>5000</v>
      </c>
      <c r="E405" s="268"/>
      <c r="F405" s="268"/>
      <c r="G405" s="268">
        <f t="shared" si="44"/>
        <v>5000</v>
      </c>
      <c r="H405" s="268">
        <v>5000</v>
      </c>
      <c r="I405" s="268">
        <f t="shared" si="47"/>
        <v>0</v>
      </c>
      <c r="J405" s="634">
        <f t="shared" si="48"/>
        <v>0</v>
      </c>
    </row>
    <row r="406" spans="1:10">
      <c r="C406" s="272" t="s">
        <v>453</v>
      </c>
      <c r="D406" s="268">
        <v>100000</v>
      </c>
      <c r="E406" s="268"/>
      <c r="F406" s="268"/>
      <c r="G406" s="268">
        <f t="shared" si="44"/>
        <v>100000</v>
      </c>
      <c r="H406" s="268">
        <v>100000</v>
      </c>
      <c r="I406" s="268">
        <f t="shared" si="47"/>
        <v>0</v>
      </c>
      <c r="J406" s="634">
        <f t="shared" si="48"/>
        <v>0</v>
      </c>
    </row>
    <row r="407" spans="1:10">
      <c r="C407" s="272" t="s">
        <v>454</v>
      </c>
      <c r="D407" s="268">
        <v>14000</v>
      </c>
      <c r="E407" s="268">
        <v>2000</v>
      </c>
      <c r="F407" s="268"/>
      <c r="G407" s="268">
        <f t="shared" si="44"/>
        <v>16000</v>
      </c>
      <c r="H407" s="268">
        <v>16000</v>
      </c>
      <c r="I407" s="268">
        <f t="shared" si="47"/>
        <v>0</v>
      </c>
      <c r="J407" s="634">
        <f t="shared" si="48"/>
        <v>0</v>
      </c>
    </row>
    <row r="408" spans="1:10">
      <c r="C408" s="256" t="s">
        <v>455</v>
      </c>
      <c r="D408" s="268"/>
      <c r="E408" s="268">
        <v>9000</v>
      </c>
      <c r="F408" s="268"/>
      <c r="G408" s="268">
        <f t="shared" si="44"/>
        <v>9000</v>
      </c>
      <c r="H408" s="268">
        <v>0</v>
      </c>
      <c r="I408" s="268">
        <f t="shared" si="47"/>
        <v>-9000</v>
      </c>
      <c r="J408" s="634">
        <f t="shared" si="48"/>
        <v>-1</v>
      </c>
    </row>
    <row r="409" spans="1:10">
      <c r="C409" s="256"/>
      <c r="D409" s="268"/>
      <c r="E409" s="268"/>
      <c r="F409" s="268"/>
      <c r="G409" s="268">
        <f t="shared" si="44"/>
        <v>0</v>
      </c>
      <c r="H409" s="268">
        <v>0</v>
      </c>
      <c r="I409" s="268">
        <f t="shared" si="47"/>
        <v>0</v>
      </c>
      <c r="J409" s="634"/>
    </row>
    <row r="410" spans="1:10">
      <c r="A410" s="169" t="s">
        <v>423</v>
      </c>
      <c r="B410" s="169" t="s">
        <v>254</v>
      </c>
      <c r="C410" s="194" t="s">
        <v>456</v>
      </c>
      <c r="D410" s="268"/>
      <c r="E410" s="179"/>
      <c r="F410" s="179"/>
      <c r="G410" s="268">
        <f t="shared" si="44"/>
        <v>0</v>
      </c>
      <c r="H410" s="268">
        <v>0</v>
      </c>
      <c r="I410" s="268">
        <f t="shared" si="47"/>
        <v>0</v>
      </c>
      <c r="J410" s="634"/>
    </row>
    <row r="411" spans="1:10">
      <c r="C411" s="217"/>
      <c r="D411" s="185"/>
      <c r="E411" s="179"/>
      <c r="F411" s="179"/>
      <c r="G411" s="185">
        <f t="shared" si="44"/>
        <v>0</v>
      </c>
      <c r="H411" s="185">
        <v>0</v>
      </c>
      <c r="I411" s="268">
        <f t="shared" si="47"/>
        <v>0</v>
      </c>
      <c r="J411" s="634"/>
    </row>
    <row r="412" spans="1:10">
      <c r="A412" s="169" t="s">
        <v>412</v>
      </c>
      <c r="B412" s="169" t="s">
        <v>254</v>
      </c>
      <c r="C412" s="194" t="s">
        <v>457</v>
      </c>
      <c r="D412" s="185">
        <v>64000</v>
      </c>
      <c r="E412" s="179"/>
      <c r="F412" s="179"/>
      <c r="G412" s="185">
        <f t="shared" si="44"/>
        <v>64000</v>
      </c>
      <c r="H412" s="185">
        <v>64000</v>
      </c>
      <c r="I412" s="268">
        <f t="shared" si="47"/>
        <v>0</v>
      </c>
      <c r="J412" s="634">
        <f>I412/G412</f>
        <v>0</v>
      </c>
    </row>
    <row r="413" spans="1:10">
      <c r="C413" s="194"/>
      <c r="D413" s="185"/>
      <c r="E413" s="179"/>
      <c r="F413" s="179"/>
      <c r="G413" s="185">
        <f t="shared" si="44"/>
        <v>0</v>
      </c>
      <c r="H413" s="185">
        <v>0</v>
      </c>
      <c r="I413" s="268">
        <f t="shared" si="47"/>
        <v>0</v>
      </c>
      <c r="J413" s="634"/>
    </row>
    <row r="414" spans="1:10" ht="25.5">
      <c r="A414" s="169" t="s">
        <v>412</v>
      </c>
      <c r="B414" s="169" t="s">
        <v>254</v>
      </c>
      <c r="C414" s="213" t="s">
        <v>458</v>
      </c>
      <c r="D414" s="185"/>
      <c r="E414" s="273">
        <v>29760</v>
      </c>
      <c r="F414" s="273"/>
      <c r="G414" s="185">
        <f t="shared" si="44"/>
        <v>29760</v>
      </c>
      <c r="H414" s="185">
        <v>0</v>
      </c>
      <c r="I414" s="268">
        <f t="shared" si="47"/>
        <v>-29760</v>
      </c>
      <c r="J414" s="634">
        <f>I414/G414</f>
        <v>-1</v>
      </c>
    </row>
    <row r="415" spans="1:10">
      <c r="C415" s="215"/>
      <c r="D415" s="185"/>
      <c r="E415" s="216"/>
      <c r="F415" s="216"/>
      <c r="G415" s="185">
        <f t="shared" si="44"/>
        <v>0</v>
      </c>
      <c r="H415" s="185">
        <v>0</v>
      </c>
      <c r="I415" s="268">
        <f t="shared" si="47"/>
        <v>0</v>
      </c>
      <c r="J415" s="634"/>
    </row>
    <row r="416" spans="1:10">
      <c r="C416" s="217" t="s">
        <v>337</v>
      </c>
      <c r="D416" s="185"/>
      <c r="E416" s="216">
        <v>25296</v>
      </c>
      <c r="F416" s="216"/>
      <c r="G416" s="189">
        <f t="shared" si="44"/>
        <v>25296</v>
      </c>
      <c r="H416" s="189">
        <v>0</v>
      </c>
      <c r="I416" s="184">
        <f t="shared" si="47"/>
        <v>-25296</v>
      </c>
      <c r="J416" s="632">
        <f>I416/G416</f>
        <v>-1</v>
      </c>
    </row>
    <row r="417" spans="1:10">
      <c r="C417" s="194"/>
      <c r="D417" s="185"/>
      <c r="E417" s="179"/>
      <c r="F417" s="179"/>
      <c r="G417" s="185">
        <f t="shared" si="44"/>
        <v>0</v>
      </c>
      <c r="H417" s="185">
        <v>0</v>
      </c>
      <c r="I417" s="268">
        <f t="shared" si="47"/>
        <v>0</v>
      </c>
      <c r="J417" s="634"/>
    </row>
    <row r="418" spans="1:10">
      <c r="C418" s="194"/>
      <c r="D418" s="185"/>
      <c r="E418" s="179"/>
      <c r="F418" s="179"/>
      <c r="G418" s="185">
        <f t="shared" si="44"/>
        <v>0</v>
      </c>
      <c r="H418" s="185">
        <v>0</v>
      </c>
      <c r="I418" s="268">
        <f t="shared" si="47"/>
        <v>0</v>
      </c>
      <c r="J418" s="634"/>
    </row>
    <row r="419" spans="1:10" ht="15.75">
      <c r="C419" s="225" t="s">
        <v>459</v>
      </c>
      <c r="D419" s="274"/>
      <c r="E419" s="273"/>
      <c r="F419" s="273"/>
      <c r="G419" s="274">
        <f t="shared" si="44"/>
        <v>0</v>
      </c>
      <c r="H419" s="274">
        <v>0</v>
      </c>
      <c r="I419" s="677">
        <f t="shared" si="47"/>
        <v>0</v>
      </c>
      <c r="J419" s="678"/>
    </row>
    <row r="420" spans="1:10">
      <c r="C420" s="275"/>
      <c r="D420" s="185"/>
      <c r="E420" s="216"/>
      <c r="F420" s="216"/>
      <c r="G420" s="185">
        <f t="shared" si="44"/>
        <v>0</v>
      </c>
      <c r="H420" s="185">
        <v>0</v>
      </c>
      <c r="I420" s="268">
        <f t="shared" si="47"/>
        <v>0</v>
      </c>
      <c r="J420" s="634"/>
    </row>
    <row r="421" spans="1:10">
      <c r="C421" s="219" t="s">
        <v>5</v>
      </c>
      <c r="D421" s="276">
        <f>D428+D554</f>
        <v>30442649</v>
      </c>
      <c r="E421" s="276">
        <f>E428+E554</f>
        <v>558078</v>
      </c>
      <c r="F421" s="276">
        <f>F428+F554</f>
        <v>158102</v>
      </c>
      <c r="G421" s="276">
        <f t="shared" si="44"/>
        <v>31158829</v>
      </c>
      <c r="H421" s="276">
        <v>32207265</v>
      </c>
      <c r="I421" s="679">
        <f t="shared" si="47"/>
        <v>1048436</v>
      </c>
      <c r="J421" s="680">
        <f t="shared" ref="J421:J426" si="50">I421/G421</f>
        <v>3.3648119446337346E-2</v>
      </c>
    </row>
    <row r="422" spans="1:10">
      <c r="C422" s="177" t="s">
        <v>285</v>
      </c>
      <c r="D422" s="248">
        <v>1399000</v>
      </c>
      <c r="G422" s="248">
        <f t="shared" si="44"/>
        <v>1399000</v>
      </c>
      <c r="H422" s="248">
        <v>1470000</v>
      </c>
      <c r="I422" s="673">
        <f t="shared" si="47"/>
        <v>71000</v>
      </c>
      <c r="J422" s="674">
        <f t="shared" si="50"/>
        <v>5.0750536097212293E-2</v>
      </c>
    </row>
    <row r="423" spans="1:10">
      <c r="C423" s="220" t="s">
        <v>286</v>
      </c>
      <c r="D423" s="276">
        <f>D424+D425+D426</f>
        <v>30442649</v>
      </c>
      <c r="E423" s="276">
        <f>E424+E425+E426</f>
        <v>558078</v>
      </c>
      <c r="F423" s="276">
        <f>F424+F425+F426</f>
        <v>158102</v>
      </c>
      <c r="G423" s="276">
        <f t="shared" si="44"/>
        <v>31158829</v>
      </c>
      <c r="H423" s="276">
        <v>32207265</v>
      </c>
      <c r="I423" s="679">
        <f t="shared" si="47"/>
        <v>1048436</v>
      </c>
      <c r="J423" s="680">
        <f t="shared" si="50"/>
        <v>3.3648119446337346E-2</v>
      </c>
    </row>
    <row r="424" spans="1:10">
      <c r="C424" s="221" t="s">
        <v>287</v>
      </c>
      <c r="D424" s="277">
        <v>2585381</v>
      </c>
      <c r="E424" s="278">
        <v>-11261</v>
      </c>
      <c r="F424" s="278">
        <v>33123</v>
      </c>
      <c r="G424" s="277">
        <f t="shared" si="44"/>
        <v>2607243</v>
      </c>
      <c r="H424" s="277">
        <v>2812119</v>
      </c>
      <c r="I424" s="234">
        <f t="shared" ref="I424:I455" si="51">H424-G424</f>
        <v>204876</v>
      </c>
      <c r="J424" s="635">
        <f t="shared" si="50"/>
        <v>7.8579557026330113E-2</v>
      </c>
    </row>
    <row r="425" spans="1:10">
      <c r="C425" s="222" t="s">
        <v>298</v>
      </c>
      <c r="D425" s="277">
        <v>12569</v>
      </c>
      <c r="E425" s="278">
        <v>26010</v>
      </c>
      <c r="F425" s="278"/>
      <c r="G425" s="277">
        <f t="shared" si="44"/>
        <v>38579</v>
      </c>
      <c r="H425" s="277">
        <v>0</v>
      </c>
      <c r="I425" s="234">
        <f t="shared" si="51"/>
        <v>-38579</v>
      </c>
      <c r="J425" s="635">
        <f t="shared" si="50"/>
        <v>-1</v>
      </c>
    </row>
    <row r="426" spans="1:10">
      <c r="C426" s="222" t="s">
        <v>288</v>
      </c>
      <c r="D426" s="277">
        <f>D421-D424-D425</f>
        <v>27844699</v>
      </c>
      <c r="E426" s="278">
        <f>E421-E424-E425</f>
        <v>543329</v>
      </c>
      <c r="F426" s="278">
        <f>F421-F424-F425</f>
        <v>124979</v>
      </c>
      <c r="G426" s="277">
        <f t="shared" si="44"/>
        <v>28513007</v>
      </c>
      <c r="H426" s="277">
        <v>29395146</v>
      </c>
      <c r="I426" s="234">
        <f t="shared" si="51"/>
        <v>882139</v>
      </c>
      <c r="J426" s="635">
        <f t="shared" si="50"/>
        <v>3.0938125887599296E-2</v>
      </c>
    </row>
    <row r="427" spans="1:10">
      <c r="C427" s="201"/>
      <c r="D427" s="279"/>
      <c r="G427" s="279">
        <f t="shared" si="44"/>
        <v>0</v>
      </c>
      <c r="H427" s="279">
        <v>0</v>
      </c>
      <c r="I427" s="614">
        <f t="shared" si="51"/>
        <v>0</v>
      </c>
      <c r="J427" s="681"/>
    </row>
    <row r="428" spans="1:10" ht="15">
      <c r="A428" s="169" t="s">
        <v>461</v>
      </c>
      <c r="B428" s="169" t="s">
        <v>459</v>
      </c>
      <c r="C428" s="228" t="s">
        <v>462</v>
      </c>
      <c r="D428" s="280">
        <f>D429+D462+D480+D522</f>
        <v>13585986</v>
      </c>
      <c r="E428" s="280">
        <f>E429+E462+E480+E522</f>
        <v>302187</v>
      </c>
      <c r="F428" s="280">
        <f>F429+F462+F480+F522</f>
        <v>187623</v>
      </c>
      <c r="G428" s="280">
        <f t="shared" si="44"/>
        <v>14075796</v>
      </c>
      <c r="H428" s="280">
        <v>14626640</v>
      </c>
      <c r="I428" s="659">
        <f t="shared" si="51"/>
        <v>550844</v>
      </c>
      <c r="J428" s="660">
        <f>I428/G428</f>
        <v>3.9134127831917997E-2</v>
      </c>
    </row>
    <row r="429" spans="1:10">
      <c r="C429" s="223" t="s">
        <v>463</v>
      </c>
      <c r="D429" s="176">
        <f>D432+D435+D438+D442+D446+D449+D452+D456+D459</f>
        <v>4446463</v>
      </c>
      <c r="E429" s="176">
        <f>E432+E435+E438+E442+E446+E449+E452+E456+E459</f>
        <v>59896</v>
      </c>
      <c r="F429" s="176">
        <f>F432+F435+F438+F442+F446+F449+F452+F456+F459</f>
        <v>128213</v>
      </c>
      <c r="G429" s="176">
        <f t="shared" si="44"/>
        <v>4634572</v>
      </c>
      <c r="H429" s="176">
        <v>4800430</v>
      </c>
      <c r="I429" s="659">
        <f t="shared" si="51"/>
        <v>165858</v>
      </c>
      <c r="J429" s="660">
        <f>I429/G429</f>
        <v>3.5787123384856248E-2</v>
      </c>
    </row>
    <row r="430" spans="1:10">
      <c r="C430" s="202" t="s">
        <v>291</v>
      </c>
      <c r="D430" s="246">
        <f>+D439+D443+D453+D460</f>
        <v>1683148</v>
      </c>
      <c r="E430" s="246">
        <f>+E439+E443+E453+E460</f>
        <v>44765</v>
      </c>
      <c r="F430" s="246">
        <f>+F439+F443+F453+F460</f>
        <v>19719</v>
      </c>
      <c r="G430" s="246">
        <f t="shared" si="44"/>
        <v>1747632</v>
      </c>
      <c r="H430" s="246">
        <v>1873891</v>
      </c>
      <c r="I430" s="520">
        <f t="shared" si="51"/>
        <v>126259</v>
      </c>
      <c r="J430" s="638">
        <f>I430/G430</f>
        <v>7.2245758832523099E-2</v>
      </c>
    </row>
    <row r="431" spans="1:10">
      <c r="C431" s="235" t="s">
        <v>348</v>
      </c>
      <c r="D431" s="185"/>
      <c r="G431" s="185">
        <f t="shared" si="44"/>
        <v>0</v>
      </c>
      <c r="H431" s="185">
        <v>0</v>
      </c>
      <c r="I431" s="268">
        <f t="shared" si="51"/>
        <v>0</v>
      </c>
      <c r="J431" s="634"/>
    </row>
    <row r="432" spans="1:10">
      <c r="C432" s="236" t="s">
        <v>1158</v>
      </c>
      <c r="D432" s="185">
        <v>1148509</v>
      </c>
      <c r="E432" s="179"/>
      <c r="F432" s="237">
        <v>95000</v>
      </c>
      <c r="G432" s="185">
        <f t="shared" si="44"/>
        <v>1243509</v>
      </c>
      <c r="H432" s="185">
        <v>1243520</v>
      </c>
      <c r="I432" s="268">
        <f t="shared" si="51"/>
        <v>11</v>
      </c>
      <c r="J432" s="634">
        <f>I432/G432</f>
        <v>8.8459351721620031E-6</v>
      </c>
    </row>
    <row r="433" spans="3:10">
      <c r="C433" s="281"/>
      <c r="D433" s="185"/>
      <c r="E433" s="179"/>
      <c r="F433" s="179"/>
      <c r="G433" s="185">
        <f t="shared" si="44"/>
        <v>0</v>
      </c>
      <c r="H433" s="185">
        <v>0</v>
      </c>
      <c r="I433" s="268">
        <f t="shared" si="51"/>
        <v>0</v>
      </c>
      <c r="J433" s="634"/>
    </row>
    <row r="434" spans="3:10">
      <c r="C434" s="235" t="s">
        <v>348</v>
      </c>
      <c r="D434" s="185"/>
      <c r="E434" s="179"/>
      <c r="F434" s="179"/>
      <c r="G434" s="185">
        <f t="shared" si="44"/>
        <v>0</v>
      </c>
      <c r="H434" s="185">
        <v>0</v>
      </c>
      <c r="I434" s="268">
        <f t="shared" si="51"/>
        <v>0</v>
      </c>
      <c r="J434" s="634"/>
    </row>
    <row r="435" spans="3:10">
      <c r="C435" s="236" t="s">
        <v>464</v>
      </c>
      <c r="D435" s="185">
        <v>49020</v>
      </c>
      <c r="E435" s="179"/>
      <c r="F435" s="237">
        <v>3000</v>
      </c>
      <c r="G435" s="185">
        <f t="shared" si="44"/>
        <v>52020</v>
      </c>
      <c r="H435" s="185">
        <v>52020</v>
      </c>
      <c r="I435" s="268">
        <f t="shared" si="51"/>
        <v>0</v>
      </c>
      <c r="J435" s="634">
        <f>I435/G435</f>
        <v>0</v>
      </c>
    </row>
    <row r="436" spans="3:10">
      <c r="C436" s="281"/>
      <c r="D436" s="185"/>
      <c r="E436" s="179"/>
      <c r="F436" s="179"/>
      <c r="G436" s="185">
        <f t="shared" si="44"/>
        <v>0</v>
      </c>
      <c r="H436" s="185">
        <v>0</v>
      </c>
      <c r="I436" s="268">
        <f t="shared" si="51"/>
        <v>0</v>
      </c>
      <c r="J436" s="634"/>
    </row>
    <row r="437" spans="3:10">
      <c r="C437" s="235" t="s">
        <v>348</v>
      </c>
      <c r="D437" s="185"/>
      <c r="E437" s="179"/>
      <c r="F437" s="179"/>
      <c r="G437" s="185">
        <f t="shared" si="44"/>
        <v>0</v>
      </c>
      <c r="H437" s="185">
        <v>0</v>
      </c>
      <c r="I437" s="268">
        <f t="shared" si="51"/>
        <v>0</v>
      </c>
      <c r="J437" s="634"/>
    </row>
    <row r="438" spans="3:10">
      <c r="C438" s="236" t="s">
        <v>465</v>
      </c>
      <c r="D438" s="187">
        <v>197962</v>
      </c>
      <c r="E438" s="179"/>
      <c r="F438" s="237">
        <v>18000</v>
      </c>
      <c r="G438" s="187">
        <f t="shared" si="44"/>
        <v>215962</v>
      </c>
      <c r="H438" s="187">
        <v>237320</v>
      </c>
      <c r="I438" s="661">
        <f t="shared" si="51"/>
        <v>21358</v>
      </c>
      <c r="J438" s="637">
        <f>I438/G438</f>
        <v>9.8897028180883667E-2</v>
      </c>
    </row>
    <row r="439" spans="3:10">
      <c r="C439" s="208" t="s">
        <v>291</v>
      </c>
      <c r="D439" s="189">
        <v>16250</v>
      </c>
      <c r="E439" s="230"/>
      <c r="F439" s="230">
        <v>-5318</v>
      </c>
      <c r="G439" s="189">
        <f t="shared" ref="G439:G489" si="52">SUM(D439:F439)</f>
        <v>10932</v>
      </c>
      <c r="H439" s="189">
        <v>16250</v>
      </c>
      <c r="I439" s="184">
        <f t="shared" si="51"/>
        <v>5318</v>
      </c>
      <c r="J439" s="632">
        <f>I439/G439</f>
        <v>0.48646176362971094</v>
      </c>
    </row>
    <row r="440" spans="3:10">
      <c r="C440" s="282"/>
      <c r="D440" s="185"/>
      <c r="E440" s="179"/>
      <c r="F440" s="179"/>
      <c r="G440" s="185">
        <f t="shared" si="52"/>
        <v>0</v>
      </c>
      <c r="H440" s="185">
        <v>0</v>
      </c>
      <c r="I440" s="268">
        <f t="shared" si="51"/>
        <v>0</v>
      </c>
      <c r="J440" s="634"/>
    </row>
    <row r="441" spans="3:10">
      <c r="C441" s="235" t="s">
        <v>348</v>
      </c>
      <c r="D441" s="185"/>
      <c r="E441" s="179"/>
      <c r="F441" s="179"/>
      <c r="G441" s="185">
        <f t="shared" si="52"/>
        <v>0</v>
      </c>
      <c r="H441" s="185">
        <v>0</v>
      </c>
      <c r="I441" s="268">
        <f t="shared" si="51"/>
        <v>0</v>
      </c>
      <c r="J441" s="634"/>
    </row>
    <row r="442" spans="3:10">
      <c r="C442" s="236" t="s">
        <v>466</v>
      </c>
      <c r="D442" s="185">
        <v>484786</v>
      </c>
      <c r="E442" s="179"/>
      <c r="F442" s="179"/>
      <c r="G442" s="185">
        <f t="shared" si="52"/>
        <v>484786</v>
      </c>
      <c r="H442" s="185">
        <v>496670</v>
      </c>
      <c r="I442" s="268">
        <f t="shared" si="51"/>
        <v>11884</v>
      </c>
      <c r="J442" s="634">
        <f>I442/G442</f>
        <v>2.4513909230052023E-2</v>
      </c>
    </row>
    <row r="443" spans="3:10">
      <c r="C443" s="208" t="s">
        <v>291</v>
      </c>
      <c r="D443" s="189">
        <v>333725</v>
      </c>
      <c r="E443" s="230"/>
      <c r="F443" s="230">
        <v>25037</v>
      </c>
      <c r="G443" s="189">
        <f t="shared" si="52"/>
        <v>358762</v>
      </c>
      <c r="H443" s="189">
        <v>371612</v>
      </c>
      <c r="I443" s="184">
        <f t="shared" si="51"/>
        <v>12850</v>
      </c>
      <c r="J443" s="632">
        <f>I443/G443</f>
        <v>3.5817617250433434E-2</v>
      </c>
    </row>
    <row r="444" spans="3:10">
      <c r="C444" s="281"/>
      <c r="D444" s="185"/>
      <c r="E444" s="179"/>
      <c r="F444" s="179"/>
      <c r="G444" s="185">
        <f t="shared" si="52"/>
        <v>0</v>
      </c>
      <c r="H444" s="185">
        <v>0</v>
      </c>
      <c r="I444" s="268">
        <f t="shared" si="51"/>
        <v>0</v>
      </c>
      <c r="J444" s="634"/>
    </row>
    <row r="445" spans="3:10">
      <c r="C445" s="235" t="s">
        <v>348</v>
      </c>
      <c r="D445" s="185"/>
      <c r="E445" s="179"/>
      <c r="F445" s="179"/>
      <c r="G445" s="185">
        <f t="shared" si="52"/>
        <v>0</v>
      </c>
      <c r="H445" s="185">
        <v>0</v>
      </c>
      <c r="I445" s="268">
        <f t="shared" si="51"/>
        <v>0</v>
      </c>
      <c r="J445" s="634"/>
    </row>
    <row r="446" spans="3:10">
      <c r="C446" s="236" t="s">
        <v>467</v>
      </c>
      <c r="D446" s="187">
        <v>167865</v>
      </c>
      <c r="E446" s="179"/>
      <c r="F446" s="179">
        <v>8000</v>
      </c>
      <c r="G446" s="187">
        <v>175865</v>
      </c>
      <c r="H446" s="187">
        <v>199870</v>
      </c>
      <c r="I446" s="661">
        <f t="shared" si="51"/>
        <v>24005</v>
      </c>
      <c r="J446" s="637">
        <f>I446/G446</f>
        <v>0.13649674466209877</v>
      </c>
    </row>
    <row r="447" spans="3:10">
      <c r="C447" s="283"/>
      <c r="D447" s="185"/>
      <c r="E447" s="179"/>
      <c r="F447" s="179"/>
      <c r="G447" s="185">
        <f t="shared" si="52"/>
        <v>0</v>
      </c>
      <c r="H447" s="185">
        <v>0</v>
      </c>
      <c r="I447" s="268">
        <f t="shared" si="51"/>
        <v>0</v>
      </c>
      <c r="J447" s="634"/>
    </row>
    <row r="448" spans="3:10">
      <c r="C448" s="235" t="s">
        <v>348</v>
      </c>
      <c r="D448" s="185"/>
      <c r="E448" s="179"/>
      <c r="F448" s="179"/>
      <c r="G448" s="185">
        <f t="shared" si="52"/>
        <v>0</v>
      </c>
      <c r="H448" s="185">
        <v>0</v>
      </c>
      <c r="I448" s="268">
        <f t="shared" si="51"/>
        <v>0</v>
      </c>
      <c r="J448" s="634"/>
    </row>
    <row r="449" spans="3:10">
      <c r="C449" s="236" t="s">
        <v>468</v>
      </c>
      <c r="D449" s="187">
        <v>12000</v>
      </c>
      <c r="E449" s="179"/>
      <c r="F449" s="179"/>
      <c r="G449" s="187">
        <f t="shared" si="52"/>
        <v>12000</v>
      </c>
      <c r="H449" s="187">
        <v>12000</v>
      </c>
      <c r="I449" s="661">
        <f t="shared" si="51"/>
        <v>0</v>
      </c>
      <c r="J449" s="637">
        <f>I449/G449</f>
        <v>0</v>
      </c>
    </row>
    <row r="450" spans="3:10">
      <c r="C450" s="201"/>
      <c r="D450" s="185"/>
      <c r="E450" s="179"/>
      <c r="F450" s="179"/>
      <c r="G450" s="185">
        <f t="shared" si="52"/>
        <v>0</v>
      </c>
      <c r="H450" s="185">
        <v>0</v>
      </c>
      <c r="I450" s="268">
        <f t="shared" si="51"/>
        <v>0</v>
      </c>
      <c r="J450" s="634"/>
    </row>
    <row r="451" spans="3:10">
      <c r="C451" s="235" t="s">
        <v>348</v>
      </c>
      <c r="D451" s="185"/>
      <c r="E451" s="179"/>
      <c r="F451" s="179"/>
      <c r="G451" s="185">
        <f t="shared" si="52"/>
        <v>0</v>
      </c>
      <c r="H451" s="185">
        <v>0</v>
      </c>
      <c r="I451" s="268">
        <f t="shared" si="51"/>
        <v>0</v>
      </c>
      <c r="J451" s="634"/>
    </row>
    <row r="452" spans="3:10" ht="24">
      <c r="C452" s="236" t="s">
        <v>469</v>
      </c>
      <c r="D452" s="187">
        <v>1966897</v>
      </c>
      <c r="E452" s="179">
        <v>43437</v>
      </c>
      <c r="F452" s="237">
        <v>0</v>
      </c>
      <c r="G452" s="187">
        <v>2010334</v>
      </c>
      <c r="H452" s="187">
        <v>2098080</v>
      </c>
      <c r="I452" s="661">
        <f t="shared" si="51"/>
        <v>87746</v>
      </c>
      <c r="J452" s="637">
        <f>I452/G452</f>
        <v>4.3647473504402748E-2</v>
      </c>
    </row>
    <row r="453" spans="3:10">
      <c r="C453" s="208" t="s">
        <v>291</v>
      </c>
      <c r="D453" s="189">
        <v>1098967</v>
      </c>
      <c r="E453" s="230">
        <v>32464</v>
      </c>
      <c r="F453" s="230">
        <v>0</v>
      </c>
      <c r="G453" s="189">
        <v>1131431</v>
      </c>
      <c r="H453" s="189">
        <v>1215975</v>
      </c>
      <c r="I453" s="184">
        <f t="shared" si="51"/>
        <v>84544</v>
      </c>
      <c r="J453" s="632">
        <f>I453/G453</f>
        <v>7.4723071932800145E-2</v>
      </c>
    </row>
    <row r="454" spans="3:10">
      <c r="C454" s="281"/>
      <c r="D454" s="185"/>
      <c r="E454" s="179"/>
      <c r="F454" s="179"/>
      <c r="G454" s="185">
        <f t="shared" si="52"/>
        <v>0</v>
      </c>
      <c r="H454" s="185">
        <v>0</v>
      </c>
      <c r="I454" s="268">
        <f t="shared" si="51"/>
        <v>0</v>
      </c>
      <c r="J454" s="634"/>
    </row>
    <row r="455" spans="3:10">
      <c r="C455" s="235" t="s">
        <v>348</v>
      </c>
      <c r="D455" s="185"/>
      <c r="E455" s="179"/>
      <c r="F455" s="179"/>
      <c r="G455" s="185">
        <f t="shared" si="52"/>
        <v>0</v>
      </c>
      <c r="H455" s="185">
        <v>0</v>
      </c>
      <c r="I455" s="268">
        <f t="shared" si="51"/>
        <v>0</v>
      </c>
      <c r="J455" s="634"/>
    </row>
    <row r="456" spans="3:10" ht="14.25" customHeight="1">
      <c r="C456" s="236" t="s">
        <v>470</v>
      </c>
      <c r="D456" s="185">
        <v>20775</v>
      </c>
      <c r="E456" s="185">
        <v>0</v>
      </c>
      <c r="F456" s="185">
        <v>0</v>
      </c>
      <c r="G456" s="185">
        <v>20775</v>
      </c>
      <c r="H456" s="185">
        <v>20780</v>
      </c>
      <c r="I456" s="268">
        <f t="shared" ref="I456:I487" si="53">H456-G456</f>
        <v>5</v>
      </c>
      <c r="J456" s="634">
        <f>I456/G456</f>
        <v>2.4067388688327315E-4</v>
      </c>
    </row>
    <row r="457" spans="3:10">
      <c r="C457" s="281"/>
      <c r="D457" s="185"/>
      <c r="E457" s="179"/>
      <c r="F457" s="179"/>
      <c r="G457" s="185">
        <f t="shared" si="52"/>
        <v>0</v>
      </c>
      <c r="H457" s="185">
        <v>0</v>
      </c>
      <c r="I457" s="268">
        <f t="shared" si="53"/>
        <v>0</v>
      </c>
      <c r="J457" s="634"/>
    </row>
    <row r="458" spans="3:10">
      <c r="C458" s="235" t="s">
        <v>348</v>
      </c>
      <c r="D458" s="187"/>
      <c r="E458" s="179"/>
      <c r="F458" s="179"/>
      <c r="G458" s="187">
        <f t="shared" si="52"/>
        <v>0</v>
      </c>
      <c r="H458" s="187">
        <v>0</v>
      </c>
      <c r="I458" s="661">
        <f t="shared" si="53"/>
        <v>0</v>
      </c>
      <c r="J458" s="637"/>
    </row>
    <row r="459" spans="3:10" ht="24">
      <c r="C459" s="236" t="s">
        <v>471</v>
      </c>
      <c r="D459" s="187">
        <v>398649</v>
      </c>
      <c r="E459" s="179">
        <v>16459</v>
      </c>
      <c r="F459" s="237">
        <v>4213</v>
      </c>
      <c r="G459" s="187">
        <f t="shared" si="52"/>
        <v>419321</v>
      </c>
      <c r="H459" s="187">
        <v>440170</v>
      </c>
      <c r="I459" s="661">
        <f t="shared" si="53"/>
        <v>20849</v>
      </c>
      <c r="J459" s="637">
        <f>I459/G459</f>
        <v>4.9720858244638358E-2</v>
      </c>
    </row>
    <row r="460" spans="3:10">
      <c r="C460" s="208" t="s">
        <v>291</v>
      </c>
      <c r="D460" s="189">
        <v>234206</v>
      </c>
      <c r="E460" s="230">
        <v>12301</v>
      </c>
      <c r="F460" s="230"/>
      <c r="G460" s="189">
        <f t="shared" si="52"/>
        <v>246507</v>
      </c>
      <c r="H460" s="189">
        <v>270054</v>
      </c>
      <c r="I460" s="184">
        <f t="shared" si="53"/>
        <v>23547</v>
      </c>
      <c r="J460" s="632">
        <f>I460/G460</f>
        <v>9.552264235904051E-2</v>
      </c>
    </row>
    <row r="461" spans="3:10">
      <c r="C461" s="284"/>
      <c r="D461" s="189"/>
      <c r="E461" s="179"/>
      <c r="F461" s="179"/>
      <c r="G461" s="189">
        <f t="shared" si="52"/>
        <v>0</v>
      </c>
      <c r="H461" s="189">
        <v>0</v>
      </c>
      <c r="I461" s="184">
        <f t="shared" si="53"/>
        <v>0</v>
      </c>
      <c r="J461" s="632"/>
    </row>
    <row r="462" spans="3:10">
      <c r="C462" s="223" t="s">
        <v>472</v>
      </c>
      <c r="D462" s="176">
        <f>D465+D469+D472+D475+D478</f>
        <v>4524793</v>
      </c>
      <c r="E462" s="176">
        <f>E465+E469+E472+E475+E478</f>
        <v>47263</v>
      </c>
      <c r="F462" s="176">
        <f>F465+F469+F472+F475+F478</f>
        <v>47100</v>
      </c>
      <c r="G462" s="176">
        <f t="shared" si="52"/>
        <v>4619156</v>
      </c>
      <c r="H462" s="176">
        <v>4838820</v>
      </c>
      <c r="I462" s="659">
        <f t="shared" si="53"/>
        <v>219664</v>
      </c>
      <c r="J462" s="660">
        <f>I462/G462</f>
        <v>4.7555007884557264E-2</v>
      </c>
    </row>
    <row r="463" spans="3:10">
      <c r="C463" s="202" t="s">
        <v>291</v>
      </c>
      <c r="D463" s="246">
        <f>D466</f>
        <v>1255152</v>
      </c>
      <c r="E463" s="246">
        <f t="shared" ref="E463:F463" si="54">E466</f>
        <v>34950</v>
      </c>
      <c r="F463" s="246">
        <f t="shared" si="54"/>
        <v>13600</v>
      </c>
      <c r="G463" s="246">
        <f t="shared" si="52"/>
        <v>1303702</v>
      </c>
      <c r="H463" s="246">
        <v>1407356</v>
      </c>
      <c r="I463" s="520">
        <f t="shared" si="53"/>
        <v>103654</v>
      </c>
      <c r="J463" s="638">
        <f>I463/G463</f>
        <v>7.9507433447214171E-2</v>
      </c>
    </row>
    <row r="464" spans="3:10">
      <c r="C464" s="235" t="s">
        <v>348</v>
      </c>
      <c r="D464" s="407"/>
      <c r="E464" s="179"/>
      <c r="F464" s="179"/>
      <c r="G464" s="407">
        <f t="shared" si="52"/>
        <v>0</v>
      </c>
      <c r="H464" s="171">
        <v>0</v>
      </c>
      <c r="I464" s="682">
        <f t="shared" si="53"/>
        <v>0</v>
      </c>
      <c r="J464" s="683"/>
    </row>
    <row r="465" spans="3:10">
      <c r="C465" s="236" t="s">
        <v>473</v>
      </c>
      <c r="D465" s="185">
        <v>4323306</v>
      </c>
      <c r="E465" s="179">
        <v>47263</v>
      </c>
      <c r="F465" s="237">
        <v>48200</v>
      </c>
      <c r="G465" s="185">
        <v>4418769</v>
      </c>
      <c r="H465" s="185">
        <v>4619690</v>
      </c>
      <c r="I465" s="268">
        <f t="shared" si="53"/>
        <v>200921</v>
      </c>
      <c r="J465" s="634">
        <f>I465/G465</f>
        <v>4.5469903495747345E-2</v>
      </c>
    </row>
    <row r="466" spans="3:10" ht="13.5" customHeight="1">
      <c r="C466" s="208" t="s">
        <v>291</v>
      </c>
      <c r="D466" s="189">
        <v>1255152</v>
      </c>
      <c r="E466" s="230">
        <v>34950</v>
      </c>
      <c r="F466" s="230">
        <v>13600</v>
      </c>
      <c r="G466" s="189">
        <v>1303702</v>
      </c>
      <c r="H466" s="189">
        <v>1407356</v>
      </c>
      <c r="I466" s="184">
        <f t="shared" si="53"/>
        <v>103654</v>
      </c>
      <c r="J466" s="632">
        <f>I466/G466</f>
        <v>7.9507433447214171E-2</v>
      </c>
    </row>
    <row r="467" spans="3:10">
      <c r="C467" s="201"/>
      <c r="D467" s="185"/>
      <c r="E467" s="179"/>
      <c r="F467" s="179"/>
      <c r="G467" s="185">
        <f t="shared" si="52"/>
        <v>0</v>
      </c>
      <c r="H467" s="185">
        <v>0</v>
      </c>
      <c r="I467" s="268">
        <f t="shared" si="53"/>
        <v>0</v>
      </c>
      <c r="J467" s="634"/>
    </row>
    <row r="468" spans="3:10">
      <c r="C468" s="235" t="s">
        <v>348</v>
      </c>
      <c r="D468" s="185"/>
      <c r="E468" s="179"/>
      <c r="F468" s="179"/>
      <c r="G468" s="185">
        <f t="shared" si="52"/>
        <v>0</v>
      </c>
      <c r="H468" s="185">
        <v>0</v>
      </c>
      <c r="I468" s="268">
        <f t="shared" si="53"/>
        <v>0</v>
      </c>
      <c r="J468" s="634"/>
    </row>
    <row r="469" spans="3:10">
      <c r="C469" s="236" t="s">
        <v>474</v>
      </c>
      <c r="D469" s="185">
        <v>26912</v>
      </c>
      <c r="E469" s="179"/>
      <c r="F469" s="179"/>
      <c r="G469" s="185">
        <f t="shared" si="52"/>
        <v>26912</v>
      </c>
      <c r="H469" s="185">
        <v>26910</v>
      </c>
      <c r="I469" s="268">
        <f t="shared" si="53"/>
        <v>-2</v>
      </c>
      <c r="J469" s="634">
        <f>I469/G469</f>
        <v>-7.4316290130796664E-5</v>
      </c>
    </row>
    <row r="470" spans="3:10">
      <c r="C470" s="285"/>
      <c r="D470" s="185"/>
      <c r="E470" s="179"/>
      <c r="F470" s="179"/>
      <c r="G470" s="185">
        <f t="shared" si="52"/>
        <v>0</v>
      </c>
      <c r="H470" s="185">
        <v>0</v>
      </c>
      <c r="I470" s="268">
        <f t="shared" si="53"/>
        <v>0</v>
      </c>
      <c r="J470" s="634"/>
    </row>
    <row r="471" spans="3:10">
      <c r="C471" s="235" t="s">
        <v>348</v>
      </c>
      <c r="D471" s="185"/>
      <c r="E471" s="179"/>
      <c r="F471" s="179"/>
      <c r="G471" s="185">
        <f t="shared" si="52"/>
        <v>0</v>
      </c>
      <c r="H471" s="185">
        <v>0</v>
      </c>
      <c r="I471" s="268">
        <f t="shared" si="53"/>
        <v>0</v>
      </c>
      <c r="J471" s="634"/>
    </row>
    <row r="472" spans="3:10">
      <c r="C472" s="236" t="s">
        <v>475</v>
      </c>
      <c r="D472" s="185">
        <v>131700</v>
      </c>
      <c r="E472" s="179"/>
      <c r="F472" s="179">
        <v>-6100</v>
      </c>
      <c r="G472" s="185">
        <f t="shared" si="52"/>
        <v>125600</v>
      </c>
      <c r="H472" s="185">
        <v>131000</v>
      </c>
      <c r="I472" s="268">
        <f t="shared" si="53"/>
        <v>5400</v>
      </c>
      <c r="J472" s="634">
        <f>I472/G472</f>
        <v>4.2993630573248405E-2</v>
      </c>
    </row>
    <row r="473" spans="3:10">
      <c r="C473" s="285"/>
      <c r="D473" s="185"/>
      <c r="E473" s="179"/>
      <c r="F473" s="179"/>
      <c r="G473" s="185">
        <f t="shared" si="52"/>
        <v>0</v>
      </c>
      <c r="H473" s="185">
        <v>0</v>
      </c>
      <c r="I473" s="268">
        <f t="shared" si="53"/>
        <v>0</v>
      </c>
      <c r="J473" s="634"/>
    </row>
    <row r="474" spans="3:10">
      <c r="C474" s="235" t="s">
        <v>348</v>
      </c>
      <c r="D474" s="185"/>
      <c r="E474" s="179"/>
      <c r="F474" s="179"/>
      <c r="G474" s="185">
        <f t="shared" si="52"/>
        <v>0</v>
      </c>
      <c r="H474" s="185">
        <v>0</v>
      </c>
      <c r="I474" s="268">
        <f t="shared" si="53"/>
        <v>0</v>
      </c>
      <c r="J474" s="634"/>
    </row>
    <row r="475" spans="3:10">
      <c r="C475" s="236" t="s">
        <v>476</v>
      </c>
      <c r="D475" s="185">
        <v>16220</v>
      </c>
      <c r="E475" s="179"/>
      <c r="F475" s="179"/>
      <c r="G475" s="185">
        <f t="shared" si="52"/>
        <v>16220</v>
      </c>
      <c r="H475" s="185">
        <v>16220</v>
      </c>
      <c r="I475" s="268">
        <f t="shared" si="53"/>
        <v>0</v>
      </c>
      <c r="J475" s="634">
        <f>I475/G475</f>
        <v>0</v>
      </c>
    </row>
    <row r="476" spans="3:10">
      <c r="C476" s="282"/>
      <c r="D476" s="185"/>
      <c r="E476" s="179"/>
      <c r="F476" s="179"/>
      <c r="G476" s="185">
        <f t="shared" si="52"/>
        <v>0</v>
      </c>
      <c r="H476" s="185">
        <v>0</v>
      </c>
      <c r="I476" s="268">
        <f t="shared" si="53"/>
        <v>0</v>
      </c>
      <c r="J476" s="634"/>
    </row>
    <row r="477" spans="3:10">
      <c r="C477" s="235" t="s">
        <v>348</v>
      </c>
      <c r="D477" s="185"/>
      <c r="E477" s="179"/>
      <c r="F477" s="179"/>
      <c r="G477" s="185">
        <f t="shared" si="52"/>
        <v>0</v>
      </c>
      <c r="H477" s="185">
        <v>0</v>
      </c>
      <c r="I477" s="268">
        <f t="shared" si="53"/>
        <v>0</v>
      </c>
      <c r="J477" s="634"/>
    </row>
    <row r="478" spans="3:10">
      <c r="C478" s="236" t="s">
        <v>477</v>
      </c>
      <c r="D478" s="185">
        <v>26655</v>
      </c>
      <c r="E478" s="179"/>
      <c r="F478" s="237">
        <v>5000</v>
      </c>
      <c r="G478" s="185">
        <f t="shared" si="52"/>
        <v>31655</v>
      </c>
      <c r="H478" s="185">
        <v>45000</v>
      </c>
      <c r="I478" s="268">
        <f t="shared" si="53"/>
        <v>13345</v>
      </c>
      <c r="J478" s="634">
        <f>I478/G478</f>
        <v>0.421576370241668</v>
      </c>
    </row>
    <row r="479" spans="3:10">
      <c r="C479" s="285"/>
      <c r="D479" s="185"/>
      <c r="E479" s="179"/>
      <c r="F479" s="179"/>
      <c r="G479" s="185">
        <f t="shared" si="52"/>
        <v>0</v>
      </c>
      <c r="H479" s="185">
        <v>0</v>
      </c>
      <c r="I479" s="268">
        <f t="shared" si="53"/>
        <v>0</v>
      </c>
      <c r="J479" s="634"/>
    </row>
    <row r="480" spans="3:10">
      <c r="C480" s="223" t="s">
        <v>478</v>
      </c>
      <c r="D480" s="176">
        <f>D483+D486+D490+D494+D499+D503+D507+D511+D519</f>
        <v>3346328</v>
      </c>
      <c r="E480" s="176">
        <f>E483+E486+E490+E494+E499+E503+E507+E511+E519</f>
        <v>144090</v>
      </c>
      <c r="F480" s="176">
        <f>F483+F486+F490+F494+F499+F503+F507+F511+F519</f>
        <v>25710</v>
      </c>
      <c r="G480" s="176">
        <f t="shared" si="52"/>
        <v>3516128</v>
      </c>
      <c r="H480" s="176">
        <v>3632650</v>
      </c>
      <c r="I480" s="659">
        <f t="shared" si="53"/>
        <v>116522</v>
      </c>
      <c r="J480" s="660">
        <f>I480/G480</f>
        <v>3.3139294132636811E-2</v>
      </c>
    </row>
    <row r="481" spans="3:10">
      <c r="C481" s="202" t="s">
        <v>291</v>
      </c>
      <c r="D481" s="189">
        <f>D487+D491+D495+D500+D504+D508+D512+D520</f>
        <v>1880542</v>
      </c>
      <c r="E481" s="189">
        <f>E487+E491+E495+E500+E504+E508+E512+E520</f>
        <v>58150</v>
      </c>
      <c r="F481" s="189">
        <f>F487+F491+F495+F500+F504+F508+F512+F520</f>
        <v>4993</v>
      </c>
      <c r="G481" s="189">
        <f t="shared" si="52"/>
        <v>1943685</v>
      </c>
      <c r="H481" s="189">
        <v>2039790</v>
      </c>
      <c r="I481" s="184">
        <f t="shared" si="53"/>
        <v>96105</v>
      </c>
      <c r="J481" s="632">
        <f>I481/G481</f>
        <v>4.9444740274272835E-2</v>
      </c>
    </row>
    <row r="482" spans="3:10">
      <c r="C482" s="235" t="s">
        <v>348</v>
      </c>
      <c r="D482" s="189"/>
      <c r="E482" s="179"/>
      <c r="F482" s="179"/>
      <c r="G482" s="189">
        <f t="shared" si="52"/>
        <v>0</v>
      </c>
      <c r="H482" s="189">
        <v>0</v>
      </c>
      <c r="I482" s="184">
        <f t="shared" si="53"/>
        <v>0</v>
      </c>
      <c r="J482" s="632"/>
    </row>
    <row r="483" spans="3:10">
      <c r="C483" s="236" t="s">
        <v>479</v>
      </c>
      <c r="D483" s="185">
        <v>39686</v>
      </c>
      <c r="E483" s="179"/>
      <c r="F483" s="179"/>
      <c r="G483" s="185">
        <f t="shared" si="52"/>
        <v>39686</v>
      </c>
      <c r="H483" s="185">
        <v>39680</v>
      </c>
      <c r="I483" s="268">
        <f t="shared" si="53"/>
        <v>-6</v>
      </c>
      <c r="J483" s="634">
        <f>I483/G483</f>
        <v>-1.5118681650960037E-4</v>
      </c>
    </row>
    <row r="484" spans="3:10">
      <c r="C484" s="281"/>
      <c r="D484" s="185"/>
      <c r="E484" s="179"/>
      <c r="F484" s="179"/>
      <c r="G484" s="185">
        <f t="shared" si="52"/>
        <v>0</v>
      </c>
      <c r="H484" s="185">
        <v>0</v>
      </c>
      <c r="I484" s="268">
        <f t="shared" si="53"/>
        <v>0</v>
      </c>
      <c r="J484" s="634"/>
    </row>
    <row r="485" spans="3:10">
      <c r="C485" s="235" t="s">
        <v>348</v>
      </c>
      <c r="D485" s="185"/>
      <c r="E485" s="179"/>
      <c r="F485" s="179"/>
      <c r="G485" s="185">
        <f t="shared" si="52"/>
        <v>0</v>
      </c>
      <c r="H485" s="185">
        <v>0</v>
      </c>
      <c r="I485" s="268">
        <f t="shared" si="53"/>
        <v>0</v>
      </c>
      <c r="J485" s="634"/>
    </row>
    <row r="486" spans="3:10">
      <c r="C486" s="236" t="s">
        <v>480</v>
      </c>
      <c r="D486" s="185">
        <f>381169+18468</f>
        <v>399637</v>
      </c>
      <c r="E486" s="179">
        <v>9840</v>
      </c>
      <c r="F486" s="237"/>
      <c r="G486" s="185">
        <f t="shared" si="52"/>
        <v>409477</v>
      </c>
      <c r="H486" s="185">
        <v>431840</v>
      </c>
      <c r="I486" s="268">
        <f t="shared" si="53"/>
        <v>22363</v>
      </c>
      <c r="J486" s="634">
        <f>I486/G486</f>
        <v>5.461356803923053E-2</v>
      </c>
    </row>
    <row r="487" spans="3:10">
      <c r="C487" s="208" t="s">
        <v>291</v>
      </c>
      <c r="D487" s="189">
        <f>244507+1310+13440</f>
        <v>259257</v>
      </c>
      <c r="E487" s="230">
        <v>7354</v>
      </c>
      <c r="F487" s="238">
        <v>1602</v>
      </c>
      <c r="G487" s="189">
        <f t="shared" si="52"/>
        <v>268213</v>
      </c>
      <c r="H487" s="189">
        <v>284341</v>
      </c>
      <c r="I487" s="184">
        <f t="shared" si="53"/>
        <v>16128</v>
      </c>
      <c r="J487" s="632">
        <f>I487/G487</f>
        <v>6.0131313545577582E-2</v>
      </c>
    </row>
    <row r="488" spans="3:10">
      <c r="C488" s="286"/>
      <c r="D488" s="185"/>
      <c r="E488" s="179"/>
      <c r="F488" s="179"/>
      <c r="G488" s="185">
        <f t="shared" si="52"/>
        <v>0</v>
      </c>
      <c r="H488" s="185">
        <v>0</v>
      </c>
      <c r="I488" s="268">
        <f t="shared" ref="I488:I519" si="55">H488-G488</f>
        <v>0</v>
      </c>
      <c r="J488" s="634"/>
    </row>
    <row r="489" spans="3:10">
      <c r="C489" s="235" t="s">
        <v>348</v>
      </c>
      <c r="D489" s="187"/>
      <c r="E489" s="179"/>
      <c r="F489" s="179"/>
      <c r="G489" s="187">
        <f t="shared" si="52"/>
        <v>0</v>
      </c>
      <c r="H489" s="187">
        <v>0</v>
      </c>
      <c r="I489" s="661">
        <f t="shared" si="55"/>
        <v>0</v>
      </c>
      <c r="J489" s="637"/>
    </row>
    <row r="490" spans="3:10">
      <c r="C490" s="236" t="s">
        <v>481</v>
      </c>
      <c r="D490" s="185">
        <v>44181</v>
      </c>
      <c r="E490" s="179">
        <v>741</v>
      </c>
      <c r="F490" s="179"/>
      <c r="G490" s="185">
        <f t="shared" ref="G490:G534" si="56">SUM(D490:F490)</f>
        <v>44922</v>
      </c>
      <c r="H490" s="185">
        <v>45670</v>
      </c>
      <c r="I490" s="268">
        <f t="shared" si="55"/>
        <v>748</v>
      </c>
      <c r="J490" s="634">
        <f>I490/G490</f>
        <v>1.6651084101331197E-2</v>
      </c>
    </row>
    <row r="491" spans="3:10">
      <c r="C491" s="208" t="s">
        <v>291</v>
      </c>
      <c r="D491" s="189">
        <v>21558</v>
      </c>
      <c r="E491" s="230">
        <v>554</v>
      </c>
      <c r="F491" s="230"/>
      <c r="G491" s="189">
        <f t="shared" si="56"/>
        <v>22112</v>
      </c>
      <c r="H491" s="189">
        <v>22666</v>
      </c>
      <c r="I491" s="184">
        <f t="shared" si="55"/>
        <v>554</v>
      </c>
      <c r="J491" s="632">
        <f>I491/G491</f>
        <v>2.5054269175108539E-2</v>
      </c>
    </row>
    <row r="492" spans="3:10">
      <c r="C492" s="266"/>
      <c r="D492" s="185"/>
      <c r="E492" s="179"/>
      <c r="F492" s="179"/>
      <c r="G492" s="185">
        <f t="shared" si="56"/>
        <v>0</v>
      </c>
      <c r="H492" s="185">
        <v>0</v>
      </c>
      <c r="I492" s="268">
        <f t="shared" si="55"/>
        <v>0</v>
      </c>
      <c r="J492" s="634"/>
    </row>
    <row r="493" spans="3:10">
      <c r="C493" s="235" t="s">
        <v>348</v>
      </c>
      <c r="D493" s="185"/>
      <c r="E493" s="179"/>
      <c r="F493" s="179"/>
      <c r="G493" s="185">
        <f t="shared" si="56"/>
        <v>0</v>
      </c>
      <c r="H493" s="185">
        <v>0</v>
      </c>
      <c r="I493" s="268">
        <f t="shared" si="55"/>
        <v>0</v>
      </c>
      <c r="J493" s="634"/>
    </row>
    <row r="494" spans="3:10">
      <c r="C494" s="236" t="s">
        <v>482</v>
      </c>
      <c r="D494" s="185">
        <v>164845</v>
      </c>
      <c r="E494" s="179">
        <v>37953</v>
      </c>
      <c r="F494" s="179">
        <v>0</v>
      </c>
      <c r="G494" s="185">
        <v>202798</v>
      </c>
      <c r="H494" s="185">
        <v>211850</v>
      </c>
      <c r="I494" s="268">
        <f t="shared" si="55"/>
        <v>9052</v>
      </c>
      <c r="J494" s="634">
        <f>I494/G494</f>
        <v>4.4635548674050042E-2</v>
      </c>
    </row>
    <row r="495" spans="3:10">
      <c r="C495" s="208" t="s">
        <v>291</v>
      </c>
      <c r="D495" s="189">
        <v>41845</v>
      </c>
      <c r="E495" s="230">
        <v>4077</v>
      </c>
      <c r="F495" s="230">
        <v>-680</v>
      </c>
      <c r="G495" s="189">
        <v>45242</v>
      </c>
      <c r="H495" s="189">
        <v>49999</v>
      </c>
      <c r="I495" s="184">
        <f t="shared" si="55"/>
        <v>4757</v>
      </c>
      <c r="J495" s="632">
        <f>I495/G495</f>
        <v>0.1051456611113567</v>
      </c>
    </row>
    <row r="496" spans="3:10">
      <c r="C496" s="287" t="s">
        <v>483</v>
      </c>
      <c r="D496" s="189">
        <v>47934</v>
      </c>
      <c r="E496" s="230"/>
      <c r="F496" s="230"/>
      <c r="G496" s="189">
        <v>47934</v>
      </c>
      <c r="H496" s="189">
        <v>-2380</v>
      </c>
      <c r="I496" s="184">
        <f t="shared" si="55"/>
        <v>-50314</v>
      </c>
      <c r="J496" s="632">
        <f>I496/G496</f>
        <v>-1.049651604289231</v>
      </c>
    </row>
    <row r="497" spans="3:10">
      <c r="C497" s="281"/>
      <c r="D497" s="185"/>
      <c r="E497" s="179"/>
      <c r="F497" s="179"/>
      <c r="G497" s="185">
        <f t="shared" si="56"/>
        <v>0</v>
      </c>
      <c r="H497" s="185">
        <v>0</v>
      </c>
      <c r="I497" s="268">
        <f t="shared" si="55"/>
        <v>0</v>
      </c>
      <c r="J497" s="634"/>
    </row>
    <row r="498" spans="3:10">
      <c r="C498" s="235" t="s">
        <v>348</v>
      </c>
      <c r="D498" s="187"/>
      <c r="E498" s="179"/>
      <c r="F498" s="179"/>
      <c r="G498" s="187">
        <f t="shared" si="56"/>
        <v>0</v>
      </c>
      <c r="H498" s="187">
        <v>0</v>
      </c>
      <c r="I498" s="661">
        <f t="shared" si="55"/>
        <v>0</v>
      </c>
      <c r="J498" s="637"/>
    </row>
    <row r="499" spans="3:10" ht="24">
      <c r="C499" s="236" t="s">
        <v>484</v>
      </c>
      <c r="D499" s="185">
        <v>834098</v>
      </c>
      <c r="E499" s="179">
        <v>15248</v>
      </c>
      <c r="F499" s="237">
        <v>7410</v>
      </c>
      <c r="G499" s="185">
        <v>856756</v>
      </c>
      <c r="H499" s="185">
        <v>914990</v>
      </c>
      <c r="I499" s="268">
        <f t="shared" si="55"/>
        <v>58234</v>
      </c>
      <c r="J499" s="634">
        <f>I499/G499</f>
        <v>6.7970343948568782E-2</v>
      </c>
    </row>
    <row r="500" spans="3:10">
      <c r="C500" s="208" t="s">
        <v>291</v>
      </c>
      <c r="D500" s="189">
        <v>470292</v>
      </c>
      <c r="E500" s="230">
        <v>11396</v>
      </c>
      <c r="F500" s="230">
        <v>4930</v>
      </c>
      <c r="G500" s="189">
        <v>486618</v>
      </c>
      <c r="H500" s="189">
        <v>510056</v>
      </c>
      <c r="I500" s="184">
        <f t="shared" si="55"/>
        <v>23438</v>
      </c>
      <c r="J500" s="632">
        <f>I500/G500</f>
        <v>4.8165090481650907E-2</v>
      </c>
    </row>
    <row r="501" spans="3:10">
      <c r="C501" s="288"/>
      <c r="D501" s="185"/>
      <c r="E501" s="179"/>
      <c r="F501" s="179"/>
      <c r="G501" s="185">
        <f t="shared" si="56"/>
        <v>0</v>
      </c>
      <c r="H501" s="185">
        <v>0</v>
      </c>
      <c r="I501" s="268">
        <f t="shared" si="55"/>
        <v>0</v>
      </c>
      <c r="J501" s="634"/>
    </row>
    <row r="502" spans="3:10">
      <c r="C502" s="235" t="s">
        <v>348</v>
      </c>
      <c r="D502" s="185"/>
      <c r="E502" s="179"/>
      <c r="F502" s="179"/>
      <c r="G502" s="185">
        <f t="shared" si="56"/>
        <v>0</v>
      </c>
      <c r="H502" s="185">
        <v>0</v>
      </c>
      <c r="I502" s="268">
        <f t="shared" si="55"/>
        <v>0</v>
      </c>
      <c r="J502" s="634"/>
    </row>
    <row r="503" spans="3:10">
      <c r="C503" s="236" t="s">
        <v>485</v>
      </c>
      <c r="D503" s="187">
        <v>16045</v>
      </c>
      <c r="E503" s="179"/>
      <c r="F503" s="179">
        <v>1300</v>
      </c>
      <c r="G503" s="187">
        <f t="shared" si="56"/>
        <v>17345</v>
      </c>
      <c r="H503" s="187">
        <v>16040</v>
      </c>
      <c r="I503" s="661">
        <f t="shared" si="55"/>
        <v>-1305</v>
      </c>
      <c r="J503" s="637">
        <f>I503/G503</f>
        <v>-7.5237820697607385E-2</v>
      </c>
    </row>
    <row r="504" spans="3:10">
      <c r="C504" s="208" t="s">
        <v>291</v>
      </c>
      <c r="D504" s="189">
        <v>959</v>
      </c>
      <c r="E504" s="230"/>
      <c r="F504" s="230">
        <v>-859</v>
      </c>
      <c r="G504" s="189">
        <f t="shared" si="56"/>
        <v>100</v>
      </c>
      <c r="H504" s="189">
        <v>959</v>
      </c>
      <c r="I504" s="184">
        <f t="shared" si="55"/>
        <v>859</v>
      </c>
      <c r="J504" s="632">
        <f>I504/G504</f>
        <v>8.59</v>
      </c>
    </row>
    <row r="505" spans="3:10">
      <c r="C505" s="201"/>
      <c r="D505" s="185"/>
      <c r="E505" s="179"/>
      <c r="F505" s="179"/>
      <c r="G505" s="185">
        <f t="shared" si="56"/>
        <v>0</v>
      </c>
      <c r="H505" s="185">
        <v>0</v>
      </c>
      <c r="I505" s="268">
        <f t="shared" si="55"/>
        <v>0</v>
      </c>
      <c r="J505" s="634"/>
    </row>
    <row r="506" spans="3:10">
      <c r="C506" s="235" t="s">
        <v>348</v>
      </c>
      <c r="D506" s="185"/>
      <c r="E506" s="179"/>
      <c r="F506" s="179"/>
      <c r="G506" s="185">
        <f t="shared" si="56"/>
        <v>0</v>
      </c>
      <c r="H506" s="185">
        <v>0</v>
      </c>
      <c r="I506" s="268">
        <f t="shared" si="55"/>
        <v>0</v>
      </c>
      <c r="J506" s="634"/>
    </row>
    <row r="507" spans="3:10">
      <c r="C507" s="236" t="s">
        <v>486</v>
      </c>
      <c r="D507" s="187">
        <v>840662</v>
      </c>
      <c r="E507" s="179">
        <v>55756</v>
      </c>
      <c r="F507" s="179"/>
      <c r="G507" s="187">
        <f t="shared" si="56"/>
        <v>896418</v>
      </c>
      <c r="H507" s="187">
        <v>878910</v>
      </c>
      <c r="I507" s="661">
        <f t="shared" si="55"/>
        <v>-17508</v>
      </c>
      <c r="J507" s="637">
        <f>I507/G507</f>
        <v>-1.953106697991339E-2</v>
      </c>
    </row>
    <row r="508" spans="3:10">
      <c r="C508" s="208" t="s">
        <v>291</v>
      </c>
      <c r="D508" s="189">
        <v>499628</v>
      </c>
      <c r="E508" s="230">
        <v>16419</v>
      </c>
      <c r="F508" s="230"/>
      <c r="G508" s="189">
        <f t="shared" si="56"/>
        <v>516047</v>
      </c>
      <c r="H508" s="189">
        <v>526234</v>
      </c>
      <c r="I508" s="184">
        <f t="shared" si="55"/>
        <v>10187</v>
      </c>
      <c r="J508" s="632">
        <f>I508/G508</f>
        <v>1.9740449997771522E-2</v>
      </c>
    </row>
    <row r="509" spans="3:10">
      <c r="C509" s="201"/>
      <c r="D509" s="185"/>
      <c r="E509" s="179"/>
      <c r="F509" s="179"/>
      <c r="G509" s="185">
        <f t="shared" si="56"/>
        <v>0</v>
      </c>
      <c r="H509" s="185">
        <v>0</v>
      </c>
      <c r="I509" s="268">
        <f t="shared" si="55"/>
        <v>0</v>
      </c>
      <c r="J509" s="634"/>
    </row>
    <row r="510" spans="3:10">
      <c r="C510" s="235" t="s">
        <v>348</v>
      </c>
      <c r="D510" s="289"/>
      <c r="E510" s="179"/>
      <c r="F510" s="179"/>
      <c r="G510" s="289">
        <f t="shared" si="56"/>
        <v>0</v>
      </c>
      <c r="H510" s="289">
        <v>0</v>
      </c>
      <c r="I510" s="289">
        <f t="shared" si="55"/>
        <v>0</v>
      </c>
      <c r="J510" s="640"/>
    </row>
    <row r="511" spans="3:10">
      <c r="C511" s="290" t="s">
        <v>487</v>
      </c>
      <c r="D511" s="237">
        <v>932174</v>
      </c>
      <c r="E511" s="179">
        <v>24552</v>
      </c>
      <c r="F511" s="179"/>
      <c r="G511" s="237">
        <f t="shared" si="56"/>
        <v>956726</v>
      </c>
      <c r="H511" s="237">
        <v>981280</v>
      </c>
      <c r="I511" s="289">
        <f t="shared" si="55"/>
        <v>24554</v>
      </c>
      <c r="J511" s="640">
        <f>I511/G511</f>
        <v>2.5664610348208369E-2</v>
      </c>
    </row>
    <row r="512" spans="3:10">
      <c r="C512" s="208" t="s">
        <v>291</v>
      </c>
      <c r="D512" s="189">
        <v>582395</v>
      </c>
      <c r="E512" s="230">
        <v>18350</v>
      </c>
      <c r="F512" s="230"/>
      <c r="G512" s="189">
        <f t="shared" si="56"/>
        <v>600745</v>
      </c>
      <c r="H512" s="189">
        <v>623095</v>
      </c>
      <c r="I512" s="184">
        <f t="shared" si="55"/>
        <v>22350</v>
      </c>
      <c r="J512" s="632">
        <f>I512/G512</f>
        <v>3.7203805275116728E-2</v>
      </c>
    </row>
    <row r="513" spans="3:10">
      <c r="C513" s="208"/>
      <c r="D513" s="189"/>
      <c r="E513" s="230"/>
      <c r="F513" s="230"/>
      <c r="G513" s="189">
        <f t="shared" si="56"/>
        <v>0</v>
      </c>
      <c r="H513" s="189">
        <v>0</v>
      </c>
      <c r="I513" s="184">
        <f t="shared" si="55"/>
        <v>0</v>
      </c>
      <c r="J513" s="632"/>
    </row>
    <row r="514" spans="3:10">
      <c r="C514" s="235" t="s">
        <v>348</v>
      </c>
      <c r="D514" s="189"/>
      <c r="E514" s="230"/>
      <c r="F514" s="230"/>
      <c r="G514" s="189">
        <f t="shared" si="56"/>
        <v>0</v>
      </c>
      <c r="H514" s="189">
        <v>0</v>
      </c>
      <c r="I514" s="184">
        <f t="shared" si="55"/>
        <v>0</v>
      </c>
      <c r="J514" s="632"/>
    </row>
    <row r="515" spans="3:10">
      <c r="C515" s="377" t="s">
        <v>872</v>
      </c>
      <c r="D515" s="185"/>
      <c r="E515" s="179"/>
      <c r="F515" s="179"/>
      <c r="G515" s="185"/>
      <c r="H515" s="185">
        <v>27390</v>
      </c>
      <c r="I515" s="268">
        <f t="shared" si="55"/>
        <v>27390</v>
      </c>
      <c r="J515" s="634"/>
    </row>
    <row r="516" spans="3:10">
      <c r="C516" s="208" t="s">
        <v>291</v>
      </c>
      <c r="D516" s="189"/>
      <c r="E516" s="230"/>
      <c r="F516" s="230"/>
      <c r="G516" s="189"/>
      <c r="H516" s="189">
        <v>17832</v>
      </c>
      <c r="I516" s="184">
        <f t="shared" si="55"/>
        <v>17832</v>
      </c>
      <c r="J516" s="632"/>
    </row>
    <row r="517" spans="3:10">
      <c r="C517" s="288"/>
      <c r="D517" s="185"/>
      <c r="E517" s="179"/>
      <c r="F517" s="179"/>
      <c r="G517" s="185">
        <f t="shared" si="56"/>
        <v>0</v>
      </c>
      <c r="H517" s="185">
        <v>0</v>
      </c>
      <c r="I517" s="268">
        <f t="shared" si="55"/>
        <v>0</v>
      </c>
      <c r="J517" s="634"/>
    </row>
    <row r="518" spans="3:10">
      <c r="C518" s="235" t="s">
        <v>348</v>
      </c>
      <c r="D518" s="185"/>
      <c r="E518" s="179"/>
      <c r="F518" s="179"/>
      <c r="G518" s="185">
        <f t="shared" si="56"/>
        <v>0</v>
      </c>
      <c r="H518" s="185">
        <v>0</v>
      </c>
      <c r="I518" s="268">
        <f t="shared" si="55"/>
        <v>0</v>
      </c>
      <c r="J518" s="634"/>
    </row>
    <row r="519" spans="3:10">
      <c r="C519" s="236" t="s">
        <v>488</v>
      </c>
      <c r="D519" s="185">
        <v>75000</v>
      </c>
      <c r="E519" s="179"/>
      <c r="F519" s="179">
        <v>17000</v>
      </c>
      <c r="G519" s="185">
        <f t="shared" si="56"/>
        <v>92000</v>
      </c>
      <c r="H519" s="185">
        <v>85000</v>
      </c>
      <c r="I519" s="268">
        <f t="shared" si="55"/>
        <v>-7000</v>
      </c>
      <c r="J519" s="634">
        <f>I519/G519</f>
        <v>-7.6086956521739135E-2</v>
      </c>
    </row>
    <row r="520" spans="3:10">
      <c r="C520" s="208" t="s">
        <v>291</v>
      </c>
      <c r="D520" s="189">
        <v>4608</v>
      </c>
      <c r="E520" s="230"/>
      <c r="F520" s="230"/>
      <c r="G520" s="189">
        <f t="shared" si="56"/>
        <v>4608</v>
      </c>
      <c r="H520" s="189">
        <v>4608</v>
      </c>
      <c r="I520" s="184">
        <f t="shared" ref="I520:I551" si="57">H520-G520</f>
        <v>0</v>
      </c>
      <c r="J520" s="632">
        <f>I520/G520</f>
        <v>0</v>
      </c>
    </row>
    <row r="521" spans="3:10">
      <c r="C521" s="281"/>
      <c r="D521" s="185"/>
      <c r="E521" s="179"/>
      <c r="F521" s="179"/>
      <c r="G521" s="185">
        <f t="shared" si="56"/>
        <v>0</v>
      </c>
      <c r="H521" s="185">
        <v>0</v>
      </c>
      <c r="I521" s="268">
        <f t="shared" si="57"/>
        <v>0</v>
      </c>
      <c r="J521" s="634"/>
    </row>
    <row r="522" spans="3:10">
      <c r="C522" s="254" t="s">
        <v>489</v>
      </c>
      <c r="D522" s="176">
        <f>D525+D528+D531+D534+D537+D542+D545+D548</f>
        <v>1268402</v>
      </c>
      <c r="E522" s="176">
        <f>E525+E528+E531+E534+E537+E542+E545+E548+E552</f>
        <v>50938</v>
      </c>
      <c r="F522" s="176">
        <f>F525+F528+F531+F534+F537+F542+F545+F548+F552</f>
        <v>-13400</v>
      </c>
      <c r="G522" s="176">
        <f t="shared" si="56"/>
        <v>1305940</v>
      </c>
      <c r="H522" s="176">
        <v>1354740</v>
      </c>
      <c r="I522" s="659">
        <f t="shared" si="57"/>
        <v>48800</v>
      </c>
      <c r="J522" s="660">
        <f>I522/G522</f>
        <v>3.7367719803360032E-2</v>
      </c>
    </row>
    <row r="523" spans="3:10">
      <c r="C523" s="202" t="s">
        <v>291</v>
      </c>
      <c r="D523" s="189">
        <f>D549</f>
        <v>469795</v>
      </c>
      <c r="E523" s="189">
        <f t="shared" ref="E523:F523" si="58">E549</f>
        <v>11912</v>
      </c>
      <c r="F523" s="189">
        <f t="shared" si="58"/>
        <v>-10000</v>
      </c>
      <c r="G523" s="189">
        <f t="shared" si="56"/>
        <v>471707</v>
      </c>
      <c r="H523" s="189">
        <v>495143</v>
      </c>
      <c r="I523" s="184">
        <f t="shared" si="57"/>
        <v>23436</v>
      </c>
      <c r="J523" s="632">
        <f>I523/G523</f>
        <v>4.9683383965046096E-2</v>
      </c>
    </row>
    <row r="524" spans="3:10">
      <c r="C524" s="235" t="s">
        <v>348</v>
      </c>
      <c r="D524" s="176"/>
      <c r="E524" s="179"/>
      <c r="F524" s="179"/>
      <c r="G524" s="176">
        <f t="shared" si="56"/>
        <v>0</v>
      </c>
      <c r="H524" s="176">
        <v>0</v>
      </c>
      <c r="I524" s="659">
        <f t="shared" si="57"/>
        <v>0</v>
      </c>
      <c r="J524" s="660"/>
    </row>
    <row r="525" spans="3:10">
      <c r="C525" s="236" t="s">
        <v>490</v>
      </c>
      <c r="D525" s="185">
        <v>179470</v>
      </c>
      <c r="E525" s="179"/>
      <c r="F525" s="179"/>
      <c r="G525" s="185">
        <f t="shared" si="56"/>
        <v>179470</v>
      </c>
      <c r="H525" s="185">
        <v>179470</v>
      </c>
      <c r="I525" s="268">
        <f t="shared" si="57"/>
        <v>0</v>
      </c>
      <c r="J525" s="634">
        <f>I525/G525</f>
        <v>0</v>
      </c>
    </row>
    <row r="526" spans="3:10">
      <c r="C526" s="291"/>
      <c r="D526" s="185"/>
      <c r="E526" s="179"/>
      <c r="F526" s="179"/>
      <c r="G526" s="185">
        <f t="shared" si="56"/>
        <v>0</v>
      </c>
      <c r="H526" s="185">
        <v>0</v>
      </c>
      <c r="I526" s="268">
        <f t="shared" si="57"/>
        <v>0</v>
      </c>
      <c r="J526" s="634"/>
    </row>
    <row r="527" spans="3:10">
      <c r="C527" s="235" t="s">
        <v>348</v>
      </c>
      <c r="D527" s="185"/>
      <c r="E527" s="179"/>
      <c r="F527" s="179"/>
      <c r="G527" s="185">
        <f t="shared" si="56"/>
        <v>0</v>
      </c>
      <c r="H527" s="185">
        <v>0</v>
      </c>
      <c r="I527" s="268">
        <f t="shared" si="57"/>
        <v>0</v>
      </c>
      <c r="J527" s="634"/>
    </row>
    <row r="528" spans="3:10">
      <c r="C528" s="236" t="s">
        <v>491</v>
      </c>
      <c r="D528" s="185">
        <v>130815</v>
      </c>
      <c r="E528" s="179"/>
      <c r="F528" s="179"/>
      <c r="G528" s="185">
        <f t="shared" si="56"/>
        <v>130815</v>
      </c>
      <c r="H528" s="185">
        <v>130810</v>
      </c>
      <c r="I528" s="268">
        <f t="shared" si="57"/>
        <v>-5</v>
      </c>
      <c r="J528" s="634">
        <f>I528/G528</f>
        <v>-3.8221916446890644E-5</v>
      </c>
    </row>
    <row r="529" spans="3:10">
      <c r="C529" s="291"/>
      <c r="D529" s="185"/>
      <c r="E529" s="179"/>
      <c r="F529" s="179"/>
      <c r="G529" s="185">
        <f t="shared" si="56"/>
        <v>0</v>
      </c>
      <c r="H529" s="185">
        <v>0</v>
      </c>
      <c r="I529" s="268">
        <f t="shared" si="57"/>
        <v>0</v>
      </c>
      <c r="J529" s="634"/>
    </row>
    <row r="530" spans="3:10">
      <c r="C530" s="235" t="s">
        <v>348</v>
      </c>
      <c r="D530" s="185"/>
      <c r="E530" s="179"/>
      <c r="F530" s="179"/>
      <c r="G530" s="185">
        <f t="shared" si="56"/>
        <v>0</v>
      </c>
      <c r="H530" s="185">
        <v>0</v>
      </c>
      <c r="I530" s="268">
        <f t="shared" si="57"/>
        <v>0</v>
      </c>
      <c r="J530" s="634"/>
    </row>
    <row r="531" spans="3:10">
      <c r="C531" s="236" t="s">
        <v>492</v>
      </c>
      <c r="D531" s="185">
        <v>155050</v>
      </c>
      <c r="E531" s="179"/>
      <c r="F531" s="179"/>
      <c r="G531" s="185">
        <f t="shared" si="56"/>
        <v>155050</v>
      </c>
      <c r="H531" s="185">
        <v>155050</v>
      </c>
      <c r="I531" s="268">
        <f t="shared" si="57"/>
        <v>0</v>
      </c>
      <c r="J531" s="634">
        <f>I531/G531</f>
        <v>0</v>
      </c>
    </row>
    <row r="532" spans="3:10">
      <c r="C532" s="201"/>
      <c r="D532" s="185"/>
      <c r="E532" s="179"/>
      <c r="F532" s="179"/>
      <c r="G532" s="185">
        <f t="shared" si="56"/>
        <v>0</v>
      </c>
      <c r="H532" s="185">
        <v>0</v>
      </c>
      <c r="I532" s="268">
        <f t="shared" si="57"/>
        <v>0</v>
      </c>
      <c r="J532" s="634"/>
    </row>
    <row r="533" spans="3:10">
      <c r="C533" s="235" t="s">
        <v>348</v>
      </c>
      <c r="D533" s="185"/>
      <c r="E533" s="179"/>
      <c r="F533" s="179"/>
      <c r="G533" s="185">
        <f t="shared" si="56"/>
        <v>0</v>
      </c>
      <c r="H533" s="185">
        <v>0</v>
      </c>
      <c r="I533" s="268">
        <f t="shared" si="57"/>
        <v>0</v>
      </c>
      <c r="J533" s="634"/>
    </row>
    <row r="534" spans="3:10">
      <c r="C534" s="236" t="s">
        <v>493</v>
      </c>
      <c r="D534" s="187">
        <v>10131</v>
      </c>
      <c r="E534" s="179"/>
      <c r="F534" s="179"/>
      <c r="G534" s="187">
        <f t="shared" si="56"/>
        <v>10131</v>
      </c>
      <c r="H534" s="187">
        <v>13000</v>
      </c>
      <c r="I534" s="661">
        <f t="shared" si="57"/>
        <v>2869</v>
      </c>
      <c r="J534" s="637">
        <f>I534/G534</f>
        <v>0.28319020827164149</v>
      </c>
    </row>
    <row r="535" spans="3:10">
      <c r="C535" s="201"/>
      <c r="D535" s="185"/>
      <c r="E535" s="179"/>
      <c r="F535" s="179"/>
      <c r="G535" s="185">
        <f t="shared" ref="G535:G606" si="59">SUM(D535:F535)</f>
        <v>0</v>
      </c>
      <c r="H535" s="185">
        <v>0</v>
      </c>
      <c r="I535" s="268">
        <f t="shared" si="57"/>
        <v>0</v>
      </c>
      <c r="J535" s="634"/>
    </row>
    <row r="536" spans="3:10">
      <c r="C536" s="235" t="s">
        <v>348</v>
      </c>
      <c r="D536" s="185"/>
      <c r="E536" s="179"/>
      <c r="F536" s="179"/>
      <c r="G536" s="185">
        <f t="shared" si="59"/>
        <v>0</v>
      </c>
      <c r="H536" s="185">
        <v>0</v>
      </c>
      <c r="I536" s="268">
        <f t="shared" si="57"/>
        <v>0</v>
      </c>
      <c r="J536" s="634"/>
    </row>
    <row r="537" spans="3:10">
      <c r="C537" s="236" t="s">
        <v>494</v>
      </c>
      <c r="D537" s="187">
        <f>D538+D539</f>
        <v>60150</v>
      </c>
      <c r="E537" s="187">
        <f t="shared" ref="E537:F537" si="60">E538+E539</f>
        <v>13000</v>
      </c>
      <c r="F537" s="187">
        <f t="shared" si="60"/>
        <v>0</v>
      </c>
      <c r="G537" s="187">
        <f t="shared" si="59"/>
        <v>73150</v>
      </c>
      <c r="H537" s="187">
        <v>81750</v>
      </c>
      <c r="I537" s="661">
        <f t="shared" si="57"/>
        <v>8600</v>
      </c>
      <c r="J537" s="637">
        <f>I537/G537</f>
        <v>0.11756664388243336</v>
      </c>
    </row>
    <row r="538" spans="3:10">
      <c r="C538" s="292" t="s">
        <v>495</v>
      </c>
      <c r="D538" s="289">
        <v>48150</v>
      </c>
      <c r="E538" s="293"/>
      <c r="F538" s="293"/>
      <c r="G538" s="289">
        <f t="shared" si="59"/>
        <v>48150</v>
      </c>
      <c r="H538" s="289">
        <v>48150</v>
      </c>
      <c r="I538" s="289">
        <f t="shared" si="57"/>
        <v>0</v>
      </c>
      <c r="J538" s="640">
        <f>I538/G538</f>
        <v>0</v>
      </c>
    </row>
    <row r="539" spans="3:10">
      <c r="C539" s="294" t="s">
        <v>496</v>
      </c>
      <c r="D539" s="289">
        <v>12000</v>
      </c>
      <c r="E539" s="293">
        <v>13000</v>
      </c>
      <c r="F539" s="293"/>
      <c r="G539" s="289">
        <f t="shared" si="59"/>
        <v>25000</v>
      </c>
      <c r="H539" s="289">
        <v>33600</v>
      </c>
      <c r="I539" s="289">
        <f t="shared" si="57"/>
        <v>8600</v>
      </c>
      <c r="J539" s="640">
        <f>I539/G539</f>
        <v>0.34399999999999997</v>
      </c>
    </row>
    <row r="540" spans="3:10">
      <c r="C540" s="264"/>
      <c r="D540" s="289"/>
      <c r="E540" s="179"/>
      <c r="F540" s="179"/>
      <c r="G540" s="289">
        <f t="shared" si="59"/>
        <v>0</v>
      </c>
      <c r="H540" s="289">
        <v>0</v>
      </c>
      <c r="I540" s="289">
        <f t="shared" si="57"/>
        <v>0</v>
      </c>
      <c r="J540" s="640"/>
    </row>
    <row r="541" spans="3:10">
      <c r="C541" s="235" t="s">
        <v>348</v>
      </c>
      <c r="D541" s="185"/>
      <c r="E541" s="179"/>
      <c r="F541" s="179"/>
      <c r="G541" s="185">
        <f t="shared" si="59"/>
        <v>0</v>
      </c>
      <c r="H541" s="185">
        <v>0</v>
      </c>
      <c r="I541" s="268">
        <f t="shared" si="57"/>
        <v>0</v>
      </c>
      <c r="J541" s="634"/>
    </row>
    <row r="542" spans="3:10">
      <c r="C542" s="236" t="s">
        <v>497</v>
      </c>
      <c r="D542" s="185">
        <v>14175</v>
      </c>
      <c r="E542" s="179"/>
      <c r="F542" s="179"/>
      <c r="G542" s="185">
        <f t="shared" si="59"/>
        <v>14175</v>
      </c>
      <c r="H542" s="185">
        <v>14170</v>
      </c>
      <c r="I542" s="268">
        <f t="shared" si="57"/>
        <v>-5</v>
      </c>
      <c r="J542" s="634">
        <f>I542/G542</f>
        <v>-3.5273368606701942E-4</v>
      </c>
    </row>
    <row r="543" spans="3:10">
      <c r="C543" s="291"/>
      <c r="D543" s="185"/>
      <c r="E543" s="179"/>
      <c r="F543" s="179"/>
      <c r="G543" s="185">
        <f t="shared" si="59"/>
        <v>0</v>
      </c>
      <c r="H543" s="185">
        <v>0</v>
      </c>
      <c r="I543" s="268">
        <f t="shared" si="57"/>
        <v>0</v>
      </c>
      <c r="J543" s="634"/>
    </row>
    <row r="544" spans="3:10">
      <c r="C544" s="235" t="s">
        <v>348</v>
      </c>
      <c r="D544" s="185"/>
      <c r="E544" s="179"/>
      <c r="F544" s="179"/>
      <c r="G544" s="185">
        <f t="shared" si="59"/>
        <v>0</v>
      </c>
      <c r="H544" s="185">
        <v>0</v>
      </c>
      <c r="I544" s="268">
        <f t="shared" si="57"/>
        <v>0</v>
      </c>
      <c r="J544" s="634"/>
    </row>
    <row r="545" spans="1:10">
      <c r="C545" s="236" t="s">
        <v>498</v>
      </c>
      <c r="D545" s="185">
        <v>10000</v>
      </c>
      <c r="E545" s="179">
        <v>10000</v>
      </c>
      <c r="F545" s="179"/>
      <c r="G545" s="185">
        <f t="shared" si="59"/>
        <v>20000</v>
      </c>
      <c r="H545" s="185">
        <v>40000</v>
      </c>
      <c r="I545" s="268">
        <f t="shared" si="57"/>
        <v>20000</v>
      </c>
      <c r="J545" s="634">
        <f>I545/G545</f>
        <v>1</v>
      </c>
    </row>
    <row r="546" spans="1:10">
      <c r="C546" s="295"/>
      <c r="D546" s="185"/>
      <c r="E546" s="179"/>
      <c r="F546" s="179"/>
      <c r="G546" s="185">
        <f t="shared" si="59"/>
        <v>0</v>
      </c>
      <c r="H546" s="185">
        <v>0</v>
      </c>
      <c r="I546" s="268">
        <f t="shared" si="57"/>
        <v>0</v>
      </c>
      <c r="J546" s="634"/>
    </row>
    <row r="547" spans="1:10">
      <c r="C547" s="235" t="s">
        <v>348</v>
      </c>
      <c r="D547" s="185"/>
      <c r="E547" s="179"/>
      <c r="F547" s="179"/>
      <c r="G547" s="185">
        <f t="shared" si="59"/>
        <v>0</v>
      </c>
      <c r="H547" s="185">
        <v>0</v>
      </c>
      <c r="I547" s="268">
        <f t="shared" si="57"/>
        <v>0</v>
      </c>
      <c r="J547" s="634"/>
    </row>
    <row r="548" spans="1:10">
      <c r="C548" s="236" t="s">
        <v>499</v>
      </c>
      <c r="D548" s="185">
        <f>643446+65000+165</f>
        <v>708611</v>
      </c>
      <c r="E548" s="179">
        <v>15938</v>
      </c>
      <c r="F548" s="237">
        <v>-13400</v>
      </c>
      <c r="G548" s="185">
        <f t="shared" si="59"/>
        <v>711149</v>
      </c>
      <c r="H548" s="185">
        <v>740490</v>
      </c>
      <c r="I548" s="268">
        <f t="shared" si="57"/>
        <v>29341</v>
      </c>
      <c r="J548" s="634">
        <f>I548/G548</f>
        <v>4.1258582941127671E-2</v>
      </c>
    </row>
    <row r="549" spans="1:10">
      <c r="C549" s="208" t="s">
        <v>291</v>
      </c>
      <c r="D549" s="189">
        <f>436619+33053+123</f>
        <v>469795</v>
      </c>
      <c r="E549" s="230">
        <v>11912</v>
      </c>
      <c r="F549" s="230">
        <v>-10000</v>
      </c>
      <c r="G549" s="189">
        <f t="shared" si="59"/>
        <v>471707</v>
      </c>
      <c r="H549" s="189">
        <v>495143</v>
      </c>
      <c r="I549" s="184">
        <f t="shared" si="57"/>
        <v>23436</v>
      </c>
      <c r="J549" s="632">
        <f>I549/G549</f>
        <v>4.9683383965046096E-2</v>
      </c>
    </row>
    <row r="550" spans="1:10">
      <c r="C550" s="208"/>
      <c r="D550" s="189"/>
      <c r="E550" s="230"/>
      <c r="F550" s="230"/>
      <c r="G550" s="189">
        <f t="shared" si="59"/>
        <v>0</v>
      </c>
      <c r="H550" s="189">
        <v>0</v>
      </c>
      <c r="I550" s="184">
        <f t="shared" si="57"/>
        <v>0</v>
      </c>
      <c r="J550" s="632"/>
    </row>
    <row r="551" spans="1:10">
      <c r="C551" s="235" t="s">
        <v>348</v>
      </c>
      <c r="D551" s="189"/>
      <c r="E551" s="230"/>
      <c r="F551" s="230"/>
      <c r="G551" s="189">
        <f t="shared" si="59"/>
        <v>0</v>
      </c>
      <c r="H551" s="189">
        <v>0</v>
      </c>
      <c r="I551" s="184">
        <f t="shared" si="57"/>
        <v>0</v>
      </c>
      <c r="J551" s="632"/>
    </row>
    <row r="552" spans="1:10">
      <c r="C552" s="236" t="s">
        <v>500</v>
      </c>
      <c r="D552" s="185"/>
      <c r="E552" s="179">
        <v>12000</v>
      </c>
      <c r="F552" s="179"/>
      <c r="G552" s="185">
        <f t="shared" si="59"/>
        <v>12000</v>
      </c>
      <c r="H552" s="185">
        <v>0</v>
      </c>
      <c r="I552" s="268">
        <f t="shared" ref="I552:I578" si="61">H552-G552</f>
        <v>-12000</v>
      </c>
      <c r="J552" s="634">
        <f>I552/G552</f>
        <v>-1</v>
      </c>
    </row>
    <row r="553" spans="1:10">
      <c r="C553" s="295"/>
      <c r="D553" s="185"/>
      <c r="E553" s="179"/>
      <c r="F553" s="179"/>
      <c r="G553" s="185">
        <f t="shared" si="59"/>
        <v>0</v>
      </c>
      <c r="H553" s="185">
        <v>0</v>
      </c>
      <c r="I553" s="268">
        <f t="shared" si="61"/>
        <v>0</v>
      </c>
      <c r="J553" s="634"/>
    </row>
    <row r="554" spans="1:10">
      <c r="C554" s="266" t="s">
        <v>351</v>
      </c>
      <c r="D554" s="296">
        <f>D556+D612</f>
        <v>16856663</v>
      </c>
      <c r="E554" s="296">
        <f>E556+E612</f>
        <v>255891</v>
      </c>
      <c r="F554" s="296">
        <f>F556+F612</f>
        <v>-29521</v>
      </c>
      <c r="G554" s="296">
        <f t="shared" si="59"/>
        <v>17083033</v>
      </c>
      <c r="H554" s="296">
        <v>17580625</v>
      </c>
      <c r="I554" s="685">
        <f t="shared" si="61"/>
        <v>497592</v>
      </c>
      <c r="J554" s="666">
        <f>I554/G554</f>
        <v>2.9127848667154128E-2</v>
      </c>
    </row>
    <row r="555" spans="1:10">
      <c r="C555" s="210"/>
      <c r="D555" s="176"/>
      <c r="E555" s="179"/>
      <c r="F555" s="179"/>
      <c r="G555" s="176">
        <f t="shared" si="59"/>
        <v>0</v>
      </c>
      <c r="H555" s="176">
        <v>0</v>
      </c>
      <c r="I555" s="659">
        <f t="shared" si="61"/>
        <v>0</v>
      </c>
      <c r="J555" s="660"/>
    </row>
    <row r="556" spans="1:10">
      <c r="C556" s="297" t="s">
        <v>501</v>
      </c>
      <c r="D556" s="298">
        <f>D558+D561+D563+D571+D592+D603</f>
        <v>14858309</v>
      </c>
      <c r="E556" s="298">
        <f>E558+E561+E563+E571+E592+E603+E598+E608</f>
        <v>195647</v>
      </c>
      <c r="F556" s="298">
        <f>F558+F561+F563+F571+F592+F603+F598+F608+F569</f>
        <v>31579</v>
      </c>
      <c r="G556" s="298">
        <f t="shared" si="59"/>
        <v>15085535</v>
      </c>
      <c r="H556" s="298">
        <v>15469500</v>
      </c>
      <c r="I556" s="686">
        <f t="shared" si="61"/>
        <v>383965</v>
      </c>
      <c r="J556" s="687">
        <f>I556/G556</f>
        <v>2.5452527868584044E-2</v>
      </c>
    </row>
    <row r="557" spans="1:10">
      <c r="C557" s="210"/>
      <c r="D557" s="298"/>
      <c r="E557" s="179"/>
      <c r="F557" s="179"/>
      <c r="G557" s="298">
        <f t="shared" si="59"/>
        <v>0</v>
      </c>
      <c r="H557" s="298">
        <v>0</v>
      </c>
      <c r="I557" s="686">
        <f t="shared" si="61"/>
        <v>0</v>
      </c>
      <c r="J557" s="687"/>
    </row>
    <row r="558" spans="1:10">
      <c r="A558" s="169" t="s">
        <v>461</v>
      </c>
      <c r="B558" s="169" t="s">
        <v>459</v>
      </c>
      <c r="C558" s="206" t="s">
        <v>7</v>
      </c>
      <c r="D558" s="185">
        <f>980507+11496+3218</f>
        <v>995221</v>
      </c>
      <c r="E558" s="179"/>
      <c r="F558" s="179">
        <v>1079</v>
      </c>
      <c r="G558" s="185">
        <f t="shared" si="59"/>
        <v>996300</v>
      </c>
      <c r="H558" s="185">
        <v>1027030</v>
      </c>
      <c r="I558" s="268">
        <f t="shared" si="61"/>
        <v>30730</v>
      </c>
      <c r="J558" s="634">
        <f>I558/G558</f>
        <v>3.0844123256047375E-2</v>
      </c>
    </row>
    <row r="559" spans="1:10">
      <c r="C559" s="196" t="s">
        <v>291</v>
      </c>
      <c r="D559" s="189">
        <f>566455+8592+2405</f>
        <v>577452</v>
      </c>
      <c r="E559" s="230"/>
      <c r="F559" s="230">
        <v>807</v>
      </c>
      <c r="G559" s="189">
        <f t="shared" si="59"/>
        <v>578259</v>
      </c>
      <c r="H559" s="189">
        <v>599884</v>
      </c>
      <c r="I559" s="184">
        <f t="shared" si="61"/>
        <v>21625</v>
      </c>
      <c r="J559" s="632">
        <f>I559/G559</f>
        <v>3.7396737448098516E-2</v>
      </c>
    </row>
    <row r="560" spans="1:10">
      <c r="C560" s="288"/>
      <c r="D560" s="189"/>
      <c r="E560" s="179"/>
      <c r="F560" s="179"/>
      <c r="G560" s="189">
        <f t="shared" si="59"/>
        <v>0</v>
      </c>
      <c r="H560" s="189">
        <v>0</v>
      </c>
      <c r="I560" s="184">
        <f t="shared" si="61"/>
        <v>0</v>
      </c>
      <c r="J560" s="632"/>
    </row>
    <row r="561" spans="1:10">
      <c r="A561" s="169" t="s">
        <v>461</v>
      </c>
      <c r="B561" s="169" t="s">
        <v>459</v>
      </c>
      <c r="C561" s="206" t="s">
        <v>502</v>
      </c>
      <c r="D561" s="185">
        <v>1291000</v>
      </c>
      <c r="E561" s="179">
        <v>134440</v>
      </c>
      <c r="F561" s="179"/>
      <c r="G561" s="185">
        <f t="shared" si="59"/>
        <v>1425440</v>
      </c>
      <c r="H561" s="185">
        <v>1425440</v>
      </c>
      <c r="I561" s="268">
        <f t="shared" si="61"/>
        <v>0</v>
      </c>
      <c r="J561" s="634">
        <f>I561/G561</f>
        <v>0</v>
      </c>
    </row>
    <row r="562" spans="1:10">
      <c r="C562" s="201"/>
      <c r="D562" s="185"/>
      <c r="E562" s="179"/>
      <c r="F562" s="179"/>
      <c r="G562" s="185">
        <f t="shared" si="59"/>
        <v>0</v>
      </c>
      <c r="H562" s="185">
        <v>0</v>
      </c>
      <c r="I562" s="268">
        <f t="shared" si="61"/>
        <v>0</v>
      </c>
      <c r="J562" s="634"/>
    </row>
    <row r="563" spans="1:10">
      <c r="A563" s="169" t="s">
        <v>461</v>
      </c>
      <c r="B563" s="169" t="s">
        <v>459</v>
      </c>
      <c r="C563" s="206" t="s">
        <v>503</v>
      </c>
      <c r="D563" s="185">
        <f>1213218+4062</f>
        <v>1217280</v>
      </c>
      <c r="E563" s="179">
        <v>21107</v>
      </c>
      <c r="F563" s="179">
        <v>19400</v>
      </c>
      <c r="G563" s="185">
        <f t="shared" si="59"/>
        <v>1257787</v>
      </c>
      <c r="H563" s="185">
        <v>1266020</v>
      </c>
      <c r="I563" s="268">
        <f t="shared" si="61"/>
        <v>8233</v>
      </c>
      <c r="J563" s="634">
        <f>I563/G563</f>
        <v>6.5456233845635229E-3</v>
      </c>
    </row>
    <row r="564" spans="1:10">
      <c r="C564" s="196" t="s">
        <v>291</v>
      </c>
      <c r="D564" s="189">
        <f>617902+3036</f>
        <v>620938</v>
      </c>
      <c r="E564" s="230">
        <v>15775</v>
      </c>
      <c r="F564" s="230">
        <v>10000</v>
      </c>
      <c r="G564" s="189">
        <f t="shared" si="59"/>
        <v>646713</v>
      </c>
      <c r="H564" s="189">
        <v>652992</v>
      </c>
      <c r="I564" s="184">
        <f t="shared" si="61"/>
        <v>6279</v>
      </c>
      <c r="J564" s="632">
        <f>I564/G564</f>
        <v>9.7090981625543322E-3</v>
      </c>
    </row>
    <row r="565" spans="1:10">
      <c r="C565" s="196"/>
      <c r="D565" s="189"/>
      <c r="E565" s="230"/>
      <c r="F565" s="230"/>
      <c r="G565" s="189">
        <f t="shared" si="59"/>
        <v>0</v>
      </c>
      <c r="H565" s="189">
        <v>0</v>
      </c>
      <c r="I565" s="184">
        <f t="shared" si="61"/>
        <v>0</v>
      </c>
      <c r="J565" s="632"/>
    </row>
    <row r="566" spans="1:10">
      <c r="A566" s="169" t="s">
        <v>461</v>
      </c>
      <c r="B566" s="169" t="s">
        <v>459</v>
      </c>
      <c r="C566" s="206" t="s">
        <v>873</v>
      </c>
      <c r="D566" s="189"/>
      <c r="E566" s="230"/>
      <c r="F566" s="230"/>
      <c r="G566" s="189">
        <f t="shared" si="59"/>
        <v>0</v>
      </c>
      <c r="H566" s="189">
        <v>0</v>
      </c>
      <c r="I566" s="184">
        <f t="shared" si="61"/>
        <v>0</v>
      </c>
      <c r="J566" s="632"/>
    </row>
    <row r="567" spans="1:10">
      <c r="C567" s="196" t="s">
        <v>291</v>
      </c>
      <c r="D567" s="189"/>
      <c r="E567" s="230"/>
      <c r="F567" s="230"/>
      <c r="G567" s="189">
        <f t="shared" si="59"/>
        <v>0</v>
      </c>
      <c r="H567" s="189">
        <v>0</v>
      </c>
      <c r="I567" s="184">
        <f t="shared" si="61"/>
        <v>0</v>
      </c>
      <c r="J567" s="632"/>
    </row>
    <row r="568" spans="1:10">
      <c r="C568" s="196"/>
      <c r="D568" s="189"/>
      <c r="E568" s="230"/>
      <c r="F568" s="230"/>
      <c r="G568" s="189">
        <f t="shared" si="59"/>
        <v>0</v>
      </c>
      <c r="H568" s="189">
        <v>0</v>
      </c>
      <c r="I568" s="184">
        <f t="shared" si="61"/>
        <v>0</v>
      </c>
      <c r="J568" s="632"/>
    </row>
    <row r="569" spans="1:10">
      <c r="A569" s="169" t="s">
        <v>461</v>
      </c>
      <c r="B569" s="169" t="s">
        <v>459</v>
      </c>
      <c r="C569" s="512" t="s">
        <v>1000</v>
      </c>
      <c r="D569" s="189"/>
      <c r="E569" s="230"/>
      <c r="F569" s="179">
        <v>6100</v>
      </c>
      <c r="G569" s="189">
        <f t="shared" si="59"/>
        <v>6100</v>
      </c>
      <c r="H569" s="189">
        <v>0</v>
      </c>
      <c r="I569" s="184">
        <f t="shared" si="61"/>
        <v>-6100</v>
      </c>
      <c r="J569" s="632">
        <f>I569/G569</f>
        <v>-1</v>
      </c>
    </row>
    <row r="570" spans="1:10">
      <c r="C570" s="196"/>
      <c r="D570" s="189"/>
      <c r="E570" s="179"/>
      <c r="F570" s="179"/>
      <c r="G570" s="189">
        <f t="shared" si="59"/>
        <v>0</v>
      </c>
      <c r="H570" s="189">
        <v>0</v>
      </c>
      <c r="I570" s="184">
        <f t="shared" si="61"/>
        <v>0</v>
      </c>
      <c r="J570" s="632"/>
    </row>
    <row r="571" spans="1:10">
      <c r="A571" s="169" t="s">
        <v>461</v>
      </c>
      <c r="B571" s="169" t="s">
        <v>459</v>
      </c>
      <c r="C571" s="206" t="s">
        <v>504</v>
      </c>
      <c r="D571" s="237">
        <f>D573+D581+D587</f>
        <v>11289519</v>
      </c>
      <c r="E571" s="237">
        <f t="shared" ref="E571:G571" si="62">E573+E581+E587</f>
        <v>-2500</v>
      </c>
      <c r="F571" s="237">
        <f t="shared" si="62"/>
        <v>0</v>
      </c>
      <c r="G571" s="237">
        <f t="shared" si="62"/>
        <v>11287019</v>
      </c>
      <c r="H571" s="237">
        <v>11340180</v>
      </c>
      <c r="I571" s="293">
        <f t="shared" si="61"/>
        <v>53161</v>
      </c>
      <c r="J571" s="662">
        <f>I571/G571</f>
        <v>4.709923851461577E-3</v>
      </c>
    </row>
    <row r="572" spans="1:10">
      <c r="C572" s="206"/>
      <c r="D572" s="185"/>
      <c r="E572" s="179"/>
      <c r="F572" s="179"/>
      <c r="G572" s="185">
        <f t="shared" si="59"/>
        <v>0</v>
      </c>
      <c r="H572" s="185">
        <v>0</v>
      </c>
      <c r="I572" s="268">
        <f t="shared" si="61"/>
        <v>0</v>
      </c>
      <c r="J572" s="634"/>
    </row>
    <row r="573" spans="1:10">
      <c r="C573" s="299" t="s">
        <v>505</v>
      </c>
      <c r="D573" s="185">
        <f>SUM(D574:D579)</f>
        <v>4123058</v>
      </c>
      <c r="E573" s="185">
        <f t="shared" ref="E573:G573" si="63">SUM(E574:E579)</f>
        <v>-2500</v>
      </c>
      <c r="F573" s="185">
        <f t="shared" si="63"/>
        <v>5000</v>
      </c>
      <c r="G573" s="185">
        <f t="shared" si="63"/>
        <v>4125558</v>
      </c>
      <c r="H573" s="185">
        <v>4173060</v>
      </c>
      <c r="I573" s="268">
        <f t="shared" si="61"/>
        <v>47502</v>
      </c>
      <c r="J573" s="634">
        <f t="shared" ref="J573:J578" si="64">I573/G573</f>
        <v>1.1514078822791972E-2</v>
      </c>
    </row>
    <row r="574" spans="1:10">
      <c r="C574" s="212" t="s">
        <v>506</v>
      </c>
      <c r="D574" s="268">
        <v>482754</v>
      </c>
      <c r="E574" s="293"/>
      <c r="F574" s="293"/>
      <c r="G574" s="268">
        <f t="shared" si="59"/>
        <v>482754</v>
      </c>
      <c r="H574" s="268">
        <v>482750</v>
      </c>
      <c r="I574" s="268">
        <f t="shared" si="61"/>
        <v>-4</v>
      </c>
      <c r="J574" s="634">
        <f t="shared" si="64"/>
        <v>-8.2857935925958157E-6</v>
      </c>
    </row>
    <row r="575" spans="1:10">
      <c r="C575" s="212" t="s">
        <v>507</v>
      </c>
      <c r="D575" s="268">
        <v>1472000</v>
      </c>
      <c r="E575" s="293"/>
      <c r="F575" s="293">
        <v>-47200</v>
      </c>
      <c r="G575" s="268">
        <f t="shared" si="59"/>
        <v>1424800</v>
      </c>
      <c r="H575" s="268">
        <v>1472000</v>
      </c>
      <c r="I575" s="268">
        <f t="shared" si="61"/>
        <v>47200</v>
      </c>
      <c r="J575" s="634">
        <f t="shared" si="64"/>
        <v>3.3127456485120721E-2</v>
      </c>
    </row>
    <row r="576" spans="1:10">
      <c r="C576" s="270" t="s">
        <v>508</v>
      </c>
      <c r="D576" s="268">
        <v>1216000</v>
      </c>
      <c r="E576" s="293"/>
      <c r="F576" s="289">
        <v>40000</v>
      </c>
      <c r="G576" s="268">
        <f t="shared" si="59"/>
        <v>1256000</v>
      </c>
      <c r="H576" s="268">
        <v>1216000</v>
      </c>
      <c r="I576" s="268">
        <f t="shared" si="61"/>
        <v>-40000</v>
      </c>
      <c r="J576" s="634">
        <f t="shared" si="64"/>
        <v>-3.1847133757961783E-2</v>
      </c>
    </row>
    <row r="577" spans="1:10">
      <c r="C577" s="270" t="s">
        <v>509</v>
      </c>
      <c r="D577" s="268">
        <v>934064</v>
      </c>
      <c r="E577" s="293">
        <v>-2500</v>
      </c>
      <c r="F577" s="293">
        <v>12200</v>
      </c>
      <c r="G577" s="268">
        <f t="shared" si="59"/>
        <v>943764</v>
      </c>
      <c r="H577" s="268">
        <v>984070</v>
      </c>
      <c r="I577" s="268">
        <f t="shared" si="61"/>
        <v>40306</v>
      </c>
      <c r="J577" s="634">
        <f t="shared" si="64"/>
        <v>4.2707710826011588E-2</v>
      </c>
    </row>
    <row r="578" spans="1:10">
      <c r="C578" s="212" t="s">
        <v>511</v>
      </c>
      <c r="D578" s="268">
        <v>18240</v>
      </c>
      <c r="E578" s="293"/>
      <c r="F578" s="293"/>
      <c r="G578" s="268">
        <f t="shared" si="59"/>
        <v>18240</v>
      </c>
      <c r="H578" s="268">
        <v>18240</v>
      </c>
      <c r="I578" s="268">
        <f t="shared" si="61"/>
        <v>0</v>
      </c>
      <c r="J578" s="634">
        <f t="shared" si="64"/>
        <v>0</v>
      </c>
    </row>
    <row r="579" spans="1:10">
      <c r="C579" s="212"/>
      <c r="D579" s="268"/>
      <c r="E579" s="293"/>
      <c r="F579" s="293"/>
      <c r="G579" s="268"/>
      <c r="H579" s="268">
        <v>0</v>
      </c>
      <c r="I579" s="268"/>
      <c r="J579" s="634"/>
    </row>
    <row r="580" spans="1:10">
      <c r="C580" s="300"/>
      <c r="D580" s="189"/>
      <c r="E580" s="179"/>
      <c r="F580" s="179"/>
      <c r="G580" s="189">
        <f t="shared" si="59"/>
        <v>0</v>
      </c>
      <c r="H580" s="189">
        <v>0</v>
      </c>
      <c r="I580" s="184">
        <f t="shared" ref="I580:I585" si="65">H580-G580</f>
        <v>0</v>
      </c>
      <c r="J580" s="632"/>
    </row>
    <row r="581" spans="1:10">
      <c r="C581" s="299" t="s">
        <v>513</v>
      </c>
      <c r="D581" s="185">
        <f>D582</f>
        <v>7026035</v>
      </c>
      <c r="E581" s="185">
        <f t="shared" ref="E581" si="66">E582</f>
        <v>0</v>
      </c>
      <c r="F581" s="185"/>
      <c r="G581" s="185">
        <f t="shared" si="59"/>
        <v>7026035</v>
      </c>
      <c r="H581" s="185">
        <v>7026030</v>
      </c>
      <c r="I581" s="268">
        <f t="shared" si="65"/>
        <v>-5</v>
      </c>
      <c r="J581" s="634">
        <f>I581/G581</f>
        <v>-7.1163892579527431E-7</v>
      </c>
    </row>
    <row r="582" spans="1:10">
      <c r="C582" s="212" t="s">
        <v>514</v>
      </c>
      <c r="D582" s="268">
        <f>D583+D584</f>
        <v>7026035</v>
      </c>
      <c r="E582" s="268">
        <f t="shared" ref="E582" si="67">E583+E584</f>
        <v>0</v>
      </c>
      <c r="F582" s="268"/>
      <c r="G582" s="268">
        <f t="shared" si="59"/>
        <v>7026035</v>
      </c>
      <c r="H582" s="268">
        <v>7026030</v>
      </c>
      <c r="I582" s="268">
        <f t="shared" si="65"/>
        <v>-5</v>
      </c>
      <c r="J582" s="634">
        <f>I582/G582</f>
        <v>-7.1163892579527431E-7</v>
      </c>
    </row>
    <row r="583" spans="1:10">
      <c r="C583" s="301" t="s">
        <v>515</v>
      </c>
      <c r="D583" s="268">
        <v>7023035</v>
      </c>
      <c r="E583" s="293"/>
      <c r="F583" s="293"/>
      <c r="G583" s="268">
        <f t="shared" si="59"/>
        <v>7023035</v>
      </c>
      <c r="H583" s="268">
        <v>7023035</v>
      </c>
      <c r="I583" s="268">
        <f t="shared" si="65"/>
        <v>0</v>
      </c>
      <c r="J583" s="634">
        <f>I583/G583</f>
        <v>0</v>
      </c>
    </row>
    <row r="584" spans="1:10">
      <c r="C584" s="256" t="s">
        <v>516</v>
      </c>
      <c r="D584" s="268">
        <v>3000</v>
      </c>
      <c r="E584" s="293"/>
      <c r="F584" s="293"/>
      <c r="G584" s="268">
        <f t="shared" si="59"/>
        <v>3000</v>
      </c>
      <c r="H584" s="268">
        <v>3000</v>
      </c>
      <c r="I584" s="268">
        <f t="shared" si="65"/>
        <v>0</v>
      </c>
      <c r="J584" s="634">
        <f>I584/G584</f>
        <v>0</v>
      </c>
    </row>
    <row r="585" spans="1:10">
      <c r="C585" s="212" t="s">
        <v>517</v>
      </c>
      <c r="D585" s="268"/>
      <c r="E585" s="179"/>
      <c r="F585" s="179"/>
      <c r="G585" s="268">
        <f t="shared" si="59"/>
        <v>0</v>
      </c>
      <c r="H585" s="268">
        <v>0</v>
      </c>
      <c r="I585" s="268">
        <f t="shared" si="65"/>
        <v>0</v>
      </c>
      <c r="J585" s="634"/>
    </row>
    <row r="586" spans="1:10">
      <c r="C586" s="212"/>
      <c r="D586" s="268"/>
      <c r="E586" s="179"/>
      <c r="F586" s="179"/>
      <c r="G586" s="268"/>
      <c r="H586" s="268">
        <v>0</v>
      </c>
      <c r="I586" s="268"/>
      <c r="J586" s="634"/>
    </row>
    <row r="587" spans="1:10">
      <c r="C587" s="299" t="s">
        <v>1253</v>
      </c>
      <c r="D587" s="268">
        <f>SUM(D588:D590)</f>
        <v>140426</v>
      </c>
      <c r="E587" s="268">
        <f t="shared" ref="E587:G587" si="68">SUM(E588:E590)</f>
        <v>0</v>
      </c>
      <c r="F587" s="268">
        <f t="shared" si="68"/>
        <v>-5000</v>
      </c>
      <c r="G587" s="268">
        <f t="shared" si="68"/>
        <v>135426</v>
      </c>
      <c r="H587" s="185">
        <v>141090</v>
      </c>
      <c r="I587" s="268"/>
      <c r="J587" s="634"/>
    </row>
    <row r="588" spans="1:10">
      <c r="C588" s="212" t="s">
        <v>510</v>
      </c>
      <c r="D588" s="268">
        <v>101186</v>
      </c>
      <c r="E588" s="293"/>
      <c r="F588" s="293">
        <v>-5000</v>
      </c>
      <c r="G588" s="268">
        <f t="shared" ref="G588:G590" si="69">SUM(D588:F588)</f>
        <v>96186</v>
      </c>
      <c r="H588" s="268">
        <v>101190</v>
      </c>
      <c r="I588" s="268">
        <f>H588-G588</f>
        <v>5004</v>
      </c>
      <c r="J588" s="634">
        <f>I588/G588</f>
        <v>5.202420310648119E-2</v>
      </c>
    </row>
    <row r="589" spans="1:10">
      <c r="C589" s="212" t="s">
        <v>512</v>
      </c>
      <c r="D589" s="268">
        <v>30000</v>
      </c>
      <c r="E589" s="293"/>
      <c r="F589" s="293"/>
      <c r="G589" s="268">
        <f t="shared" si="69"/>
        <v>30000</v>
      </c>
      <c r="H589" s="268">
        <v>30000</v>
      </c>
      <c r="I589" s="268">
        <f>H589-G589</f>
        <v>0</v>
      </c>
      <c r="J589" s="634">
        <f>I589/G589</f>
        <v>0</v>
      </c>
    </row>
    <row r="590" spans="1:10" s="415" customFormat="1" ht="12">
      <c r="C590" s="212" t="s">
        <v>1254</v>
      </c>
      <c r="D590" s="268">
        <v>9240</v>
      </c>
      <c r="E590" s="293"/>
      <c r="F590" s="293"/>
      <c r="G590" s="268">
        <f t="shared" si="69"/>
        <v>9240</v>
      </c>
      <c r="H590" s="268">
        <v>9900</v>
      </c>
      <c r="I590" s="268">
        <f>H590-G590</f>
        <v>660</v>
      </c>
      <c r="J590" s="634">
        <f>I590/G590</f>
        <v>7.1428571428571425E-2</v>
      </c>
    </row>
    <row r="591" spans="1:10" s="415" customFormat="1" ht="12">
      <c r="C591" s="417"/>
      <c r="D591" s="416"/>
      <c r="E591" s="412"/>
      <c r="F591" s="412"/>
      <c r="G591" s="489"/>
      <c r="H591" s="412">
        <v>0</v>
      </c>
      <c r="I591" s="414"/>
      <c r="J591" s="641"/>
    </row>
    <row r="592" spans="1:10">
      <c r="A592" s="169" t="s">
        <v>461</v>
      </c>
      <c r="B592" s="169" t="s">
        <v>459</v>
      </c>
      <c r="C592" s="206" t="s">
        <v>518</v>
      </c>
      <c r="D592" s="185">
        <f>SUM(D593:D595)</f>
        <v>52720</v>
      </c>
      <c r="E592" s="179"/>
      <c r="F592" s="185">
        <f t="shared" ref="F592" si="70">SUM(F593:F595)</f>
        <v>0</v>
      </c>
      <c r="G592" s="185">
        <f t="shared" si="59"/>
        <v>52720</v>
      </c>
      <c r="H592" s="185">
        <v>82830</v>
      </c>
      <c r="I592" s="268">
        <f t="shared" ref="I592:I598" si="71">H592-G592</f>
        <v>30110</v>
      </c>
      <c r="J592" s="634">
        <f>I592/G592</f>
        <v>0.57113050075872529</v>
      </c>
    </row>
    <row r="593" spans="1:10">
      <c r="C593" s="302" t="s">
        <v>519</v>
      </c>
      <c r="D593" s="268">
        <v>17575</v>
      </c>
      <c r="E593" s="293"/>
      <c r="F593" s="293"/>
      <c r="G593" s="268">
        <f t="shared" si="59"/>
        <v>17575</v>
      </c>
      <c r="H593" s="268">
        <v>17570</v>
      </c>
      <c r="I593" s="268">
        <f t="shared" si="71"/>
        <v>-5</v>
      </c>
      <c r="J593" s="634">
        <f>I593/G593</f>
        <v>-2.8449502133712662E-4</v>
      </c>
    </row>
    <row r="594" spans="1:10" ht="22.5">
      <c r="C594" s="303" t="s">
        <v>520</v>
      </c>
      <c r="D594" s="268">
        <v>14000</v>
      </c>
      <c r="E594" s="293"/>
      <c r="F594" s="293"/>
      <c r="G594" s="268">
        <f t="shared" si="59"/>
        <v>14000</v>
      </c>
      <c r="H594" s="268">
        <v>0</v>
      </c>
      <c r="I594" s="268">
        <f t="shared" si="71"/>
        <v>-14000</v>
      </c>
      <c r="J594" s="634">
        <f>I594/G594</f>
        <v>-1</v>
      </c>
    </row>
    <row r="595" spans="1:10">
      <c r="C595" s="212" t="s">
        <v>521</v>
      </c>
      <c r="D595" s="268">
        <v>21145</v>
      </c>
      <c r="E595" s="293"/>
      <c r="F595" s="293"/>
      <c r="G595" s="268">
        <f t="shared" si="59"/>
        <v>21145</v>
      </c>
      <c r="H595" s="268">
        <v>30260</v>
      </c>
      <c r="I595" s="268">
        <f t="shared" si="71"/>
        <v>9115</v>
      </c>
      <c r="J595" s="634">
        <f>I595/G595</f>
        <v>0.43107117521872784</v>
      </c>
    </row>
    <row r="596" spans="1:10">
      <c r="C596" s="212" t="s">
        <v>1159</v>
      </c>
      <c r="D596" s="268"/>
      <c r="E596" s="293"/>
      <c r="F596" s="293"/>
      <c r="G596" s="268"/>
      <c r="H596" s="268">
        <v>35000</v>
      </c>
      <c r="I596" s="268">
        <f t="shared" si="71"/>
        <v>35000</v>
      </c>
      <c r="J596" s="634"/>
    </row>
    <row r="597" spans="1:10">
      <c r="C597" s="303"/>
      <c r="D597" s="268"/>
      <c r="E597" s="293"/>
      <c r="F597" s="293"/>
      <c r="G597" s="268">
        <f t="shared" si="59"/>
        <v>0</v>
      </c>
      <c r="H597" s="268">
        <v>0</v>
      </c>
      <c r="I597" s="268">
        <f t="shared" si="71"/>
        <v>0</v>
      </c>
      <c r="J597" s="634"/>
    </row>
    <row r="598" spans="1:10" ht="25.5">
      <c r="A598" s="169" t="s">
        <v>461</v>
      </c>
      <c r="B598" s="169" t="s">
        <v>459</v>
      </c>
      <c r="C598" s="304" t="s">
        <v>1161</v>
      </c>
      <c r="D598" s="268"/>
      <c r="E598" s="179">
        <v>12000</v>
      </c>
      <c r="F598" s="179">
        <v>5000</v>
      </c>
      <c r="G598" s="268">
        <f t="shared" si="59"/>
        <v>17000</v>
      </c>
      <c r="H598" s="268">
        <v>0</v>
      </c>
      <c r="I598" s="268">
        <f t="shared" si="71"/>
        <v>-17000</v>
      </c>
      <c r="J598" s="634">
        <f>I598/G598</f>
        <v>-1</v>
      </c>
    </row>
    <row r="599" spans="1:10">
      <c r="C599" s="304"/>
      <c r="D599" s="268"/>
      <c r="E599" s="179"/>
      <c r="F599" s="179"/>
      <c r="G599" s="268"/>
      <c r="H599" s="268">
        <v>0</v>
      </c>
      <c r="I599" s="268"/>
      <c r="J599" s="634"/>
    </row>
    <row r="600" spans="1:10" ht="27" customHeight="1">
      <c r="A600" s="169" t="s">
        <v>461</v>
      </c>
      <c r="B600" s="169" t="s">
        <v>459</v>
      </c>
      <c r="C600" s="213" t="s">
        <v>1275</v>
      </c>
      <c r="D600" s="268"/>
      <c r="E600" s="179"/>
      <c r="F600" s="179"/>
      <c r="G600" s="268"/>
      <c r="H600" s="185">
        <v>328000</v>
      </c>
      <c r="I600" s="268">
        <f>H600-G600</f>
        <v>328000</v>
      </c>
      <c r="J600" s="634" t="e">
        <f>I600/G600</f>
        <v>#DIV/0!</v>
      </c>
    </row>
    <row r="601" spans="1:10">
      <c r="C601" s="196" t="s">
        <v>291</v>
      </c>
      <c r="D601" s="268"/>
      <c r="E601" s="179"/>
      <c r="F601" s="179"/>
      <c r="G601" s="268"/>
      <c r="H601" s="189">
        <v>246060</v>
      </c>
      <c r="I601" s="268"/>
      <c r="J601" s="634"/>
    </row>
    <row r="602" spans="1:10">
      <c r="C602" s="303"/>
      <c r="D602" s="268"/>
      <c r="E602" s="293"/>
      <c r="F602" s="293"/>
      <c r="G602" s="268">
        <f t="shared" si="59"/>
        <v>0</v>
      </c>
      <c r="H602" s="185">
        <v>0</v>
      </c>
      <c r="I602" s="268">
        <f t="shared" ref="I602:I633" si="72">H602-G602</f>
        <v>0</v>
      </c>
      <c r="J602" s="634"/>
    </row>
    <row r="603" spans="1:10">
      <c r="A603" s="169" t="s">
        <v>461</v>
      </c>
      <c r="B603" s="169" t="s">
        <v>459</v>
      </c>
      <c r="C603" s="305" t="s">
        <v>522</v>
      </c>
      <c r="D603" s="185">
        <v>12569</v>
      </c>
      <c r="E603" s="179"/>
      <c r="F603" s="179"/>
      <c r="G603" s="185">
        <f t="shared" si="59"/>
        <v>12569</v>
      </c>
      <c r="H603" s="185">
        <v>0</v>
      </c>
      <c r="I603" s="268">
        <f t="shared" si="72"/>
        <v>-12569</v>
      </c>
      <c r="J603" s="634">
        <f>I603/G603</f>
        <v>-1</v>
      </c>
    </row>
    <row r="604" spans="1:10">
      <c r="C604" s="196" t="s">
        <v>291</v>
      </c>
      <c r="D604" s="189">
        <v>2210</v>
      </c>
      <c r="E604" s="230"/>
      <c r="F604" s="230"/>
      <c r="G604" s="189">
        <f t="shared" si="59"/>
        <v>2210</v>
      </c>
      <c r="H604" s="189">
        <v>0</v>
      </c>
      <c r="I604" s="184">
        <f t="shared" si="72"/>
        <v>-2210</v>
      </c>
      <c r="J604" s="632">
        <f>I604/G604</f>
        <v>-1</v>
      </c>
    </row>
    <row r="605" spans="1:10">
      <c r="C605" s="196"/>
      <c r="D605" s="185"/>
      <c r="E605" s="230"/>
      <c r="F605" s="230"/>
      <c r="G605" s="185">
        <f t="shared" si="59"/>
        <v>0</v>
      </c>
      <c r="H605" s="185">
        <v>0</v>
      </c>
      <c r="I605" s="268">
        <f t="shared" si="72"/>
        <v>0</v>
      </c>
      <c r="J605" s="634"/>
    </row>
    <row r="606" spans="1:10">
      <c r="C606" s="217" t="s">
        <v>337</v>
      </c>
      <c r="D606" s="189">
        <v>12569</v>
      </c>
      <c r="E606" s="230"/>
      <c r="F606" s="230"/>
      <c r="G606" s="189">
        <f t="shared" si="59"/>
        <v>12569</v>
      </c>
      <c r="H606" s="189">
        <v>0</v>
      </c>
      <c r="I606" s="184">
        <f t="shared" si="72"/>
        <v>-12569</v>
      </c>
      <c r="J606" s="632">
        <f>I606/G606</f>
        <v>-1</v>
      </c>
    </row>
    <row r="607" spans="1:10">
      <c r="C607" s="196"/>
      <c r="D607" s="189"/>
      <c r="E607" s="230"/>
      <c r="F607" s="230"/>
      <c r="G607" s="189">
        <f t="shared" ref="G607:G655" si="73">SUM(D607:F607)</f>
        <v>0</v>
      </c>
      <c r="H607" s="189">
        <v>0</v>
      </c>
      <c r="I607" s="184">
        <f t="shared" si="72"/>
        <v>0</v>
      </c>
      <c r="J607" s="632"/>
    </row>
    <row r="608" spans="1:10" ht="24">
      <c r="A608" s="169" t="s">
        <v>461</v>
      </c>
      <c r="B608" s="169" t="s">
        <v>459</v>
      </c>
      <c r="C608" s="306" t="s">
        <v>523</v>
      </c>
      <c r="D608" s="189"/>
      <c r="E608" s="179">
        <v>30600</v>
      </c>
      <c r="F608" s="179"/>
      <c r="G608" s="237">
        <f t="shared" si="73"/>
        <v>30600</v>
      </c>
      <c r="H608" s="179">
        <v>0</v>
      </c>
      <c r="I608" s="293">
        <f t="shared" si="72"/>
        <v>-30600</v>
      </c>
      <c r="J608" s="662">
        <f>I608/G608</f>
        <v>-1</v>
      </c>
    </row>
    <row r="609" spans="1:10">
      <c r="C609" s="196"/>
      <c r="D609" s="189"/>
      <c r="E609" s="230"/>
      <c r="F609" s="230"/>
      <c r="G609" s="189">
        <f t="shared" si="73"/>
        <v>0</v>
      </c>
      <c r="H609" s="189">
        <v>0</v>
      </c>
      <c r="I609" s="184">
        <f t="shared" si="72"/>
        <v>0</v>
      </c>
      <c r="J609" s="632"/>
    </row>
    <row r="610" spans="1:10">
      <c r="C610" s="217" t="s">
        <v>337</v>
      </c>
      <c r="D610" s="189"/>
      <c r="E610" s="230">
        <v>26010</v>
      </c>
      <c r="F610" s="230"/>
      <c r="G610" s="189">
        <f t="shared" si="73"/>
        <v>26010</v>
      </c>
      <c r="H610" s="189">
        <v>0</v>
      </c>
      <c r="I610" s="184">
        <f t="shared" si="72"/>
        <v>-26010</v>
      </c>
      <c r="J610" s="632">
        <f>I610/G610</f>
        <v>-1</v>
      </c>
    </row>
    <row r="611" spans="1:10">
      <c r="C611" s="217"/>
      <c r="D611" s="214"/>
      <c r="E611" s="179"/>
      <c r="F611" s="179"/>
      <c r="G611" s="214">
        <f t="shared" si="73"/>
        <v>0</v>
      </c>
      <c r="H611" s="214">
        <v>0</v>
      </c>
      <c r="I611" s="663">
        <f t="shared" si="72"/>
        <v>0</v>
      </c>
      <c r="J611" s="664"/>
    </row>
    <row r="612" spans="1:10">
      <c r="A612" s="169" t="s">
        <v>524</v>
      </c>
      <c r="B612" s="169" t="s">
        <v>459</v>
      </c>
      <c r="C612" s="307" t="s">
        <v>525</v>
      </c>
      <c r="D612" s="308">
        <f>D614+D617+D622+D624+D628+D630+D632+D634+D636+D638+D640</f>
        <v>1998354</v>
      </c>
      <c r="E612" s="308">
        <f>E614+E617+E622+E624+E628+E630+E632+E634+E636+E638+E640</f>
        <v>60244</v>
      </c>
      <c r="F612" s="308">
        <f>F614+F617+F622+F624+F628+F630+F632+F634+F636+F638+F640+F626</f>
        <v>-61100</v>
      </c>
      <c r="G612" s="308">
        <f t="shared" si="73"/>
        <v>1997498</v>
      </c>
      <c r="H612" s="308">
        <v>2111125</v>
      </c>
      <c r="I612" s="688">
        <f t="shared" si="72"/>
        <v>113627</v>
      </c>
      <c r="J612" s="689">
        <f>I612/G612</f>
        <v>5.6884662713054028E-2</v>
      </c>
    </row>
    <row r="613" spans="1:10">
      <c r="C613" s="307"/>
      <c r="D613" s="268"/>
      <c r="E613" s="179"/>
      <c r="F613" s="179"/>
      <c r="G613" s="268">
        <f t="shared" si="73"/>
        <v>0</v>
      </c>
      <c r="H613" s="268">
        <v>0</v>
      </c>
      <c r="I613" s="268">
        <f t="shared" si="72"/>
        <v>0</v>
      </c>
      <c r="J613" s="634"/>
    </row>
    <row r="614" spans="1:10">
      <c r="C614" s="206" t="s">
        <v>526</v>
      </c>
      <c r="D614" s="185">
        <v>199360</v>
      </c>
      <c r="E614" s="179">
        <v>21628</v>
      </c>
      <c r="F614" s="179">
        <v>11900</v>
      </c>
      <c r="G614" s="185">
        <f t="shared" si="73"/>
        <v>232888</v>
      </c>
      <c r="H614" s="185">
        <v>235475</v>
      </c>
      <c r="I614" s="268">
        <f t="shared" si="72"/>
        <v>2587</v>
      </c>
      <c r="J614" s="634">
        <f>I614/G614</f>
        <v>1.1108343924976814E-2</v>
      </c>
    </row>
    <row r="615" spans="1:10">
      <c r="C615" s="196" t="s">
        <v>291</v>
      </c>
      <c r="D615" s="189">
        <v>75440</v>
      </c>
      <c r="E615" s="230">
        <v>26031</v>
      </c>
      <c r="F615" s="230"/>
      <c r="G615" s="189">
        <f t="shared" si="73"/>
        <v>101471</v>
      </c>
      <c r="H615" s="189">
        <v>101471</v>
      </c>
      <c r="I615" s="184">
        <f t="shared" si="72"/>
        <v>0</v>
      </c>
      <c r="J615" s="632">
        <f>I615/G615</f>
        <v>0</v>
      </c>
    </row>
    <row r="616" spans="1:10">
      <c r="C616" s="307"/>
      <c r="D616" s="189"/>
      <c r="E616" s="179"/>
      <c r="F616" s="179"/>
      <c r="G616" s="189">
        <f t="shared" si="73"/>
        <v>0</v>
      </c>
      <c r="H616" s="189">
        <v>0</v>
      </c>
      <c r="I616" s="184">
        <f t="shared" si="72"/>
        <v>0</v>
      </c>
      <c r="J616" s="632"/>
    </row>
    <row r="617" spans="1:10">
      <c r="C617" s="206" t="s">
        <v>527</v>
      </c>
      <c r="D617" s="185">
        <v>764204</v>
      </c>
      <c r="E617" s="185">
        <v>48616</v>
      </c>
      <c r="F617" s="185">
        <v>0</v>
      </c>
      <c r="G617" s="185">
        <v>812820</v>
      </c>
      <c r="H617" s="185">
        <v>888000</v>
      </c>
      <c r="I617" s="268">
        <f t="shared" si="72"/>
        <v>75180</v>
      </c>
      <c r="J617" s="634">
        <f>I617/G617</f>
        <v>9.2492802834575921E-2</v>
      </c>
    </row>
    <row r="618" spans="1:10">
      <c r="C618" s="196" t="s">
        <v>291</v>
      </c>
      <c r="D618" s="189">
        <v>4000</v>
      </c>
      <c r="E618" s="230"/>
      <c r="F618" s="230">
        <v>0</v>
      </c>
      <c r="G618" s="189">
        <v>4000</v>
      </c>
      <c r="H618" s="189">
        <v>5000</v>
      </c>
      <c r="I618" s="184">
        <f t="shared" si="72"/>
        <v>1000</v>
      </c>
      <c r="J618" s="632">
        <f>I618/G618</f>
        <v>0.25</v>
      </c>
    </row>
    <row r="619" spans="1:10">
      <c r="C619" s="210" t="s">
        <v>528</v>
      </c>
      <c r="D619" s="268">
        <v>454354</v>
      </c>
      <c r="E619" s="293">
        <v>25000</v>
      </c>
      <c r="F619" s="293">
        <v>0</v>
      </c>
      <c r="G619" s="268">
        <v>479354</v>
      </c>
      <c r="H619" s="268">
        <v>483002</v>
      </c>
      <c r="I619" s="268">
        <f t="shared" si="72"/>
        <v>3648</v>
      </c>
      <c r="J619" s="634">
        <f>I619/G619</f>
        <v>7.610242117516491E-3</v>
      </c>
    </row>
    <row r="620" spans="1:10">
      <c r="C620" s="212" t="s">
        <v>529</v>
      </c>
      <c r="D620" s="268">
        <v>309850</v>
      </c>
      <c r="E620" s="293">
        <v>23616</v>
      </c>
      <c r="F620" s="293"/>
      <c r="G620" s="268">
        <f t="shared" si="73"/>
        <v>333466</v>
      </c>
      <c r="H620" s="268">
        <v>405000</v>
      </c>
      <c r="I620" s="268">
        <f t="shared" si="72"/>
        <v>71534</v>
      </c>
      <c r="J620" s="634">
        <f>I620/G620</f>
        <v>0.21451662238429106</v>
      </c>
    </row>
    <row r="621" spans="1:10">
      <c r="C621" s="310"/>
      <c r="D621" s="185"/>
      <c r="E621" s="179"/>
      <c r="F621" s="179"/>
      <c r="G621" s="185">
        <f t="shared" si="73"/>
        <v>0</v>
      </c>
      <c r="H621" s="185">
        <v>0</v>
      </c>
      <c r="I621" s="268">
        <f t="shared" si="72"/>
        <v>0</v>
      </c>
      <c r="J621" s="634"/>
    </row>
    <row r="622" spans="1:10">
      <c r="C622" s="206" t="s">
        <v>530</v>
      </c>
      <c r="D622" s="185">
        <v>363145</v>
      </c>
      <c r="E622" s="179">
        <v>-4000</v>
      </c>
      <c r="F622" s="179">
        <v>-100000</v>
      </c>
      <c r="G622" s="185">
        <f t="shared" si="73"/>
        <v>259145</v>
      </c>
      <c r="H622" s="185">
        <v>300000</v>
      </c>
      <c r="I622" s="268">
        <f t="shared" si="72"/>
        <v>40855</v>
      </c>
      <c r="J622" s="634">
        <f>I622/G622</f>
        <v>0.15765305138050126</v>
      </c>
    </row>
    <row r="623" spans="1:10">
      <c r="C623" s="310"/>
      <c r="D623" s="185"/>
      <c r="E623" s="179"/>
      <c r="F623" s="179"/>
      <c r="G623" s="185">
        <f t="shared" si="73"/>
        <v>0</v>
      </c>
      <c r="H623" s="185">
        <v>0</v>
      </c>
      <c r="I623" s="268">
        <f t="shared" si="72"/>
        <v>0</v>
      </c>
      <c r="J623" s="634"/>
    </row>
    <row r="624" spans="1:10">
      <c r="C624" s="206" t="s">
        <v>531</v>
      </c>
      <c r="D624" s="185">
        <v>215000</v>
      </c>
      <c r="E624" s="179">
        <v>-6000</v>
      </c>
      <c r="F624" s="179">
        <v>-8800</v>
      </c>
      <c r="G624" s="185">
        <f t="shared" si="73"/>
        <v>200200</v>
      </c>
      <c r="H624" s="185">
        <v>200000</v>
      </c>
      <c r="I624" s="268">
        <f t="shared" si="72"/>
        <v>-200</v>
      </c>
      <c r="J624" s="634">
        <f>I624/G624</f>
        <v>-9.99000999000999E-4</v>
      </c>
    </row>
    <row r="625" spans="3:10">
      <c r="C625" s="206"/>
      <c r="D625" s="185"/>
      <c r="E625" s="179"/>
      <c r="F625" s="179"/>
      <c r="G625" s="185">
        <f t="shared" si="73"/>
        <v>0</v>
      </c>
      <c r="H625" s="185">
        <v>0</v>
      </c>
      <c r="I625" s="268">
        <f t="shared" si="72"/>
        <v>0</v>
      </c>
      <c r="J625" s="634"/>
    </row>
    <row r="626" spans="3:10">
      <c r="C626" s="206" t="s">
        <v>1001</v>
      </c>
      <c r="D626" s="185"/>
      <c r="E626" s="179"/>
      <c r="F626" s="179">
        <v>8800</v>
      </c>
      <c r="G626" s="185">
        <f t="shared" si="73"/>
        <v>8800</v>
      </c>
      <c r="H626" s="185">
        <v>0</v>
      </c>
      <c r="I626" s="268">
        <f t="shared" si="72"/>
        <v>-8800</v>
      </c>
      <c r="J626" s="634">
        <f>I626/G626</f>
        <v>-1</v>
      </c>
    </row>
    <row r="627" spans="3:10">
      <c r="C627" s="206"/>
      <c r="D627" s="185"/>
      <c r="E627" s="179"/>
      <c r="F627" s="179"/>
      <c r="G627" s="185">
        <f t="shared" si="73"/>
        <v>0</v>
      </c>
      <c r="H627" s="185">
        <v>0</v>
      </c>
      <c r="I627" s="268">
        <f t="shared" si="72"/>
        <v>0</v>
      </c>
      <c r="J627" s="634"/>
    </row>
    <row r="628" spans="3:10">
      <c r="C628" s="213" t="s">
        <v>532</v>
      </c>
      <c r="D628" s="185">
        <v>32075</v>
      </c>
      <c r="E628" s="179"/>
      <c r="F628" s="179"/>
      <c r="G628" s="185">
        <f t="shared" si="73"/>
        <v>32075</v>
      </c>
      <c r="H628" s="185">
        <v>32080</v>
      </c>
      <c r="I628" s="268">
        <f t="shared" si="72"/>
        <v>5</v>
      </c>
      <c r="J628" s="634">
        <f>I628/G628</f>
        <v>1.558846453624318E-4</v>
      </c>
    </row>
    <row r="629" spans="3:10">
      <c r="C629" s="213"/>
      <c r="D629" s="185"/>
      <c r="E629" s="179"/>
      <c r="F629" s="179"/>
      <c r="G629" s="185">
        <f t="shared" si="73"/>
        <v>0</v>
      </c>
      <c r="H629" s="185">
        <v>0</v>
      </c>
      <c r="I629" s="268">
        <f t="shared" si="72"/>
        <v>0</v>
      </c>
      <c r="J629" s="634"/>
    </row>
    <row r="630" spans="3:10">
      <c r="C630" s="311" t="s">
        <v>533</v>
      </c>
      <c r="D630" s="185">
        <v>224000</v>
      </c>
      <c r="E630" s="179"/>
      <c r="F630" s="179">
        <v>27000</v>
      </c>
      <c r="G630" s="185">
        <f t="shared" si="73"/>
        <v>251000</v>
      </c>
      <c r="H630" s="185">
        <v>270000</v>
      </c>
      <c r="I630" s="268">
        <f t="shared" si="72"/>
        <v>19000</v>
      </c>
      <c r="J630" s="634">
        <f>I630/G630</f>
        <v>7.5697211155378488E-2</v>
      </c>
    </row>
    <row r="631" spans="3:10">
      <c r="C631" s="212"/>
      <c r="D631" s="185"/>
      <c r="E631" s="179"/>
      <c r="F631" s="179"/>
      <c r="G631" s="185">
        <f t="shared" si="73"/>
        <v>0</v>
      </c>
      <c r="H631" s="185">
        <v>0</v>
      </c>
      <c r="I631" s="268">
        <f t="shared" si="72"/>
        <v>0</v>
      </c>
      <c r="J631" s="634"/>
    </row>
    <row r="632" spans="3:10">
      <c r="C632" s="206" t="s">
        <v>534</v>
      </c>
      <c r="D632" s="185">
        <v>7230</v>
      </c>
      <c r="E632" s="179"/>
      <c r="F632" s="179"/>
      <c r="G632" s="185">
        <f t="shared" si="73"/>
        <v>7230</v>
      </c>
      <c r="H632" s="185">
        <v>6230</v>
      </c>
      <c r="I632" s="268">
        <f t="shared" si="72"/>
        <v>-1000</v>
      </c>
      <c r="J632" s="634">
        <f>I632/G632</f>
        <v>-0.13831258644536654</v>
      </c>
    </row>
    <row r="633" spans="3:10">
      <c r="C633" s="206"/>
      <c r="D633" s="185"/>
      <c r="E633" s="179"/>
      <c r="F633" s="179"/>
      <c r="G633" s="185">
        <f t="shared" si="73"/>
        <v>0</v>
      </c>
      <c r="H633" s="185">
        <v>0</v>
      </c>
      <c r="I633" s="268">
        <f t="shared" si="72"/>
        <v>0</v>
      </c>
      <c r="J633" s="634"/>
    </row>
    <row r="634" spans="3:10">
      <c r="C634" s="206" t="s">
        <v>535</v>
      </c>
      <c r="D634" s="185">
        <v>78000</v>
      </c>
      <c r="E634" s="179"/>
      <c r="F634" s="179"/>
      <c r="G634" s="185">
        <f t="shared" si="73"/>
        <v>78000</v>
      </c>
      <c r="H634" s="185">
        <v>39000</v>
      </c>
      <c r="I634" s="268">
        <f t="shared" ref="I634:I665" si="74">H634-G634</f>
        <v>-39000</v>
      </c>
      <c r="J634" s="634">
        <f>I634/G634</f>
        <v>-0.5</v>
      </c>
    </row>
    <row r="635" spans="3:10">
      <c r="C635" s="206"/>
      <c r="D635" s="185"/>
      <c r="E635" s="179"/>
      <c r="F635" s="179"/>
      <c r="G635" s="185">
        <f t="shared" si="73"/>
        <v>0</v>
      </c>
      <c r="H635" s="185">
        <v>0</v>
      </c>
      <c r="I635" s="268">
        <f t="shared" si="74"/>
        <v>0</v>
      </c>
      <c r="J635" s="634"/>
    </row>
    <row r="636" spans="3:10">
      <c r="C636" s="206" t="s">
        <v>536</v>
      </c>
      <c r="D636" s="185">
        <v>25170</v>
      </c>
      <c r="E636" s="179"/>
      <c r="F636" s="179"/>
      <c r="G636" s="185">
        <f t="shared" si="73"/>
        <v>25170</v>
      </c>
      <c r="H636" s="185">
        <v>25170</v>
      </c>
      <c r="I636" s="268">
        <f t="shared" si="74"/>
        <v>0</v>
      </c>
      <c r="J636" s="634">
        <f>I636/G636</f>
        <v>0</v>
      </c>
    </row>
    <row r="637" spans="3:10">
      <c r="C637" s="206"/>
      <c r="D637" s="185"/>
      <c r="E637" s="179"/>
      <c r="F637" s="179"/>
      <c r="G637" s="185">
        <f t="shared" si="73"/>
        <v>0</v>
      </c>
      <c r="H637" s="185">
        <v>0</v>
      </c>
      <c r="I637" s="268">
        <f t="shared" si="74"/>
        <v>0</v>
      </c>
      <c r="J637" s="634"/>
    </row>
    <row r="638" spans="3:10">
      <c r="C638" s="206" t="s">
        <v>537</v>
      </c>
      <c r="D638" s="185">
        <v>15170</v>
      </c>
      <c r="E638" s="179"/>
      <c r="F638" s="179"/>
      <c r="G638" s="185">
        <f t="shared" si="73"/>
        <v>15170</v>
      </c>
      <c r="H638" s="185">
        <v>15170</v>
      </c>
      <c r="I638" s="268">
        <f t="shared" si="74"/>
        <v>0</v>
      </c>
      <c r="J638" s="634">
        <f>I638/G638</f>
        <v>0</v>
      </c>
    </row>
    <row r="639" spans="3:10">
      <c r="C639" s="206"/>
      <c r="D639" s="185"/>
      <c r="E639" s="179"/>
      <c r="F639" s="179"/>
      <c r="G639" s="185">
        <f t="shared" si="73"/>
        <v>0</v>
      </c>
      <c r="H639" s="185">
        <v>0</v>
      </c>
      <c r="I639" s="268">
        <f t="shared" si="74"/>
        <v>0</v>
      </c>
      <c r="J639" s="634"/>
    </row>
    <row r="640" spans="3:10">
      <c r="C640" s="206" t="s">
        <v>1225</v>
      </c>
      <c r="D640" s="185">
        <v>75000</v>
      </c>
      <c r="E640" s="179"/>
      <c r="F640" s="179"/>
      <c r="G640" s="185">
        <f t="shared" si="73"/>
        <v>75000</v>
      </c>
      <c r="H640" s="185">
        <v>100000</v>
      </c>
      <c r="I640" s="268">
        <f t="shared" si="74"/>
        <v>25000</v>
      </c>
      <c r="J640" s="634">
        <f>I640/G640</f>
        <v>0.33333333333333331</v>
      </c>
    </row>
    <row r="641" spans="1:10">
      <c r="C641" s="196" t="s">
        <v>291</v>
      </c>
      <c r="D641" s="189">
        <v>9600</v>
      </c>
      <c r="E641" s="230"/>
      <c r="F641" s="230">
        <v>10000</v>
      </c>
      <c r="G641" s="189">
        <f t="shared" si="73"/>
        <v>19600</v>
      </c>
      <c r="H641" s="189">
        <v>28800</v>
      </c>
      <c r="I641" s="184">
        <f t="shared" si="74"/>
        <v>9200</v>
      </c>
      <c r="J641" s="632">
        <f>I641/G641</f>
        <v>0.46938775510204084</v>
      </c>
    </row>
    <row r="642" spans="1:10">
      <c r="C642" s="196"/>
      <c r="D642" s="189"/>
      <c r="E642" s="179"/>
      <c r="G642" s="189">
        <f t="shared" si="73"/>
        <v>0</v>
      </c>
      <c r="H642" s="189">
        <v>0</v>
      </c>
      <c r="I642" s="184">
        <f t="shared" si="74"/>
        <v>0</v>
      </c>
      <c r="J642" s="632"/>
    </row>
    <row r="643" spans="1:10">
      <c r="C643" s="206"/>
      <c r="D643" s="185"/>
      <c r="G643" s="185">
        <f t="shared" si="73"/>
        <v>0</v>
      </c>
      <c r="H643" s="185">
        <v>0</v>
      </c>
      <c r="I643" s="268">
        <f t="shared" si="74"/>
        <v>0</v>
      </c>
      <c r="J643" s="634"/>
    </row>
    <row r="644" spans="1:10" ht="15.75">
      <c r="C644" s="312" t="s">
        <v>15</v>
      </c>
      <c r="D644" s="226"/>
      <c r="G644" s="226">
        <f t="shared" si="73"/>
        <v>0</v>
      </c>
      <c r="H644" s="226">
        <v>0</v>
      </c>
      <c r="I644" s="665">
        <f t="shared" si="74"/>
        <v>0</v>
      </c>
      <c r="J644" s="666"/>
    </row>
    <row r="645" spans="1:10">
      <c r="C645" s="313"/>
      <c r="D645" s="226"/>
      <c r="G645" s="226">
        <f t="shared" si="73"/>
        <v>0</v>
      </c>
      <c r="H645" s="226">
        <v>0</v>
      </c>
      <c r="I645" s="665">
        <f t="shared" si="74"/>
        <v>0</v>
      </c>
      <c r="J645" s="666"/>
    </row>
    <row r="646" spans="1:10">
      <c r="C646" s="313" t="s">
        <v>5</v>
      </c>
      <c r="D646" s="711">
        <f>SUM(D652,D657,D662)</f>
        <v>16285405</v>
      </c>
      <c r="E646" s="314">
        <f>SUM(E652,E657,E662)</f>
        <v>59282</v>
      </c>
      <c r="F646" s="314">
        <f>SUM(F652,F657,F662)</f>
        <v>-41329</v>
      </c>
      <c r="G646" s="711">
        <f t="shared" si="73"/>
        <v>16303358</v>
      </c>
      <c r="H646" s="314">
        <v>16720990.0829375</v>
      </c>
      <c r="I646" s="690">
        <f t="shared" si="74"/>
        <v>417632.08293749951</v>
      </c>
      <c r="J646" s="691">
        <f>I646/G646</f>
        <v>2.5616322903385887E-2</v>
      </c>
    </row>
    <row r="647" spans="1:10">
      <c r="C647" s="315" t="s">
        <v>285</v>
      </c>
      <c r="D647" s="316">
        <v>1576200</v>
      </c>
      <c r="E647" s="316"/>
      <c r="F647" s="316"/>
      <c r="G647" s="316">
        <f t="shared" si="73"/>
        <v>1576200</v>
      </c>
      <c r="H647" s="316">
        <v>1676200</v>
      </c>
      <c r="I647" s="692">
        <f t="shared" si="74"/>
        <v>100000</v>
      </c>
      <c r="J647" s="664">
        <f>I647/G647</f>
        <v>6.3443725415556401E-2</v>
      </c>
    </row>
    <row r="648" spans="1:10">
      <c r="C648" s="317" t="s">
        <v>286</v>
      </c>
      <c r="D648" s="711">
        <f>SUM(D649:D650)</f>
        <v>16285405</v>
      </c>
      <c r="E648" s="314">
        <f>SUM(E649:E650)</f>
        <v>59282</v>
      </c>
      <c r="F648" s="314">
        <f>SUM(F649:F650)</f>
        <v>-41329</v>
      </c>
      <c r="G648" s="711">
        <f t="shared" si="73"/>
        <v>16303358</v>
      </c>
      <c r="H648" s="314">
        <v>16720990.0829375</v>
      </c>
      <c r="I648" s="690">
        <f t="shared" si="74"/>
        <v>417632.08293749951</v>
      </c>
      <c r="J648" s="691">
        <f>I648/G648</f>
        <v>2.5616322903385887E-2</v>
      </c>
    </row>
    <row r="649" spans="1:10">
      <c r="C649" s="318" t="s">
        <v>287</v>
      </c>
      <c r="D649" s="316">
        <v>3180590</v>
      </c>
      <c r="E649" s="319">
        <v>32000</v>
      </c>
      <c r="F649" s="319">
        <v>6234</v>
      </c>
      <c r="G649" s="316">
        <f t="shared" si="73"/>
        <v>3218824</v>
      </c>
      <c r="H649" s="319">
        <v>3343190</v>
      </c>
      <c r="I649" s="693">
        <f t="shared" si="74"/>
        <v>124366</v>
      </c>
      <c r="J649" s="694">
        <f>I649/G649</f>
        <v>3.8637092304518672E-2</v>
      </c>
    </row>
    <row r="650" spans="1:10">
      <c r="C650" s="320" t="s">
        <v>288</v>
      </c>
      <c r="D650" s="316">
        <f>D646-D649</f>
        <v>13104815</v>
      </c>
      <c r="E650" s="319">
        <f>E646-E649</f>
        <v>27282</v>
      </c>
      <c r="F650" s="319">
        <f>F646-F649</f>
        <v>-47563</v>
      </c>
      <c r="G650" s="316">
        <f t="shared" si="73"/>
        <v>13084534</v>
      </c>
      <c r="H650" s="319">
        <v>13377800.0829375</v>
      </c>
      <c r="I650" s="693">
        <f t="shared" si="74"/>
        <v>293266.08293749951</v>
      </c>
      <c r="J650" s="694">
        <f>I650/G650</f>
        <v>2.2413185134258471E-2</v>
      </c>
    </row>
    <row r="651" spans="1:10">
      <c r="C651" s="321"/>
      <c r="D651" s="714"/>
      <c r="E651" s="322"/>
      <c r="F651" s="322"/>
      <c r="G651" s="714">
        <f t="shared" si="73"/>
        <v>0</v>
      </c>
      <c r="H651" s="322">
        <v>0</v>
      </c>
      <c r="I651" s="322">
        <f t="shared" si="74"/>
        <v>0</v>
      </c>
      <c r="J651" s="642"/>
    </row>
    <row r="652" spans="1:10" ht="15">
      <c r="A652" s="169" t="s">
        <v>538</v>
      </c>
      <c r="B652" s="169" t="s">
        <v>15</v>
      </c>
      <c r="C652" s="323" t="s">
        <v>539</v>
      </c>
      <c r="D652" s="712">
        <f>SUM(D653)</f>
        <v>2531800</v>
      </c>
      <c r="E652" s="324">
        <f>SUM(E653)</f>
        <v>32000</v>
      </c>
      <c r="F652" s="324"/>
      <c r="G652" s="712">
        <f t="shared" si="73"/>
        <v>2563800</v>
      </c>
      <c r="H652" s="324">
        <v>2616000</v>
      </c>
      <c r="I652" s="690">
        <f t="shared" si="74"/>
        <v>52200</v>
      </c>
      <c r="J652" s="691">
        <f>I652/G652</f>
        <v>2.0360402527498246E-2</v>
      </c>
    </row>
    <row r="653" spans="1:10">
      <c r="C653" s="325" t="s">
        <v>540</v>
      </c>
      <c r="D653" s="711">
        <f>SUM(D655)</f>
        <v>2531800</v>
      </c>
      <c r="E653" s="314">
        <f>SUM(E655)</f>
        <v>32000</v>
      </c>
      <c r="F653" s="314"/>
      <c r="G653" s="711">
        <f t="shared" si="73"/>
        <v>2563800</v>
      </c>
      <c r="H653" s="314">
        <v>2616000</v>
      </c>
      <c r="I653" s="690">
        <f t="shared" si="74"/>
        <v>52200</v>
      </c>
      <c r="J653" s="691">
        <f>I653/G653</f>
        <v>2.0360402527498246E-2</v>
      </c>
    </row>
    <row r="654" spans="1:10">
      <c r="C654" s="326" t="s">
        <v>348</v>
      </c>
      <c r="D654" s="316"/>
      <c r="E654" s="319"/>
      <c r="F654" s="319"/>
      <c r="G654" s="316">
        <f t="shared" si="73"/>
        <v>0</v>
      </c>
      <c r="H654" s="319">
        <v>0</v>
      </c>
      <c r="I654" s="693">
        <f t="shared" si="74"/>
        <v>0</v>
      </c>
      <c r="J654" s="694"/>
    </row>
    <row r="655" spans="1:10">
      <c r="C655" s="236" t="s">
        <v>541</v>
      </c>
      <c r="D655" s="715">
        <v>2531800</v>
      </c>
      <c r="E655" s="327">
        <v>32000</v>
      </c>
      <c r="F655" s="327"/>
      <c r="G655" s="715">
        <f t="shared" si="73"/>
        <v>2563800</v>
      </c>
      <c r="H655" s="327">
        <v>2616000</v>
      </c>
      <c r="I655" s="695">
        <f t="shared" si="74"/>
        <v>52200</v>
      </c>
      <c r="J655" s="696">
        <f>I655/G655</f>
        <v>2.0360402527498246E-2</v>
      </c>
    </row>
    <row r="656" spans="1:10">
      <c r="C656" s="328"/>
      <c r="D656" s="716"/>
      <c r="E656" s="329"/>
      <c r="F656" s="329"/>
      <c r="G656" s="716">
        <f t="shared" ref="G656:G718" si="75">SUM(D656:F656)</f>
        <v>0</v>
      </c>
      <c r="H656" s="329">
        <v>0</v>
      </c>
      <c r="I656" s="329">
        <f t="shared" si="74"/>
        <v>0</v>
      </c>
      <c r="J656" s="643"/>
    </row>
    <row r="657" spans="1:10" ht="15">
      <c r="A657" s="169" t="s">
        <v>461</v>
      </c>
      <c r="B657" s="169" t="s">
        <v>15</v>
      </c>
      <c r="C657" s="228" t="s">
        <v>462</v>
      </c>
      <c r="D657" s="712">
        <f>SUM(D658)</f>
        <v>610000</v>
      </c>
      <c r="E657" s="324"/>
      <c r="F657" s="324"/>
      <c r="G657" s="712">
        <f t="shared" si="75"/>
        <v>610000</v>
      </c>
      <c r="H657" s="324">
        <v>610000</v>
      </c>
      <c r="I657" s="690">
        <f t="shared" si="74"/>
        <v>0</v>
      </c>
      <c r="J657" s="691">
        <f>I657/G657</f>
        <v>0</v>
      </c>
    </row>
    <row r="658" spans="1:10">
      <c r="C658" s="254" t="s">
        <v>489</v>
      </c>
      <c r="D658" s="711">
        <f>SUM(D660)</f>
        <v>610000</v>
      </c>
      <c r="E658" s="314"/>
      <c r="F658" s="314"/>
      <c r="G658" s="711">
        <f t="shared" si="75"/>
        <v>610000</v>
      </c>
      <c r="H658" s="314">
        <v>610000</v>
      </c>
      <c r="I658" s="690">
        <f t="shared" si="74"/>
        <v>0</v>
      </c>
      <c r="J658" s="691">
        <f>I658/G658</f>
        <v>0</v>
      </c>
    </row>
    <row r="659" spans="1:10">
      <c r="C659" s="326" t="s">
        <v>348</v>
      </c>
      <c r="D659" s="717"/>
      <c r="E659" s="330"/>
      <c r="F659" s="330"/>
      <c r="G659" s="717">
        <f t="shared" si="75"/>
        <v>0</v>
      </c>
      <c r="H659" s="330">
        <v>0</v>
      </c>
      <c r="I659" s="330">
        <f t="shared" si="74"/>
        <v>0</v>
      </c>
      <c r="J659" s="644"/>
    </row>
    <row r="660" spans="1:10">
      <c r="C660" s="236" t="s">
        <v>542</v>
      </c>
      <c r="D660" s="715">
        <v>610000</v>
      </c>
      <c r="E660" s="327"/>
      <c r="F660" s="327"/>
      <c r="G660" s="715">
        <f t="shared" si="75"/>
        <v>610000</v>
      </c>
      <c r="H660" s="327">
        <v>610000</v>
      </c>
      <c r="I660" s="695">
        <f t="shared" si="74"/>
        <v>0</v>
      </c>
      <c r="J660" s="696">
        <f>I660/G660</f>
        <v>0</v>
      </c>
    </row>
    <row r="661" spans="1:10">
      <c r="C661" s="331"/>
      <c r="D661" s="237"/>
      <c r="E661" s="332"/>
      <c r="F661" s="332"/>
      <c r="G661" s="237">
        <f t="shared" si="75"/>
        <v>0</v>
      </c>
      <c r="H661" s="332">
        <v>0</v>
      </c>
      <c r="I661" s="658">
        <f t="shared" si="74"/>
        <v>0</v>
      </c>
      <c r="J661" s="697"/>
    </row>
    <row r="662" spans="1:10">
      <c r="C662" s="313" t="s">
        <v>351</v>
      </c>
      <c r="D662" s="711">
        <f>SUM(D664,D669,D683,D681,D667)</f>
        <v>13143605</v>
      </c>
      <c r="E662" s="314">
        <f>SUM(E664,E669,E683,E681,E667)</f>
        <v>27282</v>
      </c>
      <c r="F662" s="314">
        <f>SUM(F664,F669,F683,F681,F667)</f>
        <v>-41329</v>
      </c>
      <c r="G662" s="711">
        <f t="shared" si="75"/>
        <v>13129558</v>
      </c>
      <c r="H662" s="314">
        <v>13494990.0829375</v>
      </c>
      <c r="I662" s="690">
        <f t="shared" si="74"/>
        <v>365432.08293749951</v>
      </c>
      <c r="J662" s="691">
        <f>I662/G662</f>
        <v>2.7832778752910001E-2</v>
      </c>
    </row>
    <row r="663" spans="1:10">
      <c r="C663" s="313"/>
      <c r="D663" s="711"/>
      <c r="E663" s="314"/>
      <c r="F663" s="314"/>
      <c r="G663" s="711">
        <f t="shared" si="75"/>
        <v>0</v>
      </c>
      <c r="H663" s="314">
        <v>0</v>
      </c>
      <c r="I663" s="690">
        <f t="shared" si="74"/>
        <v>0</v>
      </c>
      <c r="J663" s="691"/>
    </row>
    <row r="664" spans="1:10">
      <c r="A664" s="169" t="s">
        <v>538</v>
      </c>
      <c r="B664" s="169" t="s">
        <v>15</v>
      </c>
      <c r="C664" s="200" t="s">
        <v>543</v>
      </c>
      <c r="D664" s="333">
        <f>1986227+11496+5392</f>
        <v>2003115</v>
      </c>
      <c r="E664" s="333">
        <v>27282</v>
      </c>
      <c r="F664" s="608">
        <v>-2829</v>
      </c>
      <c r="G664" s="333">
        <f t="shared" si="75"/>
        <v>2027568</v>
      </c>
      <c r="H664" s="333">
        <v>2106640.0829375</v>
      </c>
      <c r="I664" s="334">
        <f t="shared" si="74"/>
        <v>79072.082937499974</v>
      </c>
      <c r="J664" s="645">
        <f>I664/G664</f>
        <v>3.8998486333134068E-2</v>
      </c>
    </row>
    <row r="665" spans="1:10">
      <c r="C665" s="207" t="s">
        <v>291</v>
      </c>
      <c r="D665" s="214">
        <f>1167864+8592+4030</f>
        <v>1180486</v>
      </c>
      <c r="E665" s="214">
        <v>16115</v>
      </c>
      <c r="F665" s="588">
        <v>-2115</v>
      </c>
      <c r="G665" s="214">
        <f t="shared" si="75"/>
        <v>1194486</v>
      </c>
      <c r="H665" s="214">
        <v>1254130.1875</v>
      </c>
      <c r="I665" s="663">
        <f t="shared" si="74"/>
        <v>59644.1875</v>
      </c>
      <c r="J665" s="664">
        <f>I665/G665</f>
        <v>4.9932931403130716E-2</v>
      </c>
    </row>
    <row r="666" spans="1:10">
      <c r="C666" s="207"/>
      <c r="D666" s="214"/>
      <c r="G666" s="214">
        <f t="shared" si="75"/>
        <v>0</v>
      </c>
      <c r="H666" s="214">
        <v>0</v>
      </c>
      <c r="I666" s="663">
        <f t="shared" ref="I666:I697" si="76">H666-G666</f>
        <v>0</v>
      </c>
      <c r="J666" s="664"/>
    </row>
    <row r="667" spans="1:10">
      <c r="A667" s="169" t="s">
        <v>289</v>
      </c>
      <c r="B667" s="169" t="s">
        <v>15</v>
      </c>
      <c r="C667" s="200" t="s">
        <v>544</v>
      </c>
      <c r="D667" s="333">
        <v>80200</v>
      </c>
      <c r="F667" s="333">
        <v>-40000</v>
      </c>
      <c r="G667" s="333">
        <f t="shared" si="75"/>
        <v>40200</v>
      </c>
      <c r="H667" s="333">
        <v>80200</v>
      </c>
      <c r="I667" s="334">
        <f t="shared" si="76"/>
        <v>40000</v>
      </c>
      <c r="J667" s="645">
        <f>I667/G667</f>
        <v>0.99502487562189057</v>
      </c>
    </row>
    <row r="668" spans="1:10">
      <c r="C668" s="313"/>
      <c r="D668" s="316"/>
      <c r="G668" s="316">
        <f t="shared" si="75"/>
        <v>0</v>
      </c>
      <c r="H668" s="316">
        <v>0</v>
      </c>
      <c r="I668" s="692">
        <f t="shared" si="76"/>
        <v>0</v>
      </c>
      <c r="J668" s="664"/>
    </row>
    <row r="669" spans="1:10">
      <c r="A669" s="169" t="s">
        <v>538</v>
      </c>
      <c r="B669" s="169" t="s">
        <v>15</v>
      </c>
      <c r="C669" s="213" t="s">
        <v>545</v>
      </c>
      <c r="D669" s="333">
        <f>SUM(D670:D679)</f>
        <v>10685500</v>
      </c>
      <c r="F669" s="333">
        <f>SUM(F670:F679)</f>
        <v>1500</v>
      </c>
      <c r="G669" s="333">
        <f t="shared" si="75"/>
        <v>10687000</v>
      </c>
      <c r="H669" s="333">
        <v>10863150</v>
      </c>
      <c r="I669" s="334">
        <f t="shared" si="76"/>
        <v>176150</v>
      </c>
      <c r="J669" s="645">
        <f t="shared" ref="J669:J679" si="77">I669/G669</f>
        <v>1.6482642462805279E-2</v>
      </c>
    </row>
    <row r="670" spans="1:10">
      <c r="C670" s="302" t="s">
        <v>546</v>
      </c>
      <c r="D670" s="334">
        <v>370000</v>
      </c>
      <c r="G670" s="334">
        <f t="shared" si="75"/>
        <v>370000</v>
      </c>
      <c r="H670" s="334">
        <v>360650</v>
      </c>
      <c r="I670" s="334">
        <f t="shared" si="76"/>
        <v>-9350</v>
      </c>
      <c r="J670" s="645">
        <f t="shared" si="77"/>
        <v>-2.5270270270270269E-2</v>
      </c>
    </row>
    <row r="671" spans="1:10">
      <c r="C671" s="303" t="s">
        <v>547</v>
      </c>
      <c r="D671" s="334">
        <v>2390000</v>
      </c>
      <c r="G671" s="334">
        <f t="shared" si="75"/>
        <v>2390000</v>
      </c>
      <c r="H671" s="334">
        <v>2400000</v>
      </c>
      <c r="I671" s="334">
        <f t="shared" si="76"/>
        <v>10000</v>
      </c>
      <c r="J671" s="645">
        <f t="shared" si="77"/>
        <v>4.1841004184100415E-3</v>
      </c>
    </row>
    <row r="672" spans="1:10">
      <c r="C672" s="303" t="s">
        <v>548</v>
      </c>
      <c r="D672" s="334">
        <v>7766000</v>
      </c>
      <c r="G672" s="334">
        <f t="shared" si="75"/>
        <v>7766000</v>
      </c>
      <c r="H672" s="334">
        <v>7920000</v>
      </c>
      <c r="I672" s="334">
        <f t="shared" si="76"/>
        <v>154000</v>
      </c>
      <c r="J672" s="645">
        <f t="shared" si="77"/>
        <v>1.9830028328611898E-2</v>
      </c>
    </row>
    <row r="673" spans="1:10">
      <c r="C673" s="303" t="s">
        <v>549</v>
      </c>
      <c r="D673" s="334">
        <v>70000</v>
      </c>
      <c r="G673" s="334">
        <f t="shared" si="75"/>
        <v>70000</v>
      </c>
      <c r="H673" s="334">
        <v>70000</v>
      </c>
      <c r="I673" s="334">
        <f t="shared" si="76"/>
        <v>0</v>
      </c>
      <c r="J673" s="645">
        <f t="shared" si="77"/>
        <v>0</v>
      </c>
    </row>
    <row r="674" spans="1:10">
      <c r="C674" s="303" t="s">
        <v>550</v>
      </c>
      <c r="D674" s="334">
        <v>9600</v>
      </c>
      <c r="G674" s="334">
        <f t="shared" si="75"/>
        <v>9600</v>
      </c>
      <c r="H674" s="334">
        <v>9600</v>
      </c>
      <c r="I674" s="334">
        <f t="shared" si="76"/>
        <v>0</v>
      </c>
      <c r="J674" s="645">
        <f t="shared" si="77"/>
        <v>0</v>
      </c>
    </row>
    <row r="675" spans="1:10">
      <c r="C675" s="335" t="s">
        <v>551</v>
      </c>
      <c r="D675" s="334">
        <v>6400</v>
      </c>
      <c r="G675" s="334">
        <f t="shared" si="75"/>
        <v>6400</v>
      </c>
      <c r="H675" s="334">
        <v>29900</v>
      </c>
      <c r="I675" s="334">
        <f t="shared" si="76"/>
        <v>23500</v>
      </c>
      <c r="J675" s="645">
        <f t="shared" si="77"/>
        <v>3.671875</v>
      </c>
    </row>
    <row r="676" spans="1:10">
      <c r="C676" s="303" t="s">
        <v>552</v>
      </c>
      <c r="D676" s="334">
        <v>15000</v>
      </c>
      <c r="F676" s="609">
        <v>5000</v>
      </c>
      <c r="G676" s="334">
        <f t="shared" si="75"/>
        <v>20000</v>
      </c>
      <c r="H676" s="334">
        <v>18000</v>
      </c>
      <c r="I676" s="334">
        <f t="shared" si="76"/>
        <v>-2000</v>
      </c>
      <c r="J676" s="645">
        <f t="shared" si="77"/>
        <v>-0.1</v>
      </c>
    </row>
    <row r="677" spans="1:10">
      <c r="C677" s="303" t="s">
        <v>553</v>
      </c>
      <c r="D677" s="334">
        <v>5000</v>
      </c>
      <c r="F677" s="609">
        <v>-3500</v>
      </c>
      <c r="G677" s="334">
        <f t="shared" si="75"/>
        <v>1500</v>
      </c>
      <c r="H677" s="334">
        <v>1500</v>
      </c>
      <c r="I677" s="334">
        <f t="shared" si="76"/>
        <v>0</v>
      </c>
      <c r="J677" s="645">
        <f t="shared" si="77"/>
        <v>0</v>
      </c>
    </row>
    <row r="678" spans="1:10">
      <c r="C678" s="303" t="s">
        <v>554</v>
      </c>
      <c r="D678" s="334">
        <v>40000</v>
      </c>
      <c r="G678" s="334">
        <f t="shared" si="75"/>
        <v>40000</v>
      </c>
      <c r="H678" s="334">
        <v>40000</v>
      </c>
      <c r="I678" s="334">
        <f t="shared" si="76"/>
        <v>0</v>
      </c>
      <c r="J678" s="645">
        <f t="shared" si="77"/>
        <v>0</v>
      </c>
    </row>
    <row r="679" spans="1:10">
      <c r="C679" s="303" t="s">
        <v>555</v>
      </c>
      <c r="D679" s="334">
        <v>13500</v>
      </c>
      <c r="G679" s="334">
        <f t="shared" si="75"/>
        <v>13500</v>
      </c>
      <c r="H679" s="334">
        <v>13500</v>
      </c>
      <c r="I679" s="334">
        <f t="shared" si="76"/>
        <v>0</v>
      </c>
      <c r="J679" s="645">
        <f t="shared" si="77"/>
        <v>0</v>
      </c>
    </row>
    <row r="680" spans="1:10">
      <c r="C680" s="336"/>
      <c r="D680" s="334"/>
      <c r="G680" s="334">
        <f t="shared" si="75"/>
        <v>0</v>
      </c>
      <c r="H680" s="334">
        <v>0</v>
      </c>
      <c r="I680" s="334">
        <f t="shared" si="76"/>
        <v>0</v>
      </c>
      <c r="J680" s="645"/>
    </row>
    <row r="681" spans="1:10">
      <c r="A681" s="169" t="s">
        <v>538</v>
      </c>
      <c r="B681" s="169" t="s">
        <v>15</v>
      </c>
      <c r="C681" s="195" t="s">
        <v>556</v>
      </c>
      <c r="D681" s="337">
        <v>74790</v>
      </c>
      <c r="G681" s="337">
        <f t="shared" si="75"/>
        <v>74790</v>
      </c>
      <c r="H681" s="337">
        <v>145000</v>
      </c>
      <c r="I681" s="452">
        <f t="shared" si="76"/>
        <v>70210</v>
      </c>
      <c r="J681" s="645">
        <f>I681/G681</f>
        <v>0.93876186655970051</v>
      </c>
    </row>
    <row r="682" spans="1:10">
      <c r="C682" s="336"/>
      <c r="D682" s="337"/>
      <c r="G682" s="337">
        <f t="shared" si="75"/>
        <v>0</v>
      </c>
      <c r="H682" s="337">
        <v>0</v>
      </c>
      <c r="I682" s="452">
        <f t="shared" si="76"/>
        <v>0</v>
      </c>
      <c r="J682" s="645"/>
    </row>
    <row r="683" spans="1:10">
      <c r="A683" s="169" t="s">
        <v>538</v>
      </c>
      <c r="B683" s="169" t="s">
        <v>15</v>
      </c>
      <c r="C683" s="200" t="s">
        <v>557</v>
      </c>
      <c r="D683" s="337">
        <v>300000</v>
      </c>
      <c r="G683" s="337">
        <f t="shared" si="75"/>
        <v>300000</v>
      </c>
      <c r="H683" s="337">
        <v>300000</v>
      </c>
      <c r="I683" s="452">
        <f t="shared" si="76"/>
        <v>0</v>
      </c>
      <c r="J683" s="645">
        <f>I683/G683</f>
        <v>0</v>
      </c>
    </row>
    <row r="684" spans="1:10">
      <c r="C684" s="195"/>
      <c r="D684" s="214"/>
      <c r="G684" s="214">
        <f t="shared" si="75"/>
        <v>0</v>
      </c>
      <c r="H684" s="214">
        <v>0</v>
      </c>
      <c r="I684" s="663">
        <f t="shared" si="76"/>
        <v>0</v>
      </c>
      <c r="J684" s="664"/>
    </row>
    <row r="685" spans="1:10">
      <c r="C685" s="195"/>
      <c r="D685" s="214"/>
      <c r="G685" s="214">
        <f t="shared" si="75"/>
        <v>0</v>
      </c>
      <c r="H685" s="214">
        <v>0</v>
      </c>
      <c r="I685" s="663">
        <f t="shared" si="76"/>
        <v>0</v>
      </c>
      <c r="J685" s="664"/>
    </row>
    <row r="686" spans="1:10" ht="15.75">
      <c r="C686" s="218" t="s">
        <v>558</v>
      </c>
      <c r="D686" s="185"/>
      <c r="G686" s="185">
        <f t="shared" si="75"/>
        <v>0</v>
      </c>
      <c r="H686" s="185">
        <v>0</v>
      </c>
      <c r="I686" s="268">
        <f t="shared" si="76"/>
        <v>0</v>
      </c>
      <c r="J686" s="634"/>
    </row>
    <row r="687" spans="1:10">
      <c r="C687" s="201"/>
      <c r="D687" s="185"/>
      <c r="G687" s="185">
        <f t="shared" si="75"/>
        <v>0</v>
      </c>
      <c r="H687" s="185">
        <v>0</v>
      </c>
      <c r="I687" s="268">
        <f t="shared" si="76"/>
        <v>0</v>
      </c>
      <c r="J687" s="634"/>
    </row>
    <row r="688" spans="1:10">
      <c r="C688" s="219" t="s">
        <v>5</v>
      </c>
      <c r="D688" s="176">
        <f>D695+D741+D749</f>
        <v>9138998</v>
      </c>
      <c r="E688" s="176">
        <f>E695+E741+E749</f>
        <v>44300</v>
      </c>
      <c r="F688" s="176">
        <f>F695+F741+F749</f>
        <v>142183</v>
      </c>
      <c r="G688" s="176">
        <f t="shared" si="75"/>
        <v>9325481</v>
      </c>
      <c r="H688" s="176">
        <v>9016190</v>
      </c>
      <c r="I688" s="659">
        <f t="shared" si="76"/>
        <v>-309291</v>
      </c>
      <c r="J688" s="660">
        <f t="shared" ref="J688:J693" si="78">I688/G688</f>
        <v>-3.3166224884271386E-2</v>
      </c>
    </row>
    <row r="689" spans="1:10">
      <c r="C689" s="177" t="s">
        <v>285</v>
      </c>
      <c r="D689" s="248">
        <v>193340</v>
      </c>
      <c r="E689" s="278"/>
      <c r="F689" s="278"/>
      <c r="G689" s="248">
        <f t="shared" si="75"/>
        <v>193340</v>
      </c>
      <c r="H689" s="248">
        <v>190340</v>
      </c>
      <c r="I689" s="673">
        <f t="shared" si="76"/>
        <v>-3000</v>
      </c>
      <c r="J689" s="674">
        <f t="shared" si="78"/>
        <v>-1.5516706320471708E-2</v>
      </c>
    </row>
    <row r="690" spans="1:10">
      <c r="C690" s="220" t="s">
        <v>286</v>
      </c>
      <c r="D690" s="176">
        <f>D691+D693</f>
        <v>9138998</v>
      </c>
      <c r="E690" s="176">
        <f>E691+E693+E692</f>
        <v>44300</v>
      </c>
      <c r="F690" s="176">
        <f>F691+F693+F692</f>
        <v>142183</v>
      </c>
      <c r="G690" s="176">
        <f t="shared" si="75"/>
        <v>9325481</v>
      </c>
      <c r="H690" s="176">
        <v>9016190</v>
      </c>
      <c r="I690" s="659">
        <f t="shared" si="76"/>
        <v>-309291</v>
      </c>
      <c r="J690" s="660">
        <f t="shared" si="78"/>
        <v>-3.3166224884271386E-2</v>
      </c>
    </row>
    <row r="691" spans="1:10">
      <c r="C691" s="221" t="s">
        <v>287</v>
      </c>
      <c r="D691" s="178">
        <v>817115</v>
      </c>
      <c r="E691" s="278">
        <v>0</v>
      </c>
      <c r="F691" s="278">
        <v>136195</v>
      </c>
      <c r="G691" s="178">
        <f t="shared" si="75"/>
        <v>953310</v>
      </c>
      <c r="H691" s="178">
        <v>991090</v>
      </c>
      <c r="I691" s="184">
        <f t="shared" si="76"/>
        <v>37780</v>
      </c>
      <c r="J691" s="632">
        <f t="shared" si="78"/>
        <v>3.9630340602742023E-2</v>
      </c>
    </row>
    <row r="692" spans="1:10">
      <c r="C692" s="222" t="s">
        <v>298</v>
      </c>
      <c r="D692" s="178"/>
      <c r="E692" s="278">
        <v>21930</v>
      </c>
      <c r="F692" s="278">
        <v>6000</v>
      </c>
      <c r="G692" s="178">
        <f t="shared" si="75"/>
        <v>27930</v>
      </c>
      <c r="H692" s="178">
        <v>0</v>
      </c>
      <c r="I692" s="184">
        <f t="shared" si="76"/>
        <v>-27930</v>
      </c>
      <c r="J692" s="632">
        <f t="shared" si="78"/>
        <v>-1</v>
      </c>
    </row>
    <row r="693" spans="1:10">
      <c r="C693" s="222" t="s">
        <v>288</v>
      </c>
      <c r="D693" s="178">
        <f>D688-D691</f>
        <v>8321883</v>
      </c>
      <c r="E693" s="278">
        <f>E688-E691-E692</f>
        <v>22370</v>
      </c>
      <c r="F693" s="278">
        <f>F688-F691-F692</f>
        <v>-12</v>
      </c>
      <c r="G693" s="178">
        <f t="shared" si="75"/>
        <v>8344241</v>
      </c>
      <c r="H693" s="178">
        <v>8025100</v>
      </c>
      <c r="I693" s="184">
        <f t="shared" si="76"/>
        <v>-319141</v>
      </c>
      <c r="J693" s="632">
        <f t="shared" si="78"/>
        <v>-3.8246857922727785E-2</v>
      </c>
    </row>
    <row r="694" spans="1:10">
      <c r="C694" s="201"/>
      <c r="D694" s="178"/>
      <c r="E694" s="179"/>
      <c r="F694" s="179"/>
      <c r="G694" s="178">
        <f t="shared" si="75"/>
        <v>0</v>
      </c>
      <c r="H694" s="178">
        <v>0</v>
      </c>
      <c r="I694" s="184">
        <f t="shared" si="76"/>
        <v>0</v>
      </c>
      <c r="J694" s="632"/>
    </row>
    <row r="695" spans="1:10" ht="15">
      <c r="A695" s="169" t="s">
        <v>559</v>
      </c>
      <c r="B695" s="169" t="s">
        <v>14</v>
      </c>
      <c r="C695" s="251" t="s">
        <v>560</v>
      </c>
      <c r="D695" s="280">
        <f>D696+D713+D735</f>
        <v>1227240</v>
      </c>
      <c r="E695" s="280">
        <f>E696+E713+E735</f>
        <v>0</v>
      </c>
      <c r="F695" s="280">
        <f>F696+F713+F735</f>
        <v>24970</v>
      </c>
      <c r="G695" s="280">
        <f t="shared" si="75"/>
        <v>1252210</v>
      </c>
      <c r="H695" s="280">
        <v>1296330</v>
      </c>
      <c r="I695" s="659">
        <f t="shared" si="76"/>
        <v>44120</v>
      </c>
      <c r="J695" s="660">
        <f>I695/G695</f>
        <v>3.5233706806366345E-2</v>
      </c>
    </row>
    <row r="696" spans="1:10">
      <c r="C696" s="338" t="s">
        <v>561</v>
      </c>
      <c r="D696" s="176">
        <f>D699+D703+D706+D710</f>
        <v>505830</v>
      </c>
      <c r="E696" s="176">
        <f>E699+E703+E706+E710</f>
        <v>0</v>
      </c>
      <c r="F696" s="176">
        <f>F699+F703+F706+F710</f>
        <v>-37000</v>
      </c>
      <c r="G696" s="176">
        <f t="shared" si="75"/>
        <v>468830</v>
      </c>
      <c r="H696" s="176">
        <v>496950</v>
      </c>
      <c r="I696" s="659">
        <f t="shared" si="76"/>
        <v>28120</v>
      </c>
      <c r="J696" s="660">
        <f>I696/G696</f>
        <v>5.99790969007956E-2</v>
      </c>
    </row>
    <row r="697" spans="1:10">
      <c r="C697" s="202" t="s">
        <v>291</v>
      </c>
      <c r="D697" s="189">
        <f>D707+D711</f>
        <v>27730</v>
      </c>
      <c r="E697" s="189">
        <f>E707+E711</f>
        <v>0</v>
      </c>
      <c r="F697" s="189">
        <f>F707+F711+F700</f>
        <v>-7000</v>
      </c>
      <c r="G697" s="189">
        <f t="shared" si="75"/>
        <v>20730</v>
      </c>
      <c r="H697" s="189">
        <v>33810</v>
      </c>
      <c r="I697" s="184">
        <f t="shared" si="76"/>
        <v>13080</v>
      </c>
      <c r="J697" s="632">
        <f>I697/G697</f>
        <v>0.63096960926193923</v>
      </c>
    </row>
    <row r="698" spans="1:10">
      <c r="C698" s="235" t="s">
        <v>348</v>
      </c>
      <c r="D698" s="189"/>
      <c r="E698" s="179"/>
      <c r="F698" s="179"/>
      <c r="G698" s="189">
        <f t="shared" si="75"/>
        <v>0</v>
      </c>
      <c r="H698" s="189">
        <v>0</v>
      </c>
      <c r="I698" s="184">
        <f t="shared" ref="I698:I700" si="79">H698-G698</f>
        <v>0</v>
      </c>
      <c r="J698" s="632"/>
    </row>
    <row r="699" spans="1:10">
      <c r="C699" s="236" t="s">
        <v>562</v>
      </c>
      <c r="D699" s="187">
        <v>159850</v>
      </c>
      <c r="E699" s="179"/>
      <c r="F699" s="179">
        <v>-25000</v>
      </c>
      <c r="G699" s="187">
        <v>134850</v>
      </c>
      <c r="H699" s="187">
        <v>170950</v>
      </c>
      <c r="I699" s="661">
        <f t="shared" si="79"/>
        <v>36100</v>
      </c>
      <c r="J699" s="637">
        <f>I699/G699</f>
        <v>0.26770485724879495</v>
      </c>
    </row>
    <row r="700" spans="1:10">
      <c r="C700" s="208" t="s">
        <v>291</v>
      </c>
      <c r="D700" s="187"/>
      <c r="E700" s="179"/>
      <c r="F700" s="230">
        <v>2000</v>
      </c>
      <c r="G700" s="187">
        <v>2000</v>
      </c>
      <c r="H700" s="187">
        <v>6000</v>
      </c>
      <c r="I700" s="661">
        <f t="shared" si="79"/>
        <v>4000</v>
      </c>
      <c r="J700" s="637">
        <f>I700/G700</f>
        <v>2</v>
      </c>
    </row>
    <row r="701" spans="1:10">
      <c r="C701" s="208"/>
      <c r="D701" s="187"/>
      <c r="E701" s="179"/>
      <c r="F701" s="230"/>
      <c r="G701" s="187"/>
      <c r="H701" s="187">
        <v>0</v>
      </c>
      <c r="I701" s="661"/>
      <c r="J701" s="637"/>
    </row>
    <row r="702" spans="1:10">
      <c r="C702" s="235" t="s">
        <v>348</v>
      </c>
      <c r="D702" s="189"/>
      <c r="E702" s="179"/>
      <c r="F702" s="179"/>
      <c r="G702" s="189">
        <f t="shared" si="75"/>
        <v>0</v>
      </c>
      <c r="H702" s="189">
        <v>0</v>
      </c>
      <c r="I702" s="184">
        <f t="shared" ref="I702:I765" si="80">H702-G702</f>
        <v>0</v>
      </c>
      <c r="J702" s="632"/>
    </row>
    <row r="703" spans="1:10">
      <c r="C703" s="236" t="s">
        <v>563</v>
      </c>
      <c r="D703" s="187">
        <v>248000</v>
      </c>
      <c r="E703" s="179"/>
      <c r="F703" s="179"/>
      <c r="G703" s="187">
        <v>248000</v>
      </c>
      <c r="H703" s="187">
        <v>228000</v>
      </c>
      <c r="I703" s="661">
        <f t="shared" si="80"/>
        <v>-20000</v>
      </c>
      <c r="J703" s="637">
        <f>I703/G703</f>
        <v>-8.0645161290322578E-2</v>
      </c>
    </row>
    <row r="704" spans="1:10">
      <c r="C704" s="236"/>
      <c r="D704" s="187"/>
      <c r="E704" s="179"/>
      <c r="F704" s="179"/>
      <c r="G704" s="187"/>
      <c r="H704" s="719">
        <v>0</v>
      </c>
      <c r="I704" s="719">
        <f t="shared" si="80"/>
        <v>0</v>
      </c>
      <c r="J704" s="523"/>
    </row>
    <row r="705" spans="3:10">
      <c r="C705" s="235" t="s">
        <v>348</v>
      </c>
      <c r="D705" s="189"/>
      <c r="E705" s="179"/>
      <c r="F705" s="179"/>
      <c r="G705" s="189">
        <f t="shared" si="75"/>
        <v>0</v>
      </c>
      <c r="H705" s="189">
        <v>0</v>
      </c>
      <c r="I705" s="184">
        <f t="shared" si="80"/>
        <v>0</v>
      </c>
      <c r="J705" s="632"/>
    </row>
    <row r="706" spans="3:10">
      <c r="C706" s="236" t="s">
        <v>564</v>
      </c>
      <c r="D706" s="187">
        <v>28900</v>
      </c>
      <c r="E706" s="179"/>
      <c r="F706" s="179">
        <v>-12000</v>
      </c>
      <c r="G706" s="187">
        <f t="shared" si="75"/>
        <v>16900</v>
      </c>
      <c r="H706" s="187">
        <v>28900</v>
      </c>
      <c r="I706" s="661">
        <f t="shared" si="80"/>
        <v>12000</v>
      </c>
      <c r="J706" s="637">
        <f>I706/G706</f>
        <v>0.7100591715976331</v>
      </c>
    </row>
    <row r="707" spans="3:10">
      <c r="C707" s="208" t="s">
        <v>291</v>
      </c>
      <c r="D707" s="189">
        <v>21730</v>
      </c>
      <c r="E707" s="230"/>
      <c r="F707" s="230">
        <v>-9000</v>
      </c>
      <c r="G707" s="189">
        <f t="shared" si="75"/>
        <v>12730</v>
      </c>
      <c r="H707" s="189">
        <v>21810</v>
      </c>
      <c r="I707" s="184">
        <f t="shared" si="80"/>
        <v>9080</v>
      </c>
      <c r="J707" s="632">
        <f>I707/G707</f>
        <v>0.71327572663000782</v>
      </c>
    </row>
    <row r="708" spans="3:10">
      <c r="C708" s="339"/>
      <c r="D708" s="189"/>
      <c r="E708" s="179"/>
      <c r="F708" s="179"/>
      <c r="G708" s="189">
        <f t="shared" si="75"/>
        <v>0</v>
      </c>
      <c r="H708" s="189">
        <v>0</v>
      </c>
      <c r="I708" s="184">
        <f t="shared" si="80"/>
        <v>0</v>
      </c>
      <c r="J708" s="632"/>
    </row>
    <row r="709" spans="3:10">
      <c r="C709" s="235" t="s">
        <v>348</v>
      </c>
      <c r="D709" s="189"/>
      <c r="E709" s="179"/>
      <c r="F709" s="179"/>
      <c r="G709" s="189">
        <f t="shared" si="75"/>
        <v>0</v>
      </c>
      <c r="H709" s="189">
        <v>0</v>
      </c>
      <c r="I709" s="184">
        <f t="shared" si="80"/>
        <v>0</v>
      </c>
      <c r="J709" s="632"/>
    </row>
    <row r="710" spans="3:10">
      <c r="C710" s="236" t="s">
        <v>565</v>
      </c>
      <c r="D710" s="187">
        <v>69080</v>
      </c>
      <c r="E710" s="179"/>
      <c r="F710" s="179"/>
      <c r="G710" s="187">
        <f t="shared" si="75"/>
        <v>69080</v>
      </c>
      <c r="H710" s="187">
        <v>69100</v>
      </c>
      <c r="I710" s="661">
        <f t="shared" si="80"/>
        <v>20</v>
      </c>
      <c r="J710" s="637">
        <f>I710/G710</f>
        <v>2.8951939779965256E-4</v>
      </c>
    </row>
    <row r="711" spans="3:10">
      <c r="C711" s="208" t="s">
        <v>291</v>
      </c>
      <c r="D711" s="189">
        <v>6000</v>
      </c>
      <c r="E711" s="230"/>
      <c r="F711" s="230"/>
      <c r="G711" s="189">
        <f t="shared" si="75"/>
        <v>6000</v>
      </c>
      <c r="H711" s="189">
        <v>6000</v>
      </c>
      <c r="I711" s="184">
        <f t="shared" si="80"/>
        <v>0</v>
      </c>
      <c r="J711" s="632">
        <f>I711/G711</f>
        <v>0</v>
      </c>
    </row>
    <row r="712" spans="3:10">
      <c r="C712" s="202"/>
      <c r="D712" s="189"/>
      <c r="E712" s="179"/>
      <c r="F712" s="179"/>
      <c r="G712" s="189">
        <f t="shared" si="75"/>
        <v>0</v>
      </c>
      <c r="H712" s="189">
        <v>0</v>
      </c>
      <c r="I712" s="184">
        <f t="shared" si="80"/>
        <v>0</v>
      </c>
      <c r="J712" s="632"/>
    </row>
    <row r="713" spans="3:10">
      <c r="C713" s="338" t="s">
        <v>566</v>
      </c>
      <c r="D713" s="434">
        <f>D716+D719+D722+D725+D729+D733</f>
        <v>711810</v>
      </c>
      <c r="E713" s="231">
        <f>E716+E719+E722+E725+E729+E733</f>
        <v>0</v>
      </c>
      <c r="F713" s="231">
        <f>F716+F719+F722+F725+F729+F733</f>
        <v>61970</v>
      </c>
      <c r="G713" s="434">
        <f t="shared" si="75"/>
        <v>773780</v>
      </c>
      <c r="H713" s="231">
        <v>789380</v>
      </c>
      <c r="I713" s="669">
        <f t="shared" si="80"/>
        <v>15600</v>
      </c>
      <c r="J713" s="670">
        <f>I713/G713</f>
        <v>2.0160769210886817E-2</v>
      </c>
    </row>
    <row r="714" spans="3:10">
      <c r="C714" s="202" t="s">
        <v>291</v>
      </c>
      <c r="D714" s="189">
        <f>D726+D730</f>
        <v>15915</v>
      </c>
      <c r="E714" s="189">
        <f>E726+E730</f>
        <v>0</v>
      </c>
      <c r="F714" s="189">
        <f>F726+F730</f>
        <v>0</v>
      </c>
      <c r="G714" s="189">
        <f t="shared" si="75"/>
        <v>15915</v>
      </c>
      <c r="H714" s="189">
        <v>25505</v>
      </c>
      <c r="I714" s="184">
        <f t="shared" si="80"/>
        <v>9590</v>
      </c>
      <c r="J714" s="632">
        <f>I714/G714</f>
        <v>0.60257618598806162</v>
      </c>
    </row>
    <row r="715" spans="3:10">
      <c r="C715" s="235" t="s">
        <v>348</v>
      </c>
      <c r="D715" s="189"/>
      <c r="E715" s="179"/>
      <c r="F715" s="179"/>
      <c r="G715" s="189">
        <f t="shared" si="75"/>
        <v>0</v>
      </c>
      <c r="H715" s="189">
        <v>0</v>
      </c>
      <c r="I715" s="184">
        <f t="shared" si="80"/>
        <v>0</v>
      </c>
      <c r="J715" s="632"/>
    </row>
    <row r="716" spans="3:10">
      <c r="C716" s="236" t="s">
        <v>567</v>
      </c>
      <c r="D716" s="187">
        <v>48000</v>
      </c>
      <c r="E716" s="179"/>
      <c r="F716" s="179"/>
      <c r="G716" s="187">
        <f t="shared" si="75"/>
        <v>48000</v>
      </c>
      <c r="H716" s="187">
        <v>51000</v>
      </c>
      <c r="I716" s="661">
        <f t="shared" si="80"/>
        <v>3000</v>
      </c>
      <c r="J716" s="637">
        <f>I716/G716</f>
        <v>6.25E-2</v>
      </c>
    </row>
    <row r="717" spans="3:10">
      <c r="C717" s="202"/>
      <c r="D717" s="189"/>
      <c r="E717" s="179"/>
      <c r="F717" s="179"/>
      <c r="G717" s="189">
        <f t="shared" si="75"/>
        <v>0</v>
      </c>
      <c r="H717" s="189">
        <v>0</v>
      </c>
      <c r="I717" s="184">
        <f t="shared" si="80"/>
        <v>0</v>
      </c>
      <c r="J717" s="632"/>
    </row>
    <row r="718" spans="3:10">
      <c r="C718" s="235" t="s">
        <v>348</v>
      </c>
      <c r="D718" s="189"/>
      <c r="E718" s="179"/>
      <c r="F718" s="179"/>
      <c r="G718" s="189">
        <f t="shared" si="75"/>
        <v>0</v>
      </c>
      <c r="H718" s="189">
        <v>0</v>
      </c>
      <c r="I718" s="184">
        <f t="shared" si="80"/>
        <v>0</v>
      </c>
      <c r="J718" s="632"/>
    </row>
    <row r="719" spans="3:10">
      <c r="C719" s="236" t="s">
        <v>568</v>
      </c>
      <c r="D719" s="187">
        <v>218600</v>
      </c>
      <c r="E719" s="179"/>
      <c r="F719" s="179">
        <v>40000</v>
      </c>
      <c r="G719" s="187">
        <f t="shared" ref="G719:G766" si="81">SUM(D719:F719)</f>
        <v>258600</v>
      </c>
      <c r="H719" s="187">
        <v>260300</v>
      </c>
      <c r="I719" s="661">
        <f t="shared" si="80"/>
        <v>1700</v>
      </c>
      <c r="J719" s="637">
        <f>I719/G719</f>
        <v>6.5738592420726992E-3</v>
      </c>
    </row>
    <row r="720" spans="3:10">
      <c r="C720" s="202"/>
      <c r="D720" s="189"/>
      <c r="E720" s="179"/>
      <c r="F720" s="179"/>
      <c r="G720" s="189">
        <f t="shared" si="81"/>
        <v>0</v>
      </c>
      <c r="H720" s="189">
        <v>0</v>
      </c>
      <c r="I720" s="184">
        <f t="shared" si="80"/>
        <v>0</v>
      </c>
      <c r="J720" s="632"/>
    </row>
    <row r="721" spans="3:10">
      <c r="C721" s="235" t="s">
        <v>348</v>
      </c>
      <c r="D721" s="189"/>
      <c r="E721" s="179"/>
      <c r="F721" s="179"/>
      <c r="G721" s="189">
        <f t="shared" si="81"/>
        <v>0</v>
      </c>
      <c r="H721" s="189">
        <v>0</v>
      </c>
      <c r="I721" s="184">
        <f t="shared" si="80"/>
        <v>0</v>
      </c>
      <c r="J721" s="632"/>
    </row>
    <row r="722" spans="3:10">
      <c r="C722" s="236" t="s">
        <v>569</v>
      </c>
      <c r="D722" s="187">
        <v>360410</v>
      </c>
      <c r="E722" s="179"/>
      <c r="F722" s="179"/>
      <c r="G722" s="187">
        <f t="shared" si="81"/>
        <v>360410</v>
      </c>
      <c r="H722" s="187">
        <v>368100</v>
      </c>
      <c r="I722" s="661">
        <f t="shared" si="80"/>
        <v>7690</v>
      </c>
      <c r="J722" s="637">
        <f>I722/G722</f>
        <v>2.1336810854304819E-2</v>
      </c>
    </row>
    <row r="723" spans="3:10">
      <c r="C723" s="202"/>
      <c r="D723" s="189"/>
      <c r="E723" s="179"/>
      <c r="F723" s="179"/>
      <c r="G723" s="189">
        <f t="shared" si="81"/>
        <v>0</v>
      </c>
      <c r="H723" s="189">
        <v>0</v>
      </c>
      <c r="I723" s="184">
        <f t="shared" si="80"/>
        <v>0</v>
      </c>
      <c r="J723" s="632"/>
    </row>
    <row r="724" spans="3:10">
      <c r="C724" s="235" t="s">
        <v>348</v>
      </c>
      <c r="D724" s="189"/>
      <c r="E724" s="179"/>
      <c r="F724" s="179"/>
      <c r="G724" s="189">
        <f t="shared" si="81"/>
        <v>0</v>
      </c>
      <c r="H724" s="189">
        <v>0</v>
      </c>
      <c r="I724" s="184">
        <f t="shared" si="80"/>
        <v>0</v>
      </c>
      <c r="J724" s="632"/>
    </row>
    <row r="725" spans="3:10">
      <c r="C725" s="236" t="s">
        <v>570</v>
      </c>
      <c r="D725" s="187">
        <v>51600</v>
      </c>
      <c r="E725" s="179"/>
      <c r="F725" s="179">
        <v>19970</v>
      </c>
      <c r="G725" s="187">
        <v>71570</v>
      </c>
      <c r="H725" s="187">
        <v>68480</v>
      </c>
      <c r="I725" s="661">
        <f t="shared" si="80"/>
        <v>-3090</v>
      </c>
      <c r="J725" s="637">
        <f>I725/G725</f>
        <v>-4.3174514461366498E-2</v>
      </c>
    </row>
    <row r="726" spans="3:10">
      <c r="C726" s="208" t="s">
        <v>291</v>
      </c>
      <c r="D726" s="189">
        <v>13675</v>
      </c>
      <c r="E726" s="230"/>
      <c r="F726" s="230"/>
      <c r="G726" s="189">
        <v>13675</v>
      </c>
      <c r="H726" s="189">
        <v>23255</v>
      </c>
      <c r="I726" s="184">
        <f t="shared" si="80"/>
        <v>9580</v>
      </c>
      <c r="J726" s="632">
        <f>I726/G726</f>
        <v>0.70054844606946987</v>
      </c>
    </row>
    <row r="727" spans="3:10">
      <c r="C727" s="261"/>
      <c r="D727" s="189"/>
      <c r="E727" s="179"/>
      <c r="F727" s="179"/>
      <c r="G727" s="189">
        <f t="shared" si="81"/>
        <v>0</v>
      </c>
      <c r="H727" s="189">
        <v>0</v>
      </c>
      <c r="I727" s="184">
        <f t="shared" si="80"/>
        <v>0</v>
      </c>
      <c r="J727" s="632"/>
    </row>
    <row r="728" spans="3:10">
      <c r="C728" s="235" t="s">
        <v>348</v>
      </c>
      <c r="D728" s="189"/>
      <c r="E728" s="179"/>
      <c r="F728" s="179"/>
      <c r="G728" s="189">
        <f t="shared" si="81"/>
        <v>0</v>
      </c>
      <c r="H728" s="189">
        <v>0</v>
      </c>
      <c r="I728" s="184">
        <f t="shared" si="80"/>
        <v>0</v>
      </c>
      <c r="J728" s="632"/>
    </row>
    <row r="729" spans="3:10">
      <c r="C729" s="236" t="s">
        <v>571</v>
      </c>
      <c r="D729" s="187">
        <v>24000</v>
      </c>
      <c r="E729" s="179"/>
      <c r="F729" s="179"/>
      <c r="G729" s="187">
        <f t="shared" si="81"/>
        <v>24000</v>
      </c>
      <c r="H729" s="187">
        <v>25000</v>
      </c>
      <c r="I729" s="661">
        <f t="shared" si="80"/>
        <v>1000</v>
      </c>
      <c r="J729" s="637">
        <f>I729/G729</f>
        <v>4.1666666666666664E-2</v>
      </c>
    </row>
    <row r="730" spans="3:10">
      <c r="C730" s="208" t="s">
        <v>291</v>
      </c>
      <c r="D730" s="189">
        <v>2240</v>
      </c>
      <c r="E730" s="230"/>
      <c r="F730" s="230"/>
      <c r="G730" s="189">
        <f t="shared" si="81"/>
        <v>2240</v>
      </c>
      <c r="H730" s="189">
        <v>2250</v>
      </c>
      <c r="I730" s="184">
        <f t="shared" si="80"/>
        <v>10</v>
      </c>
      <c r="J730" s="632">
        <f>I730/G730</f>
        <v>4.464285714285714E-3</v>
      </c>
    </row>
    <row r="731" spans="3:10">
      <c r="C731" s="202"/>
      <c r="D731" s="189"/>
      <c r="E731" s="179"/>
      <c r="F731" s="179"/>
      <c r="G731" s="189">
        <f t="shared" si="81"/>
        <v>0</v>
      </c>
      <c r="H731" s="189">
        <v>0</v>
      </c>
      <c r="I731" s="184">
        <f t="shared" si="80"/>
        <v>0</v>
      </c>
      <c r="J731" s="632"/>
    </row>
    <row r="732" spans="3:10">
      <c r="C732" s="235" t="s">
        <v>348</v>
      </c>
      <c r="D732" s="189"/>
      <c r="E732" s="179"/>
      <c r="F732" s="179"/>
      <c r="G732" s="189">
        <f t="shared" si="81"/>
        <v>0</v>
      </c>
      <c r="H732" s="189">
        <v>0</v>
      </c>
      <c r="I732" s="184">
        <f t="shared" si="80"/>
        <v>0</v>
      </c>
      <c r="J732" s="632"/>
    </row>
    <row r="733" spans="3:10">
      <c r="C733" s="236" t="s">
        <v>572</v>
      </c>
      <c r="D733" s="187">
        <v>9200</v>
      </c>
      <c r="E733" s="179"/>
      <c r="F733" s="179">
        <v>2000</v>
      </c>
      <c r="G733" s="187">
        <f t="shared" si="81"/>
        <v>11200</v>
      </c>
      <c r="H733" s="187">
        <v>16500</v>
      </c>
      <c r="I733" s="661">
        <f t="shared" si="80"/>
        <v>5300</v>
      </c>
      <c r="J733" s="637">
        <f>I733/G733</f>
        <v>0.4732142857142857</v>
      </c>
    </row>
    <row r="734" spans="3:10">
      <c r="C734" s="339"/>
      <c r="D734" s="189"/>
      <c r="E734" s="179"/>
      <c r="F734" s="179"/>
      <c r="G734" s="189">
        <f t="shared" si="81"/>
        <v>0</v>
      </c>
      <c r="H734" s="189">
        <v>0</v>
      </c>
      <c r="I734" s="184">
        <f t="shared" si="80"/>
        <v>0</v>
      </c>
      <c r="J734" s="632"/>
    </row>
    <row r="735" spans="3:10">
      <c r="C735" s="338" t="s">
        <v>573</v>
      </c>
      <c r="D735" s="176">
        <f>D738</f>
        <v>9600</v>
      </c>
      <c r="E735" s="176">
        <f t="shared" ref="E735:E736" si="82">E738</f>
        <v>0</v>
      </c>
      <c r="F735" s="176"/>
      <c r="G735" s="176">
        <f t="shared" si="81"/>
        <v>9600</v>
      </c>
      <c r="H735" s="176">
        <v>10000</v>
      </c>
      <c r="I735" s="659">
        <f t="shared" si="80"/>
        <v>400</v>
      </c>
      <c r="J735" s="660">
        <f>I735/G735</f>
        <v>4.1666666666666664E-2</v>
      </c>
    </row>
    <row r="736" spans="3:10">
      <c r="C736" s="202" t="s">
        <v>291</v>
      </c>
      <c r="D736" s="189">
        <f>D739</f>
        <v>656</v>
      </c>
      <c r="E736" s="189">
        <f t="shared" si="82"/>
        <v>0</v>
      </c>
      <c r="F736" s="189"/>
      <c r="G736" s="189">
        <f t="shared" si="81"/>
        <v>656</v>
      </c>
      <c r="H736" s="189">
        <v>660</v>
      </c>
      <c r="I736" s="184">
        <f t="shared" si="80"/>
        <v>4</v>
      </c>
      <c r="J736" s="632">
        <f>I736/G736</f>
        <v>6.0975609756097563E-3</v>
      </c>
    </row>
    <row r="737" spans="1:10">
      <c r="C737" s="235" t="s">
        <v>348</v>
      </c>
      <c r="D737" s="189"/>
      <c r="E737" s="179"/>
      <c r="F737" s="179"/>
      <c r="G737" s="189">
        <f t="shared" si="81"/>
        <v>0</v>
      </c>
      <c r="H737" s="189">
        <v>0</v>
      </c>
      <c r="I737" s="184">
        <f t="shared" si="80"/>
        <v>0</v>
      </c>
      <c r="J737" s="632"/>
    </row>
    <row r="738" spans="1:10">
      <c r="C738" s="236" t="s">
        <v>574</v>
      </c>
      <c r="D738" s="187">
        <v>9600</v>
      </c>
      <c r="E738" s="179"/>
      <c r="F738" s="179"/>
      <c r="G738" s="187">
        <f t="shared" si="81"/>
        <v>9600</v>
      </c>
      <c r="H738" s="187">
        <v>10000</v>
      </c>
      <c r="I738" s="661">
        <f t="shared" si="80"/>
        <v>400</v>
      </c>
      <c r="J738" s="637">
        <f>I738/G738</f>
        <v>4.1666666666666664E-2</v>
      </c>
    </row>
    <row r="739" spans="1:10">
      <c r="C739" s="208" t="s">
        <v>291</v>
      </c>
      <c r="D739" s="189">
        <v>656</v>
      </c>
      <c r="E739" s="179"/>
      <c r="F739" s="179"/>
      <c r="G739" s="189">
        <f t="shared" si="81"/>
        <v>656</v>
      </c>
      <c r="H739" s="189">
        <v>660</v>
      </c>
      <c r="I739" s="184">
        <f t="shared" si="80"/>
        <v>4</v>
      </c>
      <c r="J739" s="632">
        <f>I739/G739</f>
        <v>6.0975609756097563E-3</v>
      </c>
    </row>
    <row r="740" spans="1:10">
      <c r="C740" s="264"/>
      <c r="D740" s="189"/>
      <c r="E740" s="179"/>
      <c r="F740" s="179"/>
      <c r="G740" s="189">
        <f t="shared" si="81"/>
        <v>0</v>
      </c>
      <c r="H740" s="189">
        <v>0</v>
      </c>
      <c r="I740" s="184">
        <f t="shared" si="80"/>
        <v>0</v>
      </c>
      <c r="J740" s="632"/>
    </row>
    <row r="741" spans="1:10" ht="15">
      <c r="A741" s="169" t="s">
        <v>538</v>
      </c>
      <c r="B741" s="169" t="s">
        <v>14</v>
      </c>
      <c r="C741" s="251" t="s">
        <v>539</v>
      </c>
      <c r="D741" s="176">
        <f>D742</f>
        <v>738690</v>
      </c>
      <c r="E741" s="176">
        <f t="shared" ref="E741:F741" si="83">E742</f>
        <v>0</v>
      </c>
      <c r="F741" s="176">
        <f t="shared" si="83"/>
        <v>44415</v>
      </c>
      <c r="G741" s="176">
        <f t="shared" si="81"/>
        <v>783105</v>
      </c>
      <c r="H741" s="176">
        <v>719860</v>
      </c>
      <c r="I741" s="659">
        <f t="shared" si="80"/>
        <v>-63245</v>
      </c>
      <c r="J741" s="660">
        <f>I741/G741</f>
        <v>-8.0761839089266443E-2</v>
      </c>
    </row>
    <row r="742" spans="1:10">
      <c r="C742" s="338" t="s">
        <v>575</v>
      </c>
      <c r="D742" s="176">
        <f>D745</f>
        <v>738690</v>
      </c>
      <c r="E742" s="176">
        <f t="shared" ref="E742:E743" si="84">E745</f>
        <v>0</v>
      </c>
      <c r="F742" s="176">
        <f>F745</f>
        <v>44415</v>
      </c>
      <c r="G742" s="176">
        <f t="shared" si="81"/>
        <v>783105</v>
      </c>
      <c r="H742" s="176">
        <v>719860</v>
      </c>
      <c r="I742" s="659">
        <f t="shared" si="80"/>
        <v>-63245</v>
      </c>
      <c r="J742" s="660">
        <f>I742/G742</f>
        <v>-8.0761839089266443E-2</v>
      </c>
    </row>
    <row r="743" spans="1:10">
      <c r="C743" s="202" t="s">
        <v>291</v>
      </c>
      <c r="D743" s="189">
        <f>D746</f>
        <v>266364</v>
      </c>
      <c r="E743" s="189">
        <f t="shared" si="84"/>
        <v>0</v>
      </c>
      <c r="F743" s="189">
        <f>F746</f>
        <v>0</v>
      </c>
      <c r="G743" s="189">
        <f t="shared" si="81"/>
        <v>266364</v>
      </c>
      <c r="H743" s="189">
        <v>272734</v>
      </c>
      <c r="I743" s="184">
        <f t="shared" si="80"/>
        <v>6370</v>
      </c>
      <c r="J743" s="632">
        <f>I743/G743</f>
        <v>2.3914643119941133E-2</v>
      </c>
    </row>
    <row r="744" spans="1:10">
      <c r="C744" s="235" t="s">
        <v>348</v>
      </c>
      <c r="D744" s="189"/>
      <c r="E744" s="179"/>
      <c r="F744" s="179"/>
      <c r="G744" s="189">
        <f t="shared" si="81"/>
        <v>0</v>
      </c>
      <c r="H744" s="189">
        <v>0</v>
      </c>
      <c r="I744" s="184">
        <f t="shared" si="80"/>
        <v>0</v>
      </c>
      <c r="J744" s="632"/>
    </row>
    <row r="745" spans="1:10">
      <c r="C745" s="236" t="s">
        <v>576</v>
      </c>
      <c r="D745" s="187">
        <v>738690</v>
      </c>
      <c r="E745" s="179"/>
      <c r="F745" s="179">
        <v>44415</v>
      </c>
      <c r="G745" s="187">
        <v>783105</v>
      </c>
      <c r="H745" s="187">
        <v>719860</v>
      </c>
      <c r="I745" s="661">
        <f t="shared" si="80"/>
        <v>-63245</v>
      </c>
      <c r="J745" s="637">
        <f>I745/G745</f>
        <v>-8.0761839089266443E-2</v>
      </c>
    </row>
    <row r="746" spans="1:10">
      <c r="C746" s="208" t="s">
        <v>291</v>
      </c>
      <c r="D746" s="189">
        <v>266364</v>
      </c>
      <c r="E746" s="278"/>
      <c r="F746" s="278">
        <v>0</v>
      </c>
      <c r="G746" s="189">
        <v>266364</v>
      </c>
      <c r="H746" s="189">
        <v>272734</v>
      </c>
      <c r="I746" s="184">
        <f t="shared" si="80"/>
        <v>6370</v>
      </c>
      <c r="J746" s="632">
        <f>I746/G746</f>
        <v>2.3914643119941133E-2</v>
      </c>
    </row>
    <row r="747" spans="1:10">
      <c r="C747" s="287" t="s">
        <v>577</v>
      </c>
      <c r="D747" s="189">
        <v>206855</v>
      </c>
      <c r="E747" s="278"/>
      <c r="F747" s="278"/>
      <c r="G747" s="189">
        <v>206855</v>
      </c>
      <c r="H747" s="189">
        <v>191000</v>
      </c>
      <c r="I747" s="184">
        <f t="shared" si="80"/>
        <v>-15855</v>
      </c>
      <c r="J747" s="632">
        <f>I747/G747</f>
        <v>-7.6647893451934929E-2</v>
      </c>
    </row>
    <row r="748" spans="1:10">
      <c r="C748" s="264"/>
      <c r="D748" s="189"/>
      <c r="E748" s="179"/>
      <c r="F748" s="179"/>
      <c r="G748" s="189">
        <f t="shared" si="81"/>
        <v>0</v>
      </c>
      <c r="H748" s="189">
        <v>0</v>
      </c>
      <c r="I748" s="184">
        <f t="shared" si="80"/>
        <v>0</v>
      </c>
      <c r="J748" s="632"/>
    </row>
    <row r="749" spans="1:10">
      <c r="C749" s="219" t="s">
        <v>351</v>
      </c>
      <c r="D749" s="176">
        <f>D751+D754+D759+D762+D764+D766+D768+D770+D772++D774+D776+D778</f>
        <v>7173068</v>
      </c>
      <c r="E749" s="176">
        <f>E751+E754+E759+E762+E764+E766+E768+E770+E772++E774+E776+E778+E780+E784</f>
        <v>44300</v>
      </c>
      <c r="F749" s="176">
        <f>F751+F754+F759+F762+F764+F766+F768+F770+F772++F774+F776+F778+F780+F784+F787</f>
        <v>72798</v>
      </c>
      <c r="G749" s="176">
        <f t="shared" si="81"/>
        <v>7290166</v>
      </c>
      <c r="H749" s="176">
        <v>7000000</v>
      </c>
      <c r="I749" s="659">
        <f t="shared" si="80"/>
        <v>-290166</v>
      </c>
      <c r="J749" s="660">
        <f>I749/G749</f>
        <v>-3.9802385844163221E-2</v>
      </c>
    </row>
    <row r="750" spans="1:10">
      <c r="C750" s="339"/>
      <c r="D750" s="176"/>
      <c r="E750" s="179"/>
      <c r="F750" s="179"/>
      <c r="G750" s="176">
        <f t="shared" si="81"/>
        <v>0</v>
      </c>
      <c r="H750" s="176">
        <v>0</v>
      </c>
      <c r="I750" s="659">
        <f t="shared" si="80"/>
        <v>0</v>
      </c>
      <c r="J750" s="660"/>
    </row>
    <row r="751" spans="1:10">
      <c r="A751" s="169" t="s">
        <v>559</v>
      </c>
      <c r="B751" s="169" t="s">
        <v>14</v>
      </c>
      <c r="C751" s="206" t="s">
        <v>578</v>
      </c>
      <c r="D751" s="185">
        <f>1877410+12781+7827</f>
        <v>1898018</v>
      </c>
      <c r="E751" s="179"/>
      <c r="F751" s="179">
        <v>-12</v>
      </c>
      <c r="G751" s="185">
        <f t="shared" si="81"/>
        <v>1898006</v>
      </c>
      <c r="H751" s="185">
        <v>1971550</v>
      </c>
      <c r="I751" s="268">
        <f t="shared" si="80"/>
        <v>73544</v>
      </c>
      <c r="J751" s="634">
        <f>I751/G751</f>
        <v>3.8748033462486418E-2</v>
      </c>
    </row>
    <row r="752" spans="1:10">
      <c r="C752" s="196" t="s">
        <v>291</v>
      </c>
      <c r="D752" s="189">
        <f>1249384+9552+5850</f>
        <v>1264786</v>
      </c>
      <c r="E752" s="230"/>
      <c r="F752" s="230">
        <v>-9</v>
      </c>
      <c r="G752" s="189">
        <f t="shared" si="81"/>
        <v>1264777</v>
      </c>
      <c r="H752" s="189">
        <v>1317359</v>
      </c>
      <c r="I752" s="184">
        <f t="shared" si="80"/>
        <v>52582</v>
      </c>
      <c r="J752" s="632">
        <f>I752/G752</f>
        <v>4.1574127296748753E-2</v>
      </c>
    </row>
    <row r="753" spans="1:10">
      <c r="C753" s="196"/>
      <c r="D753" s="189"/>
      <c r="E753" s="179"/>
      <c r="F753" s="179"/>
      <c r="G753" s="189">
        <f t="shared" si="81"/>
        <v>0</v>
      </c>
      <c r="H753" s="189">
        <v>0</v>
      </c>
      <c r="I753" s="184">
        <f t="shared" si="80"/>
        <v>0</v>
      </c>
      <c r="J753" s="632"/>
    </row>
    <row r="754" spans="1:10">
      <c r="A754" s="169" t="s">
        <v>559</v>
      </c>
      <c r="B754" s="169" t="s">
        <v>14</v>
      </c>
      <c r="C754" s="195" t="s">
        <v>579</v>
      </c>
      <c r="D754" s="185">
        <f>D755+D756+D757</f>
        <v>269100</v>
      </c>
      <c r="E754" s="185">
        <f t="shared" ref="E754:F754" si="85">E755+E756+E757</f>
        <v>0</v>
      </c>
      <c r="F754" s="185">
        <f t="shared" si="85"/>
        <v>25000</v>
      </c>
      <c r="G754" s="185">
        <f t="shared" si="81"/>
        <v>294100</v>
      </c>
      <c r="H754" s="185">
        <v>284000</v>
      </c>
      <c r="I754" s="268">
        <f t="shared" si="80"/>
        <v>-10100</v>
      </c>
      <c r="J754" s="634">
        <f>I754/G754</f>
        <v>-3.4342060523631417E-2</v>
      </c>
    </row>
    <row r="755" spans="1:10">
      <c r="C755" s="340" t="s">
        <v>580</v>
      </c>
      <c r="D755" s="268">
        <v>145520</v>
      </c>
      <c r="E755" s="293"/>
      <c r="F755" s="293">
        <v>50000</v>
      </c>
      <c r="G755" s="268">
        <f t="shared" si="81"/>
        <v>195520</v>
      </c>
      <c r="H755" s="268">
        <v>185000</v>
      </c>
      <c r="I755" s="268">
        <f t="shared" si="80"/>
        <v>-10520</v>
      </c>
      <c r="J755" s="634">
        <f>I755/G755</f>
        <v>-5.3805237315875616E-2</v>
      </c>
    </row>
    <row r="756" spans="1:10">
      <c r="C756" s="340" t="s">
        <v>581</v>
      </c>
      <c r="D756" s="268">
        <v>44670</v>
      </c>
      <c r="E756" s="293"/>
      <c r="F756" s="293">
        <v>-25000</v>
      </c>
      <c r="G756" s="268">
        <f t="shared" si="81"/>
        <v>19670</v>
      </c>
      <c r="H756" s="268">
        <v>20000</v>
      </c>
      <c r="I756" s="268">
        <f t="shared" si="80"/>
        <v>330</v>
      </c>
      <c r="J756" s="634">
        <f>I756/G756</f>
        <v>1.677681748856126E-2</v>
      </c>
    </row>
    <row r="757" spans="1:10">
      <c r="C757" s="340" t="s">
        <v>582</v>
      </c>
      <c r="D757" s="268">
        <v>78910</v>
      </c>
      <c r="E757" s="293"/>
      <c r="F757" s="293"/>
      <c r="G757" s="268">
        <f t="shared" si="81"/>
        <v>78910</v>
      </c>
      <c r="H757" s="268">
        <v>79000</v>
      </c>
      <c r="I757" s="268">
        <f t="shared" si="80"/>
        <v>90</v>
      </c>
      <c r="J757" s="634">
        <f>I757/G757</f>
        <v>1.1405398555316183E-3</v>
      </c>
    </row>
    <row r="758" spans="1:10">
      <c r="C758" s="340"/>
      <c r="D758" s="268"/>
      <c r="E758" s="179"/>
      <c r="F758" s="179"/>
      <c r="G758" s="268">
        <f t="shared" si="81"/>
        <v>0</v>
      </c>
      <c r="H758" s="268">
        <v>0</v>
      </c>
      <c r="I758" s="268">
        <f t="shared" si="80"/>
        <v>0</v>
      </c>
      <c r="J758" s="634"/>
    </row>
    <row r="759" spans="1:10">
      <c r="A759" s="169" t="s">
        <v>461</v>
      </c>
      <c r="B759" s="169" t="s">
        <v>14</v>
      </c>
      <c r="C759" s="206" t="s">
        <v>583</v>
      </c>
      <c r="D759" s="185">
        <v>300000</v>
      </c>
      <c r="E759" s="179"/>
      <c r="F759" s="179">
        <v>12000</v>
      </c>
      <c r="G759" s="185">
        <f t="shared" si="81"/>
        <v>312000</v>
      </c>
      <c r="H759" s="185">
        <v>300000</v>
      </c>
      <c r="I759" s="268">
        <f t="shared" si="80"/>
        <v>-12000</v>
      </c>
      <c r="J759" s="634">
        <f>I759/G759</f>
        <v>-3.8461538461538464E-2</v>
      </c>
    </row>
    <row r="760" spans="1:10">
      <c r="C760" s="196" t="s">
        <v>291</v>
      </c>
      <c r="D760" s="189">
        <v>198055</v>
      </c>
      <c r="E760" s="230"/>
      <c r="F760" s="230">
        <v>9000</v>
      </c>
      <c r="G760" s="189">
        <f t="shared" si="81"/>
        <v>207055</v>
      </c>
      <c r="H760" s="189">
        <v>196550</v>
      </c>
      <c r="I760" s="184">
        <f t="shared" si="80"/>
        <v>-10505</v>
      </c>
      <c r="J760" s="632">
        <f>I760/G760</f>
        <v>-5.0735311873656756E-2</v>
      </c>
    </row>
    <row r="761" spans="1:10">
      <c r="C761" s="196"/>
      <c r="D761" s="189"/>
      <c r="E761" s="179"/>
      <c r="F761" s="179"/>
      <c r="G761" s="189">
        <f t="shared" si="81"/>
        <v>0</v>
      </c>
      <c r="H761" s="189">
        <v>0</v>
      </c>
      <c r="I761" s="184">
        <f t="shared" si="80"/>
        <v>0</v>
      </c>
      <c r="J761" s="632"/>
    </row>
    <row r="762" spans="1:10">
      <c r="A762" s="169" t="s">
        <v>559</v>
      </c>
      <c r="B762" s="169" t="s">
        <v>14</v>
      </c>
      <c r="C762" s="195" t="s">
        <v>584</v>
      </c>
      <c r="D762" s="185">
        <v>562380</v>
      </c>
      <c r="E762" s="179"/>
      <c r="F762" s="237">
        <v>25000</v>
      </c>
      <c r="G762" s="185">
        <f t="shared" si="81"/>
        <v>587380</v>
      </c>
      <c r="H762" s="185">
        <v>562380</v>
      </c>
      <c r="I762" s="268">
        <f t="shared" si="80"/>
        <v>-25000</v>
      </c>
      <c r="J762" s="634">
        <f>I762/G762</f>
        <v>-4.2561884980762028E-2</v>
      </c>
    </row>
    <row r="763" spans="1:10">
      <c r="C763" s="341"/>
      <c r="D763" s="185"/>
      <c r="E763" s="179"/>
      <c r="F763" s="179"/>
      <c r="G763" s="185">
        <f t="shared" si="81"/>
        <v>0</v>
      </c>
      <c r="H763" s="185">
        <v>0</v>
      </c>
      <c r="I763" s="268">
        <f t="shared" si="80"/>
        <v>0</v>
      </c>
      <c r="J763" s="634"/>
    </row>
    <row r="764" spans="1:10">
      <c r="A764" s="169" t="s">
        <v>295</v>
      </c>
      <c r="B764" s="169" t="s">
        <v>14</v>
      </c>
      <c r="C764" s="206" t="s">
        <v>585</v>
      </c>
      <c r="D764" s="185">
        <v>190000</v>
      </c>
      <c r="E764" s="179"/>
      <c r="F764" s="179"/>
      <c r="G764" s="185">
        <f t="shared" si="81"/>
        <v>190000</v>
      </c>
      <c r="H764" s="185">
        <v>190000</v>
      </c>
      <c r="I764" s="268">
        <f t="shared" si="80"/>
        <v>0</v>
      </c>
      <c r="J764" s="634">
        <f>I764/G764</f>
        <v>0</v>
      </c>
    </row>
    <row r="765" spans="1:10">
      <c r="C765" s="206"/>
      <c r="D765" s="185"/>
      <c r="E765" s="179"/>
      <c r="F765" s="179"/>
      <c r="G765" s="185">
        <f t="shared" si="81"/>
        <v>0</v>
      </c>
      <c r="H765" s="185">
        <v>0</v>
      </c>
      <c r="I765" s="268">
        <f t="shared" si="80"/>
        <v>0</v>
      </c>
      <c r="J765" s="634"/>
    </row>
    <row r="766" spans="1:10">
      <c r="A766" s="169" t="s">
        <v>295</v>
      </c>
      <c r="B766" s="169" t="s">
        <v>14</v>
      </c>
      <c r="C766" s="206" t="s">
        <v>586</v>
      </c>
      <c r="D766" s="185">
        <f>3380000+165000</f>
        <v>3545000</v>
      </c>
      <c r="E766" s="179">
        <v>18500</v>
      </c>
      <c r="F766" s="179"/>
      <c r="G766" s="185">
        <f t="shared" si="81"/>
        <v>3563500</v>
      </c>
      <c r="H766" s="185">
        <v>3563500</v>
      </c>
      <c r="I766" s="268">
        <f t="shared" ref="I766:I829" si="86">H766-G766</f>
        <v>0</v>
      </c>
      <c r="J766" s="634">
        <f>I766/G766</f>
        <v>0</v>
      </c>
    </row>
    <row r="767" spans="1:10">
      <c r="C767" s="194"/>
      <c r="D767" s="185"/>
      <c r="E767" s="179"/>
      <c r="F767" s="179"/>
      <c r="G767" s="185">
        <f t="shared" ref="G767:G829" si="87">SUM(D767:F767)</f>
        <v>0</v>
      </c>
      <c r="H767" s="185">
        <v>0</v>
      </c>
      <c r="I767" s="268">
        <f t="shared" si="86"/>
        <v>0</v>
      </c>
      <c r="J767" s="634"/>
    </row>
    <row r="768" spans="1:10">
      <c r="A768" s="169" t="s">
        <v>559</v>
      </c>
      <c r="B768" s="169" t="s">
        <v>14</v>
      </c>
      <c r="C768" s="195" t="s">
        <v>587</v>
      </c>
      <c r="D768" s="185">
        <v>20570</v>
      </c>
      <c r="E768" s="179"/>
      <c r="F768" s="179"/>
      <c r="G768" s="185">
        <f t="shared" si="87"/>
        <v>20570</v>
      </c>
      <c r="H768" s="185">
        <v>20570</v>
      </c>
      <c r="I768" s="268">
        <f t="shared" si="86"/>
        <v>0</v>
      </c>
      <c r="J768" s="634">
        <f>I768/G768</f>
        <v>0</v>
      </c>
    </row>
    <row r="769" spans="1:10">
      <c r="C769" s="195"/>
      <c r="D769" s="185"/>
      <c r="E769" s="179"/>
      <c r="F769" s="179"/>
      <c r="G769" s="185">
        <f t="shared" si="87"/>
        <v>0</v>
      </c>
      <c r="H769" s="185">
        <v>0</v>
      </c>
      <c r="I769" s="268">
        <f t="shared" si="86"/>
        <v>0</v>
      </c>
      <c r="J769" s="634"/>
    </row>
    <row r="770" spans="1:10">
      <c r="A770" s="169" t="s">
        <v>559</v>
      </c>
      <c r="B770" s="169" t="s">
        <v>14</v>
      </c>
      <c r="C770" s="195" t="s">
        <v>588</v>
      </c>
      <c r="D770" s="342">
        <v>18000</v>
      </c>
      <c r="E770" s="179"/>
      <c r="F770" s="179"/>
      <c r="G770" s="342">
        <f t="shared" si="87"/>
        <v>18000</v>
      </c>
      <c r="H770" s="342">
        <v>18000</v>
      </c>
      <c r="I770" s="698">
        <f t="shared" si="86"/>
        <v>0</v>
      </c>
      <c r="J770" s="637">
        <f>I770/G770</f>
        <v>0</v>
      </c>
    </row>
    <row r="771" spans="1:10">
      <c r="C771" s="195"/>
      <c r="D771" s="185"/>
      <c r="E771" s="179"/>
      <c r="F771" s="179"/>
      <c r="G771" s="185">
        <f t="shared" si="87"/>
        <v>0</v>
      </c>
      <c r="H771" s="185">
        <v>0</v>
      </c>
      <c r="I771" s="268">
        <f t="shared" si="86"/>
        <v>0</v>
      </c>
      <c r="J771" s="634"/>
    </row>
    <row r="772" spans="1:10">
      <c r="A772" s="169" t="s">
        <v>559</v>
      </c>
      <c r="B772" s="169" t="s">
        <v>14</v>
      </c>
      <c r="C772" s="195" t="s">
        <v>589</v>
      </c>
      <c r="D772" s="342">
        <f>25000-5000</f>
        <v>20000</v>
      </c>
      <c r="E772" s="179"/>
      <c r="F772" s="179"/>
      <c r="G772" s="342">
        <f t="shared" si="87"/>
        <v>20000</v>
      </c>
      <c r="H772" s="342">
        <v>70000</v>
      </c>
      <c r="I772" s="698">
        <f t="shared" si="86"/>
        <v>50000</v>
      </c>
      <c r="J772" s="637">
        <f>I772/G772</f>
        <v>2.5</v>
      </c>
    </row>
    <row r="773" spans="1:10">
      <c r="C773" s="195"/>
      <c r="D773" s="342"/>
      <c r="E773" s="179"/>
      <c r="F773" s="179"/>
      <c r="G773" s="342">
        <f t="shared" si="87"/>
        <v>0</v>
      </c>
      <c r="H773" s="342">
        <v>0</v>
      </c>
      <c r="I773" s="698">
        <f t="shared" si="86"/>
        <v>0</v>
      </c>
      <c r="J773" s="637"/>
    </row>
    <row r="774" spans="1:10">
      <c r="A774" s="169" t="s">
        <v>559</v>
      </c>
      <c r="B774" s="169" t="s">
        <v>14</v>
      </c>
      <c r="C774" s="195" t="s">
        <v>590</v>
      </c>
      <c r="D774" s="342">
        <f>40000</f>
        <v>40000</v>
      </c>
      <c r="E774" s="179"/>
      <c r="F774" s="179"/>
      <c r="G774" s="342">
        <f t="shared" si="87"/>
        <v>40000</v>
      </c>
      <c r="H774" s="342">
        <v>0</v>
      </c>
      <c r="I774" s="698">
        <f t="shared" si="86"/>
        <v>-40000</v>
      </c>
      <c r="J774" s="637">
        <f>I774/G774</f>
        <v>-1</v>
      </c>
    </row>
    <row r="775" spans="1:10">
      <c r="C775" s="195"/>
      <c r="D775" s="342"/>
      <c r="E775" s="179"/>
      <c r="F775" s="179"/>
      <c r="G775" s="342">
        <f t="shared" si="87"/>
        <v>0</v>
      </c>
      <c r="H775" s="342">
        <v>0</v>
      </c>
      <c r="I775" s="698">
        <f t="shared" si="86"/>
        <v>0</v>
      </c>
      <c r="J775" s="637"/>
    </row>
    <row r="776" spans="1:10">
      <c r="A776" s="169" t="s">
        <v>300</v>
      </c>
      <c r="B776" s="169" t="s">
        <v>14</v>
      </c>
      <c r="C776" s="195" t="s">
        <v>591</v>
      </c>
      <c r="D776" s="342">
        <v>10000</v>
      </c>
      <c r="E776" s="179"/>
      <c r="F776" s="179"/>
      <c r="G776" s="342">
        <f t="shared" si="87"/>
        <v>10000</v>
      </c>
      <c r="H776" s="342">
        <v>10000</v>
      </c>
      <c r="I776" s="698">
        <f t="shared" si="86"/>
        <v>0</v>
      </c>
      <c r="J776" s="637">
        <f>I776/G776</f>
        <v>0</v>
      </c>
    </row>
    <row r="777" spans="1:10">
      <c r="C777" s="195"/>
      <c r="D777" s="342"/>
      <c r="E777" s="179"/>
      <c r="F777" s="179"/>
      <c r="G777" s="342">
        <f t="shared" si="87"/>
        <v>0</v>
      </c>
      <c r="H777" s="342">
        <v>0</v>
      </c>
      <c r="I777" s="698">
        <f t="shared" si="86"/>
        <v>0</v>
      </c>
      <c r="J777" s="637"/>
    </row>
    <row r="778" spans="1:10">
      <c r="A778" s="169" t="s">
        <v>592</v>
      </c>
      <c r="B778" s="169" t="s">
        <v>14</v>
      </c>
      <c r="C778" s="195" t="s">
        <v>593</v>
      </c>
      <c r="D778" s="342">
        <v>300000</v>
      </c>
      <c r="E778" s="179">
        <v>-300000</v>
      </c>
      <c r="F778" s="179"/>
      <c r="G778" s="342">
        <f t="shared" si="87"/>
        <v>0</v>
      </c>
      <c r="H778" s="342">
        <v>0</v>
      </c>
      <c r="I778" s="698">
        <f t="shared" si="86"/>
        <v>0</v>
      </c>
      <c r="J778" s="637"/>
    </row>
    <row r="779" spans="1:10">
      <c r="C779" s="195"/>
      <c r="D779" s="342"/>
      <c r="E779" s="179"/>
      <c r="F779" s="179"/>
      <c r="G779" s="342">
        <f t="shared" si="87"/>
        <v>0</v>
      </c>
      <c r="H779" s="342">
        <v>0</v>
      </c>
      <c r="I779" s="698">
        <f t="shared" si="86"/>
        <v>0</v>
      </c>
      <c r="J779" s="637"/>
    </row>
    <row r="780" spans="1:10">
      <c r="A780" s="169" t="s">
        <v>592</v>
      </c>
      <c r="B780" s="169" t="s">
        <v>14</v>
      </c>
      <c r="C780" s="195" t="s">
        <v>594</v>
      </c>
      <c r="D780" s="342"/>
      <c r="E780" s="179">
        <v>300000</v>
      </c>
      <c r="F780" s="179"/>
      <c r="G780" s="342">
        <f t="shared" si="87"/>
        <v>300000</v>
      </c>
      <c r="H780" s="342">
        <v>0</v>
      </c>
      <c r="I780" s="698">
        <f t="shared" si="86"/>
        <v>-300000</v>
      </c>
      <c r="J780" s="637">
        <f>I780/G780</f>
        <v>-1</v>
      </c>
    </row>
    <row r="781" spans="1:10">
      <c r="C781" s="195"/>
      <c r="D781" s="342"/>
      <c r="E781" s="179"/>
      <c r="F781" s="179"/>
      <c r="G781" s="342">
        <f t="shared" si="87"/>
        <v>0</v>
      </c>
      <c r="H781" s="342">
        <v>0</v>
      </c>
      <c r="I781" s="698">
        <f t="shared" si="86"/>
        <v>0</v>
      </c>
      <c r="J781" s="637"/>
    </row>
    <row r="782" spans="1:10">
      <c r="A782" s="169" t="s">
        <v>559</v>
      </c>
      <c r="B782" s="169" t="s">
        <v>14</v>
      </c>
      <c r="C782" s="195" t="s">
        <v>874</v>
      </c>
      <c r="D782" s="342"/>
      <c r="E782" s="179"/>
      <c r="F782" s="179"/>
      <c r="G782" s="342">
        <f t="shared" si="87"/>
        <v>0</v>
      </c>
      <c r="H782" s="342">
        <v>10000</v>
      </c>
      <c r="I782" s="698">
        <f t="shared" si="86"/>
        <v>10000</v>
      </c>
      <c r="J782" s="637"/>
    </row>
    <row r="783" spans="1:10">
      <c r="C783" s="195"/>
      <c r="D783" s="342"/>
      <c r="E783" s="179"/>
      <c r="F783" s="179"/>
      <c r="G783" s="342">
        <f t="shared" si="87"/>
        <v>0</v>
      </c>
      <c r="H783" s="342">
        <v>0</v>
      </c>
      <c r="I783" s="698">
        <f t="shared" si="86"/>
        <v>0</v>
      </c>
      <c r="J783" s="637"/>
    </row>
    <row r="784" spans="1:10" ht="25.5">
      <c r="A784" s="169" t="s">
        <v>559</v>
      </c>
      <c r="B784" s="169" t="s">
        <v>14</v>
      </c>
      <c r="C784" s="200" t="s">
        <v>595</v>
      </c>
      <c r="D784" s="342"/>
      <c r="E784" s="237">
        <v>25800</v>
      </c>
      <c r="F784" s="237"/>
      <c r="G784" s="342">
        <f t="shared" si="87"/>
        <v>25800</v>
      </c>
      <c r="H784" s="342">
        <v>0</v>
      </c>
      <c r="I784" s="698">
        <f t="shared" si="86"/>
        <v>-25800</v>
      </c>
      <c r="J784" s="637">
        <f>I784/G784</f>
        <v>-1</v>
      </c>
    </row>
    <row r="785" spans="1:10">
      <c r="C785" s="217" t="s">
        <v>337</v>
      </c>
      <c r="D785" s="342"/>
      <c r="E785" s="179">
        <v>21930</v>
      </c>
      <c r="G785" s="342">
        <f t="shared" si="87"/>
        <v>21930</v>
      </c>
      <c r="H785" s="342">
        <v>0</v>
      </c>
      <c r="I785" s="698">
        <f t="shared" si="86"/>
        <v>-21930</v>
      </c>
      <c r="J785" s="637"/>
    </row>
    <row r="786" spans="1:10">
      <c r="C786" s="217"/>
      <c r="D786" s="342"/>
      <c r="E786" s="179"/>
      <c r="G786" s="342">
        <f t="shared" si="87"/>
        <v>0</v>
      </c>
      <c r="H786" s="342">
        <v>0</v>
      </c>
      <c r="I786" s="698">
        <f t="shared" si="86"/>
        <v>0</v>
      </c>
      <c r="J786" s="637"/>
    </row>
    <row r="787" spans="1:10" ht="25.5">
      <c r="A787" s="169" t="s">
        <v>559</v>
      </c>
      <c r="B787" s="169" t="s">
        <v>14</v>
      </c>
      <c r="C787" s="200" t="s">
        <v>1002</v>
      </c>
      <c r="D787" s="342"/>
      <c r="E787" s="179"/>
      <c r="F787" s="237">
        <v>10810</v>
      </c>
      <c r="G787" s="342">
        <f t="shared" si="87"/>
        <v>10810</v>
      </c>
      <c r="H787" s="342">
        <v>0</v>
      </c>
      <c r="I787" s="698">
        <f t="shared" si="86"/>
        <v>-10810</v>
      </c>
      <c r="J787" s="637">
        <f>I787/G787</f>
        <v>-1</v>
      </c>
    </row>
    <row r="788" spans="1:10">
      <c r="C788" s="169"/>
      <c r="D788" s="342"/>
      <c r="E788" s="179"/>
      <c r="F788" s="179"/>
      <c r="G788" s="342">
        <f t="shared" si="87"/>
        <v>0</v>
      </c>
      <c r="H788" s="342">
        <v>0</v>
      </c>
      <c r="I788" s="698">
        <f t="shared" si="86"/>
        <v>0</v>
      </c>
      <c r="J788" s="637"/>
    </row>
    <row r="789" spans="1:10">
      <c r="C789" s="217" t="s">
        <v>337</v>
      </c>
      <c r="D789" s="342"/>
      <c r="F789" s="230">
        <v>6000</v>
      </c>
      <c r="G789" s="342">
        <f t="shared" si="87"/>
        <v>6000</v>
      </c>
      <c r="H789" s="342">
        <v>0</v>
      </c>
      <c r="I789" s="698">
        <f t="shared" si="86"/>
        <v>-6000</v>
      </c>
      <c r="J789" s="637">
        <f>I789/G789</f>
        <v>-1</v>
      </c>
    </row>
    <row r="790" spans="1:10">
      <c r="C790" s="217"/>
      <c r="D790" s="342"/>
      <c r="F790" s="179"/>
      <c r="G790" s="342">
        <f t="shared" si="87"/>
        <v>0</v>
      </c>
      <c r="H790" s="342">
        <v>0</v>
      </c>
      <c r="I790" s="698">
        <f t="shared" si="86"/>
        <v>0</v>
      </c>
      <c r="J790" s="637"/>
    </row>
    <row r="791" spans="1:10">
      <c r="C791" s="195"/>
      <c r="D791" s="342"/>
      <c r="F791" s="179"/>
      <c r="G791" s="342">
        <f t="shared" si="87"/>
        <v>0</v>
      </c>
      <c r="H791" s="342">
        <v>0</v>
      </c>
      <c r="I791" s="698">
        <f t="shared" si="86"/>
        <v>0</v>
      </c>
      <c r="J791" s="637"/>
    </row>
    <row r="792" spans="1:10" ht="15.75">
      <c r="C792" s="225" t="s">
        <v>16</v>
      </c>
      <c r="D792" s="226"/>
      <c r="G792" s="226">
        <f t="shared" si="87"/>
        <v>0</v>
      </c>
      <c r="H792" s="226">
        <v>0</v>
      </c>
      <c r="I792" s="665">
        <f t="shared" si="86"/>
        <v>0</v>
      </c>
      <c r="J792" s="666"/>
    </row>
    <row r="793" spans="1:10">
      <c r="C793" s="219"/>
      <c r="D793" s="226"/>
      <c r="G793" s="226">
        <f t="shared" si="87"/>
        <v>0</v>
      </c>
      <c r="H793" s="226">
        <v>0</v>
      </c>
      <c r="I793" s="665">
        <f t="shared" si="86"/>
        <v>0</v>
      </c>
      <c r="J793" s="666"/>
    </row>
    <row r="794" spans="1:10">
      <c r="C794" s="219" t="s">
        <v>5</v>
      </c>
      <c r="D794" s="226">
        <f>SUM(D801,D817)</f>
        <v>69365092</v>
      </c>
      <c r="E794" s="343">
        <f>SUM(E801,E817)</f>
        <v>536664</v>
      </c>
      <c r="F794" s="343">
        <f>SUM(F801,F817)</f>
        <v>172720</v>
      </c>
      <c r="G794" s="226">
        <f t="shared" si="87"/>
        <v>70074476</v>
      </c>
      <c r="H794" s="343">
        <v>71958187.626249999</v>
      </c>
      <c r="I794" s="699">
        <f t="shared" si="86"/>
        <v>1883711.6262499988</v>
      </c>
      <c r="J794" s="700">
        <f t="shared" ref="J794:J799" si="88">I794/G794</f>
        <v>2.6881565639534699E-2</v>
      </c>
    </row>
    <row r="795" spans="1:10">
      <c r="C795" s="177" t="s">
        <v>285</v>
      </c>
      <c r="D795" s="242">
        <v>1600000</v>
      </c>
      <c r="E795" s="242"/>
      <c r="F795" s="242"/>
      <c r="G795" s="242">
        <f t="shared" si="87"/>
        <v>1600000</v>
      </c>
      <c r="H795" s="242">
        <v>1600000</v>
      </c>
      <c r="I795" s="520">
        <f t="shared" si="86"/>
        <v>0</v>
      </c>
      <c r="J795" s="638">
        <f t="shared" si="88"/>
        <v>0</v>
      </c>
    </row>
    <row r="796" spans="1:10">
      <c r="C796" s="220" t="s">
        <v>286</v>
      </c>
      <c r="D796" s="226">
        <f>SUM(D797:D799)</f>
        <v>69365092</v>
      </c>
      <c r="E796" s="343">
        <f>SUM(E797:E799)</f>
        <v>536664</v>
      </c>
      <c r="F796" s="343">
        <f>SUM(F797:F799)</f>
        <v>172720</v>
      </c>
      <c r="G796" s="226">
        <f t="shared" si="87"/>
        <v>70074476</v>
      </c>
      <c r="H796" s="343">
        <v>71958187.626249999</v>
      </c>
      <c r="I796" s="699">
        <f t="shared" si="86"/>
        <v>1883711.6262499988</v>
      </c>
      <c r="J796" s="700">
        <f t="shared" si="88"/>
        <v>2.6881565639534699E-2</v>
      </c>
    </row>
    <row r="797" spans="1:10">
      <c r="C797" s="221" t="s">
        <v>287</v>
      </c>
      <c r="D797" s="242">
        <v>1267705</v>
      </c>
      <c r="E797" s="242">
        <v>-8053</v>
      </c>
      <c r="F797" s="242">
        <v>-5500</v>
      </c>
      <c r="G797" s="242">
        <f t="shared" si="87"/>
        <v>1254152</v>
      </c>
      <c r="H797" s="242">
        <v>1261705</v>
      </c>
      <c r="I797" s="520">
        <f t="shared" si="86"/>
        <v>7553</v>
      </c>
      <c r="J797" s="638">
        <f t="shared" si="88"/>
        <v>6.0223960094151268E-3</v>
      </c>
    </row>
    <row r="798" spans="1:10">
      <c r="C798" s="222" t="s">
        <v>298</v>
      </c>
      <c r="D798" s="242">
        <v>20000</v>
      </c>
      <c r="E798" s="242">
        <v>36650</v>
      </c>
      <c r="F798" s="242">
        <v>10200</v>
      </c>
      <c r="G798" s="242">
        <f t="shared" si="87"/>
        <v>66850</v>
      </c>
      <c r="H798" s="242">
        <v>474636</v>
      </c>
      <c r="I798" s="520">
        <f t="shared" si="86"/>
        <v>407786</v>
      </c>
      <c r="J798" s="638">
        <f t="shared" si="88"/>
        <v>6.1000149588631265</v>
      </c>
    </row>
    <row r="799" spans="1:10">
      <c r="C799" s="222" t="s">
        <v>288</v>
      </c>
      <c r="D799" s="242">
        <f>D794-D797-D798</f>
        <v>68077387</v>
      </c>
      <c r="E799" s="259">
        <f>E794-E797-E798</f>
        <v>508067</v>
      </c>
      <c r="F799" s="259">
        <f>F794-F797-F798</f>
        <v>168020</v>
      </c>
      <c r="G799" s="242">
        <f t="shared" si="87"/>
        <v>68753474</v>
      </c>
      <c r="H799" s="259">
        <v>70221846.626249999</v>
      </c>
      <c r="I799" s="368">
        <f t="shared" si="86"/>
        <v>1468372.6262499988</v>
      </c>
      <c r="J799" s="649">
        <f t="shared" si="88"/>
        <v>2.1357068098842524E-2</v>
      </c>
    </row>
    <row r="800" spans="1:10">
      <c r="C800" s="227"/>
      <c r="D800" s="242"/>
      <c r="E800" s="259"/>
      <c r="F800" s="259"/>
      <c r="G800" s="242">
        <f t="shared" si="87"/>
        <v>0</v>
      </c>
      <c r="H800" s="259">
        <v>0</v>
      </c>
      <c r="I800" s="368">
        <f t="shared" si="86"/>
        <v>0</v>
      </c>
      <c r="J800" s="649"/>
    </row>
    <row r="801" spans="1:10" ht="15">
      <c r="A801" s="169" t="s">
        <v>596</v>
      </c>
      <c r="B801" s="169" t="s">
        <v>16</v>
      </c>
      <c r="C801" s="251" t="s">
        <v>597</v>
      </c>
      <c r="D801" s="229">
        <f>SUM(D802,D811,D815)</f>
        <v>67188709</v>
      </c>
      <c r="E801" s="344">
        <f>SUM(E802,E811,E815)</f>
        <v>491947</v>
      </c>
      <c r="F801" s="344">
        <f>SUM(F802,F811,F815)</f>
        <v>135800</v>
      </c>
      <c r="G801" s="229">
        <f t="shared" si="87"/>
        <v>67816456</v>
      </c>
      <c r="H801" s="344">
        <v>69149670</v>
      </c>
      <c r="I801" s="699">
        <f t="shared" si="86"/>
        <v>1333214</v>
      </c>
      <c r="J801" s="700">
        <f>I801/G801</f>
        <v>1.9659151755143323E-2</v>
      </c>
    </row>
    <row r="802" spans="1:10">
      <c r="C802" s="223" t="s">
        <v>598</v>
      </c>
      <c r="D802" s="226">
        <f>SUM(D804,D807,D809)</f>
        <v>64263409</v>
      </c>
      <c r="E802" s="343">
        <f>SUM(E804,E807,E809)</f>
        <v>500000</v>
      </c>
      <c r="F802" s="343">
        <f>SUM(F804,F807,F809)</f>
        <v>135800</v>
      </c>
      <c r="G802" s="226">
        <f t="shared" si="87"/>
        <v>64899209</v>
      </c>
      <c r="H802" s="343">
        <v>66124370</v>
      </c>
      <c r="I802" s="699">
        <f t="shared" si="86"/>
        <v>1225161</v>
      </c>
      <c r="J802" s="700">
        <f>I802/G802</f>
        <v>1.8877903427143464E-2</v>
      </c>
    </row>
    <row r="803" spans="1:10">
      <c r="C803" s="235" t="s">
        <v>348</v>
      </c>
      <c r="D803" s="242"/>
      <c r="E803" s="259"/>
      <c r="F803" s="259"/>
      <c r="G803" s="242">
        <f t="shared" si="87"/>
        <v>0</v>
      </c>
      <c r="H803" s="259">
        <v>0</v>
      </c>
      <c r="I803" s="368">
        <f t="shared" si="86"/>
        <v>0</v>
      </c>
      <c r="J803" s="649"/>
    </row>
    <row r="804" spans="1:10">
      <c r="C804" s="236" t="s">
        <v>901</v>
      </c>
      <c r="D804" s="187">
        <v>62881732</v>
      </c>
      <c r="E804" s="345">
        <v>500000</v>
      </c>
      <c r="F804" s="345">
        <v>163000</v>
      </c>
      <c r="G804" s="187">
        <f t="shared" si="87"/>
        <v>63544732</v>
      </c>
      <c r="H804" s="345">
        <v>64764370</v>
      </c>
      <c r="I804" s="701">
        <f t="shared" si="86"/>
        <v>1219638</v>
      </c>
      <c r="J804" s="702">
        <f>I804/G804</f>
        <v>1.9193377037139758E-2</v>
      </c>
    </row>
    <row r="805" spans="1:10">
      <c r="C805" s="236"/>
      <c r="D805" s="187"/>
      <c r="E805" s="345"/>
      <c r="F805" s="345"/>
      <c r="G805" s="187">
        <f t="shared" si="87"/>
        <v>0</v>
      </c>
      <c r="H805" s="345">
        <v>0</v>
      </c>
      <c r="I805" s="701">
        <f t="shared" si="86"/>
        <v>0</v>
      </c>
      <c r="J805" s="702"/>
    </row>
    <row r="806" spans="1:10">
      <c r="C806" s="235" t="s">
        <v>348</v>
      </c>
      <c r="D806" s="242"/>
      <c r="E806" s="259"/>
      <c r="F806" s="259"/>
      <c r="G806" s="242">
        <f t="shared" si="87"/>
        <v>0</v>
      </c>
      <c r="H806" s="259">
        <v>0</v>
      </c>
      <c r="I806" s="368">
        <f t="shared" si="86"/>
        <v>0</v>
      </c>
      <c r="J806" s="649"/>
    </row>
    <row r="807" spans="1:10">
      <c r="C807" s="236" t="s">
        <v>599</v>
      </c>
      <c r="D807" s="187">
        <v>1180000</v>
      </c>
      <c r="E807" s="345"/>
      <c r="F807" s="345"/>
      <c r="G807" s="187">
        <f t="shared" si="87"/>
        <v>1180000</v>
      </c>
      <c r="H807" s="345">
        <v>1180000</v>
      </c>
      <c r="I807" s="701">
        <f t="shared" si="86"/>
        <v>0</v>
      </c>
      <c r="J807" s="702">
        <f>I807/G807</f>
        <v>0</v>
      </c>
    </row>
    <row r="808" spans="1:10">
      <c r="C808" s="346"/>
      <c r="D808" s="654"/>
      <c r="E808" s="347"/>
      <c r="F808" s="347"/>
      <c r="G808" s="654">
        <f t="shared" si="87"/>
        <v>0</v>
      </c>
      <c r="H808" s="347">
        <v>0</v>
      </c>
      <c r="I808" s="347">
        <f t="shared" si="86"/>
        <v>0</v>
      </c>
      <c r="J808" s="646"/>
    </row>
    <row r="809" spans="1:10">
      <c r="C809" s="236" t="s">
        <v>600</v>
      </c>
      <c r="D809" s="187">
        <f>180750+20927</f>
        <v>201677</v>
      </c>
      <c r="E809" s="345"/>
      <c r="F809" s="345">
        <v>-27200</v>
      </c>
      <c r="G809" s="187">
        <f t="shared" si="87"/>
        <v>174477</v>
      </c>
      <c r="H809" s="345">
        <v>180000</v>
      </c>
      <c r="I809" s="701">
        <f t="shared" si="86"/>
        <v>5523</v>
      </c>
      <c r="J809" s="702">
        <f>I809/G809</f>
        <v>3.1654602039237263E-2</v>
      </c>
    </row>
    <row r="810" spans="1:10">
      <c r="C810" s="348"/>
      <c r="D810" s="242"/>
      <c r="E810" s="259"/>
      <c r="F810" s="259"/>
      <c r="G810" s="242">
        <f t="shared" si="87"/>
        <v>0</v>
      </c>
      <c r="H810" s="259">
        <v>0</v>
      </c>
      <c r="I810" s="368">
        <f t="shared" si="86"/>
        <v>0</v>
      </c>
      <c r="J810" s="649"/>
    </row>
    <row r="811" spans="1:10">
      <c r="C811" s="223" t="s">
        <v>601</v>
      </c>
      <c r="D811" s="226">
        <v>1532600</v>
      </c>
      <c r="E811" s="343"/>
      <c r="F811" s="343"/>
      <c r="G811" s="226">
        <f t="shared" si="87"/>
        <v>1532600</v>
      </c>
      <c r="H811" s="343">
        <v>1632600</v>
      </c>
      <c r="I811" s="699">
        <f t="shared" si="86"/>
        <v>100000</v>
      </c>
      <c r="J811" s="700">
        <f>I811/G811</f>
        <v>6.5248597155161167E-2</v>
      </c>
    </row>
    <row r="812" spans="1:10">
      <c r="C812" s="223"/>
      <c r="D812" s="226"/>
      <c r="E812" s="343"/>
      <c r="F812" s="343"/>
      <c r="G812" s="226">
        <f t="shared" si="87"/>
        <v>0</v>
      </c>
      <c r="H812" s="343">
        <v>0</v>
      </c>
      <c r="I812" s="699">
        <f t="shared" si="86"/>
        <v>0</v>
      </c>
      <c r="J812" s="700"/>
    </row>
    <row r="813" spans="1:10" ht="22.5">
      <c r="C813" s="349" t="s">
        <v>602</v>
      </c>
      <c r="D813" s="245"/>
      <c r="E813" s="350"/>
      <c r="F813" s="350"/>
      <c r="G813" s="226">
        <f t="shared" si="87"/>
        <v>0</v>
      </c>
      <c r="H813" s="343">
        <v>0</v>
      </c>
      <c r="I813" s="699">
        <f t="shared" si="86"/>
        <v>0</v>
      </c>
      <c r="J813" s="700"/>
    </row>
    <row r="814" spans="1:10">
      <c r="C814" s="349"/>
      <c r="D814" s="245"/>
      <c r="E814" s="350"/>
      <c r="F814" s="350"/>
      <c r="G814" s="226">
        <f t="shared" si="87"/>
        <v>0</v>
      </c>
      <c r="H814" s="343">
        <v>0</v>
      </c>
      <c r="I814" s="699">
        <f t="shared" si="86"/>
        <v>0</v>
      </c>
      <c r="J814" s="700"/>
    </row>
    <row r="815" spans="1:10">
      <c r="C815" s="223" t="s">
        <v>603</v>
      </c>
      <c r="D815" s="226">
        <f>1217700+175000</f>
        <v>1392700</v>
      </c>
      <c r="E815" s="343">
        <v>-8053</v>
      </c>
      <c r="F815" s="343"/>
      <c r="G815" s="226">
        <f t="shared" si="87"/>
        <v>1384647</v>
      </c>
      <c r="H815" s="343">
        <v>1392700</v>
      </c>
      <c r="I815" s="699">
        <f t="shared" si="86"/>
        <v>8053</v>
      </c>
      <c r="J815" s="700">
        <f>I815/G815</f>
        <v>5.8159227586525664E-3</v>
      </c>
    </row>
    <row r="816" spans="1:10">
      <c r="C816" s="351"/>
      <c r="D816" s="245"/>
      <c r="E816" s="350"/>
      <c r="F816" s="350"/>
      <c r="G816" s="245">
        <f t="shared" si="87"/>
        <v>0</v>
      </c>
      <c r="H816" s="350">
        <v>0</v>
      </c>
      <c r="I816" s="656">
        <f t="shared" si="86"/>
        <v>0</v>
      </c>
      <c r="J816" s="702"/>
    </row>
    <row r="817" spans="1:10">
      <c r="C817" s="219" t="s">
        <v>351</v>
      </c>
      <c r="D817" s="226">
        <f>SUM(D819,D822,D827,D831,D836,D865,D867,D841,D846,D850)</f>
        <v>2176383</v>
      </c>
      <c r="E817" s="343">
        <f t="shared" ref="E817" si="89">SUM(E819,E822,E827,E831,E836,E865,E867,E841,E846,E850)</f>
        <v>44717</v>
      </c>
      <c r="F817" s="343">
        <f>SUM(F819,F822,F827,F831,F836,F865,F867,F841,F846,F850,F855,F860)</f>
        <v>36920</v>
      </c>
      <c r="G817" s="226">
        <f t="shared" si="87"/>
        <v>2258020</v>
      </c>
      <c r="H817" s="343">
        <v>2808517.6262500002</v>
      </c>
      <c r="I817" s="699">
        <f t="shared" si="86"/>
        <v>550497.6262500002</v>
      </c>
      <c r="J817" s="700">
        <f>I817/G817</f>
        <v>0.2437966121867832</v>
      </c>
    </row>
    <row r="818" spans="1:10">
      <c r="C818" s="219"/>
      <c r="D818" s="242"/>
      <c r="G818" s="242">
        <f t="shared" si="87"/>
        <v>0</v>
      </c>
      <c r="H818" s="259">
        <v>0</v>
      </c>
      <c r="I818" s="368">
        <f t="shared" si="86"/>
        <v>0</v>
      </c>
      <c r="J818" s="649"/>
    </row>
    <row r="819" spans="1:10">
      <c r="A819" s="169" t="s">
        <v>596</v>
      </c>
      <c r="B819" s="169" t="s">
        <v>16</v>
      </c>
      <c r="C819" s="195" t="s">
        <v>604</v>
      </c>
      <c r="D819" s="245">
        <f>1488721+11817+2783-20927</f>
        <v>1482394</v>
      </c>
      <c r="F819" s="187">
        <f>-121-4100+10648-2728</f>
        <v>3699</v>
      </c>
      <c r="G819" s="209">
        <f t="shared" si="87"/>
        <v>1486093</v>
      </c>
      <c r="H819" s="209">
        <v>1524799.62625</v>
      </c>
      <c r="I819" s="211">
        <f t="shared" si="86"/>
        <v>38706.626249999972</v>
      </c>
      <c r="J819" s="634">
        <f>I819/G819</f>
        <v>2.6045897699538301E-2</v>
      </c>
    </row>
    <row r="820" spans="1:10">
      <c r="C820" s="196" t="s">
        <v>291</v>
      </c>
      <c r="D820" s="246">
        <f>937716+8832+2080</f>
        <v>948628</v>
      </c>
      <c r="F820" s="216">
        <f>7959-2039</f>
        <v>5920</v>
      </c>
      <c r="G820" s="246">
        <f t="shared" si="87"/>
        <v>954548</v>
      </c>
      <c r="H820" s="246">
        <v>990820.25</v>
      </c>
      <c r="I820" s="520">
        <f t="shared" si="86"/>
        <v>36272.25</v>
      </c>
      <c r="J820" s="638">
        <f>I820/G820</f>
        <v>3.7999398668270221E-2</v>
      </c>
    </row>
    <row r="821" spans="1:10">
      <c r="C821" s="341"/>
      <c r="D821" s="242"/>
      <c r="F821" s="277"/>
      <c r="G821" s="242">
        <f t="shared" si="87"/>
        <v>0</v>
      </c>
      <c r="H821" s="242">
        <v>0</v>
      </c>
      <c r="I821" s="520">
        <f t="shared" si="86"/>
        <v>0</v>
      </c>
      <c r="J821" s="638"/>
    </row>
    <row r="822" spans="1:10">
      <c r="A822" s="169" t="s">
        <v>596</v>
      </c>
      <c r="B822" s="169" t="s">
        <v>16</v>
      </c>
      <c r="C822" s="194" t="s">
        <v>605</v>
      </c>
      <c r="D822" s="209">
        <f>SUM(D823:D825)</f>
        <v>471650</v>
      </c>
      <c r="F822" s="185">
        <f>SUM(F823:F823)</f>
        <v>17000</v>
      </c>
      <c r="G822" s="209">
        <f t="shared" si="87"/>
        <v>488650</v>
      </c>
      <c r="H822" s="209">
        <v>490250</v>
      </c>
      <c r="I822" s="211">
        <f t="shared" si="86"/>
        <v>1600</v>
      </c>
      <c r="J822" s="634">
        <f>I822/G822</f>
        <v>3.2743272280773561E-3</v>
      </c>
    </row>
    <row r="823" spans="1:10">
      <c r="C823" s="210" t="s">
        <v>606</v>
      </c>
      <c r="D823" s="211">
        <v>257400</v>
      </c>
      <c r="F823" s="234">
        <v>17000</v>
      </c>
      <c r="G823" s="211">
        <f t="shared" si="87"/>
        <v>274400</v>
      </c>
      <c r="H823" s="211">
        <v>276000</v>
      </c>
      <c r="I823" s="211">
        <f t="shared" si="86"/>
        <v>1600</v>
      </c>
      <c r="J823" s="634">
        <f>I823/G823</f>
        <v>5.8309037900874635E-3</v>
      </c>
    </row>
    <row r="824" spans="1:10">
      <c r="C824" s="352" t="s">
        <v>607</v>
      </c>
      <c r="D824" s="211">
        <v>176250</v>
      </c>
      <c r="G824" s="211">
        <f t="shared" si="87"/>
        <v>176250</v>
      </c>
      <c r="H824" s="211">
        <v>176250</v>
      </c>
      <c r="I824" s="211">
        <f t="shared" si="86"/>
        <v>0</v>
      </c>
      <c r="J824" s="634">
        <f>I824/G824</f>
        <v>0</v>
      </c>
    </row>
    <row r="825" spans="1:10">
      <c r="C825" s="352" t="s">
        <v>608</v>
      </c>
      <c r="D825" s="211">
        <v>38000</v>
      </c>
      <c r="G825" s="211">
        <f t="shared" si="87"/>
        <v>38000</v>
      </c>
      <c r="H825" s="211">
        <v>38000</v>
      </c>
      <c r="I825" s="211">
        <f t="shared" si="86"/>
        <v>0</v>
      </c>
      <c r="J825" s="634">
        <f>I825/G825</f>
        <v>0</v>
      </c>
    </row>
    <row r="826" spans="1:10">
      <c r="C826" s="201"/>
      <c r="D826" s="185"/>
      <c r="G826" s="185">
        <f t="shared" si="87"/>
        <v>0</v>
      </c>
      <c r="H826" s="185">
        <v>0</v>
      </c>
      <c r="I826" s="268">
        <f t="shared" si="86"/>
        <v>0</v>
      </c>
      <c r="J826" s="634"/>
    </row>
    <row r="827" spans="1:10">
      <c r="A827" s="169" t="s">
        <v>596</v>
      </c>
      <c r="B827" s="169" t="s">
        <v>16</v>
      </c>
      <c r="C827" s="206" t="s">
        <v>609</v>
      </c>
      <c r="D827" s="209">
        <f>SUM(D828:D829)</f>
        <v>131156</v>
      </c>
      <c r="F827" s="279">
        <f>SUM(F828:F829)</f>
        <v>4221</v>
      </c>
      <c r="G827" s="209">
        <f t="shared" si="87"/>
        <v>135377</v>
      </c>
      <c r="H827" s="209">
        <v>135390</v>
      </c>
      <c r="I827" s="211">
        <f t="shared" si="86"/>
        <v>13</v>
      </c>
      <c r="J827" s="634">
        <f>I827/G827</f>
        <v>9.6028128854975365E-5</v>
      </c>
    </row>
    <row r="828" spans="1:10">
      <c r="C828" s="210" t="s">
        <v>610</v>
      </c>
      <c r="D828" s="211">
        <v>128656</v>
      </c>
      <c r="F828" s="234">
        <v>4100</v>
      </c>
      <c r="G828" s="211">
        <f t="shared" si="87"/>
        <v>132756</v>
      </c>
      <c r="H828" s="211">
        <v>132760</v>
      </c>
      <c r="I828" s="211">
        <f t="shared" si="86"/>
        <v>4</v>
      </c>
      <c r="J828" s="634">
        <f>I828/G828</f>
        <v>3.013046491307361E-5</v>
      </c>
    </row>
    <row r="829" spans="1:10">
      <c r="C829" s="353" t="s">
        <v>611</v>
      </c>
      <c r="D829" s="211">
        <v>2500</v>
      </c>
      <c r="F829" s="211">
        <v>121</v>
      </c>
      <c r="G829" s="211">
        <f t="shared" si="87"/>
        <v>2621</v>
      </c>
      <c r="H829" s="211">
        <v>2630</v>
      </c>
      <c r="I829" s="211">
        <f t="shared" si="86"/>
        <v>9</v>
      </c>
      <c r="J829" s="634">
        <f>I829/G829</f>
        <v>3.4338038916444107E-3</v>
      </c>
    </row>
    <row r="830" spans="1:10">
      <c r="C830" s="219"/>
      <c r="D830" s="242"/>
      <c r="G830" s="242">
        <f t="shared" ref="G830:G892" si="90">SUM(D830:F830)</f>
        <v>0</v>
      </c>
      <c r="H830" s="242">
        <v>0</v>
      </c>
      <c r="I830" s="520">
        <f t="shared" ref="I830:I893" si="91">H830-G830</f>
        <v>0</v>
      </c>
      <c r="J830" s="638"/>
    </row>
    <row r="831" spans="1:10">
      <c r="A831" s="169" t="s">
        <v>596</v>
      </c>
      <c r="B831" s="169" t="s">
        <v>16</v>
      </c>
      <c r="C831" s="206" t="s">
        <v>612</v>
      </c>
      <c r="D831" s="209">
        <f>D832+D833</f>
        <v>25000</v>
      </c>
      <c r="G831" s="209">
        <f t="shared" si="90"/>
        <v>25000</v>
      </c>
      <c r="H831" s="209">
        <v>61000</v>
      </c>
      <c r="I831" s="211">
        <f t="shared" si="91"/>
        <v>36000</v>
      </c>
      <c r="J831" s="634">
        <f>I831/G831</f>
        <v>1.44</v>
      </c>
    </row>
    <row r="832" spans="1:10">
      <c r="C832" s="352" t="s">
        <v>613</v>
      </c>
      <c r="D832" s="211">
        <v>15000</v>
      </c>
      <c r="G832" s="211">
        <f t="shared" si="90"/>
        <v>15000</v>
      </c>
      <c r="H832" s="211">
        <v>15000</v>
      </c>
      <c r="I832" s="211">
        <f t="shared" si="91"/>
        <v>0</v>
      </c>
      <c r="J832" s="634">
        <f>I832/G832</f>
        <v>0</v>
      </c>
    </row>
    <row r="833" spans="1:10">
      <c r="C833" s="212" t="s">
        <v>614</v>
      </c>
      <c r="D833" s="211">
        <v>10000</v>
      </c>
      <c r="G833" s="211">
        <f t="shared" si="90"/>
        <v>10000</v>
      </c>
      <c r="H833" s="211">
        <v>10000</v>
      </c>
      <c r="I833" s="211">
        <f t="shared" si="91"/>
        <v>0</v>
      </c>
      <c r="J833" s="634">
        <f>I833/G833</f>
        <v>0</v>
      </c>
    </row>
    <row r="834" spans="1:10">
      <c r="C834" s="212" t="s">
        <v>615</v>
      </c>
      <c r="D834" s="211"/>
      <c r="G834" s="211">
        <f t="shared" si="90"/>
        <v>0</v>
      </c>
      <c r="H834" s="211">
        <v>36000</v>
      </c>
      <c r="I834" s="211">
        <f t="shared" si="91"/>
        <v>36000</v>
      </c>
      <c r="J834" s="634"/>
    </row>
    <row r="835" spans="1:10">
      <c r="C835" s="212"/>
      <c r="D835" s="211"/>
      <c r="G835" s="211">
        <f t="shared" si="90"/>
        <v>0</v>
      </c>
      <c r="H835" s="211">
        <v>0</v>
      </c>
      <c r="I835" s="211">
        <f t="shared" si="91"/>
        <v>0</v>
      </c>
      <c r="J835" s="634"/>
    </row>
    <row r="836" spans="1:10" ht="25.5">
      <c r="A836" s="169" t="s">
        <v>596</v>
      </c>
      <c r="B836" s="169" t="s">
        <v>16</v>
      </c>
      <c r="C836" s="213" t="s">
        <v>616</v>
      </c>
      <c r="D836" s="209">
        <v>20000</v>
      </c>
      <c r="G836" s="209">
        <f t="shared" si="90"/>
        <v>20000</v>
      </c>
      <c r="H836" s="209">
        <v>60000</v>
      </c>
      <c r="I836" s="211">
        <f t="shared" si="91"/>
        <v>40000</v>
      </c>
      <c r="J836" s="634">
        <f>I836/G836</f>
        <v>2</v>
      </c>
    </row>
    <row r="837" spans="1:10">
      <c r="C837" s="196" t="s">
        <v>291</v>
      </c>
      <c r="D837" s="354">
        <v>11211</v>
      </c>
      <c r="G837" s="354">
        <f t="shared" si="90"/>
        <v>11211</v>
      </c>
      <c r="H837" s="354">
        <v>22422</v>
      </c>
      <c r="I837" s="675">
        <f t="shared" si="91"/>
        <v>11211</v>
      </c>
      <c r="J837" s="632">
        <f>I837/G837</f>
        <v>1</v>
      </c>
    </row>
    <row r="838" spans="1:10">
      <c r="C838" s="355"/>
      <c r="D838" s="211"/>
      <c r="G838" s="211">
        <f t="shared" si="90"/>
        <v>0</v>
      </c>
      <c r="H838" s="211">
        <v>0</v>
      </c>
      <c r="I838" s="211">
        <f t="shared" si="91"/>
        <v>0</v>
      </c>
      <c r="J838" s="634"/>
    </row>
    <row r="839" spans="1:10">
      <c r="C839" s="217" t="s">
        <v>337</v>
      </c>
      <c r="D839" s="354">
        <v>20000</v>
      </c>
      <c r="G839" s="354">
        <f t="shared" si="90"/>
        <v>20000</v>
      </c>
      <c r="H839" s="354">
        <v>60000</v>
      </c>
      <c r="I839" s="675">
        <f t="shared" si="91"/>
        <v>40000</v>
      </c>
      <c r="J839" s="632">
        <f>I839/G839</f>
        <v>2</v>
      </c>
    </row>
    <row r="840" spans="1:10">
      <c r="C840" s="356"/>
      <c r="D840" s="211"/>
      <c r="G840" s="211">
        <f t="shared" si="90"/>
        <v>0</v>
      </c>
      <c r="H840" s="211">
        <v>0</v>
      </c>
      <c r="I840" s="211">
        <f t="shared" si="91"/>
        <v>0</v>
      </c>
      <c r="J840" s="634"/>
    </row>
    <row r="841" spans="1:10" ht="25.5">
      <c r="A841" s="169" t="s">
        <v>596</v>
      </c>
      <c r="B841" s="169" t="s">
        <v>16</v>
      </c>
      <c r="C841" s="213" t="s">
        <v>617</v>
      </c>
      <c r="D841" s="354"/>
      <c r="E841" s="209">
        <v>22500</v>
      </c>
      <c r="F841" s="209"/>
      <c r="G841" s="354">
        <f t="shared" si="90"/>
        <v>22500</v>
      </c>
      <c r="H841" s="354">
        <v>60000</v>
      </c>
      <c r="I841" s="675">
        <f t="shared" si="91"/>
        <v>37500</v>
      </c>
      <c r="J841" s="632">
        <f>I841/G841</f>
        <v>1.6666666666666667</v>
      </c>
    </row>
    <row r="842" spans="1:10">
      <c r="C842" s="196" t="s">
        <v>291</v>
      </c>
      <c r="D842" s="354"/>
      <c r="E842" s="354">
        <v>7474</v>
      </c>
      <c r="F842" s="354"/>
      <c r="G842" s="354">
        <f t="shared" si="90"/>
        <v>7474</v>
      </c>
      <c r="H842" s="354">
        <v>11211</v>
      </c>
      <c r="I842" s="675">
        <f t="shared" si="91"/>
        <v>3737</v>
      </c>
      <c r="J842" s="632">
        <f>I842/G842</f>
        <v>0.5</v>
      </c>
    </row>
    <row r="843" spans="1:10">
      <c r="C843" s="355"/>
      <c r="D843" s="354"/>
      <c r="E843" s="211"/>
      <c r="F843" s="211"/>
      <c r="G843" s="354">
        <f t="shared" si="90"/>
        <v>0</v>
      </c>
      <c r="H843" s="354">
        <v>0</v>
      </c>
      <c r="I843" s="675">
        <f t="shared" si="91"/>
        <v>0</v>
      </c>
      <c r="J843" s="632"/>
    </row>
    <row r="844" spans="1:10">
      <c r="C844" s="217" t="s">
        <v>337</v>
      </c>
      <c r="D844" s="354"/>
      <c r="E844" s="354">
        <v>19125</v>
      </c>
      <c r="F844" s="354"/>
      <c r="G844" s="354">
        <f t="shared" si="90"/>
        <v>19125</v>
      </c>
      <c r="H844" s="354">
        <v>51000</v>
      </c>
      <c r="I844" s="675">
        <f t="shared" si="91"/>
        <v>31875</v>
      </c>
      <c r="J844" s="632">
        <f>I844/G844</f>
        <v>1.6666666666666667</v>
      </c>
    </row>
    <row r="845" spans="1:10">
      <c r="C845" s="148"/>
      <c r="D845" s="354"/>
      <c r="E845" s="357"/>
      <c r="F845" s="357"/>
      <c r="G845" s="354">
        <f t="shared" si="90"/>
        <v>0</v>
      </c>
      <c r="H845" s="354">
        <v>0</v>
      </c>
      <c r="I845" s="675">
        <f t="shared" si="91"/>
        <v>0</v>
      </c>
      <c r="J845" s="632"/>
    </row>
    <row r="846" spans="1:10">
      <c r="A846" s="169" t="s">
        <v>596</v>
      </c>
      <c r="B846" s="169" t="s">
        <v>16</v>
      </c>
      <c r="C846" s="213" t="s">
        <v>618</v>
      </c>
      <c r="D846" s="354"/>
      <c r="E846" s="209">
        <v>1800</v>
      </c>
      <c r="F846" s="209"/>
      <c r="G846" s="354">
        <f t="shared" si="90"/>
        <v>1800</v>
      </c>
      <c r="H846" s="354">
        <v>3000</v>
      </c>
      <c r="I846" s="675">
        <f t="shared" si="91"/>
        <v>1200</v>
      </c>
      <c r="J846" s="632">
        <f>I846/G846</f>
        <v>0.66666666666666663</v>
      </c>
    </row>
    <row r="847" spans="1:10">
      <c r="C847" s="148"/>
      <c r="D847" s="354"/>
      <c r="E847" s="357"/>
      <c r="F847" s="357"/>
      <c r="G847" s="354">
        <f t="shared" si="90"/>
        <v>0</v>
      </c>
      <c r="H847" s="354">
        <v>0</v>
      </c>
      <c r="I847" s="675">
        <f t="shared" si="91"/>
        <v>0</v>
      </c>
      <c r="J847" s="632"/>
    </row>
    <row r="848" spans="1:10">
      <c r="C848" s="217" t="s">
        <v>337</v>
      </c>
      <c r="D848" s="354"/>
      <c r="E848" s="354">
        <v>1800</v>
      </c>
      <c r="F848" s="354"/>
      <c r="G848" s="354">
        <f t="shared" si="90"/>
        <v>1800</v>
      </c>
      <c r="H848" s="354">
        <v>3000</v>
      </c>
      <c r="I848" s="675">
        <f t="shared" si="91"/>
        <v>1200</v>
      </c>
      <c r="J848" s="632">
        <f>I848/G848</f>
        <v>0.66666666666666663</v>
      </c>
    </row>
    <row r="849" spans="1:10">
      <c r="C849" s="148"/>
      <c r="D849" s="354"/>
      <c r="E849" s="357"/>
      <c r="F849" s="357"/>
      <c r="G849" s="354">
        <f t="shared" si="90"/>
        <v>0</v>
      </c>
      <c r="H849" s="354">
        <v>0</v>
      </c>
      <c r="I849" s="675">
        <f t="shared" si="91"/>
        <v>0</v>
      </c>
      <c r="J849" s="632"/>
    </row>
    <row r="850" spans="1:10">
      <c r="A850" s="169" t="s">
        <v>596</v>
      </c>
      <c r="B850" s="169" t="s">
        <v>16</v>
      </c>
      <c r="C850" s="213" t="s">
        <v>619</v>
      </c>
      <c r="D850" s="354"/>
      <c r="E850" s="209">
        <v>20417</v>
      </c>
      <c r="F850" s="209"/>
      <c r="G850" s="354">
        <f t="shared" si="90"/>
        <v>20417</v>
      </c>
      <c r="H850" s="354">
        <v>24278</v>
      </c>
      <c r="I850" s="675">
        <f t="shared" si="91"/>
        <v>3861</v>
      </c>
      <c r="J850" s="632">
        <f>I850/G850</f>
        <v>0.18910711661850418</v>
      </c>
    </row>
    <row r="851" spans="1:10">
      <c r="C851" s="196" t="s">
        <v>291</v>
      </c>
      <c r="D851" s="354"/>
      <c r="E851" s="354">
        <v>5232</v>
      </c>
      <c r="F851" s="354"/>
      <c r="G851" s="354">
        <f t="shared" si="90"/>
        <v>5232</v>
      </c>
      <c r="H851" s="354">
        <v>12105</v>
      </c>
      <c r="I851" s="675">
        <f t="shared" si="91"/>
        <v>6873</v>
      </c>
      <c r="J851" s="632">
        <f>I851/G851</f>
        <v>1.3136467889908257</v>
      </c>
    </row>
    <row r="852" spans="1:10">
      <c r="C852" s="355"/>
      <c r="D852" s="354"/>
      <c r="E852" s="211"/>
      <c r="F852" s="211"/>
      <c r="G852" s="354">
        <f t="shared" si="90"/>
        <v>0</v>
      </c>
      <c r="H852" s="354">
        <v>0</v>
      </c>
      <c r="I852" s="675">
        <f t="shared" si="91"/>
        <v>0</v>
      </c>
      <c r="J852" s="632"/>
    </row>
    <row r="853" spans="1:10">
      <c r="C853" s="217" t="s">
        <v>337</v>
      </c>
      <c r="D853" s="354"/>
      <c r="E853" s="354">
        <v>15725</v>
      </c>
      <c r="F853" s="354"/>
      <c r="G853" s="354">
        <f t="shared" si="90"/>
        <v>15725</v>
      </c>
      <c r="H853" s="354">
        <v>20636</v>
      </c>
      <c r="I853" s="675">
        <f t="shared" si="91"/>
        <v>4911</v>
      </c>
      <c r="J853" s="632">
        <f>I853/G853</f>
        <v>0.31230524642289348</v>
      </c>
    </row>
    <row r="854" spans="1:10">
      <c r="C854" s="356"/>
      <c r="D854" s="211"/>
      <c r="E854" s="211"/>
      <c r="F854" s="211"/>
      <c r="G854" s="211">
        <f t="shared" si="90"/>
        <v>0</v>
      </c>
      <c r="H854" s="211">
        <v>0</v>
      </c>
      <c r="I854" s="211">
        <f t="shared" si="91"/>
        <v>0</v>
      </c>
      <c r="J854" s="634"/>
    </row>
    <row r="855" spans="1:10" ht="25.5">
      <c r="A855" s="169" t="s">
        <v>596</v>
      </c>
      <c r="B855" s="169" t="s">
        <v>16</v>
      </c>
      <c r="C855" s="213" t="s">
        <v>897</v>
      </c>
      <c r="D855" s="211"/>
      <c r="E855" s="211"/>
      <c r="F855" s="273">
        <v>6000</v>
      </c>
      <c r="G855" s="211">
        <f t="shared" si="90"/>
        <v>6000</v>
      </c>
      <c r="H855" s="211">
        <v>100000</v>
      </c>
      <c r="I855" s="211">
        <f t="shared" si="91"/>
        <v>94000</v>
      </c>
      <c r="J855" s="634">
        <f>I855/G855</f>
        <v>15.666666666666666</v>
      </c>
    </row>
    <row r="856" spans="1:10">
      <c r="C856" s="196" t="s">
        <v>291</v>
      </c>
      <c r="D856" s="211"/>
      <c r="E856" s="211"/>
      <c r="F856" s="216">
        <v>747</v>
      </c>
      <c r="G856" s="211">
        <f t="shared" si="90"/>
        <v>747</v>
      </c>
      <c r="H856" s="211">
        <v>3363</v>
      </c>
      <c r="I856" s="211">
        <f t="shared" si="91"/>
        <v>2616</v>
      </c>
      <c r="J856" s="634">
        <f>I856/G856</f>
        <v>3.5020080321285141</v>
      </c>
    </row>
    <row r="857" spans="1:10">
      <c r="C857" s="355"/>
      <c r="D857" s="211"/>
      <c r="E857" s="211"/>
      <c r="F857" s="610"/>
      <c r="G857" s="211">
        <f t="shared" si="90"/>
        <v>0</v>
      </c>
      <c r="H857" s="211">
        <v>0</v>
      </c>
      <c r="I857" s="211">
        <f t="shared" si="91"/>
        <v>0</v>
      </c>
      <c r="J857" s="634"/>
    </row>
    <row r="858" spans="1:10">
      <c r="C858" s="217" t="s">
        <v>337</v>
      </c>
      <c r="D858" s="211"/>
      <c r="E858" s="211"/>
      <c r="F858" s="588">
        <v>5100</v>
      </c>
      <c r="G858" s="211">
        <f t="shared" si="90"/>
        <v>5100</v>
      </c>
      <c r="H858" s="211">
        <v>85000</v>
      </c>
      <c r="I858" s="211">
        <f t="shared" si="91"/>
        <v>79900</v>
      </c>
      <c r="J858" s="634">
        <f>I858/G858</f>
        <v>15.666666666666666</v>
      </c>
    </row>
    <row r="859" spans="1:10">
      <c r="C859" s="356"/>
      <c r="D859" s="211"/>
      <c r="E859" s="211"/>
      <c r="F859" s="611"/>
      <c r="G859" s="211">
        <f t="shared" si="90"/>
        <v>0</v>
      </c>
      <c r="H859" s="211">
        <v>0</v>
      </c>
      <c r="I859" s="211">
        <f t="shared" si="91"/>
        <v>0</v>
      </c>
      <c r="J859" s="634"/>
    </row>
    <row r="860" spans="1:10" ht="38.25">
      <c r="A860" s="169" t="s">
        <v>596</v>
      </c>
      <c r="B860" s="169" t="s">
        <v>16</v>
      </c>
      <c r="C860" s="213" t="s">
        <v>898</v>
      </c>
      <c r="D860" s="211"/>
      <c r="E860" s="211"/>
      <c r="F860" s="273">
        <v>6000</v>
      </c>
      <c r="G860" s="211">
        <f t="shared" si="90"/>
        <v>6000</v>
      </c>
      <c r="H860" s="211">
        <v>300000</v>
      </c>
      <c r="I860" s="211">
        <f t="shared" si="91"/>
        <v>294000</v>
      </c>
      <c r="J860" s="634">
        <f>I860/G860</f>
        <v>49</v>
      </c>
    </row>
    <row r="861" spans="1:10">
      <c r="C861" s="196" t="s">
        <v>291</v>
      </c>
      <c r="D861" s="211"/>
      <c r="E861" s="211"/>
      <c r="F861" s="216">
        <v>4484</v>
      </c>
      <c r="G861" s="211">
        <f t="shared" si="90"/>
        <v>4484</v>
      </c>
      <c r="H861" s="211">
        <v>44843</v>
      </c>
      <c r="I861" s="211">
        <f t="shared" si="91"/>
        <v>40359</v>
      </c>
      <c r="J861" s="634">
        <f>I861/G861</f>
        <v>9.0006690454950942</v>
      </c>
    </row>
    <row r="862" spans="1:10">
      <c r="C862" s="355"/>
      <c r="D862" s="211"/>
      <c r="E862" s="211"/>
      <c r="F862" s="610"/>
      <c r="G862" s="211">
        <f t="shared" si="90"/>
        <v>0</v>
      </c>
      <c r="H862" s="211">
        <v>0</v>
      </c>
      <c r="I862" s="211">
        <f t="shared" si="91"/>
        <v>0</v>
      </c>
      <c r="J862" s="634"/>
    </row>
    <row r="863" spans="1:10">
      <c r="C863" s="217" t="s">
        <v>337</v>
      </c>
      <c r="D863" s="211"/>
      <c r="E863" s="211"/>
      <c r="F863" s="588">
        <v>5100</v>
      </c>
      <c r="G863" s="211">
        <f t="shared" si="90"/>
        <v>5100</v>
      </c>
      <c r="H863" s="211">
        <v>255000</v>
      </c>
      <c r="I863" s="211">
        <f t="shared" si="91"/>
        <v>249900</v>
      </c>
      <c r="J863" s="634">
        <f>I863/G863</f>
        <v>49</v>
      </c>
    </row>
    <row r="864" spans="1:10">
      <c r="C864" s="355"/>
      <c r="D864" s="211"/>
      <c r="E864" s="211"/>
      <c r="F864" s="211"/>
      <c r="G864" s="211">
        <f t="shared" si="90"/>
        <v>0</v>
      </c>
      <c r="H864" s="211">
        <v>0</v>
      </c>
      <c r="I864" s="211">
        <f t="shared" si="91"/>
        <v>0</v>
      </c>
      <c r="J864" s="634"/>
    </row>
    <row r="865" spans="1:10">
      <c r="A865" s="169" t="s">
        <v>596</v>
      </c>
      <c r="B865" s="169" t="s">
        <v>16</v>
      </c>
      <c r="C865" s="206" t="s">
        <v>620</v>
      </c>
      <c r="D865" s="209">
        <v>30683</v>
      </c>
      <c r="G865" s="209">
        <f t="shared" si="90"/>
        <v>30683</v>
      </c>
      <c r="H865" s="209">
        <v>34300</v>
      </c>
      <c r="I865" s="211">
        <f t="shared" si="91"/>
        <v>3617</v>
      </c>
      <c r="J865" s="634">
        <f>I865/G865</f>
        <v>0.1178828667340221</v>
      </c>
    </row>
    <row r="866" spans="1:10">
      <c r="C866" s="206"/>
      <c r="D866" s="209"/>
      <c r="G866" s="209">
        <f t="shared" si="90"/>
        <v>0</v>
      </c>
      <c r="H866" s="209">
        <v>0</v>
      </c>
      <c r="I866" s="211">
        <f t="shared" si="91"/>
        <v>0</v>
      </c>
      <c r="J866" s="634"/>
    </row>
    <row r="867" spans="1:10">
      <c r="A867" s="169" t="s">
        <v>596</v>
      </c>
      <c r="B867" s="169" t="s">
        <v>16</v>
      </c>
      <c r="C867" s="206" t="s">
        <v>621</v>
      </c>
      <c r="D867" s="209">
        <v>15500</v>
      </c>
      <c r="G867" s="209">
        <f t="shared" si="90"/>
        <v>15500</v>
      </c>
      <c r="H867" s="209">
        <v>15500</v>
      </c>
      <c r="I867" s="211">
        <f t="shared" si="91"/>
        <v>0</v>
      </c>
      <c r="J867" s="634">
        <f>I867/G867</f>
        <v>0</v>
      </c>
    </row>
    <row r="868" spans="1:10">
      <c r="C868" s="195"/>
      <c r="D868" s="185"/>
      <c r="G868" s="185">
        <f t="shared" si="90"/>
        <v>0</v>
      </c>
      <c r="H868" s="358">
        <v>0</v>
      </c>
      <c r="I868" s="657">
        <f t="shared" si="91"/>
        <v>0</v>
      </c>
      <c r="J868" s="648"/>
    </row>
    <row r="869" spans="1:10">
      <c r="C869" s="195"/>
      <c r="D869" s="185"/>
      <c r="G869" s="185">
        <f t="shared" si="90"/>
        <v>0</v>
      </c>
      <c r="H869" s="358">
        <v>0</v>
      </c>
      <c r="I869" s="657">
        <f t="shared" si="91"/>
        <v>0</v>
      </c>
      <c r="J869" s="648"/>
    </row>
    <row r="870" spans="1:10" ht="15.75">
      <c r="C870" s="225" t="s">
        <v>622</v>
      </c>
      <c r="D870" s="226"/>
      <c r="G870" s="226">
        <f t="shared" si="90"/>
        <v>0</v>
      </c>
      <c r="H870" s="343">
        <v>0</v>
      </c>
      <c r="I870" s="699">
        <f t="shared" si="91"/>
        <v>0</v>
      </c>
      <c r="J870" s="700"/>
    </row>
    <row r="871" spans="1:10">
      <c r="C871" s="219"/>
      <c r="D871" s="226"/>
      <c r="G871" s="226">
        <f t="shared" si="90"/>
        <v>0</v>
      </c>
      <c r="H871" s="343">
        <v>0</v>
      </c>
      <c r="I871" s="699">
        <f t="shared" si="91"/>
        <v>0</v>
      </c>
      <c r="J871" s="700"/>
    </row>
    <row r="872" spans="1:10">
      <c r="C872" s="219" t="s">
        <v>5</v>
      </c>
      <c r="D872" s="226">
        <f>SUM(D880,D897,D904)</f>
        <v>37483260</v>
      </c>
      <c r="E872" s="343">
        <f>SUM(E880,E897,E904)</f>
        <v>312497</v>
      </c>
      <c r="F872" s="343">
        <f>SUM(F880,F897,F904)</f>
        <v>1222225</v>
      </c>
      <c r="G872" s="226">
        <f t="shared" si="90"/>
        <v>39017982</v>
      </c>
      <c r="H872" s="343">
        <v>37608760.466849998</v>
      </c>
      <c r="I872" s="699">
        <f t="shared" si="91"/>
        <v>-1409221.5331500024</v>
      </c>
      <c r="J872" s="700">
        <f t="shared" ref="J872:J878" si="92">I872/G872</f>
        <v>-3.6117232642887638E-2</v>
      </c>
    </row>
    <row r="873" spans="1:10">
      <c r="C873" s="177" t="s">
        <v>285</v>
      </c>
      <c r="D873" s="242">
        <v>18649000</v>
      </c>
      <c r="E873" s="242"/>
      <c r="F873" s="242"/>
      <c r="G873" s="242">
        <f t="shared" si="90"/>
        <v>18649000</v>
      </c>
      <c r="H873" s="242">
        <v>18700000</v>
      </c>
      <c r="I873" s="520">
        <f t="shared" si="91"/>
        <v>51000</v>
      </c>
      <c r="J873" s="638">
        <f t="shared" si="92"/>
        <v>2.7347310847766638E-3</v>
      </c>
    </row>
    <row r="874" spans="1:10">
      <c r="C874" s="220" t="s">
        <v>286</v>
      </c>
      <c r="D874" s="226">
        <f>SUM(D875:D878)</f>
        <v>37483260</v>
      </c>
      <c r="E874" s="343">
        <f>SUM(E875:E878)</f>
        <v>312497</v>
      </c>
      <c r="F874" s="343">
        <f>SUM(F875:F878)</f>
        <v>1222225</v>
      </c>
      <c r="G874" s="226">
        <f t="shared" si="90"/>
        <v>39017982</v>
      </c>
      <c r="H874" s="343">
        <v>37608760.466849998</v>
      </c>
      <c r="I874" s="699">
        <f t="shared" si="91"/>
        <v>-1409221.5331500024</v>
      </c>
      <c r="J874" s="700">
        <f t="shared" si="92"/>
        <v>-3.6117232642887638E-2</v>
      </c>
    </row>
    <row r="875" spans="1:10">
      <c r="C875" s="221" t="s">
        <v>287</v>
      </c>
      <c r="D875" s="242">
        <v>753524</v>
      </c>
      <c r="E875" s="242">
        <v>0</v>
      </c>
      <c r="F875" s="242">
        <v>40000</v>
      </c>
      <c r="G875" s="242">
        <f t="shared" si="90"/>
        <v>793524</v>
      </c>
      <c r="H875" s="242">
        <v>689384</v>
      </c>
      <c r="I875" s="520">
        <f t="shared" si="91"/>
        <v>-104140</v>
      </c>
      <c r="J875" s="638">
        <f t="shared" si="92"/>
        <v>-0.13123736648166912</v>
      </c>
    </row>
    <row r="876" spans="1:10">
      <c r="C876" s="320" t="s">
        <v>796</v>
      </c>
      <c r="D876" s="242"/>
      <c r="E876" s="242"/>
      <c r="F876" s="242">
        <v>418</v>
      </c>
      <c r="G876" s="242">
        <f t="shared" si="90"/>
        <v>418</v>
      </c>
      <c r="H876" s="242">
        <v>0</v>
      </c>
      <c r="I876" s="520">
        <f t="shared" si="91"/>
        <v>-418</v>
      </c>
      <c r="J876" s="638">
        <f t="shared" si="92"/>
        <v>-1</v>
      </c>
    </row>
    <row r="877" spans="1:10">
      <c r="C877" s="222" t="s">
        <v>298</v>
      </c>
      <c r="D877" s="242">
        <v>6118</v>
      </c>
      <c r="E877" s="242">
        <v>32538</v>
      </c>
      <c r="F877" s="242">
        <v>3758</v>
      </c>
      <c r="G877" s="242">
        <f t="shared" si="90"/>
        <v>42414</v>
      </c>
      <c r="H877" s="242">
        <v>0</v>
      </c>
      <c r="I877" s="520">
        <f t="shared" si="91"/>
        <v>-42414</v>
      </c>
      <c r="J877" s="638">
        <f t="shared" si="92"/>
        <v>-1</v>
      </c>
    </row>
    <row r="878" spans="1:10">
      <c r="C878" s="222" t="s">
        <v>288</v>
      </c>
      <c r="D878" s="242">
        <f>D872-D875-D877</f>
        <v>36723618</v>
      </c>
      <c r="E878" s="242">
        <f>E872-E875-E877</f>
        <v>279959</v>
      </c>
      <c r="F878" s="242">
        <f>F872-F875-F877-F876</f>
        <v>1178049</v>
      </c>
      <c r="G878" s="242">
        <f t="shared" si="90"/>
        <v>38181626</v>
      </c>
      <c r="H878" s="242">
        <v>36919376.466849998</v>
      </c>
      <c r="I878" s="520">
        <f t="shared" si="91"/>
        <v>-1262249.5331500024</v>
      </c>
      <c r="J878" s="638">
        <f t="shared" si="92"/>
        <v>-3.3059082741787954E-2</v>
      </c>
    </row>
    <row r="879" spans="1:10">
      <c r="C879" s="227"/>
      <c r="D879" s="242"/>
      <c r="E879" s="259"/>
      <c r="F879" s="259"/>
      <c r="G879" s="242">
        <f t="shared" si="90"/>
        <v>0</v>
      </c>
      <c r="H879" s="259">
        <v>0</v>
      </c>
      <c r="I879" s="368">
        <f t="shared" si="91"/>
        <v>0</v>
      </c>
      <c r="J879" s="649"/>
    </row>
    <row r="880" spans="1:10" ht="15">
      <c r="A880" s="169" t="s">
        <v>623</v>
      </c>
      <c r="B880" s="169" t="s">
        <v>622</v>
      </c>
      <c r="C880" s="251" t="s">
        <v>624</v>
      </c>
      <c r="D880" s="229">
        <f>SUM(D881,D893)</f>
        <v>27984197</v>
      </c>
      <c r="E880" s="344">
        <f>SUM(E881,E893)</f>
        <v>335000</v>
      </c>
      <c r="F880" s="344">
        <f>SUM(F881,F893)</f>
        <v>1135000</v>
      </c>
      <c r="G880" s="229">
        <f t="shared" si="90"/>
        <v>29454197</v>
      </c>
      <c r="H880" s="344">
        <v>28077000</v>
      </c>
      <c r="I880" s="699">
        <f t="shared" si="91"/>
        <v>-1377197</v>
      </c>
      <c r="J880" s="700">
        <f>I880/G880</f>
        <v>-4.6757241421315952E-2</v>
      </c>
    </row>
    <row r="881" spans="3:10">
      <c r="C881" s="223" t="s">
        <v>625</v>
      </c>
      <c r="D881" s="226">
        <f>SUM(D884,D887,D891)</f>
        <v>21774049</v>
      </c>
      <c r="E881" s="343">
        <f>SUM(E884,E887,E891)</f>
        <v>275000</v>
      </c>
      <c r="F881" s="343">
        <f>SUM(F884,F887,F891)</f>
        <v>1051000</v>
      </c>
      <c r="G881" s="226">
        <f t="shared" si="90"/>
        <v>23100049</v>
      </c>
      <c r="H881" s="343">
        <v>21867000</v>
      </c>
      <c r="I881" s="699">
        <f t="shared" si="91"/>
        <v>-1233049</v>
      </c>
      <c r="J881" s="700">
        <f>I881/G881</f>
        <v>-5.3378631361344735E-2</v>
      </c>
    </row>
    <row r="882" spans="3:10">
      <c r="C882" s="202" t="s">
        <v>291</v>
      </c>
      <c r="D882" s="189">
        <f>SUM(D888)</f>
        <v>104100</v>
      </c>
      <c r="E882" s="189"/>
      <c r="F882" s="189">
        <f>SUM(F888)</f>
        <v>0</v>
      </c>
      <c r="G882" s="189">
        <f t="shared" si="90"/>
        <v>104100</v>
      </c>
      <c r="H882" s="189">
        <v>107905</v>
      </c>
      <c r="I882" s="184">
        <f t="shared" si="91"/>
        <v>3805</v>
      </c>
      <c r="J882" s="632">
        <f>I882/G882</f>
        <v>3.6551392891450527E-2</v>
      </c>
    </row>
    <row r="883" spans="3:10">
      <c r="C883" s="235" t="s">
        <v>348</v>
      </c>
      <c r="D883" s="242"/>
      <c r="E883" s="259"/>
      <c r="F883" s="259"/>
      <c r="G883" s="242">
        <f t="shared" si="90"/>
        <v>0</v>
      </c>
      <c r="H883" s="259">
        <v>0</v>
      </c>
      <c r="I883" s="368">
        <f t="shared" si="91"/>
        <v>0</v>
      </c>
      <c r="J883" s="649"/>
    </row>
    <row r="884" spans="3:10">
      <c r="C884" s="236" t="s">
        <v>626</v>
      </c>
      <c r="D884" s="187">
        <v>8100000</v>
      </c>
      <c r="E884" s="345">
        <v>275000</v>
      </c>
      <c r="F884" s="345">
        <v>1000000</v>
      </c>
      <c r="G884" s="187">
        <f t="shared" si="90"/>
        <v>9375000</v>
      </c>
      <c r="H884" s="345">
        <v>8100000</v>
      </c>
      <c r="I884" s="701">
        <f t="shared" si="91"/>
        <v>-1275000</v>
      </c>
      <c r="J884" s="702">
        <f>I884/G884</f>
        <v>-0.13600000000000001</v>
      </c>
    </row>
    <row r="885" spans="3:10">
      <c r="C885" s="281"/>
      <c r="D885" s="187"/>
      <c r="E885" s="345"/>
      <c r="F885" s="345"/>
      <c r="G885" s="187">
        <f t="shared" si="90"/>
        <v>0</v>
      </c>
      <c r="H885" s="345">
        <v>0</v>
      </c>
      <c r="I885" s="701">
        <f t="shared" si="91"/>
        <v>0</v>
      </c>
      <c r="J885" s="702"/>
    </row>
    <row r="886" spans="3:10">
      <c r="C886" s="235" t="s">
        <v>348</v>
      </c>
      <c r="D886" s="242"/>
      <c r="E886" s="259"/>
      <c r="F886" s="259"/>
      <c r="G886" s="242">
        <f t="shared" si="90"/>
        <v>0</v>
      </c>
      <c r="H886" s="259">
        <v>0</v>
      </c>
      <c r="I886" s="368">
        <f t="shared" si="91"/>
        <v>0</v>
      </c>
      <c r="J886" s="649"/>
    </row>
    <row r="887" spans="3:10">
      <c r="C887" s="236" t="s">
        <v>627</v>
      </c>
      <c r="D887" s="187">
        <v>13598049</v>
      </c>
      <c r="E887" s="345"/>
      <c r="F887" s="345">
        <v>25000</v>
      </c>
      <c r="G887" s="187">
        <f t="shared" si="90"/>
        <v>13623049</v>
      </c>
      <c r="H887" s="345">
        <v>13665000</v>
      </c>
      <c r="I887" s="701">
        <f t="shared" si="91"/>
        <v>41951</v>
      </c>
      <c r="J887" s="702">
        <f>I887/G887</f>
        <v>3.0794134264656905E-3</v>
      </c>
    </row>
    <row r="888" spans="3:10">
      <c r="C888" s="208" t="s">
        <v>291</v>
      </c>
      <c r="D888" s="189">
        <v>104100</v>
      </c>
      <c r="E888" s="189"/>
      <c r="F888" s="189"/>
      <c r="G888" s="189">
        <f t="shared" si="90"/>
        <v>104100</v>
      </c>
      <c r="H888" s="189">
        <v>107905</v>
      </c>
      <c r="I888" s="184">
        <f t="shared" si="91"/>
        <v>3805</v>
      </c>
      <c r="J888" s="632">
        <f>I888/G888</f>
        <v>3.6551392891450527E-2</v>
      </c>
    </row>
    <row r="889" spans="3:10">
      <c r="C889" s="257"/>
      <c r="D889" s="653"/>
      <c r="E889" s="359"/>
      <c r="F889" s="359"/>
      <c r="G889" s="653">
        <f t="shared" si="90"/>
        <v>0</v>
      </c>
      <c r="H889" s="359">
        <v>0</v>
      </c>
      <c r="I889" s="359">
        <f t="shared" si="91"/>
        <v>0</v>
      </c>
      <c r="J889" s="647"/>
    </row>
    <row r="890" spans="3:10">
      <c r="C890" s="235" t="s">
        <v>628</v>
      </c>
      <c r="D890" s="187"/>
      <c r="E890" s="345"/>
      <c r="F890" s="345"/>
      <c r="G890" s="187">
        <f t="shared" si="90"/>
        <v>0</v>
      </c>
      <c r="H890" s="345">
        <v>0</v>
      </c>
      <c r="I890" s="701">
        <f t="shared" si="91"/>
        <v>0</v>
      </c>
      <c r="J890" s="702"/>
    </row>
    <row r="891" spans="3:10">
      <c r="C891" s="236" t="s">
        <v>629</v>
      </c>
      <c r="D891" s="209">
        <v>76000</v>
      </c>
      <c r="E891" s="360"/>
      <c r="F891" s="360">
        <v>26000</v>
      </c>
      <c r="G891" s="209">
        <f t="shared" si="90"/>
        <v>102000</v>
      </c>
      <c r="H891" s="360">
        <v>102000</v>
      </c>
      <c r="I891" s="363">
        <f t="shared" si="91"/>
        <v>0</v>
      </c>
      <c r="J891" s="648">
        <f>I891/G891</f>
        <v>0</v>
      </c>
    </row>
    <row r="892" spans="3:10">
      <c r="C892" s="213"/>
      <c r="D892" s="209"/>
      <c r="E892" s="360"/>
      <c r="F892" s="360"/>
      <c r="G892" s="209">
        <f t="shared" si="90"/>
        <v>0</v>
      </c>
      <c r="H892" s="360">
        <v>0</v>
      </c>
      <c r="I892" s="363">
        <f t="shared" si="91"/>
        <v>0</v>
      </c>
      <c r="J892" s="648"/>
    </row>
    <row r="893" spans="3:10">
      <c r="C893" s="223" t="s">
        <v>630</v>
      </c>
      <c r="D893" s="226">
        <v>6210148</v>
      </c>
      <c r="E893" s="343">
        <v>60000</v>
      </c>
      <c r="F893" s="343">
        <v>84000</v>
      </c>
      <c r="G893" s="226">
        <f t="shared" ref="G893:G955" si="93">SUM(D893:F893)</f>
        <v>6354148</v>
      </c>
      <c r="H893" s="343">
        <v>6210000</v>
      </c>
      <c r="I893" s="699">
        <f t="shared" si="91"/>
        <v>-144148</v>
      </c>
      <c r="J893" s="700">
        <f>I893/G893</f>
        <v>-2.2685653529001842E-2</v>
      </c>
    </row>
    <row r="894" spans="3:10">
      <c r="C894" s="361"/>
      <c r="D894" s="654"/>
      <c r="E894" s="347"/>
      <c r="F894" s="347"/>
      <c r="G894" s="654">
        <f t="shared" si="93"/>
        <v>0</v>
      </c>
      <c r="H894" s="347">
        <v>0</v>
      </c>
      <c r="I894" s="347">
        <f t="shared" ref="I894:I925" si="94">H894-G894</f>
        <v>0</v>
      </c>
      <c r="J894" s="646"/>
    </row>
    <row r="895" spans="3:10" ht="22.5">
      <c r="C895" s="257" t="s">
        <v>631</v>
      </c>
      <c r="D895" s="245"/>
      <c r="E895" s="350"/>
      <c r="F895" s="350"/>
      <c r="G895" s="245">
        <f t="shared" si="93"/>
        <v>0</v>
      </c>
      <c r="H895" s="350">
        <v>0</v>
      </c>
      <c r="I895" s="656">
        <f t="shared" si="94"/>
        <v>0</v>
      </c>
      <c r="J895" s="702"/>
    </row>
    <row r="896" spans="3:10">
      <c r="C896" s="257"/>
      <c r="D896" s="245"/>
      <c r="E896" s="350"/>
      <c r="F896" s="350"/>
      <c r="G896" s="245">
        <f t="shared" si="93"/>
        <v>0</v>
      </c>
      <c r="H896" s="350">
        <v>0</v>
      </c>
      <c r="I896" s="656">
        <f t="shared" si="94"/>
        <v>0</v>
      </c>
      <c r="J896" s="702"/>
    </row>
    <row r="897" spans="1:10" ht="15">
      <c r="A897" s="169" t="s">
        <v>632</v>
      </c>
      <c r="B897" s="169" t="s">
        <v>622</v>
      </c>
      <c r="C897" s="251" t="s">
        <v>633</v>
      </c>
      <c r="D897" s="229">
        <f>SUM(D898)</f>
        <v>930000</v>
      </c>
      <c r="E897" s="344"/>
      <c r="F897" s="612">
        <f>SUM(F898)</f>
        <v>40000</v>
      </c>
      <c r="G897" s="229">
        <f t="shared" si="93"/>
        <v>970000</v>
      </c>
      <c r="H897" s="344">
        <v>930000</v>
      </c>
      <c r="I897" s="699">
        <f t="shared" si="94"/>
        <v>-40000</v>
      </c>
      <c r="J897" s="700">
        <f>I897/G897</f>
        <v>-4.1237113402061855E-2</v>
      </c>
    </row>
    <row r="898" spans="1:10">
      <c r="C898" s="223" t="s">
        <v>634</v>
      </c>
      <c r="D898" s="226">
        <f>D901</f>
        <v>930000</v>
      </c>
      <c r="E898" s="226"/>
      <c r="F898" s="176">
        <f>F901</f>
        <v>40000</v>
      </c>
      <c r="G898" s="226">
        <f t="shared" si="93"/>
        <v>970000</v>
      </c>
      <c r="H898" s="226">
        <v>930000</v>
      </c>
      <c r="I898" s="665">
        <f t="shared" si="94"/>
        <v>-40000</v>
      </c>
      <c r="J898" s="666">
        <f>I898/G898</f>
        <v>-4.1237113402061855E-2</v>
      </c>
    </row>
    <row r="899" spans="1:10">
      <c r="C899" s="202" t="s">
        <v>291</v>
      </c>
      <c r="D899" s="189">
        <f>D902</f>
        <v>355201</v>
      </c>
      <c r="E899" s="189"/>
      <c r="F899" s="216">
        <f>F902</f>
        <v>15000</v>
      </c>
      <c r="G899" s="189">
        <f t="shared" si="93"/>
        <v>370201</v>
      </c>
      <c r="H899" s="189">
        <v>355200</v>
      </c>
      <c r="I899" s="184">
        <f t="shared" si="94"/>
        <v>-15001</v>
      </c>
      <c r="J899" s="632">
        <f>I899/G899</f>
        <v>-4.0521230358643009E-2</v>
      </c>
    </row>
    <row r="900" spans="1:10">
      <c r="C900" s="235" t="s">
        <v>348</v>
      </c>
      <c r="D900" s="226"/>
      <c r="E900" s="226"/>
      <c r="F900" s="176"/>
      <c r="G900" s="226">
        <f t="shared" si="93"/>
        <v>0</v>
      </c>
      <c r="H900" s="226">
        <v>0</v>
      </c>
      <c r="I900" s="665">
        <f t="shared" si="94"/>
        <v>0</v>
      </c>
      <c r="J900" s="666"/>
    </row>
    <row r="901" spans="1:10">
      <c r="C901" s="236" t="s">
        <v>635</v>
      </c>
      <c r="D901" s="245">
        <v>930000</v>
      </c>
      <c r="E901" s="245"/>
      <c r="F901" s="613">
        <v>40000</v>
      </c>
      <c r="G901" s="245">
        <f t="shared" si="93"/>
        <v>970000</v>
      </c>
      <c r="H901" s="245">
        <v>930000</v>
      </c>
      <c r="I901" s="255">
        <f t="shared" si="94"/>
        <v>-40000</v>
      </c>
      <c r="J901" s="637">
        <f>I901/G901</f>
        <v>-4.1237113402061855E-2</v>
      </c>
    </row>
    <row r="902" spans="1:10">
      <c r="C902" s="208" t="s">
        <v>291</v>
      </c>
      <c r="D902" s="189">
        <v>355201</v>
      </c>
      <c r="E902" s="189"/>
      <c r="F902" s="216">
        <v>15000</v>
      </c>
      <c r="G902" s="189">
        <f t="shared" si="93"/>
        <v>370201</v>
      </c>
      <c r="H902" s="189">
        <v>355200</v>
      </c>
      <c r="I902" s="184">
        <f t="shared" si="94"/>
        <v>-15001</v>
      </c>
      <c r="J902" s="632">
        <f>I902/G902</f>
        <v>-4.0521230358643009E-2</v>
      </c>
    </row>
    <row r="903" spans="1:10">
      <c r="C903" s="351"/>
      <c r="D903" s="187"/>
      <c r="E903" s="345"/>
      <c r="F903" s="345"/>
      <c r="G903" s="187">
        <f t="shared" si="93"/>
        <v>0</v>
      </c>
      <c r="H903" s="345">
        <v>0</v>
      </c>
      <c r="I903" s="701">
        <f t="shared" si="94"/>
        <v>0</v>
      </c>
      <c r="J903" s="702"/>
    </row>
    <row r="904" spans="1:10">
      <c r="C904" s="219" t="s">
        <v>351</v>
      </c>
      <c r="D904" s="226">
        <f>SUM(D906,D909,D917,D919,D921,D923,D925,D931,D934,D936,D943,D959)</f>
        <v>8569063</v>
      </c>
      <c r="E904" s="343">
        <f>SUM(E906,E909,E917,E919,E921,E923,E925,E931,E934,E936,E944,E959,E948,E952)</f>
        <v>-22503</v>
      </c>
      <c r="F904" s="343">
        <f>SUM(F906,F909,F917,F919,F921,F923,F925,F931,F934,F936,F943,F959,F954)</f>
        <v>47225</v>
      </c>
      <c r="G904" s="226">
        <f t="shared" si="93"/>
        <v>8593785</v>
      </c>
      <c r="H904" s="343">
        <v>8601760.4668499995</v>
      </c>
      <c r="I904" s="699">
        <f t="shared" si="94"/>
        <v>7975.4668499995023</v>
      </c>
      <c r="J904" s="700">
        <f>I904/G904</f>
        <v>9.2805054466681472E-4</v>
      </c>
    </row>
    <row r="905" spans="1:10">
      <c r="C905" s="219"/>
      <c r="D905" s="242"/>
      <c r="E905" s="259"/>
      <c r="F905" s="259"/>
      <c r="G905" s="242">
        <f t="shared" si="93"/>
        <v>0</v>
      </c>
      <c r="H905" s="259">
        <v>0</v>
      </c>
      <c r="I905" s="368">
        <f t="shared" si="94"/>
        <v>0</v>
      </c>
      <c r="J905" s="649"/>
    </row>
    <row r="906" spans="1:10">
      <c r="A906" s="169" t="s">
        <v>636</v>
      </c>
      <c r="B906" s="169" t="s">
        <v>622</v>
      </c>
      <c r="C906" s="195" t="s">
        <v>637</v>
      </c>
      <c r="D906" s="245">
        <f>1574526+12138+1652</f>
        <v>1588316</v>
      </c>
      <c r="E906" s="245">
        <v>29217</v>
      </c>
      <c r="F906" s="187">
        <f>15682-3233</f>
        <v>12449</v>
      </c>
      <c r="G906" s="245">
        <f t="shared" si="93"/>
        <v>1629982</v>
      </c>
      <c r="H906" s="245">
        <v>1695840.46685</v>
      </c>
      <c r="I906" s="255">
        <f t="shared" si="94"/>
        <v>65858.466849999968</v>
      </c>
      <c r="J906" s="637">
        <f>I906/G906</f>
        <v>4.0404413576346221E-2</v>
      </c>
    </row>
    <row r="907" spans="1:10">
      <c r="C907" s="196" t="s">
        <v>291</v>
      </c>
      <c r="D907" s="246">
        <f>1051936+9072+1235</f>
        <v>1062243</v>
      </c>
      <c r="E907" s="246">
        <v>21836</v>
      </c>
      <c r="F907" s="216">
        <f>11211+11720-2417</f>
        <v>20514</v>
      </c>
      <c r="G907" s="246">
        <f t="shared" si="93"/>
        <v>1104593</v>
      </c>
      <c r="H907" s="246">
        <v>1150680.45</v>
      </c>
      <c r="I907" s="520">
        <f t="shared" si="94"/>
        <v>46087.449999999953</v>
      </c>
      <c r="J907" s="638">
        <f>I907/G907</f>
        <v>4.1723467376671729E-2</v>
      </c>
    </row>
    <row r="908" spans="1:10">
      <c r="C908" s="219"/>
      <c r="D908" s="242"/>
      <c r="E908" s="242"/>
      <c r="F908" s="242"/>
      <c r="G908" s="242">
        <f t="shared" si="93"/>
        <v>0</v>
      </c>
      <c r="H908" s="242">
        <v>0</v>
      </c>
      <c r="I908" s="520">
        <f t="shared" si="94"/>
        <v>0</v>
      </c>
      <c r="J908" s="638"/>
    </row>
    <row r="909" spans="1:10">
      <c r="A909" s="169" t="s">
        <v>638</v>
      </c>
      <c r="B909" s="169" t="s">
        <v>622</v>
      </c>
      <c r="C909" s="213" t="s">
        <v>639</v>
      </c>
      <c r="D909" s="209">
        <f>D910+D911+D912+D913</f>
        <v>5127965</v>
      </c>
      <c r="E909" s="209"/>
      <c r="F909" s="209">
        <f>F910+F911+F912+F913</f>
        <v>8000</v>
      </c>
      <c r="G909" s="209">
        <f t="shared" si="93"/>
        <v>5135965</v>
      </c>
      <c r="H909" s="209">
        <v>5138000</v>
      </c>
      <c r="I909" s="211">
        <f t="shared" si="94"/>
        <v>2035</v>
      </c>
      <c r="J909" s="634">
        <f>I909/G909</f>
        <v>3.9622544156745615E-4</v>
      </c>
    </row>
    <row r="910" spans="1:10">
      <c r="C910" s="210" t="s">
        <v>640</v>
      </c>
      <c r="D910" s="211">
        <v>4600000</v>
      </c>
      <c r="E910" s="211"/>
      <c r="F910" s="211"/>
      <c r="G910" s="211">
        <f t="shared" si="93"/>
        <v>4600000</v>
      </c>
      <c r="H910" s="211">
        <v>4600000</v>
      </c>
      <c r="I910" s="211">
        <f t="shared" si="94"/>
        <v>0</v>
      </c>
      <c r="J910" s="634">
        <f>I910/G910</f>
        <v>0</v>
      </c>
    </row>
    <row r="911" spans="1:10">
      <c r="C911" s="352" t="s">
        <v>641</v>
      </c>
      <c r="D911" s="211">
        <v>390000</v>
      </c>
      <c r="E911" s="211"/>
      <c r="F911" s="211"/>
      <c r="G911" s="211">
        <f t="shared" si="93"/>
        <v>390000</v>
      </c>
      <c r="H911" s="211">
        <v>390000</v>
      </c>
      <c r="I911" s="211">
        <f t="shared" si="94"/>
        <v>0</v>
      </c>
      <c r="J911" s="634">
        <f>I911/G911</f>
        <v>0</v>
      </c>
    </row>
    <row r="912" spans="1:10">
      <c r="C912" s="303" t="s">
        <v>642</v>
      </c>
      <c r="D912" s="211">
        <f>23965</f>
        <v>23965</v>
      </c>
      <c r="E912" s="211"/>
      <c r="F912" s="211"/>
      <c r="G912" s="211">
        <f t="shared" si="93"/>
        <v>23965</v>
      </c>
      <c r="H912" s="211">
        <v>24000</v>
      </c>
      <c r="I912" s="211">
        <f t="shared" si="94"/>
        <v>35</v>
      </c>
      <c r="J912" s="634">
        <f>I912/G912</f>
        <v>1.4604631754642186E-3</v>
      </c>
    </row>
    <row r="913" spans="1:10">
      <c r="C913" s="352" t="s">
        <v>643</v>
      </c>
      <c r="D913" s="211">
        <f>110000+4000</f>
        <v>114000</v>
      </c>
      <c r="E913" s="211"/>
      <c r="F913" s="211">
        <v>8000</v>
      </c>
      <c r="G913" s="211">
        <f t="shared" si="93"/>
        <v>122000</v>
      </c>
      <c r="H913" s="211">
        <v>124000</v>
      </c>
      <c r="I913" s="211">
        <f t="shared" si="94"/>
        <v>2000</v>
      </c>
      <c r="J913" s="634">
        <f>I913/G913</f>
        <v>1.6393442622950821E-2</v>
      </c>
    </row>
    <row r="914" spans="1:10">
      <c r="C914" s="352"/>
      <c r="D914" s="211"/>
      <c r="E914" s="211"/>
      <c r="F914" s="211"/>
      <c r="G914" s="211">
        <f t="shared" si="93"/>
        <v>0</v>
      </c>
      <c r="H914" s="211">
        <v>0</v>
      </c>
      <c r="I914" s="211">
        <f t="shared" si="94"/>
        <v>0</v>
      </c>
      <c r="J914" s="634"/>
    </row>
    <row r="915" spans="1:10" ht="22.5">
      <c r="C915" s="257" t="s">
        <v>644</v>
      </c>
      <c r="D915" s="211"/>
      <c r="E915" s="211"/>
      <c r="F915" s="211"/>
      <c r="G915" s="211">
        <f t="shared" si="93"/>
        <v>0</v>
      </c>
      <c r="H915" s="211">
        <v>0</v>
      </c>
      <c r="I915" s="211">
        <f t="shared" si="94"/>
        <v>0</v>
      </c>
      <c r="J915" s="634"/>
    </row>
    <row r="916" spans="1:10">
      <c r="C916" s="257"/>
      <c r="D916" s="211"/>
      <c r="E916" s="211"/>
      <c r="F916" s="211"/>
      <c r="G916" s="211">
        <f t="shared" si="93"/>
        <v>0</v>
      </c>
      <c r="H916" s="211">
        <v>0</v>
      </c>
      <c r="I916" s="211">
        <f t="shared" si="94"/>
        <v>0</v>
      </c>
      <c r="J916" s="634"/>
    </row>
    <row r="917" spans="1:10">
      <c r="A917" s="169" t="s">
        <v>317</v>
      </c>
      <c r="B917" s="169" t="s">
        <v>622</v>
      </c>
      <c r="C917" s="213" t="s">
        <v>645</v>
      </c>
      <c r="D917" s="209">
        <v>158820</v>
      </c>
      <c r="E917" s="360"/>
      <c r="F917" s="360"/>
      <c r="G917" s="209">
        <f t="shared" si="93"/>
        <v>158820</v>
      </c>
      <c r="H917" s="360">
        <v>158820</v>
      </c>
      <c r="I917" s="363">
        <f t="shared" si="94"/>
        <v>0</v>
      </c>
      <c r="J917" s="648">
        <f>I917/G917</f>
        <v>0</v>
      </c>
    </row>
    <row r="918" spans="1:10">
      <c r="C918" s="341"/>
      <c r="D918" s="250"/>
      <c r="E918" s="362"/>
      <c r="F918" s="362"/>
      <c r="G918" s="250">
        <f t="shared" si="93"/>
        <v>0</v>
      </c>
      <c r="H918" s="362">
        <v>0</v>
      </c>
      <c r="I918" s="703">
        <f t="shared" si="94"/>
        <v>0</v>
      </c>
      <c r="J918" s="704"/>
    </row>
    <row r="919" spans="1:10">
      <c r="A919" s="169" t="s">
        <v>317</v>
      </c>
      <c r="B919" s="169" t="s">
        <v>622</v>
      </c>
      <c r="C919" s="213" t="s">
        <v>646</v>
      </c>
      <c r="D919" s="209">
        <v>200000</v>
      </c>
      <c r="E919" s="209"/>
      <c r="F919" s="209"/>
      <c r="G919" s="209">
        <f t="shared" si="93"/>
        <v>200000</v>
      </c>
      <c r="H919" s="209">
        <v>225000</v>
      </c>
      <c r="I919" s="211">
        <f t="shared" si="94"/>
        <v>25000</v>
      </c>
      <c r="J919" s="634">
        <f>I919/G919</f>
        <v>0.125</v>
      </c>
    </row>
    <row r="920" spans="1:10">
      <c r="C920" s="206"/>
      <c r="D920" s="209"/>
      <c r="E920" s="360"/>
      <c r="F920" s="360"/>
      <c r="G920" s="209">
        <f t="shared" si="93"/>
        <v>0</v>
      </c>
      <c r="H920" s="360">
        <v>0</v>
      </c>
      <c r="I920" s="363">
        <f t="shared" si="94"/>
        <v>0</v>
      </c>
      <c r="J920" s="648"/>
    </row>
    <row r="921" spans="1:10">
      <c r="A921" s="169" t="s">
        <v>317</v>
      </c>
      <c r="B921" s="169" t="s">
        <v>622</v>
      </c>
      <c r="C921" s="206" t="s">
        <v>647</v>
      </c>
      <c r="D921" s="209">
        <v>7000</v>
      </c>
      <c r="E921" s="360"/>
      <c r="F921" s="360"/>
      <c r="G921" s="209">
        <f t="shared" si="93"/>
        <v>7000</v>
      </c>
      <c r="H921" s="360">
        <v>7000</v>
      </c>
      <c r="I921" s="363">
        <f t="shared" si="94"/>
        <v>0</v>
      </c>
      <c r="J921" s="648">
        <f>I921/G921</f>
        <v>0</v>
      </c>
    </row>
    <row r="922" spans="1:10">
      <c r="C922" s="206"/>
      <c r="D922" s="209"/>
      <c r="E922" s="360"/>
      <c r="F922" s="360"/>
      <c r="G922" s="209">
        <f t="shared" si="93"/>
        <v>0</v>
      </c>
      <c r="H922" s="360">
        <v>0</v>
      </c>
      <c r="I922" s="363">
        <f t="shared" si="94"/>
        <v>0</v>
      </c>
      <c r="J922" s="648"/>
    </row>
    <row r="923" spans="1:10">
      <c r="A923" s="169" t="s">
        <v>623</v>
      </c>
      <c r="B923" s="169" t="s">
        <v>622</v>
      </c>
      <c r="C923" s="195" t="s">
        <v>648</v>
      </c>
      <c r="D923" s="187">
        <v>66500</v>
      </c>
      <c r="E923" s="187"/>
      <c r="F923" s="187"/>
      <c r="G923" s="187">
        <f t="shared" si="93"/>
        <v>66500</v>
      </c>
      <c r="H923" s="187">
        <v>66500</v>
      </c>
      <c r="I923" s="661">
        <f t="shared" si="94"/>
        <v>0</v>
      </c>
      <c r="J923" s="637">
        <f>I923/G923</f>
        <v>0</v>
      </c>
    </row>
    <row r="924" spans="1:10">
      <c r="C924" s="206"/>
      <c r="D924" s="209"/>
      <c r="E924" s="360"/>
      <c r="F924" s="360"/>
      <c r="G924" s="209">
        <f t="shared" si="93"/>
        <v>0</v>
      </c>
      <c r="H924" s="360">
        <v>0</v>
      </c>
      <c r="I924" s="363">
        <f t="shared" si="94"/>
        <v>0</v>
      </c>
      <c r="J924" s="648"/>
    </row>
    <row r="925" spans="1:10">
      <c r="A925" s="169" t="s">
        <v>632</v>
      </c>
      <c r="B925" s="169" t="s">
        <v>622</v>
      </c>
      <c r="C925" s="213" t="s">
        <v>649</v>
      </c>
      <c r="D925" s="209">
        <v>331000</v>
      </c>
      <c r="E925" s="360"/>
      <c r="F925" s="360">
        <v>29600</v>
      </c>
      <c r="G925" s="209">
        <f t="shared" si="93"/>
        <v>360600</v>
      </c>
      <c r="H925" s="360">
        <v>330000</v>
      </c>
      <c r="I925" s="363">
        <f t="shared" si="94"/>
        <v>-30600</v>
      </c>
      <c r="J925" s="648">
        <f>I925/G925</f>
        <v>-8.4858569051580693E-2</v>
      </c>
    </row>
    <row r="926" spans="1:10">
      <c r="C926" s="210" t="s">
        <v>1261</v>
      </c>
      <c r="D926" s="411"/>
      <c r="E926" s="413"/>
      <c r="F926" s="413"/>
      <c r="G926" s="684"/>
      <c r="H926" s="414"/>
      <c r="I926" s="414"/>
      <c r="J926" s="641"/>
    </row>
    <row r="927" spans="1:10">
      <c r="C927" s="212" t="s">
        <v>650</v>
      </c>
      <c r="D927" s="411"/>
      <c r="E927" s="413"/>
      <c r="F927" s="413"/>
      <c r="G927" s="684"/>
      <c r="H927" s="414"/>
      <c r="I927" s="414"/>
      <c r="J927" s="641"/>
    </row>
    <row r="928" spans="1:10">
      <c r="C928" s="212" t="s">
        <v>651</v>
      </c>
      <c r="D928" s="411"/>
      <c r="E928" s="413"/>
      <c r="F928" s="411"/>
      <c r="G928" s="411"/>
      <c r="H928" s="414"/>
      <c r="I928" s="414"/>
      <c r="J928" s="641"/>
    </row>
    <row r="929" spans="1:10">
      <c r="C929" s="212" t="s">
        <v>803</v>
      </c>
      <c r="D929" s="411"/>
      <c r="E929" s="413"/>
      <c r="F929" s="413"/>
      <c r="G929" s="684"/>
      <c r="H929" s="414"/>
      <c r="I929" s="414"/>
      <c r="J929" s="641"/>
    </row>
    <row r="930" spans="1:10">
      <c r="C930" s="213"/>
      <c r="D930" s="209"/>
      <c r="E930" s="360"/>
      <c r="F930" s="360"/>
      <c r="G930" s="209"/>
      <c r="H930" s="360"/>
      <c r="I930" s="363"/>
      <c r="J930" s="648"/>
    </row>
    <row r="931" spans="1:10">
      <c r="A931" s="169" t="s">
        <v>632</v>
      </c>
      <c r="B931" s="169" t="s">
        <v>622</v>
      </c>
      <c r="C931" s="213" t="s">
        <v>652</v>
      </c>
      <c r="D931" s="209">
        <v>185600</v>
      </c>
      <c r="E931" s="209"/>
      <c r="F931" s="209"/>
      <c r="G931" s="209">
        <f t="shared" si="93"/>
        <v>185600</v>
      </c>
      <c r="H931" s="209">
        <v>185600</v>
      </c>
      <c r="I931" s="211">
        <f t="shared" ref="I931:I960" si="95">H931-G931</f>
        <v>0</v>
      </c>
      <c r="J931" s="634">
        <f>I931/G931</f>
        <v>0</v>
      </c>
    </row>
    <row r="932" spans="1:10">
      <c r="C932" s="196" t="s">
        <v>291</v>
      </c>
      <c r="D932" s="246">
        <v>67915</v>
      </c>
      <c r="E932" s="246"/>
      <c r="F932" s="246"/>
      <c r="G932" s="246">
        <f t="shared" si="93"/>
        <v>67915</v>
      </c>
      <c r="H932" s="246">
        <v>67915</v>
      </c>
      <c r="I932" s="520">
        <f t="shared" si="95"/>
        <v>0</v>
      </c>
      <c r="J932" s="638">
        <f>I932/G932</f>
        <v>0</v>
      </c>
    </row>
    <row r="933" spans="1:10">
      <c r="C933" s="260"/>
      <c r="D933" s="211"/>
      <c r="E933" s="363"/>
      <c r="F933" s="363"/>
      <c r="G933" s="211">
        <f t="shared" si="93"/>
        <v>0</v>
      </c>
      <c r="H933" s="363">
        <v>0</v>
      </c>
      <c r="I933" s="363">
        <f t="shared" si="95"/>
        <v>0</v>
      </c>
      <c r="J933" s="648"/>
    </row>
    <row r="934" spans="1:10">
      <c r="A934" s="169" t="s">
        <v>632</v>
      </c>
      <c r="B934" s="169" t="s">
        <v>622</v>
      </c>
      <c r="C934" s="213" t="s">
        <v>653</v>
      </c>
      <c r="D934" s="209">
        <v>100000</v>
      </c>
      <c r="E934" s="209">
        <v>-100000</v>
      </c>
      <c r="F934" s="209"/>
      <c r="G934" s="209">
        <f t="shared" si="93"/>
        <v>0</v>
      </c>
      <c r="H934" s="209">
        <v>0</v>
      </c>
      <c r="I934" s="211">
        <f t="shared" si="95"/>
        <v>0</v>
      </c>
      <c r="J934" s="634"/>
    </row>
    <row r="935" spans="1:10">
      <c r="C935" s="260"/>
      <c r="D935" s="211"/>
      <c r="G935" s="211">
        <f t="shared" si="93"/>
        <v>0</v>
      </c>
      <c r="H935" s="363">
        <v>0</v>
      </c>
      <c r="I935" s="363">
        <f t="shared" si="95"/>
        <v>0</v>
      </c>
      <c r="J935" s="648"/>
    </row>
    <row r="936" spans="1:10">
      <c r="C936" s="213" t="s">
        <v>654</v>
      </c>
      <c r="D936" s="209">
        <f>D937+D938</f>
        <v>790000</v>
      </c>
      <c r="F936" s="209">
        <f>SUM(F937:F939)</f>
        <v>0</v>
      </c>
      <c r="G936" s="209">
        <f t="shared" si="93"/>
        <v>790000</v>
      </c>
      <c r="H936" s="209">
        <v>790000</v>
      </c>
      <c r="I936" s="211">
        <f t="shared" si="95"/>
        <v>0</v>
      </c>
      <c r="J936" s="634">
        <f>I936/G936</f>
        <v>0</v>
      </c>
    </row>
    <row r="937" spans="1:10">
      <c r="A937" s="169" t="s">
        <v>632</v>
      </c>
      <c r="B937" s="169" t="s">
        <v>622</v>
      </c>
      <c r="C937" s="212" t="s">
        <v>655</v>
      </c>
      <c r="D937" s="211">
        <v>395000</v>
      </c>
      <c r="F937" s="614">
        <v>150000</v>
      </c>
      <c r="G937" s="211">
        <f t="shared" si="93"/>
        <v>545000</v>
      </c>
      <c r="H937" s="211">
        <v>500000</v>
      </c>
      <c r="I937" s="211">
        <f t="shared" si="95"/>
        <v>-45000</v>
      </c>
      <c r="J937" s="634">
        <f>I937/G937</f>
        <v>-8.2568807339449546E-2</v>
      </c>
    </row>
    <row r="938" spans="1:10">
      <c r="A938" s="169" t="s">
        <v>632</v>
      </c>
      <c r="B938" s="169" t="s">
        <v>622</v>
      </c>
      <c r="C938" s="212" t="s">
        <v>656</v>
      </c>
      <c r="D938" s="211">
        <v>395000</v>
      </c>
      <c r="F938" s="614">
        <v>-190000</v>
      </c>
      <c r="G938" s="211">
        <f t="shared" si="93"/>
        <v>205000</v>
      </c>
      <c r="H938" s="211">
        <v>250000</v>
      </c>
      <c r="I938" s="211">
        <f t="shared" si="95"/>
        <v>45000</v>
      </c>
      <c r="J938" s="634">
        <f>I938/G938</f>
        <v>0.21951219512195122</v>
      </c>
    </row>
    <row r="939" spans="1:10">
      <c r="A939" s="169" t="s">
        <v>632</v>
      </c>
      <c r="B939" s="169" t="s">
        <v>622</v>
      </c>
      <c r="C939" s="212" t="s">
        <v>1256</v>
      </c>
      <c r="D939" s="211"/>
      <c r="F939" s="614">
        <v>40000</v>
      </c>
      <c r="G939" s="211">
        <f t="shared" si="93"/>
        <v>40000</v>
      </c>
      <c r="H939" s="211">
        <v>40000</v>
      </c>
      <c r="I939" s="211">
        <f t="shared" si="95"/>
        <v>0</v>
      </c>
      <c r="J939" s="634">
        <f>I939/G939</f>
        <v>0</v>
      </c>
    </row>
    <row r="940" spans="1:10">
      <c r="C940" s="212"/>
      <c r="D940" s="209"/>
      <c r="G940" s="209">
        <f t="shared" si="93"/>
        <v>0</v>
      </c>
      <c r="H940" s="209">
        <v>0</v>
      </c>
      <c r="I940" s="211">
        <f t="shared" si="95"/>
        <v>0</v>
      </c>
      <c r="J940" s="634"/>
    </row>
    <row r="941" spans="1:10">
      <c r="C941" s="257" t="s">
        <v>657</v>
      </c>
      <c r="D941" s="209"/>
      <c r="G941" s="209">
        <f t="shared" si="93"/>
        <v>0</v>
      </c>
      <c r="H941" s="209">
        <v>0</v>
      </c>
      <c r="I941" s="211">
        <f t="shared" si="95"/>
        <v>0</v>
      </c>
      <c r="J941" s="634"/>
    </row>
    <row r="942" spans="1:10">
      <c r="C942" s="213"/>
      <c r="D942" s="209"/>
      <c r="G942" s="209">
        <f t="shared" si="93"/>
        <v>0</v>
      </c>
      <c r="H942" s="209">
        <v>0</v>
      </c>
      <c r="I942" s="211">
        <f t="shared" si="95"/>
        <v>0</v>
      </c>
      <c r="J942" s="634"/>
    </row>
    <row r="943" spans="1:10" ht="25.5">
      <c r="A943" s="169" t="s">
        <v>636</v>
      </c>
      <c r="B943" s="169" t="s">
        <v>622</v>
      </c>
      <c r="C943" s="213" t="s">
        <v>658</v>
      </c>
      <c r="D943" s="209">
        <v>6862</v>
      </c>
      <c r="G943" s="209">
        <f t="shared" si="93"/>
        <v>6862</v>
      </c>
      <c r="H943" s="209">
        <v>0</v>
      </c>
      <c r="I943" s="211">
        <f t="shared" si="95"/>
        <v>-6862</v>
      </c>
      <c r="J943" s="634">
        <f>I943/G943</f>
        <v>-1</v>
      </c>
    </row>
    <row r="944" spans="1:10">
      <c r="C944" s="196" t="s">
        <v>291</v>
      </c>
      <c r="D944" s="246">
        <v>3466</v>
      </c>
      <c r="G944" s="246">
        <f t="shared" si="93"/>
        <v>3466</v>
      </c>
      <c r="H944" s="246">
        <v>0</v>
      </c>
      <c r="I944" s="520">
        <f t="shared" si="95"/>
        <v>-3466</v>
      </c>
      <c r="J944" s="638">
        <f>I944/G944</f>
        <v>-1</v>
      </c>
    </row>
    <row r="945" spans="1:10">
      <c r="C945" s="213"/>
      <c r="D945" s="209"/>
      <c r="G945" s="209">
        <f t="shared" si="93"/>
        <v>0</v>
      </c>
      <c r="H945" s="209">
        <v>0</v>
      </c>
      <c r="I945" s="211">
        <f t="shared" si="95"/>
        <v>0</v>
      </c>
      <c r="J945" s="634"/>
    </row>
    <row r="946" spans="1:10">
      <c r="C946" s="217" t="s">
        <v>337</v>
      </c>
      <c r="D946" s="246">
        <v>6118</v>
      </c>
      <c r="G946" s="246">
        <f t="shared" si="93"/>
        <v>6118</v>
      </c>
      <c r="H946" s="246">
        <v>0</v>
      </c>
      <c r="I946" s="520">
        <f t="shared" si="95"/>
        <v>-6118</v>
      </c>
      <c r="J946" s="638">
        <f>I946/G946</f>
        <v>-1</v>
      </c>
    </row>
    <row r="947" spans="1:10">
      <c r="C947" s="217"/>
      <c r="D947" s="246"/>
      <c r="G947" s="246">
        <f t="shared" si="93"/>
        <v>0</v>
      </c>
      <c r="H947" s="246">
        <v>0</v>
      </c>
      <c r="I947" s="520">
        <f t="shared" si="95"/>
        <v>0</v>
      </c>
      <c r="J947" s="638"/>
    </row>
    <row r="948" spans="1:10" ht="25.5">
      <c r="A948" s="169" t="s">
        <v>636</v>
      </c>
      <c r="B948" s="169" t="s">
        <v>622</v>
      </c>
      <c r="C948" s="213" t="s">
        <v>659</v>
      </c>
      <c r="D948" s="209"/>
      <c r="E948" s="209">
        <v>38280</v>
      </c>
      <c r="F948" s="209"/>
      <c r="G948" s="209">
        <f t="shared" si="93"/>
        <v>38280</v>
      </c>
      <c r="H948" s="209">
        <v>0</v>
      </c>
      <c r="I948" s="211">
        <f t="shared" si="95"/>
        <v>-38280</v>
      </c>
      <c r="J948" s="634">
        <f>I948/G948</f>
        <v>-1</v>
      </c>
    </row>
    <row r="949" spans="1:10">
      <c r="C949" s="213"/>
      <c r="D949" s="209"/>
      <c r="E949" s="246"/>
      <c r="F949" s="246"/>
      <c r="G949" s="209">
        <f t="shared" si="93"/>
        <v>0</v>
      </c>
      <c r="H949" s="209">
        <v>0</v>
      </c>
      <c r="I949" s="211">
        <f t="shared" si="95"/>
        <v>0</v>
      </c>
      <c r="J949" s="634"/>
    </row>
    <row r="950" spans="1:10">
      <c r="C950" s="217" t="s">
        <v>337</v>
      </c>
      <c r="D950" s="209"/>
      <c r="E950" s="246">
        <v>32538</v>
      </c>
      <c r="F950" s="246"/>
      <c r="G950" s="209">
        <f t="shared" si="93"/>
        <v>32538</v>
      </c>
      <c r="H950" s="209">
        <v>0</v>
      </c>
      <c r="I950" s="211">
        <f t="shared" si="95"/>
        <v>-32538</v>
      </c>
      <c r="J950" s="634">
        <f>I950/G950</f>
        <v>-1</v>
      </c>
    </row>
    <row r="951" spans="1:10">
      <c r="C951" s="217"/>
      <c r="D951" s="209"/>
      <c r="E951" s="246"/>
      <c r="F951" s="246"/>
      <c r="G951" s="209">
        <f t="shared" si="93"/>
        <v>0</v>
      </c>
      <c r="H951" s="209">
        <v>0</v>
      </c>
      <c r="I951" s="211">
        <f t="shared" si="95"/>
        <v>0</v>
      </c>
      <c r="J951" s="634"/>
    </row>
    <row r="952" spans="1:10" ht="25.5">
      <c r="A952" s="169" t="s">
        <v>638</v>
      </c>
      <c r="B952" s="169" t="s">
        <v>622</v>
      </c>
      <c r="C952" s="213" t="s">
        <v>660</v>
      </c>
      <c r="D952" s="209"/>
      <c r="E952" s="209">
        <v>10000</v>
      </c>
      <c r="F952" s="209"/>
      <c r="G952" s="209">
        <f t="shared" si="93"/>
        <v>10000</v>
      </c>
      <c r="H952" s="209">
        <v>0</v>
      </c>
      <c r="I952" s="211">
        <f t="shared" si="95"/>
        <v>-10000</v>
      </c>
      <c r="J952" s="634">
        <f>I952/G952</f>
        <v>-1</v>
      </c>
    </row>
    <row r="953" spans="1:10">
      <c r="C953" s="206"/>
      <c r="D953" s="209"/>
      <c r="E953" s="209"/>
      <c r="F953" s="209"/>
      <c r="G953" s="209">
        <f t="shared" si="93"/>
        <v>0</v>
      </c>
      <c r="H953" s="209">
        <v>0</v>
      </c>
      <c r="I953" s="211">
        <f t="shared" si="95"/>
        <v>0</v>
      </c>
      <c r="J953" s="634"/>
    </row>
    <row r="954" spans="1:10" ht="25.5">
      <c r="A954" s="169" t="s">
        <v>638</v>
      </c>
      <c r="B954" s="169" t="s">
        <v>622</v>
      </c>
      <c r="C954" s="213" t="s">
        <v>1078</v>
      </c>
      <c r="D954" s="209"/>
      <c r="E954" s="209"/>
      <c r="F954" s="273">
        <f>SUM(F956:F957)</f>
        <v>4176</v>
      </c>
      <c r="G954" s="209">
        <f t="shared" si="93"/>
        <v>4176</v>
      </c>
      <c r="H954" s="209">
        <v>0</v>
      </c>
      <c r="I954" s="211">
        <f t="shared" si="95"/>
        <v>-4176</v>
      </c>
      <c r="J954" s="634">
        <f>I954/G954</f>
        <v>-1</v>
      </c>
    </row>
    <row r="955" spans="1:10">
      <c r="C955" s="213"/>
      <c r="D955" s="209"/>
      <c r="E955" s="209"/>
      <c r="F955" s="273"/>
      <c r="G955" s="209">
        <f t="shared" si="93"/>
        <v>0</v>
      </c>
      <c r="H955" s="209">
        <v>0</v>
      </c>
      <c r="I955" s="211">
        <f t="shared" si="95"/>
        <v>0</v>
      </c>
      <c r="J955" s="634"/>
    </row>
    <row r="956" spans="1:10">
      <c r="C956" s="217" t="s">
        <v>1079</v>
      </c>
      <c r="D956" s="209"/>
      <c r="E956" s="209"/>
      <c r="F956" s="588">
        <v>418</v>
      </c>
      <c r="G956" s="209">
        <f t="shared" ref="G956:G1018" si="96">SUM(D956:F956)</f>
        <v>418</v>
      </c>
      <c r="H956" s="209">
        <v>0</v>
      </c>
      <c r="I956" s="211">
        <f t="shared" si="95"/>
        <v>-418</v>
      </c>
      <c r="J956" s="634">
        <f>I956/G956</f>
        <v>-1</v>
      </c>
    </row>
    <row r="957" spans="1:10">
      <c r="C957" s="217" t="s">
        <v>337</v>
      </c>
      <c r="D957" s="209"/>
      <c r="E957" s="209"/>
      <c r="F957" s="588">
        <v>3758</v>
      </c>
      <c r="G957" s="209">
        <f t="shared" si="96"/>
        <v>3758</v>
      </c>
      <c r="H957" s="209">
        <v>0</v>
      </c>
      <c r="I957" s="211">
        <f t="shared" si="95"/>
        <v>-3758</v>
      </c>
      <c r="J957" s="634">
        <f>I957/G957</f>
        <v>-1</v>
      </c>
    </row>
    <row r="958" spans="1:10">
      <c r="C958" s="206"/>
      <c r="D958" s="209"/>
      <c r="E958" s="209"/>
      <c r="F958" s="279"/>
      <c r="G958" s="209">
        <f t="shared" si="96"/>
        <v>0</v>
      </c>
      <c r="H958" s="209">
        <v>0</v>
      </c>
      <c r="I958" s="211">
        <f t="shared" si="95"/>
        <v>0</v>
      </c>
      <c r="J958" s="634"/>
    </row>
    <row r="959" spans="1:10">
      <c r="A959" s="169" t="s">
        <v>636</v>
      </c>
      <c r="B959" s="169" t="s">
        <v>622</v>
      </c>
      <c r="C959" s="206" t="s">
        <v>661</v>
      </c>
      <c r="D959" s="209">
        <v>7000</v>
      </c>
      <c r="F959" s="279">
        <v>-7000</v>
      </c>
      <c r="G959" s="209">
        <f t="shared" si="96"/>
        <v>0</v>
      </c>
      <c r="H959" s="209">
        <v>5000</v>
      </c>
      <c r="I959" s="211">
        <f t="shared" si="95"/>
        <v>5000</v>
      </c>
      <c r="J959" s="634"/>
    </row>
    <row r="960" spans="1:10">
      <c r="C960" s="206"/>
      <c r="D960" s="209"/>
      <c r="G960" s="209">
        <f t="shared" si="96"/>
        <v>0</v>
      </c>
      <c r="H960" s="209">
        <v>0</v>
      </c>
      <c r="I960" s="211">
        <f t="shared" si="95"/>
        <v>0</v>
      </c>
      <c r="J960" s="634"/>
    </row>
    <row r="961" spans="1:10">
      <c r="C961" s="356"/>
      <c r="D961" s="211"/>
      <c r="G961" s="211">
        <f t="shared" si="96"/>
        <v>0</v>
      </c>
      <c r="H961" s="363">
        <v>0</v>
      </c>
      <c r="I961" s="363">
        <f t="shared" ref="I961:I992" si="97">H961-G961</f>
        <v>0</v>
      </c>
      <c r="J961" s="648"/>
    </row>
    <row r="962" spans="1:10" ht="15.75">
      <c r="C962" s="225" t="s">
        <v>662</v>
      </c>
      <c r="D962" s="226"/>
      <c r="G962" s="226">
        <f t="shared" si="96"/>
        <v>0</v>
      </c>
      <c r="H962" s="343">
        <v>0</v>
      </c>
      <c r="I962" s="699">
        <f t="shared" si="97"/>
        <v>0</v>
      </c>
      <c r="J962" s="700"/>
    </row>
    <row r="963" spans="1:10">
      <c r="C963" s="219"/>
      <c r="D963" s="226"/>
      <c r="G963" s="226">
        <f t="shared" si="96"/>
        <v>0</v>
      </c>
      <c r="H963" s="343">
        <v>0</v>
      </c>
      <c r="I963" s="699">
        <f t="shared" si="97"/>
        <v>0</v>
      </c>
      <c r="J963" s="700"/>
    </row>
    <row r="964" spans="1:10">
      <c r="C964" s="219" t="s">
        <v>5</v>
      </c>
      <c r="D964" s="226">
        <f>SUM(D971,D999,D1002,D1006)</f>
        <v>7969666</v>
      </c>
      <c r="E964" s="343">
        <f>SUM(E971,E999,E1002,E1006)</f>
        <v>520672</v>
      </c>
      <c r="F964" s="343">
        <f>SUM(F971,F999,F1002,F1006)</f>
        <v>75915</v>
      </c>
      <c r="G964" s="226">
        <f t="shared" si="96"/>
        <v>8566253</v>
      </c>
      <c r="H964" s="343">
        <v>9739969.4437374994</v>
      </c>
      <c r="I964" s="699">
        <f t="shared" si="97"/>
        <v>1173716.4437374994</v>
      </c>
      <c r="J964" s="700">
        <f t="shared" ref="J964:J969" si="98">I964/G964</f>
        <v>0.13701631783902476</v>
      </c>
    </row>
    <row r="965" spans="1:10">
      <c r="C965" s="177" t="s">
        <v>285</v>
      </c>
      <c r="D965" s="242">
        <v>1150000</v>
      </c>
      <c r="E965" s="242"/>
      <c r="F965" s="242"/>
      <c r="G965" s="242">
        <f t="shared" si="96"/>
        <v>1150000</v>
      </c>
      <c r="H965" s="242">
        <v>1150000</v>
      </c>
      <c r="I965" s="520">
        <f t="shared" si="97"/>
        <v>0</v>
      </c>
      <c r="J965" s="638">
        <f t="shared" si="98"/>
        <v>0</v>
      </c>
    </row>
    <row r="966" spans="1:10">
      <c r="C966" s="220" t="s">
        <v>286</v>
      </c>
      <c r="D966" s="226">
        <f>SUM(D967:D969)</f>
        <v>7969666</v>
      </c>
      <c r="E966" s="343">
        <f>SUM(E967:E969)</f>
        <v>520672</v>
      </c>
      <c r="F966" s="343">
        <f>SUM(F967:F969)</f>
        <v>75915</v>
      </c>
      <c r="G966" s="226">
        <f t="shared" si="96"/>
        <v>8566253</v>
      </c>
      <c r="H966" s="343">
        <v>9739969.4437374994</v>
      </c>
      <c r="I966" s="699">
        <f t="shared" si="97"/>
        <v>1173716.4437374994</v>
      </c>
      <c r="J966" s="700">
        <f t="shared" si="98"/>
        <v>0.13701631783902476</v>
      </c>
    </row>
    <row r="967" spans="1:10">
      <c r="C967" s="221" t="s">
        <v>287</v>
      </c>
      <c r="D967" s="242">
        <v>4007930</v>
      </c>
      <c r="E967" s="259">
        <v>1600</v>
      </c>
      <c r="F967" s="259">
        <v>297000</v>
      </c>
      <c r="G967" s="242">
        <f t="shared" si="96"/>
        <v>4306530</v>
      </c>
      <c r="H967" s="259">
        <v>5542210</v>
      </c>
      <c r="I967" s="368">
        <f t="shared" si="97"/>
        <v>1235680</v>
      </c>
      <c r="J967" s="649">
        <f t="shared" si="98"/>
        <v>0.2869317060371111</v>
      </c>
    </row>
    <row r="968" spans="1:10">
      <c r="C968" s="222" t="s">
        <v>298</v>
      </c>
      <c r="D968" s="242">
        <v>24484</v>
      </c>
      <c r="E968" s="259">
        <v>107979</v>
      </c>
      <c r="F968" s="259">
        <v>3462</v>
      </c>
      <c r="G968" s="242">
        <f t="shared" si="96"/>
        <v>135925</v>
      </c>
      <c r="H968" s="259">
        <v>176363</v>
      </c>
      <c r="I968" s="368">
        <f t="shared" si="97"/>
        <v>40438</v>
      </c>
      <c r="J968" s="649">
        <f t="shared" si="98"/>
        <v>0.29750229906198272</v>
      </c>
    </row>
    <row r="969" spans="1:10">
      <c r="C969" s="222" t="s">
        <v>288</v>
      </c>
      <c r="D969" s="242">
        <f>D964-D967-D968</f>
        <v>3937252</v>
      </c>
      <c r="E969" s="259">
        <f>E964-E967-E968</f>
        <v>411093</v>
      </c>
      <c r="F969" s="259">
        <f>F964-F967-F968</f>
        <v>-224547</v>
      </c>
      <c r="G969" s="242">
        <f t="shared" si="96"/>
        <v>4123798</v>
      </c>
      <c r="H969" s="259">
        <v>4021396.4437374999</v>
      </c>
      <c r="I969" s="368">
        <f t="shared" si="97"/>
        <v>-102401.55626250012</v>
      </c>
      <c r="J969" s="649">
        <f t="shared" si="98"/>
        <v>-2.4831855552211849E-2</v>
      </c>
    </row>
    <row r="970" spans="1:10">
      <c r="C970" s="227"/>
      <c r="D970" s="242"/>
      <c r="G970" s="242">
        <f t="shared" si="96"/>
        <v>0</v>
      </c>
      <c r="H970" s="259">
        <v>0</v>
      </c>
      <c r="I970" s="368">
        <f t="shared" si="97"/>
        <v>0</v>
      </c>
      <c r="J970" s="649"/>
    </row>
    <row r="971" spans="1:10" ht="15">
      <c r="A971" s="169" t="s">
        <v>632</v>
      </c>
      <c r="B971" s="169" t="s">
        <v>662</v>
      </c>
      <c r="C971" s="364" t="s">
        <v>633</v>
      </c>
      <c r="D971" s="229">
        <f>SUM(D972,D982,D988,D990)</f>
        <v>4928097</v>
      </c>
      <c r="E971" s="344">
        <f>SUM(E972,E982,E988,E990)</f>
        <v>390000</v>
      </c>
      <c r="F971" s="344">
        <f>SUM(F972,F982,F988,F990)</f>
        <v>67000</v>
      </c>
      <c r="G971" s="229">
        <f t="shared" si="96"/>
        <v>5385097</v>
      </c>
      <c r="H971" s="344">
        <v>6396285</v>
      </c>
      <c r="I971" s="699">
        <f t="shared" si="97"/>
        <v>1011188</v>
      </c>
      <c r="J971" s="700">
        <f>I971/G971</f>
        <v>0.18777526198692429</v>
      </c>
    </row>
    <row r="972" spans="1:10">
      <c r="C972" s="223" t="s">
        <v>634</v>
      </c>
      <c r="D972" s="226">
        <f>SUM(D974,D977)</f>
        <v>150000</v>
      </c>
      <c r="E972" s="343">
        <f>SUM(E974,E977,E980)</f>
        <v>240000</v>
      </c>
      <c r="F972" s="343">
        <f>SUM(F974,F977)</f>
        <v>0</v>
      </c>
      <c r="G972" s="226">
        <f t="shared" si="96"/>
        <v>390000</v>
      </c>
      <c r="H972" s="343">
        <v>572500</v>
      </c>
      <c r="I972" s="699">
        <f t="shared" si="97"/>
        <v>182500</v>
      </c>
      <c r="J972" s="700">
        <f>I972/G972</f>
        <v>0.46794871794871795</v>
      </c>
    </row>
    <row r="973" spans="1:10">
      <c r="C973" s="235" t="s">
        <v>348</v>
      </c>
      <c r="D973" s="226"/>
      <c r="G973" s="226">
        <f t="shared" si="96"/>
        <v>0</v>
      </c>
      <c r="H973" s="226">
        <v>0</v>
      </c>
      <c r="I973" s="665">
        <f t="shared" si="97"/>
        <v>0</v>
      </c>
      <c r="J973" s="666"/>
    </row>
    <row r="974" spans="1:10">
      <c r="C974" s="236" t="s">
        <v>663</v>
      </c>
      <c r="D974" s="209">
        <v>100000</v>
      </c>
      <c r="G974" s="209">
        <f t="shared" si="96"/>
        <v>100000</v>
      </c>
      <c r="H974" s="209">
        <v>189000</v>
      </c>
      <c r="I974" s="211">
        <f t="shared" si="97"/>
        <v>89000</v>
      </c>
      <c r="J974" s="634">
        <f>I974/G974</f>
        <v>0.89</v>
      </c>
    </row>
    <row r="975" spans="1:10">
      <c r="C975" s="346"/>
      <c r="D975" s="654"/>
      <c r="G975" s="654">
        <f t="shared" si="96"/>
        <v>0</v>
      </c>
      <c r="H975" s="347">
        <v>0</v>
      </c>
      <c r="I975" s="347">
        <f t="shared" si="97"/>
        <v>0</v>
      </c>
      <c r="J975" s="646"/>
    </row>
    <row r="976" spans="1:10">
      <c r="C976" s="235" t="s">
        <v>628</v>
      </c>
      <c r="D976" s="209"/>
      <c r="G976" s="209">
        <f t="shared" si="96"/>
        <v>0</v>
      </c>
      <c r="H976" s="209">
        <v>0</v>
      </c>
      <c r="I976" s="211">
        <f t="shared" si="97"/>
        <v>0</v>
      </c>
      <c r="J976" s="634"/>
    </row>
    <row r="977" spans="3:10">
      <c r="C977" s="290" t="s">
        <v>664</v>
      </c>
      <c r="D977" s="209">
        <v>50000</v>
      </c>
      <c r="G977" s="209">
        <f t="shared" si="96"/>
        <v>50000</v>
      </c>
      <c r="H977" s="209">
        <v>50000</v>
      </c>
      <c r="I977" s="211">
        <f t="shared" si="97"/>
        <v>0</v>
      </c>
      <c r="J977" s="634">
        <f>I977/G977</f>
        <v>0</v>
      </c>
    </row>
    <row r="978" spans="3:10">
      <c r="C978" s="290"/>
      <c r="D978" s="209"/>
      <c r="G978" s="209">
        <f t="shared" si="96"/>
        <v>0</v>
      </c>
      <c r="H978" s="209">
        <v>0</v>
      </c>
      <c r="I978" s="211">
        <f t="shared" si="97"/>
        <v>0</v>
      </c>
      <c r="J978" s="634"/>
    </row>
    <row r="979" spans="3:10">
      <c r="C979" s="235" t="s">
        <v>628</v>
      </c>
      <c r="D979" s="209"/>
      <c r="G979" s="209">
        <f t="shared" si="96"/>
        <v>0</v>
      </c>
      <c r="H979" s="209">
        <v>0</v>
      </c>
      <c r="I979" s="211">
        <f t="shared" si="97"/>
        <v>0</v>
      </c>
      <c r="J979" s="634"/>
    </row>
    <row r="980" spans="3:10">
      <c r="C980" s="290" t="s">
        <v>665</v>
      </c>
      <c r="D980" s="209"/>
      <c r="E980" s="209">
        <v>240000</v>
      </c>
      <c r="F980" s="209"/>
      <c r="G980" s="209">
        <f t="shared" si="96"/>
        <v>240000</v>
      </c>
      <c r="H980" s="209">
        <v>333500</v>
      </c>
      <c r="I980" s="211">
        <f t="shared" si="97"/>
        <v>93500</v>
      </c>
      <c r="J980" s="634">
        <f>I980/G980</f>
        <v>0.38958333333333334</v>
      </c>
    </row>
    <row r="981" spans="3:10">
      <c r="C981" s="290"/>
      <c r="D981" s="209"/>
      <c r="G981" s="209">
        <f t="shared" si="96"/>
        <v>0</v>
      </c>
      <c r="H981" s="209">
        <v>0</v>
      </c>
      <c r="I981" s="211">
        <f t="shared" si="97"/>
        <v>0</v>
      </c>
      <c r="J981" s="634"/>
    </row>
    <row r="982" spans="3:10">
      <c r="C982" s="223" t="s">
        <v>666</v>
      </c>
      <c r="D982" s="226">
        <f>D985</f>
        <v>1465030</v>
      </c>
      <c r="E982" s="343"/>
      <c r="F982" s="343">
        <f>F985</f>
        <v>37000</v>
      </c>
      <c r="G982" s="226">
        <f t="shared" si="96"/>
        <v>1502030</v>
      </c>
      <c r="H982" s="343">
        <v>1512030</v>
      </c>
      <c r="I982" s="699">
        <f t="shared" si="97"/>
        <v>10000</v>
      </c>
      <c r="J982" s="700">
        <f>I982/G982</f>
        <v>6.6576566380165507E-3</v>
      </c>
    </row>
    <row r="983" spans="3:10">
      <c r="C983" s="202" t="s">
        <v>291</v>
      </c>
      <c r="D983" s="246">
        <f>D986</f>
        <v>584021</v>
      </c>
      <c r="E983" s="365"/>
      <c r="F983" s="365"/>
      <c r="G983" s="246">
        <f t="shared" si="96"/>
        <v>584021</v>
      </c>
      <c r="H983" s="365">
        <v>605000</v>
      </c>
      <c r="I983" s="368">
        <f t="shared" si="97"/>
        <v>20979</v>
      </c>
      <c r="J983" s="649">
        <f>I983/G983</f>
        <v>3.5921653502185708E-2</v>
      </c>
    </row>
    <row r="984" spans="3:10">
      <c r="C984" s="235" t="s">
        <v>348</v>
      </c>
      <c r="D984" s="226"/>
      <c r="E984" s="226"/>
      <c r="F984" s="226"/>
      <c r="G984" s="226">
        <f t="shared" si="96"/>
        <v>0</v>
      </c>
      <c r="H984" s="226">
        <v>0</v>
      </c>
      <c r="I984" s="665">
        <f t="shared" si="97"/>
        <v>0</v>
      </c>
      <c r="J984" s="666"/>
    </row>
    <row r="985" spans="3:10">
      <c r="C985" s="236" t="s">
        <v>667</v>
      </c>
      <c r="D985" s="209">
        <f>1459650+5380</f>
        <v>1465030</v>
      </c>
      <c r="E985" s="209"/>
      <c r="F985" s="209">
        <v>37000</v>
      </c>
      <c r="G985" s="209">
        <f t="shared" si="96"/>
        <v>1502030</v>
      </c>
      <c r="H985" s="209">
        <v>1512030</v>
      </c>
      <c r="I985" s="211">
        <f t="shared" si="97"/>
        <v>10000</v>
      </c>
      <c r="J985" s="634">
        <f>I985/G985</f>
        <v>6.6576566380165507E-3</v>
      </c>
    </row>
    <row r="986" spans="3:10">
      <c r="C986" s="208" t="s">
        <v>291</v>
      </c>
      <c r="D986" s="246">
        <f>580000+4021</f>
        <v>584021</v>
      </c>
      <c r="E986" s="365"/>
      <c r="F986" s="365"/>
      <c r="G986" s="246">
        <f t="shared" si="96"/>
        <v>584021</v>
      </c>
      <c r="H986" s="365">
        <v>605000</v>
      </c>
      <c r="I986" s="368">
        <f t="shared" si="97"/>
        <v>20979</v>
      </c>
      <c r="J986" s="649">
        <f>I986/G986</f>
        <v>3.5921653502185708E-2</v>
      </c>
    </row>
    <row r="987" spans="3:10">
      <c r="C987" s="351"/>
      <c r="D987" s="187"/>
      <c r="E987" s="345"/>
      <c r="F987" s="345"/>
      <c r="G987" s="187">
        <f t="shared" si="96"/>
        <v>0</v>
      </c>
      <c r="H987" s="345">
        <v>0</v>
      </c>
      <c r="I987" s="701">
        <f t="shared" si="97"/>
        <v>0</v>
      </c>
      <c r="J987" s="702"/>
    </row>
    <row r="988" spans="3:10">
      <c r="C988" s="223" t="s">
        <v>668</v>
      </c>
      <c r="D988" s="226">
        <v>420000</v>
      </c>
      <c r="E988" s="343">
        <v>150000</v>
      </c>
      <c r="F988" s="343"/>
      <c r="G988" s="226">
        <f t="shared" si="96"/>
        <v>570000</v>
      </c>
      <c r="H988" s="343">
        <v>420000</v>
      </c>
      <c r="I988" s="699">
        <f t="shared" si="97"/>
        <v>-150000</v>
      </c>
      <c r="J988" s="700">
        <f>I988/G988</f>
        <v>-0.26315789473684209</v>
      </c>
    </row>
    <row r="989" spans="3:10">
      <c r="C989" s="351"/>
      <c r="D989" s="245"/>
      <c r="E989" s="350"/>
      <c r="F989" s="350"/>
      <c r="G989" s="245">
        <f t="shared" si="96"/>
        <v>0</v>
      </c>
      <c r="H989" s="350">
        <v>0</v>
      </c>
      <c r="I989" s="656">
        <f t="shared" si="97"/>
        <v>0</v>
      </c>
      <c r="J989" s="702"/>
    </row>
    <row r="990" spans="3:10">
      <c r="C990" s="223" t="s">
        <v>669</v>
      </c>
      <c r="D990" s="226">
        <f>D993+D997</f>
        <v>2893067</v>
      </c>
      <c r="E990" s="343"/>
      <c r="F990" s="343">
        <f>F993+F997</f>
        <v>30000</v>
      </c>
      <c r="G990" s="226">
        <f t="shared" si="96"/>
        <v>2923067</v>
      </c>
      <c r="H990" s="343">
        <v>3891755</v>
      </c>
      <c r="I990" s="699">
        <f t="shared" si="97"/>
        <v>968688</v>
      </c>
      <c r="J990" s="700">
        <f>I990/G990</f>
        <v>0.33139438815463346</v>
      </c>
    </row>
    <row r="991" spans="3:10">
      <c r="C991" s="202" t="s">
        <v>291</v>
      </c>
      <c r="D991" s="246">
        <f>D994</f>
        <v>231600</v>
      </c>
      <c r="E991" s="365"/>
      <c r="F991" s="365"/>
      <c r="G991" s="246">
        <f t="shared" si="96"/>
        <v>231600</v>
      </c>
      <c r="H991" s="365">
        <v>257580</v>
      </c>
      <c r="I991" s="368">
        <f t="shared" si="97"/>
        <v>25980</v>
      </c>
      <c r="J991" s="649">
        <f>I991/G991</f>
        <v>0.11217616580310881</v>
      </c>
    </row>
    <row r="992" spans="3:10">
      <c r="C992" s="235" t="s">
        <v>348</v>
      </c>
      <c r="D992" s="226"/>
      <c r="E992" s="343"/>
      <c r="F992" s="343"/>
      <c r="G992" s="226">
        <f t="shared" si="96"/>
        <v>0</v>
      </c>
      <c r="H992" s="343">
        <v>0</v>
      </c>
      <c r="I992" s="699">
        <f t="shared" si="97"/>
        <v>0</v>
      </c>
      <c r="J992" s="700"/>
    </row>
    <row r="993" spans="1:10">
      <c r="C993" s="236" t="s">
        <v>670</v>
      </c>
      <c r="D993" s="209">
        <v>2700367</v>
      </c>
      <c r="E993" s="209"/>
      <c r="F993" s="209">
        <v>30000</v>
      </c>
      <c r="G993" s="209">
        <f t="shared" si="96"/>
        <v>2730367</v>
      </c>
      <c r="H993" s="209">
        <v>3675055</v>
      </c>
      <c r="I993" s="211">
        <f t="shared" ref="I993:I1018" si="99">H993-G993</f>
        <v>944688</v>
      </c>
      <c r="J993" s="634">
        <f>I993/G993</f>
        <v>0.34599304782104384</v>
      </c>
    </row>
    <row r="994" spans="1:10">
      <c r="C994" s="208" t="s">
        <v>291</v>
      </c>
      <c r="D994" s="246">
        <v>231600</v>
      </c>
      <c r="E994" s="246"/>
      <c r="F994" s="246"/>
      <c r="G994" s="246">
        <f t="shared" si="96"/>
        <v>231600</v>
      </c>
      <c r="H994" s="246">
        <v>257580</v>
      </c>
      <c r="I994" s="520">
        <f t="shared" si="99"/>
        <v>25980</v>
      </c>
      <c r="J994" s="638">
        <f>I994/G994</f>
        <v>0.11217616580310881</v>
      </c>
    </row>
    <row r="995" spans="1:10">
      <c r="C995" s="260"/>
      <c r="D995" s="226"/>
      <c r="E995" s="343"/>
      <c r="F995" s="343"/>
      <c r="G995" s="226">
        <f t="shared" si="96"/>
        <v>0</v>
      </c>
      <c r="H995" s="343">
        <v>0</v>
      </c>
      <c r="I995" s="699">
        <f t="shared" si="99"/>
        <v>0</v>
      </c>
      <c r="J995" s="700"/>
    </row>
    <row r="996" spans="1:10">
      <c r="C996" s="235" t="s">
        <v>348</v>
      </c>
      <c r="D996" s="654"/>
      <c r="E996" s="347"/>
      <c r="F996" s="347"/>
      <c r="G996" s="654">
        <f t="shared" si="96"/>
        <v>0</v>
      </c>
      <c r="H996" s="347">
        <v>0</v>
      </c>
      <c r="I996" s="347">
        <f t="shared" si="99"/>
        <v>0</v>
      </c>
      <c r="J996" s="646"/>
    </row>
    <row r="997" spans="1:10">
      <c r="C997" s="236" t="s">
        <v>671</v>
      </c>
      <c r="D997" s="209">
        <v>192700</v>
      </c>
      <c r="E997" s="209"/>
      <c r="F997" s="209"/>
      <c r="G997" s="209">
        <f t="shared" si="96"/>
        <v>192700</v>
      </c>
      <c r="H997" s="209">
        <v>216700</v>
      </c>
      <c r="I997" s="211">
        <f t="shared" si="99"/>
        <v>24000</v>
      </c>
      <c r="J997" s="634">
        <f>I997/G997</f>
        <v>0.12454592631032693</v>
      </c>
    </row>
    <row r="998" spans="1:10">
      <c r="C998" s="351"/>
      <c r="D998" s="245"/>
      <c r="E998" s="350"/>
      <c r="F998" s="350"/>
      <c r="G998" s="245">
        <f t="shared" si="96"/>
        <v>0</v>
      </c>
      <c r="H998" s="350">
        <v>0</v>
      </c>
      <c r="I998" s="656">
        <f t="shared" si="99"/>
        <v>0</v>
      </c>
      <c r="J998" s="702"/>
    </row>
    <row r="999" spans="1:10" ht="15">
      <c r="A999" s="169" t="s">
        <v>636</v>
      </c>
      <c r="B999" s="169" t="s">
        <v>662</v>
      </c>
      <c r="C999" s="228" t="s">
        <v>672</v>
      </c>
      <c r="D999" s="229">
        <f>SUM(D1000)</f>
        <v>5500</v>
      </c>
      <c r="E999" s="344"/>
      <c r="F999" s="344"/>
      <c r="G999" s="229">
        <f t="shared" si="96"/>
        <v>5500</v>
      </c>
      <c r="H999" s="344">
        <v>5500</v>
      </c>
      <c r="I999" s="699">
        <f t="shared" si="99"/>
        <v>0</v>
      </c>
      <c r="J999" s="700">
        <f>I999/G999</f>
        <v>0</v>
      </c>
    </row>
    <row r="1000" spans="1:10">
      <c r="C1000" s="223" t="s">
        <v>673</v>
      </c>
      <c r="D1000" s="226">
        <v>5500</v>
      </c>
      <c r="E1000" s="343"/>
      <c r="F1000" s="343"/>
      <c r="G1000" s="226">
        <f t="shared" si="96"/>
        <v>5500</v>
      </c>
      <c r="H1000" s="343">
        <v>5500</v>
      </c>
      <c r="I1000" s="699">
        <f t="shared" si="99"/>
        <v>0</v>
      </c>
      <c r="J1000" s="700">
        <f>I1000/G1000</f>
        <v>0</v>
      </c>
    </row>
    <row r="1001" spans="1:10">
      <c r="C1001" s="223"/>
      <c r="D1001" s="226"/>
      <c r="E1001" s="343"/>
      <c r="F1001" s="343"/>
      <c r="G1001" s="226">
        <f t="shared" si="96"/>
        <v>0</v>
      </c>
      <c r="H1001" s="343">
        <v>0</v>
      </c>
      <c r="I1001" s="699">
        <f t="shared" si="99"/>
        <v>0</v>
      </c>
      <c r="J1001" s="700"/>
    </row>
    <row r="1002" spans="1:10" ht="15">
      <c r="A1002" s="169" t="s">
        <v>295</v>
      </c>
      <c r="B1002" s="169" t="s">
        <v>662</v>
      </c>
      <c r="C1002" s="228" t="s">
        <v>359</v>
      </c>
      <c r="D1002" s="229">
        <f>SUM(D1003)</f>
        <v>1099074</v>
      </c>
      <c r="E1002" s="344">
        <f>SUM(E1003)</f>
        <v>1113</v>
      </c>
      <c r="F1002" s="344"/>
      <c r="G1002" s="229">
        <f t="shared" si="96"/>
        <v>1100187</v>
      </c>
      <c r="H1002" s="344">
        <v>1140000</v>
      </c>
      <c r="I1002" s="699">
        <f t="shared" si="99"/>
        <v>39813</v>
      </c>
      <c r="J1002" s="700">
        <f>I1002/G1002</f>
        <v>3.6187484491272848E-2</v>
      </c>
    </row>
    <row r="1003" spans="1:10">
      <c r="C1003" s="223" t="s">
        <v>674</v>
      </c>
      <c r="D1003" s="226">
        <f>1041377+55563+2134</f>
        <v>1099074</v>
      </c>
      <c r="E1003" s="343">
        <v>1113</v>
      </c>
      <c r="F1003" s="343"/>
      <c r="G1003" s="226">
        <f t="shared" si="96"/>
        <v>1100187</v>
      </c>
      <c r="H1003" s="343">
        <v>1140000</v>
      </c>
      <c r="I1003" s="699">
        <f t="shared" si="99"/>
        <v>39813</v>
      </c>
      <c r="J1003" s="700">
        <f>I1003/G1003</f>
        <v>3.6187484491272848E-2</v>
      </c>
    </row>
    <row r="1004" spans="1:10">
      <c r="C1004" s="202" t="s">
        <v>291</v>
      </c>
      <c r="D1004" s="246">
        <f>547980+41527+1595</f>
        <v>591102</v>
      </c>
      <c r="E1004" s="246"/>
      <c r="F1004" s="246"/>
      <c r="G1004" s="246">
        <f t="shared" si="96"/>
        <v>591102</v>
      </c>
      <c r="H1004" s="246">
        <v>621720</v>
      </c>
      <c r="I1004" s="520">
        <f t="shared" si="99"/>
        <v>30618</v>
      </c>
      <c r="J1004" s="638">
        <f>I1004/G1004</f>
        <v>5.1798166813849383E-2</v>
      </c>
    </row>
    <row r="1005" spans="1:10">
      <c r="C1005" s="208"/>
      <c r="D1005" s="654"/>
      <c r="E1005" s="347"/>
      <c r="F1005" s="347"/>
      <c r="G1005" s="654">
        <f t="shared" si="96"/>
        <v>0</v>
      </c>
      <c r="H1005" s="347">
        <v>0</v>
      </c>
      <c r="I1005" s="347">
        <f t="shared" si="99"/>
        <v>0</v>
      </c>
      <c r="J1005" s="646"/>
    </row>
    <row r="1006" spans="1:10">
      <c r="C1006" s="219" t="s">
        <v>351</v>
      </c>
      <c r="D1006" s="226">
        <f>SUM(D1008,D1011,D1014,D1016,D1018,D1024,D1027,D1030)</f>
        <v>1936995</v>
      </c>
      <c r="E1006" s="343">
        <f>SUM(E1008,E1011,E1014,E1016,E1018,E1024,E1027,E1030,E1035,E1040,E1045)</f>
        <v>129559</v>
      </c>
      <c r="F1006" s="343">
        <f>SUM(F1008,F1011,F1014,F1016,F1018,F1024,F1027,F1030,F1050)</f>
        <v>8915</v>
      </c>
      <c r="G1006" s="226">
        <f t="shared" si="96"/>
        <v>2075469</v>
      </c>
      <c r="H1006" s="343">
        <v>2198184.4437374999</v>
      </c>
      <c r="I1006" s="699">
        <f t="shared" si="99"/>
        <v>122715.44373749988</v>
      </c>
      <c r="J1006" s="700">
        <f>I1006/G1006</f>
        <v>5.9126608847205081E-2</v>
      </c>
    </row>
    <row r="1007" spans="1:10">
      <c r="C1007" s="219"/>
      <c r="D1007" s="242"/>
      <c r="E1007" s="259"/>
      <c r="F1007" s="259"/>
      <c r="G1007" s="242">
        <f t="shared" si="96"/>
        <v>0</v>
      </c>
      <c r="H1007" s="259">
        <v>0</v>
      </c>
      <c r="I1007" s="368">
        <f t="shared" si="99"/>
        <v>0</v>
      </c>
      <c r="J1007" s="649"/>
    </row>
    <row r="1008" spans="1:10">
      <c r="A1008" s="169" t="s">
        <v>675</v>
      </c>
      <c r="B1008" s="169" t="s">
        <v>662</v>
      </c>
      <c r="C1008" s="195" t="s">
        <v>676</v>
      </c>
      <c r="D1008" s="209">
        <f>1017168+10212+1478</f>
        <v>1028858</v>
      </c>
      <c r="E1008" s="360">
        <v>3021</v>
      </c>
      <c r="F1008" s="187">
        <f>-3000+9099-3646</f>
        <v>2453</v>
      </c>
      <c r="G1008" s="209">
        <f t="shared" si="96"/>
        <v>1034332</v>
      </c>
      <c r="H1008" s="360">
        <v>1111980.4437374999</v>
      </c>
      <c r="I1008" s="363">
        <f t="shared" si="99"/>
        <v>77648.443737499882</v>
      </c>
      <c r="J1008" s="648">
        <f>I1008/G1008</f>
        <v>7.5071102641608184E-2</v>
      </c>
    </row>
    <row r="1009" spans="1:10">
      <c r="C1009" s="196" t="s">
        <v>291</v>
      </c>
      <c r="D1009" s="246">
        <f>685107+7632+1105</f>
        <v>693844</v>
      </c>
      <c r="E1009" s="365">
        <v>4500</v>
      </c>
      <c r="F1009" s="216">
        <f>6800-2725</f>
        <v>4075</v>
      </c>
      <c r="G1009" s="246">
        <f t="shared" si="96"/>
        <v>702419</v>
      </c>
      <c r="H1009" s="365">
        <v>760639.78749999998</v>
      </c>
      <c r="I1009" s="368">
        <f t="shared" si="99"/>
        <v>58220.787499999977</v>
      </c>
      <c r="J1009" s="649">
        <f>I1009/G1009</f>
        <v>8.2886122812737092E-2</v>
      </c>
    </row>
    <row r="1010" spans="1:10">
      <c r="C1010" s="206"/>
      <c r="D1010" s="209"/>
      <c r="E1010" s="360"/>
      <c r="F1010" s="360"/>
      <c r="G1010" s="209">
        <f t="shared" si="96"/>
        <v>0</v>
      </c>
      <c r="H1010" s="360">
        <v>0</v>
      </c>
      <c r="I1010" s="363">
        <f t="shared" si="99"/>
        <v>0</v>
      </c>
      <c r="J1010" s="648"/>
    </row>
    <row r="1011" spans="1:10">
      <c r="A1011" s="169" t="s">
        <v>638</v>
      </c>
      <c r="B1011" s="169" t="s">
        <v>662</v>
      </c>
      <c r="C1011" s="213" t="s">
        <v>677</v>
      </c>
      <c r="D1011" s="209">
        <v>102653</v>
      </c>
      <c r="E1011" s="360"/>
      <c r="F1011" s="360"/>
      <c r="G1011" s="209">
        <f t="shared" si="96"/>
        <v>102653</v>
      </c>
      <c r="H1011" s="360">
        <v>107145</v>
      </c>
      <c r="I1011" s="363">
        <f t="shared" si="99"/>
        <v>4492</v>
      </c>
      <c r="J1011" s="648">
        <f>I1011/G1011</f>
        <v>4.3759071824496121E-2</v>
      </c>
    </row>
    <row r="1012" spans="1:10">
      <c r="C1012" s="196" t="s">
        <v>291</v>
      </c>
      <c r="D1012" s="214">
        <v>36900</v>
      </c>
      <c r="E1012" s="366"/>
      <c r="F1012" s="366"/>
      <c r="G1012" s="214">
        <f t="shared" si="96"/>
        <v>36900</v>
      </c>
      <c r="H1012" s="366">
        <v>36918</v>
      </c>
      <c r="I1012" s="705">
        <f t="shared" si="99"/>
        <v>18</v>
      </c>
      <c r="J1012" s="694">
        <f>I1012/G1012</f>
        <v>4.8780487804878049E-4</v>
      </c>
    </row>
    <row r="1013" spans="1:10">
      <c r="C1013" s="367"/>
      <c r="D1013" s="209"/>
      <c r="E1013" s="360"/>
      <c r="F1013" s="360"/>
      <c r="G1013" s="209">
        <f t="shared" si="96"/>
        <v>0</v>
      </c>
      <c r="H1013" s="360">
        <v>0</v>
      </c>
      <c r="I1013" s="363">
        <f t="shared" si="99"/>
        <v>0</v>
      </c>
      <c r="J1013" s="648"/>
    </row>
    <row r="1014" spans="1:10">
      <c r="A1014" s="169" t="s">
        <v>675</v>
      </c>
      <c r="B1014" s="169" t="s">
        <v>662</v>
      </c>
      <c r="C1014" s="206" t="s">
        <v>678</v>
      </c>
      <c r="D1014" s="209">
        <v>235000</v>
      </c>
      <c r="E1014" s="360">
        <v>-2097</v>
      </c>
      <c r="F1014" s="360">
        <v>-611</v>
      </c>
      <c r="G1014" s="209">
        <f t="shared" si="96"/>
        <v>232292</v>
      </c>
      <c r="H1014" s="360">
        <v>235000</v>
      </c>
      <c r="I1014" s="363">
        <f t="shared" si="99"/>
        <v>2708</v>
      </c>
      <c r="J1014" s="648">
        <f>I1014/G1014</f>
        <v>1.1657741118936511E-2</v>
      </c>
    </row>
    <row r="1015" spans="1:10">
      <c r="C1015" s="219"/>
      <c r="D1015" s="242"/>
      <c r="E1015" s="259"/>
      <c r="F1015" s="259"/>
      <c r="G1015" s="242">
        <f t="shared" si="96"/>
        <v>0</v>
      </c>
      <c r="H1015" s="259">
        <v>0</v>
      </c>
      <c r="I1015" s="368">
        <f t="shared" si="99"/>
        <v>0</v>
      </c>
      <c r="J1015" s="649"/>
    </row>
    <row r="1016" spans="1:10">
      <c r="A1016" s="169" t="s">
        <v>632</v>
      </c>
      <c r="B1016" s="169" t="s">
        <v>662</v>
      </c>
      <c r="C1016" s="195" t="s">
        <v>679</v>
      </c>
      <c r="D1016" s="245">
        <v>105400</v>
      </c>
      <c r="E1016" s="350"/>
      <c r="F1016" s="350"/>
      <c r="G1016" s="245">
        <f t="shared" si="96"/>
        <v>105400</v>
      </c>
      <c r="H1016" s="350">
        <v>105400</v>
      </c>
      <c r="I1016" s="656">
        <f t="shared" si="99"/>
        <v>0</v>
      </c>
      <c r="J1016" s="702">
        <f>I1016/G1016</f>
        <v>0</v>
      </c>
    </row>
    <row r="1017" spans="1:10">
      <c r="C1017" s="346"/>
      <c r="D1017" s="242"/>
      <c r="E1017" s="259"/>
      <c r="F1017" s="259"/>
      <c r="G1017" s="242">
        <f t="shared" si="96"/>
        <v>0</v>
      </c>
      <c r="H1017" s="259">
        <v>0</v>
      </c>
      <c r="I1017" s="368">
        <f t="shared" si="99"/>
        <v>0</v>
      </c>
      <c r="J1017" s="649"/>
    </row>
    <row r="1018" spans="1:10">
      <c r="A1018" s="169" t="s">
        <v>632</v>
      </c>
      <c r="B1018" s="169" t="s">
        <v>662</v>
      </c>
      <c r="C1018" s="213" t="s">
        <v>649</v>
      </c>
      <c r="D1018" s="209">
        <v>390000</v>
      </c>
      <c r="E1018" s="360"/>
      <c r="F1018" s="360"/>
      <c r="G1018" s="209">
        <f t="shared" si="96"/>
        <v>390000</v>
      </c>
      <c r="H1018" s="360">
        <v>395000</v>
      </c>
      <c r="I1018" s="363">
        <f t="shared" si="99"/>
        <v>5000</v>
      </c>
      <c r="J1018" s="648">
        <f>I1018/G1018</f>
        <v>1.282051282051282E-2</v>
      </c>
    </row>
    <row r="1019" spans="1:10">
      <c r="C1019" s="210" t="s">
        <v>1260</v>
      </c>
      <c r="D1019" s="580"/>
      <c r="E1019" s="883"/>
      <c r="F1019" s="883"/>
      <c r="G1019" s="884"/>
      <c r="H1019" s="885"/>
      <c r="I1019" s="885"/>
      <c r="J1019" s="662"/>
    </row>
    <row r="1020" spans="1:10">
      <c r="C1020" s="212" t="s">
        <v>680</v>
      </c>
      <c r="D1020" s="580"/>
      <c r="E1020" s="883"/>
      <c r="F1020" s="883"/>
      <c r="G1020" s="884"/>
      <c r="H1020" s="885"/>
      <c r="I1020" s="885"/>
      <c r="J1020" s="662"/>
    </row>
    <row r="1021" spans="1:10">
      <c r="C1021" s="212" t="s">
        <v>681</v>
      </c>
      <c r="D1021" s="580"/>
      <c r="E1021" s="883"/>
      <c r="F1021" s="883"/>
      <c r="G1021" s="884"/>
      <c r="H1021" s="885"/>
      <c r="I1021" s="885"/>
      <c r="J1021" s="662"/>
    </row>
    <row r="1022" spans="1:10">
      <c r="C1022" s="212" t="s">
        <v>682</v>
      </c>
      <c r="D1022" s="580"/>
      <c r="E1022" s="883"/>
      <c r="F1022" s="883"/>
      <c r="G1022" s="884"/>
      <c r="H1022" s="885"/>
      <c r="I1022" s="885"/>
      <c r="J1022" s="662"/>
    </row>
    <row r="1023" spans="1:10">
      <c r="C1023" s="196"/>
      <c r="D1023" s="246"/>
      <c r="E1023" s="365"/>
      <c r="F1023" s="365"/>
      <c r="G1023" s="246">
        <f t="shared" ref="G1023:G1086" si="100">SUM(D1023:F1023)</f>
        <v>0</v>
      </c>
      <c r="H1023" s="365">
        <v>0</v>
      </c>
      <c r="I1023" s="368">
        <f t="shared" ref="I1023:I1054" si="101">H1023-G1023</f>
        <v>0</v>
      </c>
      <c r="J1023" s="649"/>
    </row>
    <row r="1024" spans="1:10">
      <c r="A1024" s="169" t="s">
        <v>632</v>
      </c>
      <c r="B1024" s="169" t="s">
        <v>662</v>
      </c>
      <c r="C1024" s="195" t="s">
        <v>683</v>
      </c>
      <c r="D1024" s="245">
        <v>31500</v>
      </c>
      <c r="E1024" s="350"/>
      <c r="F1024" s="350">
        <v>3000</v>
      </c>
      <c r="G1024" s="245">
        <f t="shared" si="100"/>
        <v>34500</v>
      </c>
      <c r="H1024" s="350">
        <v>31500</v>
      </c>
      <c r="I1024" s="656">
        <f t="shared" si="101"/>
        <v>-3000</v>
      </c>
      <c r="J1024" s="702">
        <f>I1024/G1024</f>
        <v>-8.6956521739130432E-2</v>
      </c>
    </row>
    <row r="1025" spans="1:10">
      <c r="C1025" s="196" t="s">
        <v>291</v>
      </c>
      <c r="D1025" s="246">
        <v>6600</v>
      </c>
      <c r="E1025" s="365"/>
      <c r="F1025" s="365"/>
      <c r="G1025" s="246">
        <f t="shared" si="100"/>
        <v>6600</v>
      </c>
      <c r="H1025" s="365">
        <v>6600</v>
      </c>
      <c r="I1025" s="368">
        <f t="shared" si="101"/>
        <v>0</v>
      </c>
      <c r="J1025" s="649">
        <f>I1025/G1025</f>
        <v>0</v>
      </c>
    </row>
    <row r="1026" spans="1:10">
      <c r="C1026" s="355"/>
      <c r="D1026" s="520"/>
      <c r="E1026" s="368"/>
      <c r="F1026" s="368"/>
      <c r="G1026" s="520">
        <f t="shared" si="100"/>
        <v>0</v>
      </c>
      <c r="H1026" s="368">
        <v>0</v>
      </c>
      <c r="I1026" s="368">
        <f t="shared" si="101"/>
        <v>0</v>
      </c>
      <c r="J1026" s="649"/>
    </row>
    <row r="1027" spans="1:10">
      <c r="A1027" s="169" t="s">
        <v>300</v>
      </c>
      <c r="B1027" s="169" t="s">
        <v>662</v>
      </c>
      <c r="C1027" s="195" t="s">
        <v>684</v>
      </c>
      <c r="D1027" s="245">
        <v>19100</v>
      </c>
      <c r="E1027" s="350">
        <v>1600</v>
      </c>
      <c r="F1027" s="350"/>
      <c r="G1027" s="245">
        <f t="shared" si="100"/>
        <v>20700</v>
      </c>
      <c r="H1027" s="350">
        <v>12500</v>
      </c>
      <c r="I1027" s="656">
        <f t="shared" si="101"/>
        <v>-8200</v>
      </c>
      <c r="J1027" s="702">
        <f>I1027/G1027</f>
        <v>-0.39613526570048307</v>
      </c>
    </row>
    <row r="1028" spans="1:10">
      <c r="C1028" s="196" t="s">
        <v>291</v>
      </c>
      <c r="D1028" s="245"/>
      <c r="E1028" s="365">
        <v>13900</v>
      </c>
      <c r="F1028" s="365"/>
      <c r="G1028" s="245">
        <f t="shared" si="100"/>
        <v>13900</v>
      </c>
      <c r="H1028" s="350">
        <v>8000</v>
      </c>
      <c r="I1028" s="656">
        <f t="shared" si="101"/>
        <v>-5900</v>
      </c>
      <c r="J1028" s="702">
        <f>I1028/G1028</f>
        <v>-0.42446043165467628</v>
      </c>
    </row>
    <row r="1029" spans="1:10">
      <c r="C1029" s="195"/>
      <c r="D1029" s="245"/>
      <c r="E1029" s="350"/>
      <c r="F1029" s="350"/>
      <c r="G1029" s="245">
        <f t="shared" si="100"/>
        <v>0</v>
      </c>
      <c r="H1029" s="350">
        <v>0</v>
      </c>
      <c r="I1029" s="656">
        <f t="shared" si="101"/>
        <v>0</v>
      </c>
      <c r="J1029" s="702"/>
    </row>
    <row r="1030" spans="1:10">
      <c r="A1030" s="169" t="s">
        <v>675</v>
      </c>
      <c r="B1030" s="169" t="s">
        <v>662</v>
      </c>
      <c r="C1030" s="213" t="s">
        <v>685</v>
      </c>
      <c r="D1030" s="209">
        <v>24484</v>
      </c>
      <c r="E1030" s="209"/>
      <c r="F1030" s="209"/>
      <c r="G1030" s="209">
        <f t="shared" si="100"/>
        <v>24484</v>
      </c>
      <c r="H1030" s="209">
        <v>44352</v>
      </c>
      <c r="I1030" s="211">
        <f t="shared" si="101"/>
        <v>19868</v>
      </c>
      <c r="J1030" s="634">
        <f>I1030/G1030</f>
        <v>0.81146871426237543</v>
      </c>
    </row>
    <row r="1031" spans="1:10">
      <c r="C1031" s="196" t="s">
        <v>291</v>
      </c>
      <c r="D1031" s="214">
        <v>12197</v>
      </c>
      <c r="E1031" s="214"/>
      <c r="F1031" s="214"/>
      <c r="G1031" s="214">
        <f t="shared" si="100"/>
        <v>12197</v>
      </c>
      <c r="H1031" s="214">
        <v>20665</v>
      </c>
      <c r="I1031" s="663">
        <f t="shared" si="101"/>
        <v>8468</v>
      </c>
      <c r="J1031" s="664">
        <f>I1031/G1031</f>
        <v>0.69426908256128561</v>
      </c>
    </row>
    <row r="1032" spans="1:10">
      <c r="C1032" s="355"/>
      <c r="D1032" s="214"/>
      <c r="E1032" s="214"/>
      <c r="F1032" s="214"/>
      <c r="G1032" s="214">
        <f t="shared" si="100"/>
        <v>0</v>
      </c>
      <c r="H1032" s="214">
        <v>0</v>
      </c>
      <c r="I1032" s="663">
        <f t="shared" si="101"/>
        <v>0</v>
      </c>
      <c r="J1032" s="664"/>
    </row>
    <row r="1033" spans="1:10">
      <c r="C1033" s="217" t="s">
        <v>337</v>
      </c>
      <c r="D1033" s="214">
        <v>24484</v>
      </c>
      <c r="E1033" s="214"/>
      <c r="F1033" s="214"/>
      <c r="G1033" s="214">
        <f t="shared" si="100"/>
        <v>24484</v>
      </c>
      <c r="H1033" s="214">
        <v>44352</v>
      </c>
      <c r="I1033" s="663">
        <f t="shared" si="101"/>
        <v>19868</v>
      </c>
      <c r="J1033" s="664">
        <f>I1033/G1033</f>
        <v>0.81146871426237543</v>
      </c>
    </row>
    <row r="1034" spans="1:10">
      <c r="C1034" s="217"/>
      <c r="D1034" s="214"/>
      <c r="E1034" s="214"/>
      <c r="F1034" s="214"/>
      <c r="G1034" s="214">
        <f t="shared" si="100"/>
        <v>0</v>
      </c>
      <c r="H1034" s="214">
        <v>0</v>
      </c>
      <c r="I1034" s="663">
        <f t="shared" si="101"/>
        <v>0</v>
      </c>
      <c r="J1034" s="664"/>
    </row>
    <row r="1035" spans="1:10">
      <c r="A1035" s="169" t="s">
        <v>675</v>
      </c>
      <c r="B1035" s="169" t="s">
        <v>662</v>
      </c>
      <c r="C1035" s="213" t="s">
        <v>686</v>
      </c>
      <c r="D1035" s="214"/>
      <c r="E1035" s="350">
        <f>11878+2097</f>
        <v>13975</v>
      </c>
      <c r="F1035" s="350"/>
      <c r="G1035" s="214">
        <f t="shared" si="100"/>
        <v>13975</v>
      </c>
      <c r="H1035" s="214">
        <v>16835</v>
      </c>
      <c r="I1035" s="663">
        <f t="shared" si="101"/>
        <v>2860</v>
      </c>
      <c r="J1035" s="664">
        <f>I1035/G1035</f>
        <v>0.20465116279069767</v>
      </c>
    </row>
    <row r="1036" spans="1:10">
      <c r="C1036" s="196" t="s">
        <v>291</v>
      </c>
      <c r="D1036" s="214"/>
      <c r="E1036" s="365">
        <v>5560</v>
      </c>
      <c r="F1036" s="365"/>
      <c r="G1036" s="214">
        <f t="shared" si="100"/>
        <v>5560</v>
      </c>
      <c r="H1036" s="214">
        <v>7300</v>
      </c>
      <c r="I1036" s="663">
        <f t="shared" si="101"/>
        <v>1740</v>
      </c>
      <c r="J1036" s="664">
        <f>I1036/G1036</f>
        <v>0.31294964028776978</v>
      </c>
    </row>
    <row r="1037" spans="1:10">
      <c r="C1037" s="355"/>
      <c r="D1037" s="214"/>
      <c r="E1037" s="214"/>
      <c r="F1037" s="214"/>
      <c r="G1037" s="214">
        <f t="shared" si="100"/>
        <v>0</v>
      </c>
      <c r="H1037" s="214">
        <v>0</v>
      </c>
      <c r="I1037" s="663">
        <f t="shared" si="101"/>
        <v>0</v>
      </c>
      <c r="J1037" s="664"/>
    </row>
    <row r="1038" spans="1:10">
      <c r="C1038" s="217" t="s">
        <v>337</v>
      </c>
      <c r="D1038" s="214"/>
      <c r="E1038" s="214">
        <v>11878</v>
      </c>
      <c r="F1038" s="214"/>
      <c r="G1038" s="214">
        <f t="shared" si="100"/>
        <v>11878</v>
      </c>
      <c r="H1038" s="214">
        <v>14310</v>
      </c>
      <c r="I1038" s="663">
        <f t="shared" si="101"/>
        <v>2432</v>
      </c>
      <c r="J1038" s="664">
        <f>I1038/G1038</f>
        <v>0.20474827412022226</v>
      </c>
    </row>
    <row r="1039" spans="1:10">
      <c r="C1039" s="172"/>
      <c r="D1039" s="214"/>
      <c r="E1039" s="214"/>
      <c r="F1039" s="214"/>
      <c r="G1039" s="214">
        <f t="shared" si="100"/>
        <v>0</v>
      </c>
      <c r="H1039" s="214">
        <v>0</v>
      </c>
      <c r="I1039" s="663">
        <f t="shared" si="101"/>
        <v>0</v>
      </c>
      <c r="J1039" s="664"/>
    </row>
    <row r="1040" spans="1:10" ht="25.5">
      <c r="A1040" s="169" t="s">
        <v>675</v>
      </c>
      <c r="B1040" s="169" t="s">
        <v>662</v>
      </c>
      <c r="C1040" s="213" t="s">
        <v>687</v>
      </c>
      <c r="D1040" s="214"/>
      <c r="E1040" s="350">
        <f>67310+11878</f>
        <v>79188</v>
      </c>
      <c r="F1040" s="350"/>
      <c r="G1040" s="214">
        <f t="shared" si="100"/>
        <v>79188</v>
      </c>
      <c r="H1040" s="214">
        <v>93886</v>
      </c>
      <c r="I1040" s="663">
        <f t="shared" si="101"/>
        <v>14698</v>
      </c>
      <c r="J1040" s="664">
        <f>I1040/G1040</f>
        <v>0.18560893064605749</v>
      </c>
    </row>
    <row r="1041" spans="1:10">
      <c r="C1041" s="196" t="s">
        <v>291</v>
      </c>
      <c r="D1041" s="214"/>
      <c r="E1041" s="365">
        <v>44766</v>
      </c>
      <c r="F1041" s="365"/>
      <c r="G1041" s="214">
        <f t="shared" si="100"/>
        <v>44766</v>
      </c>
      <c r="H1041" s="214">
        <v>53719</v>
      </c>
      <c r="I1041" s="663">
        <f t="shared" si="101"/>
        <v>8953</v>
      </c>
      <c r="J1041" s="664">
        <f>I1041/G1041</f>
        <v>0.19999553232363848</v>
      </c>
    </row>
    <row r="1042" spans="1:10">
      <c r="C1042" s="355"/>
      <c r="D1042" s="214"/>
      <c r="E1042" s="214"/>
      <c r="F1042" s="214"/>
      <c r="G1042" s="214">
        <f t="shared" si="100"/>
        <v>0</v>
      </c>
      <c r="H1042" s="214">
        <v>0</v>
      </c>
      <c r="I1042" s="663">
        <f t="shared" si="101"/>
        <v>0</v>
      </c>
      <c r="J1042" s="664"/>
    </row>
    <row r="1043" spans="1:10">
      <c r="C1043" s="217" t="s">
        <v>337</v>
      </c>
      <c r="D1043" s="214"/>
      <c r="E1043" s="214">
        <v>67310</v>
      </c>
      <c r="F1043" s="214"/>
      <c r="G1043" s="214">
        <f t="shared" si="100"/>
        <v>67310</v>
      </c>
      <c r="H1043" s="214">
        <v>79803</v>
      </c>
      <c r="I1043" s="663">
        <f t="shared" si="101"/>
        <v>12493</v>
      </c>
      <c r="J1043" s="664">
        <f>I1043/G1043</f>
        <v>0.18560392215124052</v>
      </c>
    </row>
    <row r="1044" spans="1:10">
      <c r="C1044" s="217"/>
      <c r="D1044" s="214"/>
      <c r="E1044" s="214"/>
      <c r="F1044" s="214"/>
      <c r="G1044" s="214">
        <f t="shared" si="100"/>
        <v>0</v>
      </c>
      <c r="H1044" s="214">
        <v>0</v>
      </c>
      <c r="I1044" s="663">
        <f t="shared" si="101"/>
        <v>0</v>
      </c>
      <c r="J1044" s="664"/>
    </row>
    <row r="1045" spans="1:10" ht="38.25">
      <c r="A1045" s="169" t="s">
        <v>675</v>
      </c>
      <c r="B1045" s="169" t="s">
        <v>662</v>
      </c>
      <c r="C1045" s="213" t="s">
        <v>688</v>
      </c>
      <c r="D1045" s="214"/>
      <c r="E1045" s="350">
        <v>33872</v>
      </c>
      <c r="F1045" s="350"/>
      <c r="G1045" s="214">
        <f t="shared" si="100"/>
        <v>33872</v>
      </c>
      <c r="H1045" s="214">
        <v>44189</v>
      </c>
      <c r="I1045" s="663">
        <f t="shared" si="101"/>
        <v>10317</v>
      </c>
      <c r="J1045" s="664">
        <f>I1045/G1045</f>
        <v>0.30458786017949929</v>
      </c>
    </row>
    <row r="1046" spans="1:10">
      <c r="C1046" s="196" t="s">
        <v>291</v>
      </c>
      <c r="D1046" s="214"/>
      <c r="E1046" s="365">
        <v>11709</v>
      </c>
      <c r="F1046" s="365"/>
      <c r="G1046" s="214">
        <f t="shared" si="100"/>
        <v>11709</v>
      </c>
      <c r="H1046" s="214">
        <v>19930</v>
      </c>
      <c r="I1046" s="663">
        <f t="shared" si="101"/>
        <v>8221</v>
      </c>
      <c r="J1046" s="664">
        <f>I1046/G1046</f>
        <v>0.70210948842770515</v>
      </c>
    </row>
    <row r="1047" spans="1:10">
      <c r="C1047" s="355"/>
      <c r="D1047" s="214"/>
      <c r="E1047" s="214"/>
      <c r="F1047" s="214"/>
      <c r="G1047" s="214">
        <f t="shared" si="100"/>
        <v>0</v>
      </c>
      <c r="H1047" s="214">
        <v>0</v>
      </c>
      <c r="I1047" s="663">
        <f t="shared" si="101"/>
        <v>0</v>
      </c>
      <c r="J1047" s="664"/>
    </row>
    <row r="1048" spans="1:10">
      <c r="C1048" s="217" t="s">
        <v>337</v>
      </c>
      <c r="D1048" s="214"/>
      <c r="E1048" s="214">
        <v>28791</v>
      </c>
      <c r="F1048" s="214"/>
      <c r="G1048" s="214">
        <f t="shared" si="100"/>
        <v>28791</v>
      </c>
      <c r="H1048" s="214">
        <v>37561</v>
      </c>
      <c r="I1048" s="663">
        <f t="shared" si="101"/>
        <v>8770</v>
      </c>
      <c r="J1048" s="664">
        <f>I1048/G1048</f>
        <v>0.30460907922614705</v>
      </c>
    </row>
    <row r="1049" spans="1:10">
      <c r="C1049" s="195"/>
      <c r="D1049" s="185"/>
      <c r="G1049" s="185">
        <f t="shared" si="100"/>
        <v>0</v>
      </c>
      <c r="H1049" s="358">
        <v>0</v>
      </c>
      <c r="I1049" s="657">
        <f t="shared" si="101"/>
        <v>0</v>
      </c>
      <c r="J1049" s="648"/>
    </row>
    <row r="1050" spans="1:10" ht="25.5">
      <c r="A1050" s="169" t="s">
        <v>675</v>
      </c>
      <c r="B1050" s="169" t="s">
        <v>662</v>
      </c>
      <c r="C1050" s="213" t="s">
        <v>900</v>
      </c>
      <c r="D1050" s="214"/>
      <c r="E1050" s="214"/>
      <c r="F1050" s="273">
        <v>4073</v>
      </c>
      <c r="G1050" s="214">
        <f t="shared" si="100"/>
        <v>4073</v>
      </c>
      <c r="H1050" s="214">
        <v>397</v>
      </c>
      <c r="I1050" s="663">
        <f t="shared" si="101"/>
        <v>-3676</v>
      </c>
      <c r="J1050" s="664">
        <f>I1050/G1050</f>
        <v>-0.90252884851460835</v>
      </c>
    </row>
    <row r="1051" spans="1:10">
      <c r="C1051" s="196" t="s">
        <v>291</v>
      </c>
      <c r="D1051" s="214"/>
      <c r="E1051" s="214"/>
      <c r="F1051" s="216">
        <v>1291</v>
      </c>
      <c r="G1051" s="214">
        <f t="shared" si="100"/>
        <v>1291</v>
      </c>
      <c r="H1051" s="214">
        <v>144</v>
      </c>
      <c r="I1051" s="663">
        <f t="shared" si="101"/>
        <v>-1147</v>
      </c>
      <c r="J1051" s="664">
        <f>I1051/G1051</f>
        <v>-0.88845855925639039</v>
      </c>
    </row>
    <row r="1052" spans="1:10">
      <c r="C1052" s="355"/>
      <c r="D1052" s="214"/>
      <c r="E1052" s="214"/>
      <c r="F1052" s="610"/>
      <c r="G1052" s="214">
        <f t="shared" si="100"/>
        <v>0</v>
      </c>
      <c r="H1052" s="214">
        <v>0</v>
      </c>
      <c r="I1052" s="663">
        <f t="shared" si="101"/>
        <v>0</v>
      </c>
      <c r="J1052" s="664"/>
    </row>
    <row r="1053" spans="1:10">
      <c r="C1053" s="217" t="s">
        <v>337</v>
      </c>
      <c r="D1053" s="214"/>
      <c r="E1053" s="214"/>
      <c r="F1053" s="588">
        <v>3462</v>
      </c>
      <c r="G1053" s="214">
        <f t="shared" si="100"/>
        <v>3462</v>
      </c>
      <c r="H1053" s="214">
        <v>337</v>
      </c>
      <c r="I1053" s="663">
        <f t="shared" si="101"/>
        <v>-3125</v>
      </c>
      <c r="J1053" s="664">
        <f>I1053/G1053</f>
        <v>-0.9026574234546505</v>
      </c>
    </row>
    <row r="1054" spans="1:10">
      <c r="C1054" s="195"/>
      <c r="D1054" s="185"/>
      <c r="G1054" s="185">
        <f t="shared" si="100"/>
        <v>0</v>
      </c>
      <c r="H1054" s="358">
        <v>0</v>
      </c>
      <c r="I1054" s="657">
        <f t="shared" si="101"/>
        <v>0</v>
      </c>
      <c r="J1054" s="648"/>
    </row>
    <row r="1055" spans="1:10">
      <c r="C1055" s="195"/>
      <c r="D1055" s="185"/>
      <c r="G1055" s="185">
        <f t="shared" si="100"/>
        <v>0</v>
      </c>
      <c r="H1055" s="358">
        <v>0</v>
      </c>
      <c r="I1055" s="657">
        <f t="shared" ref="I1055:I1072" si="102">H1055-G1055</f>
        <v>0</v>
      </c>
      <c r="J1055" s="648"/>
    </row>
    <row r="1056" spans="1:10" ht="15.75">
      <c r="C1056" s="218" t="s">
        <v>32</v>
      </c>
      <c r="D1056" s="185"/>
      <c r="G1056" s="185">
        <f t="shared" si="100"/>
        <v>0</v>
      </c>
      <c r="H1056" s="358">
        <v>0</v>
      </c>
      <c r="I1056" s="657">
        <f t="shared" si="102"/>
        <v>0</v>
      </c>
      <c r="J1056" s="648"/>
    </row>
    <row r="1057" spans="1:10">
      <c r="C1057" s="201"/>
      <c r="D1057" s="185"/>
      <c r="G1057" s="185">
        <f t="shared" si="100"/>
        <v>0</v>
      </c>
      <c r="H1057" s="358">
        <v>0</v>
      </c>
      <c r="I1057" s="657">
        <f t="shared" si="102"/>
        <v>0</v>
      </c>
      <c r="J1057" s="648"/>
    </row>
    <row r="1058" spans="1:10">
      <c r="C1058" s="219" t="s">
        <v>5</v>
      </c>
      <c r="D1058" s="226">
        <f>SUM(D1065,D1068,D1070,D1072,D1079,D1081)</f>
        <v>3638325</v>
      </c>
      <c r="E1058" s="343">
        <f>SUM(E1065,E1068,E1070,E1072,E1079,E1081,E1086)</f>
        <v>27000</v>
      </c>
      <c r="F1058" s="343">
        <f>SUM(F1065,F1068,F1070,F1072,F1079,F1081)</f>
        <v>-84751</v>
      </c>
      <c r="G1058" s="226">
        <f t="shared" si="100"/>
        <v>3580574</v>
      </c>
      <c r="H1058" s="343">
        <v>4440330.1985874996</v>
      </c>
      <c r="I1058" s="699">
        <f t="shared" si="102"/>
        <v>859756.19858749956</v>
      </c>
      <c r="J1058" s="700">
        <f t="shared" ref="J1058:J1063" si="103">I1058/G1058</f>
        <v>0.24011686354967096</v>
      </c>
    </row>
    <row r="1059" spans="1:10">
      <c r="C1059" s="177" t="s">
        <v>285</v>
      </c>
      <c r="D1059" s="242">
        <v>89000</v>
      </c>
      <c r="E1059" s="242"/>
      <c r="F1059" s="242"/>
      <c r="G1059" s="242">
        <f t="shared" si="100"/>
        <v>89000</v>
      </c>
      <c r="H1059" s="242">
        <v>89000</v>
      </c>
      <c r="I1059" s="520">
        <f t="shared" si="102"/>
        <v>0</v>
      </c>
      <c r="J1059" s="638">
        <f t="shared" si="103"/>
        <v>0</v>
      </c>
    </row>
    <row r="1060" spans="1:10">
      <c r="C1060" s="220" t="s">
        <v>286</v>
      </c>
      <c r="D1060" s="226">
        <f>SUM(D1061:D1063)</f>
        <v>3638325</v>
      </c>
      <c r="E1060" s="343">
        <f>SUM(E1061:E1063)</f>
        <v>27000</v>
      </c>
      <c r="F1060" s="343">
        <f>SUM(F1061:F1063)</f>
        <v>-84751</v>
      </c>
      <c r="G1060" s="226">
        <f t="shared" si="100"/>
        <v>3580574</v>
      </c>
      <c r="H1060" s="343">
        <v>4440330.1985874996</v>
      </c>
      <c r="I1060" s="699">
        <f t="shared" si="102"/>
        <v>859756.19858749956</v>
      </c>
      <c r="J1060" s="700">
        <f t="shared" si="103"/>
        <v>0.24011686354967096</v>
      </c>
    </row>
    <row r="1061" spans="1:10">
      <c r="C1061" s="221" t="s">
        <v>287</v>
      </c>
      <c r="D1061" s="242">
        <v>13550</v>
      </c>
      <c r="E1061" s="259">
        <v>0</v>
      </c>
      <c r="F1061" s="259"/>
      <c r="G1061" s="242">
        <f t="shared" si="100"/>
        <v>13550</v>
      </c>
      <c r="H1061" s="259">
        <v>10290</v>
      </c>
      <c r="I1061" s="368">
        <f t="shared" si="102"/>
        <v>-3260</v>
      </c>
      <c r="J1061" s="649">
        <f t="shared" si="103"/>
        <v>-0.24059040590405903</v>
      </c>
    </row>
    <row r="1062" spans="1:10">
      <c r="C1062" s="222" t="s">
        <v>298</v>
      </c>
      <c r="D1062" s="242">
        <v>42341</v>
      </c>
      <c r="E1062" s="259">
        <v>22950</v>
      </c>
      <c r="F1062" s="259"/>
      <c r="G1062" s="242">
        <f t="shared" si="100"/>
        <v>65291</v>
      </c>
      <c r="H1062" s="259">
        <v>89529</v>
      </c>
      <c r="I1062" s="368">
        <f t="shared" si="102"/>
        <v>24238</v>
      </c>
      <c r="J1062" s="649">
        <f t="shared" si="103"/>
        <v>0.37123033802514893</v>
      </c>
    </row>
    <row r="1063" spans="1:10">
      <c r="C1063" s="222" t="s">
        <v>288</v>
      </c>
      <c r="D1063" s="242">
        <f>D1058-D1061-D1062</f>
        <v>3582434</v>
      </c>
      <c r="E1063" s="259">
        <f>E1058-E1061-E1062</f>
        <v>4050</v>
      </c>
      <c r="F1063" s="259">
        <f>F1058-F1061-F1062</f>
        <v>-84751</v>
      </c>
      <c r="G1063" s="242">
        <f t="shared" si="100"/>
        <v>3501733</v>
      </c>
      <c r="H1063" s="259">
        <v>4340511.1985874996</v>
      </c>
      <c r="I1063" s="368">
        <f t="shared" si="102"/>
        <v>838778.19858749956</v>
      </c>
      <c r="J1063" s="649">
        <f t="shared" si="103"/>
        <v>0.23953231116921236</v>
      </c>
    </row>
    <row r="1064" spans="1:10">
      <c r="C1064" s="201"/>
      <c r="D1064" s="185"/>
      <c r="G1064" s="185">
        <f t="shared" si="100"/>
        <v>0</v>
      </c>
      <c r="H1064" s="358">
        <v>0</v>
      </c>
      <c r="I1064" s="657">
        <f t="shared" si="102"/>
        <v>0</v>
      </c>
      <c r="J1064" s="648"/>
    </row>
    <row r="1065" spans="1:10">
      <c r="A1065" s="169" t="s">
        <v>689</v>
      </c>
      <c r="B1065" s="169" t="s">
        <v>32</v>
      </c>
      <c r="C1065" s="206" t="s">
        <v>690</v>
      </c>
      <c r="D1065" s="185">
        <f>2717426+12138+1856+3392</f>
        <v>2734812</v>
      </c>
      <c r="E1065" s="237">
        <v>8316</v>
      </c>
      <c r="F1065" s="279">
        <v>-4751</v>
      </c>
      <c r="G1065" s="185">
        <f t="shared" si="100"/>
        <v>2738377</v>
      </c>
      <c r="H1065" s="358">
        <v>2990340.1985875</v>
      </c>
      <c r="I1065" s="657">
        <f t="shared" si="102"/>
        <v>251963.19858750002</v>
      </c>
      <c r="J1065" s="648">
        <f>I1065/G1065</f>
        <v>9.2011873670973729E-2</v>
      </c>
    </row>
    <row r="1066" spans="1:10">
      <c r="C1066" s="196" t="s">
        <v>291</v>
      </c>
      <c r="D1066" s="189">
        <f>1916957+9072+1376+2535</f>
        <v>1929940</v>
      </c>
      <c r="E1066" s="189">
        <v>6215</v>
      </c>
      <c r="F1066" s="216">
        <v>-3551</v>
      </c>
      <c r="G1066" s="189">
        <f t="shared" si="100"/>
        <v>1932604</v>
      </c>
      <c r="H1066" s="369">
        <v>2127260.2374999998</v>
      </c>
      <c r="I1066" s="655">
        <f t="shared" si="102"/>
        <v>194656.23749999981</v>
      </c>
      <c r="J1066" s="704">
        <f>I1066/G1066</f>
        <v>0.10072225737916293</v>
      </c>
    </row>
    <row r="1067" spans="1:10">
      <c r="C1067" s="196"/>
      <c r="D1067" s="189"/>
      <c r="G1067" s="189">
        <f t="shared" si="100"/>
        <v>0</v>
      </c>
      <c r="H1067" s="369">
        <v>0</v>
      </c>
      <c r="I1067" s="655">
        <f t="shared" si="102"/>
        <v>0</v>
      </c>
      <c r="J1067" s="704"/>
    </row>
    <row r="1068" spans="1:10">
      <c r="A1068" s="169" t="s">
        <v>689</v>
      </c>
      <c r="B1068" s="169" t="s">
        <v>32</v>
      </c>
      <c r="C1068" s="206" t="s">
        <v>691</v>
      </c>
      <c r="D1068" s="185">
        <v>447400</v>
      </c>
      <c r="G1068" s="185">
        <f t="shared" si="100"/>
        <v>447400</v>
      </c>
      <c r="H1068" s="358">
        <v>447400</v>
      </c>
      <c r="I1068" s="657">
        <f t="shared" si="102"/>
        <v>0</v>
      </c>
      <c r="J1068" s="648">
        <f>I1068/G1068</f>
        <v>0</v>
      </c>
    </row>
    <row r="1069" spans="1:10">
      <c r="C1069" s="206"/>
      <c r="D1069" s="189"/>
      <c r="G1069" s="189">
        <f t="shared" si="100"/>
        <v>0</v>
      </c>
      <c r="H1069" s="369">
        <v>0</v>
      </c>
      <c r="I1069" s="655">
        <f t="shared" si="102"/>
        <v>0</v>
      </c>
      <c r="J1069" s="704"/>
    </row>
    <row r="1070" spans="1:10">
      <c r="A1070" s="169" t="s">
        <v>689</v>
      </c>
      <c r="B1070" s="169" t="s">
        <v>32</v>
      </c>
      <c r="C1070" s="206" t="s">
        <v>692</v>
      </c>
      <c r="D1070" s="185">
        <v>215000</v>
      </c>
      <c r="F1070" s="279">
        <v>-80000</v>
      </c>
      <c r="G1070" s="185">
        <f t="shared" si="100"/>
        <v>135000</v>
      </c>
      <c r="H1070" s="358">
        <v>420000</v>
      </c>
      <c r="I1070" s="657">
        <f t="shared" si="102"/>
        <v>285000</v>
      </c>
      <c r="J1070" s="648">
        <f>I1070/G1070</f>
        <v>2.1111111111111112</v>
      </c>
    </row>
    <row r="1071" spans="1:10">
      <c r="C1071" s="338"/>
      <c r="D1071" s="189"/>
      <c r="G1071" s="189">
        <f t="shared" si="100"/>
        <v>0</v>
      </c>
      <c r="H1071" s="369">
        <v>0</v>
      </c>
      <c r="I1071" s="655">
        <f t="shared" si="102"/>
        <v>0</v>
      </c>
      <c r="J1071" s="704"/>
    </row>
    <row r="1072" spans="1:10">
      <c r="A1072" s="169" t="s">
        <v>295</v>
      </c>
      <c r="B1072" s="169" t="s">
        <v>32</v>
      </c>
      <c r="C1072" s="195" t="s">
        <v>693</v>
      </c>
      <c r="D1072" s="185">
        <f>100000+78600</f>
        <v>178600</v>
      </c>
      <c r="E1072" s="237">
        <v>-8316</v>
      </c>
      <c r="F1072" s="237"/>
      <c r="G1072" s="185">
        <f t="shared" si="100"/>
        <v>170284</v>
      </c>
      <c r="H1072" s="358">
        <v>171000</v>
      </c>
      <c r="I1072" s="657">
        <f t="shared" si="102"/>
        <v>716</v>
      </c>
      <c r="J1072" s="648">
        <f>I1072/G1072</f>
        <v>4.2047403161776797E-3</v>
      </c>
    </row>
    <row r="1073" spans="1:10" s="521" customFormat="1">
      <c r="C1073" s="261"/>
      <c r="D1073" s="520"/>
      <c r="E1073" s="520"/>
      <c r="F1073" s="520"/>
      <c r="G1073" s="520"/>
      <c r="H1073" s="255">
        <v>0</v>
      </c>
      <c r="I1073" s="522"/>
      <c r="J1073" s="639"/>
    </row>
    <row r="1074" spans="1:10">
      <c r="A1074" s="169" t="s">
        <v>295</v>
      </c>
      <c r="B1074" s="169" t="s">
        <v>32</v>
      </c>
      <c r="C1074" s="195" t="s">
        <v>1251</v>
      </c>
      <c r="D1074" s="245"/>
      <c r="F1074" s="245"/>
      <c r="G1074" s="245">
        <f t="shared" ref="G1074" si="104">SUM(D1074:F1074)</f>
        <v>0</v>
      </c>
      <c r="H1074" s="255">
        <v>295000</v>
      </c>
      <c r="I1074" s="255">
        <f t="shared" ref="I1074:I1137" si="105">H1074-G1074</f>
        <v>295000</v>
      </c>
      <c r="J1074" s="637" t="e">
        <f t="shared" ref="J1074:J1079" si="106">I1074/G1074</f>
        <v>#DIV/0!</v>
      </c>
    </row>
    <row r="1075" spans="1:10">
      <c r="C1075" s="212" t="s">
        <v>1252</v>
      </c>
      <c r="D1075" s="245"/>
      <c r="F1075" s="245"/>
      <c r="G1075" s="245"/>
      <c r="H1075" s="255">
        <v>195000</v>
      </c>
      <c r="I1075" s="255">
        <f t="shared" si="105"/>
        <v>195000</v>
      </c>
      <c r="J1075" s="637" t="e">
        <f t="shared" si="106"/>
        <v>#DIV/0!</v>
      </c>
    </row>
    <row r="1076" spans="1:10">
      <c r="C1076" s="212" t="s">
        <v>1249</v>
      </c>
      <c r="D1076" s="245"/>
      <c r="F1076" s="245"/>
      <c r="G1076" s="245"/>
      <c r="H1076" s="255">
        <v>50000</v>
      </c>
      <c r="I1076" s="255">
        <f t="shared" si="105"/>
        <v>50000</v>
      </c>
      <c r="J1076" s="637" t="e">
        <f t="shared" si="106"/>
        <v>#DIV/0!</v>
      </c>
    </row>
    <row r="1077" spans="1:10" s="521" customFormat="1">
      <c r="C1077" s="212" t="s">
        <v>1250</v>
      </c>
      <c r="D1077" s="520"/>
      <c r="E1077" s="520"/>
      <c r="F1077" s="520"/>
      <c r="G1077" s="520"/>
      <c r="H1077" s="255">
        <v>50000</v>
      </c>
      <c r="I1077" s="255">
        <f t="shared" si="105"/>
        <v>50000</v>
      </c>
      <c r="J1077" s="637" t="e">
        <f t="shared" si="106"/>
        <v>#DIV/0!</v>
      </c>
    </row>
    <row r="1078" spans="1:10">
      <c r="C1078" s="261"/>
      <c r="D1078" s="185"/>
      <c r="G1078" s="185"/>
      <c r="H1078" s="245">
        <v>0</v>
      </c>
      <c r="I1078" s="255">
        <f t="shared" si="105"/>
        <v>0</v>
      </c>
      <c r="J1078" s="637" t="e">
        <f t="shared" si="106"/>
        <v>#DIV/0!</v>
      </c>
    </row>
    <row r="1079" spans="1:10" ht="25.5">
      <c r="A1079" s="169" t="s">
        <v>295</v>
      </c>
      <c r="B1079" s="169" t="s">
        <v>32</v>
      </c>
      <c r="C1079" s="200" t="s">
        <v>694</v>
      </c>
      <c r="D1079" s="185">
        <v>12700</v>
      </c>
      <c r="G1079" s="185">
        <f t="shared" si="100"/>
        <v>12700</v>
      </c>
      <c r="H1079" s="358">
        <v>11262</v>
      </c>
      <c r="I1079" s="255">
        <f t="shared" si="105"/>
        <v>-1438</v>
      </c>
      <c r="J1079" s="637">
        <f t="shared" si="106"/>
        <v>-0.11322834645669291</v>
      </c>
    </row>
    <row r="1080" spans="1:10">
      <c r="C1080" s="200"/>
      <c r="D1080" s="185"/>
      <c r="G1080" s="185">
        <f t="shared" si="100"/>
        <v>0</v>
      </c>
      <c r="H1080" s="358">
        <v>0</v>
      </c>
      <c r="I1080" s="657">
        <f t="shared" si="105"/>
        <v>0</v>
      </c>
      <c r="J1080" s="648"/>
    </row>
    <row r="1081" spans="1:10" s="370" customFormat="1" ht="25.5">
      <c r="A1081" s="169" t="s">
        <v>689</v>
      </c>
      <c r="B1081" s="370" t="s">
        <v>32</v>
      </c>
      <c r="C1081" s="200" t="s">
        <v>695</v>
      </c>
      <c r="D1081" s="185">
        <v>49813</v>
      </c>
      <c r="G1081" s="185">
        <f t="shared" si="100"/>
        <v>49813</v>
      </c>
      <c r="H1081" s="358">
        <v>105328</v>
      </c>
      <c r="I1081" s="657">
        <f t="shared" si="105"/>
        <v>55515</v>
      </c>
      <c r="J1081" s="648">
        <f>I1081/G1081</f>
        <v>1.1144681107341456</v>
      </c>
    </row>
    <row r="1082" spans="1:10" s="370" customFormat="1">
      <c r="A1082" s="169"/>
      <c r="C1082" s="196" t="s">
        <v>291</v>
      </c>
      <c r="D1082" s="189">
        <v>28700</v>
      </c>
      <c r="G1082" s="189">
        <f t="shared" si="100"/>
        <v>28700</v>
      </c>
      <c r="H1082" s="369">
        <v>32544</v>
      </c>
      <c r="I1082" s="655">
        <f t="shared" si="105"/>
        <v>3844</v>
      </c>
      <c r="J1082" s="704">
        <f>I1082/G1082</f>
        <v>0.13393728222996515</v>
      </c>
    </row>
    <row r="1083" spans="1:10" s="370" customFormat="1">
      <c r="A1083" s="169"/>
      <c r="D1083" s="423"/>
      <c r="G1083" s="423">
        <f t="shared" si="100"/>
        <v>0</v>
      </c>
      <c r="H1083" s="370">
        <v>0</v>
      </c>
      <c r="I1083" s="328">
        <f t="shared" si="105"/>
        <v>0</v>
      </c>
      <c r="J1083" s="662"/>
    </row>
    <row r="1084" spans="1:10" s="370" customFormat="1">
      <c r="A1084" s="169"/>
      <c r="C1084" s="196" t="s">
        <v>337</v>
      </c>
      <c r="D1084" s="214">
        <v>42341</v>
      </c>
      <c r="G1084" s="214">
        <f t="shared" si="100"/>
        <v>42341</v>
      </c>
      <c r="H1084" s="214">
        <v>89529</v>
      </c>
      <c r="I1084" s="663">
        <f t="shared" si="105"/>
        <v>47188</v>
      </c>
      <c r="J1084" s="664">
        <f>I1084/G1084</f>
        <v>1.1144753312392244</v>
      </c>
    </row>
    <row r="1085" spans="1:10" s="370" customFormat="1">
      <c r="A1085" s="169"/>
      <c r="C1085" s="196"/>
      <c r="D1085" s="214"/>
      <c r="G1085" s="214">
        <f t="shared" si="100"/>
        <v>0</v>
      </c>
      <c r="H1085" s="214">
        <v>0</v>
      </c>
      <c r="I1085" s="663">
        <f t="shared" si="105"/>
        <v>0</v>
      </c>
      <c r="J1085" s="664"/>
    </row>
    <row r="1086" spans="1:10" s="370" customFormat="1" ht="25.5">
      <c r="A1086" s="169" t="s">
        <v>689</v>
      </c>
      <c r="B1086" s="370" t="s">
        <v>32</v>
      </c>
      <c r="C1086" s="200" t="s">
        <v>696</v>
      </c>
      <c r="D1086" s="214"/>
      <c r="E1086" s="185">
        <v>27000</v>
      </c>
      <c r="F1086" s="185"/>
      <c r="G1086" s="214">
        <f t="shared" si="100"/>
        <v>27000</v>
      </c>
      <c r="H1086" s="214">
        <v>0</v>
      </c>
      <c r="I1086" s="663">
        <f t="shared" si="105"/>
        <v>-27000</v>
      </c>
      <c r="J1086" s="664">
        <f>I1086/G1086</f>
        <v>-1</v>
      </c>
    </row>
    <row r="1087" spans="1:10" s="370" customFormat="1">
      <c r="A1087" s="169"/>
      <c r="C1087" s="217"/>
      <c r="D1087" s="214"/>
      <c r="E1087" s="357"/>
      <c r="F1087" s="357"/>
      <c r="G1087" s="214">
        <f t="shared" ref="G1087:G1148" si="107">SUM(D1087:F1087)</f>
        <v>0</v>
      </c>
      <c r="H1087" s="214">
        <v>0</v>
      </c>
      <c r="I1087" s="663">
        <f t="shared" si="105"/>
        <v>0</v>
      </c>
      <c r="J1087" s="664"/>
    </row>
    <row r="1088" spans="1:10" s="370" customFormat="1">
      <c r="A1088" s="169"/>
      <c r="C1088" s="217" t="s">
        <v>337</v>
      </c>
      <c r="D1088" s="214"/>
      <c r="E1088" s="214">
        <v>22950</v>
      </c>
      <c r="F1088" s="214"/>
      <c r="G1088" s="214">
        <f t="shared" si="107"/>
        <v>22950</v>
      </c>
      <c r="H1088" s="214">
        <v>0</v>
      </c>
      <c r="I1088" s="663">
        <f t="shared" si="105"/>
        <v>-22950</v>
      </c>
      <c r="J1088" s="664">
        <f>I1088/G1088</f>
        <v>-1</v>
      </c>
    </row>
    <row r="1089" spans="1:10">
      <c r="C1089" s="195"/>
      <c r="D1089" s="185"/>
      <c r="G1089" s="185">
        <f t="shared" si="107"/>
        <v>0</v>
      </c>
      <c r="H1089" s="358">
        <v>0</v>
      </c>
      <c r="I1089" s="657">
        <f t="shared" si="105"/>
        <v>0</v>
      </c>
      <c r="J1089" s="648"/>
    </row>
    <row r="1090" spans="1:10">
      <c r="C1090" s="195"/>
      <c r="D1090" s="185"/>
      <c r="G1090" s="185">
        <f t="shared" si="107"/>
        <v>0</v>
      </c>
      <c r="H1090" s="358">
        <v>0</v>
      </c>
      <c r="I1090" s="657">
        <f t="shared" si="105"/>
        <v>0</v>
      </c>
      <c r="J1090" s="648"/>
    </row>
    <row r="1091" spans="1:10" ht="15.75">
      <c r="C1091" s="225" t="s">
        <v>38</v>
      </c>
      <c r="D1091" s="209"/>
      <c r="G1091" s="209">
        <f t="shared" si="107"/>
        <v>0</v>
      </c>
      <c r="H1091" s="360">
        <v>0</v>
      </c>
      <c r="I1091" s="363">
        <f t="shared" si="105"/>
        <v>0</v>
      </c>
      <c r="J1091" s="648"/>
    </row>
    <row r="1092" spans="1:10">
      <c r="C1092" s="219"/>
      <c r="D1092" s="209"/>
      <c r="G1092" s="209">
        <f t="shared" si="107"/>
        <v>0</v>
      </c>
      <c r="H1092" s="360">
        <v>0</v>
      </c>
      <c r="I1092" s="363">
        <f t="shared" si="105"/>
        <v>0</v>
      </c>
      <c r="J1092" s="648"/>
    </row>
    <row r="1093" spans="1:10">
      <c r="C1093" s="219" t="s">
        <v>5</v>
      </c>
      <c r="D1093" s="226">
        <f>SUM(D1098)</f>
        <v>2844806</v>
      </c>
      <c r="E1093" s="343">
        <f>SUM(E1098)</f>
        <v>15274</v>
      </c>
      <c r="F1093" s="343">
        <f>SUM(F1098)</f>
        <v>-3795</v>
      </c>
      <c r="G1093" s="226">
        <f t="shared" si="107"/>
        <v>2856285</v>
      </c>
      <c r="H1093" s="343">
        <v>3018369.7355375001</v>
      </c>
      <c r="I1093" s="699">
        <f t="shared" si="105"/>
        <v>162084.73553750012</v>
      </c>
      <c r="J1093" s="700">
        <f>I1093/G1093</f>
        <v>5.6746695633488997E-2</v>
      </c>
    </row>
    <row r="1094" spans="1:10">
      <c r="C1094" s="221" t="s">
        <v>285</v>
      </c>
      <c r="D1094" s="242">
        <v>2245</v>
      </c>
      <c r="E1094" s="242"/>
      <c r="F1094" s="242">
        <v>-1440</v>
      </c>
      <c r="G1094" s="242">
        <f t="shared" si="107"/>
        <v>805</v>
      </c>
      <c r="H1094" s="242">
        <v>875</v>
      </c>
      <c r="I1094" s="520">
        <f t="shared" si="105"/>
        <v>70</v>
      </c>
      <c r="J1094" s="638">
        <f>I1094/G1094</f>
        <v>8.6956521739130432E-2</v>
      </c>
    </row>
    <row r="1095" spans="1:10">
      <c r="C1095" s="220" t="s">
        <v>286</v>
      </c>
      <c r="D1095" s="226">
        <f>SUM(D1096)</f>
        <v>2844806</v>
      </c>
      <c r="E1095" s="343">
        <f>SUM(E1096)</f>
        <v>15274</v>
      </c>
      <c r="F1095" s="343">
        <f>SUM(F1096)</f>
        <v>-3795</v>
      </c>
      <c r="G1095" s="226">
        <f t="shared" si="107"/>
        <v>2856285</v>
      </c>
      <c r="H1095" s="343">
        <v>3018369.7355375001</v>
      </c>
      <c r="I1095" s="699">
        <f t="shared" si="105"/>
        <v>162084.73553750012</v>
      </c>
      <c r="J1095" s="700">
        <f>I1095/G1095</f>
        <v>5.6746695633488997E-2</v>
      </c>
    </row>
    <row r="1096" spans="1:10">
      <c r="C1096" s="221" t="s">
        <v>697</v>
      </c>
      <c r="D1096" s="242">
        <f>D1093</f>
        <v>2844806</v>
      </c>
      <c r="E1096" s="259">
        <f>E1093</f>
        <v>15274</v>
      </c>
      <c r="F1096" s="259">
        <f>F1093</f>
        <v>-3795</v>
      </c>
      <c r="G1096" s="242">
        <f t="shared" si="107"/>
        <v>2856285</v>
      </c>
      <c r="H1096" s="259">
        <v>3018369.7355375001</v>
      </c>
      <c r="I1096" s="368">
        <f t="shared" si="105"/>
        <v>162084.73553750012</v>
      </c>
      <c r="J1096" s="649">
        <f>I1096/G1096</f>
        <v>5.6746695633488997E-2</v>
      </c>
    </row>
    <row r="1097" spans="1:10">
      <c r="C1097" s="201"/>
      <c r="D1097" s="185"/>
      <c r="G1097" s="185">
        <f t="shared" si="107"/>
        <v>0</v>
      </c>
      <c r="H1097" s="358">
        <v>0</v>
      </c>
      <c r="I1097" s="657">
        <f t="shared" si="105"/>
        <v>0</v>
      </c>
      <c r="J1097" s="648"/>
    </row>
    <row r="1098" spans="1:10">
      <c r="A1098" s="169" t="s">
        <v>317</v>
      </c>
      <c r="B1098" s="169" t="s">
        <v>38</v>
      </c>
      <c r="C1098" s="213" t="s">
        <v>698</v>
      </c>
      <c r="D1098" s="279">
        <f>2840277+10212-8640+2957</f>
        <v>2844806</v>
      </c>
      <c r="E1098" s="279">
        <v>15274</v>
      </c>
      <c r="F1098" s="273">
        <f>2127+6516-12438</f>
        <v>-3795</v>
      </c>
      <c r="G1098" s="279">
        <f t="shared" si="107"/>
        <v>2856285</v>
      </c>
      <c r="H1098" s="279">
        <v>3018369.7355375001</v>
      </c>
      <c r="I1098" s="614">
        <f t="shared" si="105"/>
        <v>162084.73553750012</v>
      </c>
      <c r="J1098" s="681">
        <f>I1098/G1098</f>
        <v>5.6746695633488997E-2</v>
      </c>
    </row>
    <row r="1099" spans="1:10">
      <c r="C1099" s="196" t="s">
        <v>291</v>
      </c>
      <c r="D1099" s="246">
        <f>1670450+7632+2210</f>
        <v>1680292</v>
      </c>
      <c r="E1099" s="246">
        <v>11314</v>
      </c>
      <c r="F1099" s="216">
        <f>4870-9296</f>
        <v>-4426</v>
      </c>
      <c r="G1099" s="246">
        <f t="shared" si="107"/>
        <v>1687180</v>
      </c>
      <c r="H1099" s="246">
        <v>1782220.3875</v>
      </c>
      <c r="I1099" s="520">
        <f t="shared" si="105"/>
        <v>95040.387499999953</v>
      </c>
      <c r="J1099" s="638">
        <f>I1099/G1099</f>
        <v>5.6330911639540508E-2</v>
      </c>
    </row>
    <row r="1100" spans="1:10">
      <c r="C1100" s="346"/>
      <c r="D1100" s="654"/>
      <c r="G1100" s="654">
        <f t="shared" si="107"/>
        <v>0</v>
      </c>
      <c r="H1100" s="347">
        <v>0</v>
      </c>
      <c r="I1100" s="347">
        <f t="shared" si="105"/>
        <v>0</v>
      </c>
      <c r="J1100" s="646"/>
    </row>
    <row r="1101" spans="1:10">
      <c r="B1101" s="370"/>
      <c r="C1101" s="195"/>
      <c r="D1101" s="185"/>
      <c r="G1101" s="185">
        <f t="shared" si="107"/>
        <v>0</v>
      </c>
      <c r="H1101" s="185">
        <v>0</v>
      </c>
      <c r="I1101" s="268">
        <f t="shared" si="105"/>
        <v>0</v>
      </c>
      <c r="J1101" s="634"/>
    </row>
    <row r="1102" spans="1:10" ht="15.75">
      <c r="C1102" s="225" t="s">
        <v>699</v>
      </c>
      <c r="D1102" s="407"/>
      <c r="G1102" s="407">
        <f t="shared" si="107"/>
        <v>0</v>
      </c>
      <c r="H1102" s="171">
        <v>0</v>
      </c>
      <c r="I1102" s="682">
        <f t="shared" si="105"/>
        <v>0</v>
      </c>
      <c r="J1102" s="683"/>
    </row>
    <row r="1103" spans="1:10">
      <c r="C1103" s="201"/>
      <c r="D1103" s="407"/>
      <c r="G1103" s="407">
        <f t="shared" si="107"/>
        <v>0</v>
      </c>
      <c r="H1103" s="171">
        <v>0</v>
      </c>
      <c r="I1103" s="682">
        <f t="shared" si="105"/>
        <v>0</v>
      </c>
      <c r="J1103" s="683"/>
    </row>
    <row r="1104" spans="1:10">
      <c r="C1104" s="219" t="s">
        <v>5</v>
      </c>
      <c r="D1104" s="176">
        <f>D1110+D1120+D1130+D1133+D1114</f>
        <v>1862869</v>
      </c>
      <c r="E1104" s="176">
        <f>E1110+E1120+E1130+E1133+E1114</f>
        <v>6492</v>
      </c>
      <c r="F1104" s="176">
        <f>F1110+F1120+F1130+F1133+F1114</f>
        <v>8281</v>
      </c>
      <c r="G1104" s="176">
        <f t="shared" si="107"/>
        <v>1877642</v>
      </c>
      <c r="H1104" s="176">
        <v>1963600</v>
      </c>
      <c r="I1104" s="659">
        <f t="shared" si="105"/>
        <v>85958</v>
      </c>
      <c r="J1104" s="660">
        <f>I1104/G1104</f>
        <v>4.5779759932937161E-2</v>
      </c>
    </row>
    <row r="1105" spans="1:10">
      <c r="C1105" s="177" t="s">
        <v>285</v>
      </c>
      <c r="D1105" s="371">
        <v>320000</v>
      </c>
      <c r="E1105" s="371"/>
      <c r="F1105" s="371"/>
      <c r="G1105" s="371">
        <f t="shared" si="107"/>
        <v>320000</v>
      </c>
      <c r="H1105" s="371">
        <v>340000</v>
      </c>
      <c r="I1105" s="706">
        <f t="shared" si="105"/>
        <v>20000</v>
      </c>
      <c r="J1105" s="638">
        <f>I1105/G1105</f>
        <v>6.25E-2</v>
      </c>
    </row>
    <row r="1106" spans="1:10">
      <c r="C1106" s="220" t="s">
        <v>286</v>
      </c>
      <c r="D1106" s="176">
        <f t="shared" ref="D1106:F1106" si="108">D1107+D1108</f>
        <v>1862869</v>
      </c>
      <c r="E1106" s="176">
        <f t="shared" si="108"/>
        <v>6492</v>
      </c>
      <c r="F1106" s="176">
        <f t="shared" si="108"/>
        <v>8281</v>
      </c>
      <c r="G1106" s="176">
        <f t="shared" si="107"/>
        <v>1877642</v>
      </c>
      <c r="H1106" s="176">
        <v>1963600</v>
      </c>
      <c r="I1106" s="659">
        <f t="shared" si="105"/>
        <v>85958</v>
      </c>
      <c r="J1106" s="660">
        <f>I1106/G1106</f>
        <v>4.5779759932937161E-2</v>
      </c>
    </row>
    <row r="1107" spans="1:10">
      <c r="C1107" s="221" t="s">
        <v>287</v>
      </c>
      <c r="D1107" s="178">
        <v>345570</v>
      </c>
      <c r="E1107" s="178">
        <v>0</v>
      </c>
      <c r="F1107" s="178">
        <v>4410</v>
      </c>
      <c r="G1107" s="178">
        <f t="shared" si="107"/>
        <v>349980</v>
      </c>
      <c r="H1107" s="178">
        <v>362550</v>
      </c>
      <c r="I1107" s="184">
        <f t="shared" si="105"/>
        <v>12570</v>
      </c>
      <c r="J1107" s="632">
        <f>I1107/G1107</f>
        <v>3.591633807646151E-2</v>
      </c>
    </row>
    <row r="1108" spans="1:10">
      <c r="C1108" s="222" t="s">
        <v>288</v>
      </c>
      <c r="D1108" s="178">
        <f t="shared" ref="D1108:F1108" si="109">D1104-D1107</f>
        <v>1517299</v>
      </c>
      <c r="E1108" s="178">
        <f t="shared" si="109"/>
        <v>6492</v>
      </c>
      <c r="F1108" s="178">
        <f t="shared" si="109"/>
        <v>3871</v>
      </c>
      <c r="G1108" s="178">
        <f t="shared" si="107"/>
        <v>1527662</v>
      </c>
      <c r="H1108" s="178">
        <v>1601050</v>
      </c>
      <c r="I1108" s="184">
        <f t="shared" si="105"/>
        <v>73388</v>
      </c>
      <c r="J1108" s="632">
        <f>I1108/G1108</f>
        <v>4.8039422332950617E-2</v>
      </c>
    </row>
    <row r="1109" spans="1:10">
      <c r="C1109" s="222"/>
      <c r="D1109" s="178"/>
      <c r="E1109" s="178"/>
      <c r="F1109" s="178"/>
      <c r="G1109" s="178">
        <f t="shared" si="107"/>
        <v>0</v>
      </c>
      <c r="H1109" s="178">
        <v>0</v>
      </c>
      <c r="I1109" s="184">
        <f t="shared" si="105"/>
        <v>0</v>
      </c>
      <c r="J1109" s="632"/>
    </row>
    <row r="1110" spans="1:10" ht="15">
      <c r="A1110" s="169" t="s">
        <v>295</v>
      </c>
      <c r="B1110" s="169" t="s">
        <v>699</v>
      </c>
      <c r="C1110" s="372" t="s">
        <v>359</v>
      </c>
      <c r="D1110" s="280">
        <f t="shared" ref="D1110:F1110" si="110">D1111</f>
        <v>84601</v>
      </c>
      <c r="E1110" s="280">
        <f t="shared" si="110"/>
        <v>0</v>
      </c>
      <c r="F1110" s="280">
        <f t="shared" si="110"/>
        <v>4970</v>
      </c>
      <c r="G1110" s="280">
        <f t="shared" si="107"/>
        <v>89571</v>
      </c>
      <c r="H1110" s="280">
        <v>90000</v>
      </c>
      <c r="I1110" s="659">
        <f t="shared" si="105"/>
        <v>429</v>
      </c>
      <c r="J1110" s="660">
        <f>I1110/G1110</f>
        <v>4.7894966004622033E-3</v>
      </c>
    </row>
    <row r="1111" spans="1:10">
      <c r="C1111" s="223" t="s">
        <v>700</v>
      </c>
      <c r="D1111" s="226">
        <f>81460+2875+266</f>
        <v>84601</v>
      </c>
      <c r="E1111" s="226"/>
      <c r="F1111" s="226">
        <v>4970</v>
      </c>
      <c r="G1111" s="226">
        <f t="shared" si="107"/>
        <v>89571</v>
      </c>
      <c r="H1111" s="226">
        <v>90000</v>
      </c>
      <c r="I1111" s="665">
        <f t="shared" si="105"/>
        <v>429</v>
      </c>
      <c r="J1111" s="666">
        <f>I1111/G1111</f>
        <v>4.7894966004622033E-3</v>
      </c>
    </row>
    <row r="1112" spans="1:10">
      <c r="C1112" s="202" t="s">
        <v>291</v>
      </c>
      <c r="D1112" s="214">
        <f>40871+2149+199</f>
        <v>43219</v>
      </c>
      <c r="E1112" s="214"/>
      <c r="F1112" s="214"/>
      <c r="G1112" s="214">
        <f t="shared" si="107"/>
        <v>43219</v>
      </c>
      <c r="H1112" s="214">
        <v>43985</v>
      </c>
      <c r="I1112" s="663">
        <f t="shared" si="105"/>
        <v>766</v>
      </c>
      <c r="J1112" s="664">
        <f>I1112/G1112</f>
        <v>1.772368634165529E-2</v>
      </c>
    </row>
    <row r="1113" spans="1:10">
      <c r="C1113" s="373"/>
      <c r="D1113" s="189"/>
      <c r="E1113" s="189"/>
      <c r="F1113" s="189"/>
      <c r="G1113" s="189">
        <f t="shared" si="107"/>
        <v>0</v>
      </c>
      <c r="H1113" s="189">
        <v>0</v>
      </c>
      <c r="I1113" s="184">
        <f t="shared" si="105"/>
        <v>0</v>
      </c>
      <c r="J1113" s="632"/>
    </row>
    <row r="1114" spans="1:10" ht="15">
      <c r="A1114" s="169" t="s">
        <v>423</v>
      </c>
      <c r="B1114" s="169" t="s">
        <v>699</v>
      </c>
      <c r="C1114" s="372" t="s">
        <v>424</v>
      </c>
      <c r="D1114" s="280">
        <f t="shared" ref="D1114:F1114" si="111">D1115</f>
        <v>102217</v>
      </c>
      <c r="E1114" s="280">
        <f t="shared" si="111"/>
        <v>0</v>
      </c>
      <c r="F1114" s="280">
        <f t="shared" si="111"/>
        <v>3900</v>
      </c>
      <c r="G1114" s="280">
        <f t="shared" si="107"/>
        <v>106117</v>
      </c>
      <c r="H1114" s="280">
        <v>109100</v>
      </c>
      <c r="I1114" s="659">
        <f t="shared" si="105"/>
        <v>2983</v>
      </c>
      <c r="J1114" s="660">
        <f>I1114/G1114</f>
        <v>2.8110481826663022E-2</v>
      </c>
    </row>
    <row r="1115" spans="1:10">
      <c r="C1115" s="223" t="s">
        <v>425</v>
      </c>
      <c r="D1115" s="226">
        <f t="shared" ref="D1115:F1115" si="112">D1117</f>
        <v>102217</v>
      </c>
      <c r="E1115" s="226">
        <f t="shared" si="112"/>
        <v>0</v>
      </c>
      <c r="F1115" s="226">
        <f t="shared" si="112"/>
        <v>3900</v>
      </c>
      <c r="G1115" s="226">
        <f t="shared" si="107"/>
        <v>106117</v>
      </c>
      <c r="H1115" s="226">
        <v>109100</v>
      </c>
      <c r="I1115" s="665">
        <f t="shared" si="105"/>
        <v>2983</v>
      </c>
      <c r="J1115" s="666">
        <f>I1115/G1115</f>
        <v>2.8110481826663022E-2</v>
      </c>
    </row>
    <row r="1116" spans="1:10">
      <c r="C1116" s="374" t="s">
        <v>348</v>
      </c>
      <c r="D1116" s="189"/>
      <c r="E1116" s="189"/>
      <c r="F1116" s="189"/>
      <c r="G1116" s="189">
        <f t="shared" si="107"/>
        <v>0</v>
      </c>
      <c r="H1116" s="189">
        <v>0</v>
      </c>
      <c r="I1116" s="184">
        <f t="shared" si="105"/>
        <v>0</v>
      </c>
      <c r="J1116" s="632"/>
    </row>
    <row r="1117" spans="1:10">
      <c r="C1117" s="236" t="s">
        <v>701</v>
      </c>
      <c r="D1117" s="245">
        <v>102217</v>
      </c>
      <c r="E1117" s="245"/>
      <c r="F1117" s="245">
        <v>3900</v>
      </c>
      <c r="G1117" s="245">
        <f t="shared" si="107"/>
        <v>106117</v>
      </c>
      <c r="H1117" s="245">
        <v>109100</v>
      </c>
      <c r="I1117" s="255">
        <f t="shared" si="105"/>
        <v>2983</v>
      </c>
      <c r="J1117" s="637">
        <f>I1117/G1117</f>
        <v>2.8110481826663022E-2</v>
      </c>
    </row>
    <row r="1118" spans="1:10">
      <c r="C1118" s="271" t="s">
        <v>291</v>
      </c>
      <c r="D1118" s="246">
        <v>56707</v>
      </c>
      <c r="E1118" s="246"/>
      <c r="F1118" s="246"/>
      <c r="G1118" s="246">
        <f t="shared" si="107"/>
        <v>56707</v>
      </c>
      <c r="H1118" s="246">
        <v>59425</v>
      </c>
      <c r="I1118" s="520">
        <f t="shared" si="105"/>
        <v>2718</v>
      </c>
      <c r="J1118" s="638">
        <f>I1118/G1118</f>
        <v>4.793059057964625E-2</v>
      </c>
    </row>
    <row r="1119" spans="1:10">
      <c r="C1119" s="239"/>
      <c r="D1119" s="189"/>
      <c r="E1119" s="189"/>
      <c r="F1119" s="189"/>
      <c r="G1119" s="189">
        <f t="shared" si="107"/>
        <v>0</v>
      </c>
      <c r="H1119" s="189">
        <v>0</v>
      </c>
      <c r="I1119" s="184">
        <f t="shared" si="105"/>
        <v>0</v>
      </c>
      <c r="J1119" s="632"/>
    </row>
    <row r="1120" spans="1:10" ht="15">
      <c r="A1120" s="169" t="s">
        <v>461</v>
      </c>
      <c r="B1120" s="169" t="s">
        <v>699</v>
      </c>
      <c r="C1120" s="372" t="s">
        <v>462</v>
      </c>
      <c r="D1120" s="280">
        <f t="shared" ref="D1120:F1120" si="113">D1121</f>
        <v>263160</v>
      </c>
      <c r="E1120" s="280">
        <f t="shared" si="113"/>
        <v>6492</v>
      </c>
      <c r="F1120" s="280">
        <f t="shared" si="113"/>
        <v>-1000</v>
      </c>
      <c r="G1120" s="280">
        <f t="shared" si="107"/>
        <v>268652</v>
      </c>
      <c r="H1120" s="280">
        <v>274600</v>
      </c>
      <c r="I1120" s="659">
        <f t="shared" si="105"/>
        <v>5948</v>
      </c>
      <c r="J1120" s="660">
        <f>I1120/G1120</f>
        <v>2.2140166460700089E-2</v>
      </c>
    </row>
    <row r="1121" spans="1:10">
      <c r="C1121" s="375" t="s">
        <v>702</v>
      </c>
      <c r="D1121" s="226">
        <f>D1123+D1127</f>
        <v>263160</v>
      </c>
      <c r="E1121" s="226">
        <f>E1123+E1127</f>
        <v>6492</v>
      </c>
      <c r="F1121" s="226">
        <f>F1123+F1127</f>
        <v>-1000</v>
      </c>
      <c r="G1121" s="226">
        <f t="shared" si="107"/>
        <v>268652</v>
      </c>
      <c r="H1121" s="226">
        <v>274600</v>
      </c>
      <c r="I1121" s="665">
        <f t="shared" si="105"/>
        <v>5948</v>
      </c>
      <c r="J1121" s="666">
        <f>I1121/G1121</f>
        <v>2.2140166460700089E-2</v>
      </c>
    </row>
    <row r="1122" spans="1:10">
      <c r="C1122" s="376" t="s">
        <v>348</v>
      </c>
      <c r="D1122" s="242"/>
      <c r="E1122" s="242"/>
      <c r="F1122" s="242"/>
      <c r="G1122" s="242">
        <f t="shared" si="107"/>
        <v>0</v>
      </c>
      <c r="H1122" s="242">
        <v>0</v>
      </c>
      <c r="I1122" s="520">
        <f t="shared" si="105"/>
        <v>0</v>
      </c>
      <c r="J1122" s="638"/>
    </row>
    <row r="1123" spans="1:10">
      <c r="C1123" s="377" t="s">
        <v>703</v>
      </c>
      <c r="D1123" s="245">
        <v>147120</v>
      </c>
      <c r="E1123" s="245">
        <v>3111</v>
      </c>
      <c r="F1123" s="245">
        <v>-1000</v>
      </c>
      <c r="G1123" s="245">
        <f t="shared" si="107"/>
        <v>149231</v>
      </c>
      <c r="H1123" s="245">
        <v>151900</v>
      </c>
      <c r="I1123" s="255">
        <f t="shared" si="105"/>
        <v>2669</v>
      </c>
      <c r="J1123" s="637">
        <f>I1123/G1123</f>
        <v>1.7885023889138315E-2</v>
      </c>
    </row>
    <row r="1124" spans="1:10">
      <c r="C1124" s="208" t="s">
        <v>291</v>
      </c>
      <c r="D1124" s="246">
        <v>86712</v>
      </c>
      <c r="E1124" s="246">
        <v>2325</v>
      </c>
      <c r="F1124" s="246"/>
      <c r="G1124" s="246">
        <f t="shared" si="107"/>
        <v>89037</v>
      </c>
      <c r="H1124" s="246">
        <v>92000</v>
      </c>
      <c r="I1124" s="520">
        <f t="shared" si="105"/>
        <v>2963</v>
      </c>
      <c r="J1124" s="638">
        <f>I1124/G1124</f>
        <v>3.3278300032570728E-2</v>
      </c>
    </row>
    <row r="1125" spans="1:10">
      <c r="C1125" s="208"/>
      <c r="D1125" s="246"/>
      <c r="E1125" s="246"/>
      <c r="F1125" s="246"/>
      <c r="G1125" s="246">
        <f t="shared" si="107"/>
        <v>0</v>
      </c>
      <c r="H1125" s="246">
        <v>0</v>
      </c>
      <c r="I1125" s="520">
        <f t="shared" si="105"/>
        <v>0</v>
      </c>
      <c r="J1125" s="638"/>
    </row>
    <row r="1126" spans="1:10">
      <c r="C1126" s="376" t="s">
        <v>348</v>
      </c>
      <c r="D1126" s="245"/>
      <c r="E1126" s="245"/>
      <c r="F1126" s="245"/>
      <c r="G1126" s="245">
        <f t="shared" si="107"/>
        <v>0</v>
      </c>
      <c r="H1126" s="245">
        <v>0</v>
      </c>
      <c r="I1126" s="255">
        <f t="shared" si="105"/>
        <v>0</v>
      </c>
      <c r="J1126" s="637"/>
    </row>
    <row r="1127" spans="1:10">
      <c r="C1127" s="377" t="s">
        <v>704</v>
      </c>
      <c r="D1127" s="245">
        <v>116040</v>
      </c>
      <c r="E1127" s="245">
        <v>3381</v>
      </c>
      <c r="F1127" s="245"/>
      <c r="G1127" s="245">
        <f t="shared" si="107"/>
        <v>119421</v>
      </c>
      <c r="H1127" s="245">
        <v>122700</v>
      </c>
      <c r="I1127" s="255">
        <f t="shared" si="105"/>
        <v>3279</v>
      </c>
      <c r="J1127" s="637">
        <f>I1127/G1127</f>
        <v>2.7457482352350088E-2</v>
      </c>
    </row>
    <row r="1128" spans="1:10">
      <c r="C1128" s="208" t="s">
        <v>291</v>
      </c>
      <c r="D1128" s="246">
        <v>85890</v>
      </c>
      <c r="E1128" s="246">
        <v>2527</v>
      </c>
      <c r="F1128" s="246"/>
      <c r="G1128" s="246">
        <f t="shared" si="107"/>
        <v>88417</v>
      </c>
      <c r="H1128" s="246">
        <v>91150</v>
      </c>
      <c r="I1128" s="520">
        <f t="shared" si="105"/>
        <v>2733</v>
      </c>
      <c r="J1128" s="638">
        <f>I1128/G1128</f>
        <v>3.0910345295587952E-2</v>
      </c>
    </row>
    <row r="1129" spans="1:10">
      <c r="C1129" s="208"/>
      <c r="D1129" s="246"/>
      <c r="E1129" s="246"/>
      <c r="F1129" s="246"/>
      <c r="G1129" s="246">
        <f t="shared" si="107"/>
        <v>0</v>
      </c>
      <c r="H1129" s="246">
        <v>0</v>
      </c>
      <c r="I1129" s="520">
        <f t="shared" si="105"/>
        <v>0</v>
      </c>
      <c r="J1129" s="638"/>
    </row>
    <row r="1130" spans="1:10" ht="15">
      <c r="A1130" s="169" t="s">
        <v>632</v>
      </c>
      <c r="B1130" s="169" t="s">
        <v>699</v>
      </c>
      <c r="C1130" s="372" t="s">
        <v>633</v>
      </c>
      <c r="D1130" s="280">
        <f t="shared" ref="D1130:F1130" si="114">D1131</f>
        <v>136000</v>
      </c>
      <c r="E1130" s="280">
        <f t="shared" si="114"/>
        <v>0</v>
      </c>
      <c r="F1130" s="280">
        <f t="shared" si="114"/>
        <v>0</v>
      </c>
      <c r="G1130" s="280">
        <f t="shared" si="107"/>
        <v>136000</v>
      </c>
      <c r="H1130" s="280">
        <v>136000</v>
      </c>
      <c r="I1130" s="659">
        <f t="shared" si="105"/>
        <v>0</v>
      </c>
      <c r="J1130" s="660">
        <f>I1130/G1130</f>
        <v>0</v>
      </c>
    </row>
    <row r="1131" spans="1:10">
      <c r="C1131" s="223" t="s">
        <v>634</v>
      </c>
      <c r="D1131" s="226">
        <v>136000</v>
      </c>
      <c r="E1131" s="226"/>
      <c r="F1131" s="226"/>
      <c r="G1131" s="226">
        <f t="shared" si="107"/>
        <v>136000</v>
      </c>
      <c r="H1131" s="226">
        <v>136000</v>
      </c>
      <c r="I1131" s="665">
        <f t="shared" si="105"/>
        <v>0</v>
      </c>
      <c r="J1131" s="666">
        <f>I1131/G1131</f>
        <v>0</v>
      </c>
    </row>
    <row r="1132" spans="1:10">
      <c r="C1132" s="203"/>
      <c r="D1132" s="242"/>
      <c r="E1132" s="242"/>
      <c r="F1132" s="242"/>
      <c r="G1132" s="242">
        <f t="shared" si="107"/>
        <v>0</v>
      </c>
      <c r="H1132" s="242">
        <v>0</v>
      </c>
      <c r="I1132" s="520">
        <f t="shared" si="105"/>
        <v>0</v>
      </c>
      <c r="J1132" s="638"/>
    </row>
    <row r="1133" spans="1:10">
      <c r="C1133" s="336" t="s">
        <v>351</v>
      </c>
      <c r="D1133" s="176">
        <f>D1135+D1138+D1142+D1146+D1148+D1150+D1140+D1144</f>
        <v>1276891</v>
      </c>
      <c r="E1133" s="176">
        <f>E1135+E1138+E1142+E1146+E1148+E1150+E1140+E1144</f>
        <v>0</v>
      </c>
      <c r="F1133" s="176">
        <f>F1135+F1138+F1142+F1146+F1148+F1150+F1140+F1144</f>
        <v>411</v>
      </c>
      <c r="G1133" s="176">
        <f t="shared" si="107"/>
        <v>1277302</v>
      </c>
      <c r="H1133" s="176">
        <v>1353900</v>
      </c>
      <c r="I1133" s="659">
        <f t="shared" si="105"/>
        <v>76598</v>
      </c>
      <c r="J1133" s="660">
        <f>I1133/G1133</f>
        <v>5.9968590043701489E-2</v>
      </c>
    </row>
    <row r="1134" spans="1:10">
      <c r="C1134" s="336"/>
      <c r="D1134" s="176"/>
      <c r="E1134" s="176"/>
      <c r="F1134" s="176"/>
      <c r="G1134" s="176">
        <f t="shared" si="107"/>
        <v>0</v>
      </c>
      <c r="H1134" s="176">
        <v>0</v>
      </c>
      <c r="I1134" s="659">
        <f t="shared" si="105"/>
        <v>0</v>
      </c>
      <c r="J1134" s="660"/>
    </row>
    <row r="1135" spans="1:10">
      <c r="A1135" s="169" t="s">
        <v>289</v>
      </c>
      <c r="B1135" s="169" t="s">
        <v>699</v>
      </c>
      <c r="C1135" s="206" t="s">
        <v>705</v>
      </c>
      <c r="D1135" s="245">
        <f>914055+10533+1913</f>
        <v>926501</v>
      </c>
      <c r="E1135" s="245"/>
      <c r="F1135" s="245">
        <v>3161</v>
      </c>
      <c r="G1135" s="245">
        <f t="shared" si="107"/>
        <v>929662</v>
      </c>
      <c r="H1135" s="245">
        <v>993800</v>
      </c>
      <c r="I1135" s="255">
        <f t="shared" si="105"/>
        <v>64138</v>
      </c>
      <c r="J1135" s="637">
        <f>I1135/G1135</f>
        <v>6.8990665424638206E-2</v>
      </c>
    </row>
    <row r="1136" spans="1:10">
      <c r="C1136" s="196" t="s">
        <v>291</v>
      </c>
      <c r="D1136" s="246">
        <f>579892+7872+1430</f>
        <v>589194</v>
      </c>
      <c r="E1136" s="246"/>
      <c r="F1136" s="246">
        <v>-1321</v>
      </c>
      <c r="G1136" s="246">
        <f t="shared" si="107"/>
        <v>587873</v>
      </c>
      <c r="H1136" s="246">
        <v>627130</v>
      </c>
      <c r="I1136" s="520">
        <f t="shared" si="105"/>
        <v>39257</v>
      </c>
      <c r="J1136" s="638">
        <f>I1136/G1136</f>
        <v>6.6778028587807237E-2</v>
      </c>
    </row>
    <row r="1137" spans="1:10">
      <c r="C1137" s="206"/>
      <c r="D1137" s="185"/>
      <c r="E1137" s="185"/>
      <c r="F1137" s="185"/>
      <c r="G1137" s="185">
        <f t="shared" si="107"/>
        <v>0</v>
      </c>
      <c r="H1137" s="185">
        <v>0</v>
      </c>
      <c r="I1137" s="268">
        <f t="shared" si="105"/>
        <v>0</v>
      </c>
      <c r="J1137" s="634"/>
    </row>
    <row r="1138" spans="1:10">
      <c r="A1138" s="169" t="s">
        <v>295</v>
      </c>
      <c r="B1138" s="169" t="s">
        <v>699</v>
      </c>
      <c r="C1138" s="378" t="s">
        <v>706</v>
      </c>
      <c r="D1138" s="245">
        <v>56000</v>
      </c>
      <c r="E1138" s="245"/>
      <c r="F1138" s="245">
        <v>3500</v>
      </c>
      <c r="G1138" s="245">
        <f t="shared" si="107"/>
        <v>59500</v>
      </c>
      <c r="H1138" s="245">
        <v>66000</v>
      </c>
      <c r="I1138" s="255">
        <f t="shared" ref="I1138:I1201" si="115">H1138-G1138</f>
        <v>6500</v>
      </c>
      <c r="J1138" s="637">
        <f>I1138/G1138</f>
        <v>0.1092436974789916</v>
      </c>
    </row>
    <row r="1139" spans="1:10">
      <c r="C1139" s="194"/>
      <c r="D1139" s="245"/>
      <c r="E1139" s="245"/>
      <c r="F1139" s="245"/>
      <c r="G1139" s="245">
        <f t="shared" si="107"/>
        <v>0</v>
      </c>
      <c r="H1139" s="245">
        <v>0</v>
      </c>
      <c r="I1139" s="255">
        <f t="shared" si="115"/>
        <v>0</v>
      </c>
      <c r="J1139" s="637"/>
    </row>
    <row r="1140" spans="1:10">
      <c r="A1140" s="169" t="s">
        <v>461</v>
      </c>
      <c r="B1140" s="169" t="s">
        <v>699</v>
      </c>
      <c r="C1140" s="213" t="s">
        <v>707</v>
      </c>
      <c r="D1140" s="245">
        <v>51070</v>
      </c>
      <c r="E1140" s="245"/>
      <c r="F1140" s="245"/>
      <c r="G1140" s="245">
        <f t="shared" si="107"/>
        <v>51070</v>
      </c>
      <c r="H1140" s="245">
        <v>51100</v>
      </c>
      <c r="I1140" s="255">
        <f t="shared" si="115"/>
        <v>30</v>
      </c>
      <c r="J1140" s="637">
        <f>I1140/G1140</f>
        <v>5.8742901899353829E-4</v>
      </c>
    </row>
    <row r="1141" spans="1:10">
      <c r="C1141" s="194"/>
      <c r="D1141" s="245"/>
      <c r="E1141" s="245"/>
      <c r="F1141" s="245"/>
      <c r="G1141" s="245">
        <f t="shared" si="107"/>
        <v>0</v>
      </c>
      <c r="H1141" s="245">
        <v>0</v>
      </c>
      <c r="I1141" s="255">
        <f t="shared" si="115"/>
        <v>0</v>
      </c>
      <c r="J1141" s="637"/>
    </row>
    <row r="1142" spans="1:10">
      <c r="A1142" s="169" t="s">
        <v>632</v>
      </c>
      <c r="B1142" s="169" t="s">
        <v>699</v>
      </c>
      <c r="C1142" s="213" t="s">
        <v>649</v>
      </c>
      <c r="D1142" s="245">
        <v>31500</v>
      </c>
      <c r="E1142" s="245"/>
      <c r="F1142" s="245"/>
      <c r="G1142" s="245">
        <f t="shared" si="107"/>
        <v>31500</v>
      </c>
      <c r="H1142" s="245">
        <v>35000</v>
      </c>
      <c r="I1142" s="255">
        <f t="shared" si="115"/>
        <v>3500</v>
      </c>
      <c r="J1142" s="637">
        <f>I1142/G1142</f>
        <v>0.1111111111111111</v>
      </c>
    </row>
    <row r="1143" spans="1:10">
      <c r="C1143" s="213"/>
      <c r="D1143" s="245"/>
      <c r="E1143" s="245"/>
      <c r="F1143" s="245"/>
      <c r="G1143" s="245">
        <f t="shared" si="107"/>
        <v>0</v>
      </c>
      <c r="H1143" s="245">
        <v>0</v>
      </c>
      <c r="I1143" s="255">
        <f t="shared" si="115"/>
        <v>0</v>
      </c>
      <c r="J1143" s="637"/>
    </row>
    <row r="1144" spans="1:10">
      <c r="A1144" s="169" t="s">
        <v>632</v>
      </c>
      <c r="B1144" s="169" t="s">
        <v>699</v>
      </c>
      <c r="C1144" s="378" t="s">
        <v>708</v>
      </c>
      <c r="D1144" s="245">
        <v>30000</v>
      </c>
      <c r="E1144" s="245"/>
      <c r="F1144" s="245"/>
      <c r="G1144" s="245">
        <f t="shared" si="107"/>
        <v>30000</v>
      </c>
      <c r="H1144" s="245">
        <v>35000</v>
      </c>
      <c r="I1144" s="255">
        <f t="shared" si="115"/>
        <v>5000</v>
      </c>
      <c r="J1144" s="637">
        <f>I1144/G1144</f>
        <v>0.16666666666666666</v>
      </c>
    </row>
    <row r="1145" spans="1:10">
      <c r="C1145" s="213"/>
      <c r="D1145" s="245"/>
      <c r="E1145" s="245"/>
      <c r="F1145" s="245"/>
      <c r="G1145" s="245">
        <f t="shared" si="107"/>
        <v>0</v>
      </c>
      <c r="H1145" s="245">
        <v>0</v>
      </c>
      <c r="I1145" s="255">
        <f t="shared" si="115"/>
        <v>0</v>
      </c>
      <c r="J1145" s="637"/>
    </row>
    <row r="1146" spans="1:10">
      <c r="A1146" s="169" t="s">
        <v>538</v>
      </c>
      <c r="B1146" s="169" t="s">
        <v>699</v>
      </c>
      <c r="C1146" s="195" t="s">
        <v>709</v>
      </c>
      <c r="D1146" s="245">
        <v>51000</v>
      </c>
      <c r="E1146" s="245"/>
      <c r="F1146" s="245">
        <v>-8000</v>
      </c>
      <c r="G1146" s="245">
        <f t="shared" si="107"/>
        <v>43000</v>
      </c>
      <c r="H1146" s="245">
        <v>47000</v>
      </c>
      <c r="I1146" s="255">
        <f t="shared" si="115"/>
        <v>4000</v>
      </c>
      <c r="J1146" s="637">
        <f>I1146/G1146</f>
        <v>9.3023255813953487E-2</v>
      </c>
    </row>
    <row r="1147" spans="1:10">
      <c r="C1147" s="203"/>
      <c r="D1147" s="245"/>
      <c r="E1147" s="245"/>
      <c r="F1147" s="245"/>
      <c r="G1147" s="245">
        <f t="shared" si="107"/>
        <v>0</v>
      </c>
      <c r="H1147" s="245">
        <v>0</v>
      </c>
      <c r="I1147" s="255">
        <f t="shared" si="115"/>
        <v>0</v>
      </c>
      <c r="J1147" s="637"/>
    </row>
    <row r="1148" spans="1:10">
      <c r="A1148" s="169" t="s">
        <v>538</v>
      </c>
      <c r="B1148" s="169" t="s">
        <v>699</v>
      </c>
      <c r="C1148" s="195" t="s">
        <v>556</v>
      </c>
      <c r="D1148" s="245">
        <v>111820</v>
      </c>
      <c r="E1148" s="245"/>
      <c r="F1148" s="245">
        <v>1750</v>
      </c>
      <c r="G1148" s="245">
        <f t="shared" si="107"/>
        <v>113570</v>
      </c>
      <c r="H1148" s="245">
        <v>110000</v>
      </c>
      <c r="I1148" s="255">
        <f t="shared" si="115"/>
        <v>-3570</v>
      </c>
      <c r="J1148" s="637">
        <f>I1148/G1148</f>
        <v>-3.1434357664876289E-2</v>
      </c>
    </row>
    <row r="1149" spans="1:10">
      <c r="C1149" s="341"/>
      <c r="D1149" s="245"/>
      <c r="E1149" s="245"/>
      <c r="F1149" s="245"/>
      <c r="G1149" s="245">
        <f t="shared" ref="G1149:G1211" si="116">SUM(D1149:F1149)</f>
        <v>0</v>
      </c>
      <c r="H1149" s="245">
        <v>0</v>
      </c>
      <c r="I1149" s="255">
        <f t="shared" si="115"/>
        <v>0</v>
      </c>
      <c r="J1149" s="637"/>
    </row>
    <row r="1150" spans="1:10">
      <c r="A1150" s="169" t="s">
        <v>710</v>
      </c>
      <c r="B1150" s="169" t="s">
        <v>699</v>
      </c>
      <c r="C1150" s="195" t="s">
        <v>711</v>
      </c>
      <c r="D1150" s="245">
        <v>19000</v>
      </c>
      <c r="E1150" s="245"/>
      <c r="F1150" s="245"/>
      <c r="G1150" s="245">
        <f t="shared" si="116"/>
        <v>19000</v>
      </c>
      <c r="H1150" s="245">
        <v>16000</v>
      </c>
      <c r="I1150" s="255">
        <f t="shared" si="115"/>
        <v>-3000</v>
      </c>
      <c r="J1150" s="637">
        <f>I1150/G1150</f>
        <v>-0.15789473684210525</v>
      </c>
    </row>
    <row r="1151" spans="1:10">
      <c r="C1151" s="195"/>
      <c r="D1151" s="185"/>
      <c r="E1151" s="185"/>
      <c r="F1151" s="185"/>
      <c r="G1151" s="185">
        <f t="shared" si="116"/>
        <v>0</v>
      </c>
      <c r="H1151" s="185">
        <v>0</v>
      </c>
      <c r="I1151" s="268">
        <f t="shared" si="115"/>
        <v>0</v>
      </c>
      <c r="J1151" s="634"/>
    </row>
    <row r="1152" spans="1:10">
      <c r="C1152" s="201"/>
      <c r="D1152" s="185"/>
      <c r="E1152" s="185"/>
      <c r="F1152" s="185"/>
      <c r="G1152" s="185">
        <f t="shared" si="116"/>
        <v>0</v>
      </c>
      <c r="H1152" s="185">
        <v>0</v>
      </c>
      <c r="I1152" s="268">
        <f t="shared" si="115"/>
        <v>0</v>
      </c>
      <c r="J1152" s="634"/>
    </row>
    <row r="1153" spans="1:10" ht="15.75">
      <c r="C1153" s="225" t="s">
        <v>712</v>
      </c>
      <c r="D1153" s="407"/>
      <c r="E1153" s="171"/>
      <c r="F1153" s="171"/>
      <c r="G1153" s="407">
        <f t="shared" si="116"/>
        <v>0</v>
      </c>
      <c r="H1153" s="171">
        <v>0</v>
      </c>
      <c r="I1153" s="682">
        <f t="shared" si="115"/>
        <v>0</v>
      </c>
      <c r="J1153" s="683"/>
    </row>
    <row r="1154" spans="1:10">
      <c r="C1154" s="201"/>
      <c r="D1154" s="407"/>
      <c r="E1154" s="171"/>
      <c r="F1154" s="171"/>
      <c r="G1154" s="407">
        <f t="shared" si="116"/>
        <v>0</v>
      </c>
      <c r="H1154" s="171">
        <v>0</v>
      </c>
      <c r="I1154" s="682">
        <f t="shared" si="115"/>
        <v>0</v>
      </c>
      <c r="J1154" s="683"/>
    </row>
    <row r="1155" spans="1:10">
      <c r="C1155" s="219" t="s">
        <v>5</v>
      </c>
      <c r="D1155" s="176">
        <f>D1171+D1181+D1185+D1161+D1165</f>
        <v>5222545</v>
      </c>
      <c r="E1155" s="176">
        <f>E1171+E1181+E1185+E1161+E1165</f>
        <v>-154424</v>
      </c>
      <c r="F1155" s="176">
        <f>F1171+F1181+F1185+F1161+F1165</f>
        <v>-30208</v>
      </c>
      <c r="G1155" s="176">
        <f t="shared" si="116"/>
        <v>5037913</v>
      </c>
      <c r="H1155" s="176">
        <v>5138499.8490000004</v>
      </c>
      <c r="I1155" s="659">
        <f t="shared" si="115"/>
        <v>100586.84900000039</v>
      </c>
      <c r="J1155" s="660">
        <f>I1155/G1155</f>
        <v>1.9965975791959963E-2</v>
      </c>
    </row>
    <row r="1156" spans="1:10">
      <c r="C1156" s="177" t="s">
        <v>285</v>
      </c>
      <c r="D1156" s="371">
        <v>2106077</v>
      </c>
      <c r="E1156" s="371">
        <v>40980</v>
      </c>
      <c r="F1156" s="371">
        <v>366709</v>
      </c>
      <c r="G1156" s="371">
        <f t="shared" si="116"/>
        <v>2513766</v>
      </c>
      <c r="H1156" s="371">
        <v>2094498</v>
      </c>
      <c r="I1156" s="706">
        <f t="shared" si="115"/>
        <v>-419268</v>
      </c>
      <c r="J1156" s="638">
        <f>I1156/G1156</f>
        <v>-0.16678879418370685</v>
      </c>
    </row>
    <row r="1157" spans="1:10">
      <c r="C1157" s="220" t="s">
        <v>286</v>
      </c>
      <c r="D1157" s="176">
        <f t="shared" ref="D1157:F1157" si="117">D1158+D1159</f>
        <v>5222545</v>
      </c>
      <c r="E1157" s="176">
        <f t="shared" si="117"/>
        <v>-154424</v>
      </c>
      <c r="F1157" s="176">
        <f t="shared" si="117"/>
        <v>-30208</v>
      </c>
      <c r="G1157" s="176">
        <f t="shared" si="116"/>
        <v>5037913</v>
      </c>
      <c r="H1157" s="176">
        <v>5138499.8490000004</v>
      </c>
      <c r="I1157" s="659">
        <f t="shared" si="115"/>
        <v>100586.84900000039</v>
      </c>
      <c r="J1157" s="660">
        <f>I1157/G1157</f>
        <v>1.9965975791959963E-2</v>
      </c>
    </row>
    <row r="1158" spans="1:10">
      <c r="C1158" s="221" t="s">
        <v>287</v>
      </c>
      <c r="D1158" s="178">
        <v>4672530</v>
      </c>
      <c r="E1158" s="178">
        <v>-209970</v>
      </c>
      <c r="F1158" s="178">
        <v>-44700</v>
      </c>
      <c r="G1158" s="178">
        <f t="shared" si="116"/>
        <v>4417860</v>
      </c>
      <c r="H1158" s="178">
        <v>4531560</v>
      </c>
      <c r="I1158" s="184">
        <f t="shared" si="115"/>
        <v>113700</v>
      </c>
      <c r="J1158" s="632">
        <f>I1158/G1158</f>
        <v>2.573644253099917E-2</v>
      </c>
    </row>
    <row r="1159" spans="1:10">
      <c r="C1159" s="222" t="s">
        <v>288</v>
      </c>
      <c r="D1159" s="178">
        <f t="shared" ref="D1159:F1159" si="118">D1155-D1158</f>
        <v>550015</v>
      </c>
      <c r="E1159" s="178">
        <f t="shared" si="118"/>
        <v>55546</v>
      </c>
      <c r="F1159" s="178">
        <f t="shared" si="118"/>
        <v>14492</v>
      </c>
      <c r="G1159" s="178">
        <f t="shared" si="116"/>
        <v>620053</v>
      </c>
      <c r="H1159" s="178">
        <v>606939.84899999993</v>
      </c>
      <c r="I1159" s="184">
        <f t="shared" si="115"/>
        <v>-13113.151000000071</v>
      </c>
      <c r="J1159" s="632">
        <f>I1159/G1159</f>
        <v>-2.1148435698238814E-2</v>
      </c>
    </row>
    <row r="1160" spans="1:10">
      <c r="C1160" s="222"/>
      <c r="D1160" s="178"/>
      <c r="E1160" s="178"/>
      <c r="F1160" s="178"/>
      <c r="G1160" s="178">
        <f t="shared" si="116"/>
        <v>0</v>
      </c>
      <c r="H1160" s="178">
        <v>0</v>
      </c>
      <c r="I1160" s="184">
        <f t="shared" si="115"/>
        <v>0</v>
      </c>
      <c r="J1160" s="632"/>
    </row>
    <row r="1161" spans="1:10" ht="15">
      <c r="A1161" s="169" t="s">
        <v>295</v>
      </c>
      <c r="B1161" s="169" t="s">
        <v>712</v>
      </c>
      <c r="C1161" s="372" t="s">
        <v>359</v>
      </c>
      <c r="D1161" s="280">
        <f t="shared" ref="D1161:F1161" si="119">D1162</f>
        <v>165482</v>
      </c>
      <c r="E1161" s="280">
        <f t="shared" si="119"/>
        <v>0</v>
      </c>
      <c r="F1161" s="280">
        <f t="shared" si="119"/>
        <v>0</v>
      </c>
      <c r="G1161" s="280">
        <f t="shared" si="116"/>
        <v>165482</v>
      </c>
      <c r="H1161" s="280">
        <v>167600</v>
      </c>
      <c r="I1161" s="659">
        <f t="shared" si="115"/>
        <v>2118</v>
      </c>
      <c r="J1161" s="660">
        <f>I1161/G1161</f>
        <v>1.2798975115118261E-2</v>
      </c>
    </row>
    <row r="1162" spans="1:10">
      <c r="C1162" s="223" t="s">
        <v>713</v>
      </c>
      <c r="D1162" s="226">
        <v>165482</v>
      </c>
      <c r="E1162" s="226"/>
      <c r="F1162" s="226"/>
      <c r="G1162" s="226">
        <f t="shared" si="116"/>
        <v>165482</v>
      </c>
      <c r="H1162" s="226">
        <v>167600</v>
      </c>
      <c r="I1162" s="665">
        <f t="shared" si="115"/>
        <v>2118</v>
      </c>
      <c r="J1162" s="666">
        <f>I1162/G1162</f>
        <v>1.2798975115118261E-2</v>
      </c>
    </row>
    <row r="1163" spans="1:10">
      <c r="C1163" s="202" t="s">
        <v>291</v>
      </c>
      <c r="D1163" s="214">
        <v>77446</v>
      </c>
      <c r="E1163" s="214">
        <v>4748</v>
      </c>
      <c r="F1163" s="214"/>
      <c r="G1163" s="214">
        <f t="shared" si="116"/>
        <v>82194</v>
      </c>
      <c r="H1163" s="214">
        <v>84805</v>
      </c>
      <c r="I1163" s="663">
        <f t="shared" si="115"/>
        <v>2611</v>
      </c>
      <c r="J1163" s="664">
        <f>I1163/G1163</f>
        <v>3.1766308976324306E-2</v>
      </c>
    </row>
    <row r="1164" spans="1:10">
      <c r="C1164" s="373"/>
      <c r="D1164" s="178"/>
      <c r="E1164" s="178"/>
      <c r="F1164" s="178"/>
      <c r="G1164" s="178">
        <f t="shared" si="116"/>
        <v>0</v>
      </c>
      <c r="H1164" s="178">
        <v>0</v>
      </c>
      <c r="I1164" s="184">
        <f t="shared" si="115"/>
        <v>0</v>
      </c>
      <c r="J1164" s="632"/>
    </row>
    <row r="1165" spans="1:10" ht="15">
      <c r="A1165" s="169" t="s">
        <v>423</v>
      </c>
      <c r="B1165" s="169" t="s">
        <v>712</v>
      </c>
      <c r="C1165" s="372" t="s">
        <v>424</v>
      </c>
      <c r="D1165" s="280">
        <f t="shared" ref="D1165:F1165" si="120">D1166</f>
        <v>206243</v>
      </c>
      <c r="E1165" s="280">
        <f t="shared" si="120"/>
        <v>0</v>
      </c>
      <c r="F1165" s="280">
        <f t="shared" si="120"/>
        <v>-54600</v>
      </c>
      <c r="G1165" s="280">
        <f t="shared" si="116"/>
        <v>151643</v>
      </c>
      <c r="H1165" s="280">
        <v>131700</v>
      </c>
      <c r="I1165" s="659">
        <f t="shared" si="115"/>
        <v>-19943</v>
      </c>
      <c r="J1165" s="660">
        <f>I1165/G1165</f>
        <v>-0.13151282947448942</v>
      </c>
    </row>
    <row r="1166" spans="1:10">
      <c r="C1166" s="375" t="s">
        <v>425</v>
      </c>
      <c r="D1166" s="226">
        <f t="shared" ref="D1166:F1166" si="121">D1168</f>
        <v>206243</v>
      </c>
      <c r="E1166" s="226">
        <f t="shared" si="121"/>
        <v>0</v>
      </c>
      <c r="F1166" s="226">
        <f t="shared" si="121"/>
        <v>-54600</v>
      </c>
      <c r="G1166" s="226">
        <f t="shared" si="116"/>
        <v>151643</v>
      </c>
      <c r="H1166" s="226">
        <v>131700</v>
      </c>
      <c r="I1166" s="665">
        <f t="shared" si="115"/>
        <v>-19943</v>
      </c>
      <c r="J1166" s="666">
        <f>I1166/G1166</f>
        <v>-0.13151282947448942</v>
      </c>
    </row>
    <row r="1167" spans="1:10">
      <c r="C1167" s="376" t="s">
        <v>348</v>
      </c>
      <c r="D1167" s="242"/>
      <c r="E1167" s="242"/>
      <c r="F1167" s="242"/>
      <c r="G1167" s="242">
        <f t="shared" si="116"/>
        <v>0</v>
      </c>
      <c r="H1167" s="242">
        <v>0</v>
      </c>
      <c r="I1167" s="520">
        <f t="shared" si="115"/>
        <v>0</v>
      </c>
      <c r="J1167" s="638"/>
    </row>
    <row r="1168" spans="1:10">
      <c r="C1168" s="377" t="s">
        <v>714</v>
      </c>
      <c r="D1168" s="245">
        <v>206243</v>
      </c>
      <c r="E1168" s="245"/>
      <c r="F1168" s="245">
        <v>-54600</v>
      </c>
      <c r="G1168" s="245">
        <f t="shared" si="116"/>
        <v>151643</v>
      </c>
      <c r="H1168" s="245">
        <v>131700</v>
      </c>
      <c r="I1168" s="255">
        <f t="shared" si="115"/>
        <v>-19943</v>
      </c>
      <c r="J1168" s="637">
        <f>I1168/G1168</f>
        <v>-0.13151282947448942</v>
      </c>
    </row>
    <row r="1169" spans="1:10">
      <c r="C1169" s="208" t="s">
        <v>291</v>
      </c>
      <c r="D1169" s="246">
        <v>98174</v>
      </c>
      <c r="E1169" s="246">
        <v>1273</v>
      </c>
      <c r="F1169" s="246">
        <v>-30965</v>
      </c>
      <c r="G1169" s="246">
        <f t="shared" si="116"/>
        <v>68482</v>
      </c>
      <c r="H1169" s="246">
        <v>58735</v>
      </c>
      <c r="I1169" s="520">
        <f t="shared" si="115"/>
        <v>-9747</v>
      </c>
      <c r="J1169" s="638">
        <f>I1169/G1169</f>
        <v>-0.14232937122163489</v>
      </c>
    </row>
    <row r="1170" spans="1:10">
      <c r="C1170" s="379"/>
      <c r="D1170" s="189"/>
      <c r="E1170" s="189"/>
      <c r="F1170" s="189"/>
      <c r="G1170" s="189">
        <f t="shared" si="116"/>
        <v>0</v>
      </c>
      <c r="H1170" s="189">
        <v>0</v>
      </c>
      <c r="I1170" s="184">
        <f t="shared" si="115"/>
        <v>0</v>
      </c>
      <c r="J1170" s="632"/>
    </row>
    <row r="1171" spans="1:10" ht="15">
      <c r="A1171" s="169" t="s">
        <v>461</v>
      </c>
      <c r="B1171" s="169" t="s">
        <v>712</v>
      </c>
      <c r="C1171" s="372" t="s">
        <v>462</v>
      </c>
      <c r="D1171" s="280">
        <f t="shared" ref="D1171:F1171" si="122">D1172</f>
        <v>460649</v>
      </c>
      <c r="E1171" s="280">
        <f t="shared" si="122"/>
        <v>-11424</v>
      </c>
      <c r="F1171" s="280">
        <f t="shared" si="122"/>
        <v>-11000</v>
      </c>
      <c r="G1171" s="280">
        <f t="shared" si="116"/>
        <v>438225</v>
      </c>
      <c r="H1171" s="280">
        <v>480000</v>
      </c>
      <c r="I1171" s="659">
        <f t="shared" si="115"/>
        <v>41775</v>
      </c>
      <c r="J1171" s="660">
        <f>I1171/G1171</f>
        <v>9.5327742597980492E-2</v>
      </c>
    </row>
    <row r="1172" spans="1:10">
      <c r="C1172" s="375" t="s">
        <v>702</v>
      </c>
      <c r="D1172" s="226">
        <f>D1174+D1178</f>
        <v>460649</v>
      </c>
      <c r="E1172" s="226">
        <f>E1174+E1178</f>
        <v>-11424</v>
      </c>
      <c r="F1172" s="226">
        <f>F1174+F1178</f>
        <v>-11000</v>
      </c>
      <c r="G1172" s="226">
        <f t="shared" si="116"/>
        <v>438225</v>
      </c>
      <c r="H1172" s="226">
        <v>480000</v>
      </c>
      <c r="I1172" s="665">
        <f t="shared" si="115"/>
        <v>41775</v>
      </c>
      <c r="J1172" s="666">
        <f>I1172/G1172</f>
        <v>9.5327742597980492E-2</v>
      </c>
    </row>
    <row r="1173" spans="1:10">
      <c r="C1173" s="376" t="s">
        <v>348</v>
      </c>
      <c r="D1173" s="242"/>
      <c r="E1173" s="242"/>
      <c r="F1173" s="242"/>
      <c r="G1173" s="242">
        <f t="shared" si="116"/>
        <v>0</v>
      </c>
      <c r="H1173" s="242">
        <v>0</v>
      </c>
      <c r="I1173" s="520">
        <f t="shared" si="115"/>
        <v>0</v>
      </c>
      <c r="J1173" s="638"/>
    </row>
    <row r="1174" spans="1:10">
      <c r="C1174" s="377" t="s">
        <v>715</v>
      </c>
      <c r="D1174" s="245">
        <v>232949</v>
      </c>
      <c r="E1174" s="245">
        <v>4098</v>
      </c>
      <c r="F1174" s="245"/>
      <c r="G1174" s="245">
        <f t="shared" si="116"/>
        <v>237047</v>
      </c>
      <c r="H1174" s="245">
        <v>241000</v>
      </c>
      <c r="I1174" s="255">
        <f t="shared" si="115"/>
        <v>3953</v>
      </c>
      <c r="J1174" s="637">
        <f>I1174/G1174</f>
        <v>1.6676017836125327E-2</v>
      </c>
    </row>
    <row r="1175" spans="1:10">
      <c r="C1175" s="208" t="s">
        <v>291</v>
      </c>
      <c r="D1175" s="246">
        <v>114071</v>
      </c>
      <c r="E1175" s="246">
        <v>4449</v>
      </c>
      <c r="F1175" s="246"/>
      <c r="G1175" s="246">
        <f t="shared" si="116"/>
        <v>118520</v>
      </c>
      <c r="H1175" s="246">
        <v>122440</v>
      </c>
      <c r="I1175" s="520">
        <f t="shared" si="115"/>
        <v>3920</v>
      </c>
      <c r="J1175" s="638">
        <f>I1175/G1175</f>
        <v>3.3074586567667902E-2</v>
      </c>
    </row>
    <row r="1176" spans="1:10">
      <c r="C1176" s="208"/>
      <c r="D1176" s="246"/>
      <c r="E1176" s="246"/>
      <c r="F1176" s="246"/>
      <c r="G1176" s="246">
        <f t="shared" si="116"/>
        <v>0</v>
      </c>
      <c r="H1176" s="246">
        <v>0</v>
      </c>
      <c r="I1176" s="520">
        <f t="shared" si="115"/>
        <v>0</v>
      </c>
      <c r="J1176" s="638"/>
    </row>
    <row r="1177" spans="1:10">
      <c r="C1177" s="376" t="s">
        <v>348</v>
      </c>
      <c r="D1177" s="245"/>
      <c r="E1177" s="245"/>
      <c r="F1177" s="245"/>
      <c r="G1177" s="245">
        <f t="shared" si="116"/>
        <v>0</v>
      </c>
      <c r="H1177" s="245">
        <v>0</v>
      </c>
      <c r="I1177" s="255">
        <f t="shared" si="115"/>
        <v>0</v>
      </c>
      <c r="J1177" s="637"/>
    </row>
    <row r="1178" spans="1:10">
      <c r="C1178" s="377" t="s">
        <v>716</v>
      </c>
      <c r="D1178" s="245">
        <v>227700</v>
      </c>
      <c r="E1178" s="245">
        <v>-15522</v>
      </c>
      <c r="F1178" s="245">
        <v>-11000</v>
      </c>
      <c r="G1178" s="245">
        <f t="shared" si="116"/>
        <v>201178</v>
      </c>
      <c r="H1178" s="245">
        <v>239000</v>
      </c>
      <c r="I1178" s="255">
        <f t="shared" si="115"/>
        <v>37822</v>
      </c>
      <c r="J1178" s="637">
        <f>I1178/G1178</f>
        <v>0.18800266430723042</v>
      </c>
    </row>
    <row r="1179" spans="1:10">
      <c r="C1179" s="208" t="s">
        <v>291</v>
      </c>
      <c r="D1179" s="246">
        <v>168651</v>
      </c>
      <c r="E1179" s="246">
        <v>-11372</v>
      </c>
      <c r="F1179" s="246">
        <v>-8200</v>
      </c>
      <c r="G1179" s="246">
        <f t="shared" si="116"/>
        <v>149079</v>
      </c>
      <c r="H1179" s="246">
        <v>178835</v>
      </c>
      <c r="I1179" s="520">
        <f t="shared" si="115"/>
        <v>29756</v>
      </c>
      <c r="J1179" s="638">
        <f>I1179/G1179</f>
        <v>0.19959887039757443</v>
      </c>
    </row>
    <row r="1180" spans="1:10">
      <c r="C1180" s="208"/>
      <c r="D1180" s="246"/>
      <c r="E1180" s="246"/>
      <c r="F1180" s="246"/>
      <c r="G1180" s="246">
        <f t="shared" si="116"/>
        <v>0</v>
      </c>
      <c r="H1180" s="246">
        <v>0</v>
      </c>
      <c r="I1180" s="520">
        <f t="shared" si="115"/>
        <v>0</v>
      </c>
      <c r="J1180" s="638"/>
    </row>
    <row r="1181" spans="1:10" ht="15">
      <c r="A1181" s="169" t="s">
        <v>632</v>
      </c>
      <c r="B1181" s="169" t="s">
        <v>712</v>
      </c>
      <c r="C1181" s="372" t="s">
        <v>633</v>
      </c>
      <c r="D1181" s="280">
        <f t="shared" ref="D1181:F1181" si="123">D1182</f>
        <v>630000</v>
      </c>
      <c r="E1181" s="280">
        <f t="shared" si="123"/>
        <v>-5000</v>
      </c>
      <c r="F1181" s="280">
        <f t="shared" si="123"/>
        <v>0</v>
      </c>
      <c r="G1181" s="280">
        <f t="shared" si="116"/>
        <v>625000</v>
      </c>
      <c r="H1181" s="280">
        <v>635000</v>
      </c>
      <c r="I1181" s="659">
        <f t="shared" si="115"/>
        <v>10000</v>
      </c>
      <c r="J1181" s="660">
        <f>I1181/G1181</f>
        <v>1.6E-2</v>
      </c>
    </row>
    <row r="1182" spans="1:10">
      <c r="C1182" s="223" t="s">
        <v>634</v>
      </c>
      <c r="D1182" s="226">
        <v>630000</v>
      </c>
      <c r="E1182" s="226">
        <v>-5000</v>
      </c>
      <c r="F1182" s="226"/>
      <c r="G1182" s="226">
        <f t="shared" si="116"/>
        <v>625000</v>
      </c>
      <c r="H1182" s="226">
        <v>635000</v>
      </c>
      <c r="I1182" s="665">
        <f t="shared" si="115"/>
        <v>10000</v>
      </c>
      <c r="J1182" s="666">
        <f>I1182/G1182</f>
        <v>1.6E-2</v>
      </c>
    </row>
    <row r="1183" spans="1:10">
      <c r="C1183" s="202" t="s">
        <v>291</v>
      </c>
      <c r="D1183" s="214">
        <v>5850</v>
      </c>
      <c r="E1183" s="214"/>
      <c r="F1183" s="214"/>
      <c r="G1183" s="214">
        <f t="shared" si="116"/>
        <v>5850</v>
      </c>
      <c r="H1183" s="214">
        <v>5850</v>
      </c>
      <c r="I1183" s="663">
        <f t="shared" si="115"/>
        <v>0</v>
      </c>
      <c r="J1183" s="664">
        <f>I1183/G1183</f>
        <v>0</v>
      </c>
    </row>
    <row r="1184" spans="1:10">
      <c r="C1184" s="351"/>
      <c r="D1184" s="187"/>
      <c r="E1184" s="345"/>
      <c r="F1184" s="345"/>
      <c r="G1184" s="187">
        <f t="shared" si="116"/>
        <v>0</v>
      </c>
      <c r="H1184" s="345">
        <v>0</v>
      </c>
      <c r="I1184" s="701">
        <f t="shared" si="115"/>
        <v>0</v>
      </c>
      <c r="J1184" s="702"/>
    </row>
    <row r="1185" spans="1:10">
      <c r="C1185" s="336" t="s">
        <v>351</v>
      </c>
      <c r="D1185" s="176">
        <f>D1187+D1190+D1197+D1199+D1203+D1205+D1207+D1215+D1195+D1201+D1209+D1212</f>
        <v>3760171</v>
      </c>
      <c r="E1185" s="176">
        <f>E1187+E1190+E1197+E1199+E1203+E1205+E1207+E1215+E1195+E1201+E1209+E1212</f>
        <v>-138000</v>
      </c>
      <c r="F1185" s="176">
        <f>F1187+F1190+F1197+F1199+F1203+F1205+F1207+F1215+F1195+F1201+F1209+F1212</f>
        <v>35392</v>
      </c>
      <c r="G1185" s="176">
        <f t="shared" si="116"/>
        <v>3657563</v>
      </c>
      <c r="H1185" s="176">
        <v>3724199.8489999999</v>
      </c>
      <c r="I1185" s="659">
        <f t="shared" si="115"/>
        <v>66636.848999999929</v>
      </c>
      <c r="J1185" s="660">
        <f>I1185/G1185</f>
        <v>1.8218920357626085E-2</v>
      </c>
    </row>
    <row r="1186" spans="1:10">
      <c r="C1186" s="336"/>
      <c r="D1186" s="185"/>
      <c r="E1186" s="185"/>
      <c r="F1186" s="185"/>
      <c r="G1186" s="185">
        <f t="shared" si="116"/>
        <v>0</v>
      </c>
      <c r="H1186" s="185">
        <v>0</v>
      </c>
      <c r="I1186" s="268">
        <f t="shared" si="115"/>
        <v>0</v>
      </c>
      <c r="J1186" s="634"/>
    </row>
    <row r="1187" spans="1:10">
      <c r="A1187" s="169" t="s">
        <v>289</v>
      </c>
      <c r="B1187" s="169" t="s">
        <v>712</v>
      </c>
      <c r="C1187" s="206" t="s">
        <v>705</v>
      </c>
      <c r="D1187" s="245">
        <f>2030000+11175+4088</f>
        <v>2045263</v>
      </c>
      <c r="E1187" s="245">
        <v>-10000</v>
      </c>
      <c r="F1187" s="245">
        <v>-5908</v>
      </c>
      <c r="G1187" s="245">
        <f t="shared" si="116"/>
        <v>2029355</v>
      </c>
      <c r="H1187" s="245">
        <v>2117599.8489999999</v>
      </c>
      <c r="I1187" s="255">
        <f t="shared" si="115"/>
        <v>88244.848999999929</v>
      </c>
      <c r="J1187" s="637">
        <f>I1187/G1187</f>
        <v>4.3484185369242902E-2</v>
      </c>
    </row>
    <row r="1188" spans="1:10">
      <c r="C1188" s="196" t="s">
        <v>291</v>
      </c>
      <c r="D1188" s="246">
        <f>1162514+8352+3055</f>
        <v>1173921</v>
      </c>
      <c r="E1188" s="246"/>
      <c r="F1188" s="246">
        <v>-4416</v>
      </c>
      <c r="G1188" s="246">
        <f t="shared" si="116"/>
        <v>1169505</v>
      </c>
      <c r="H1188" s="246">
        <v>1231325</v>
      </c>
      <c r="I1188" s="520">
        <f t="shared" si="115"/>
        <v>61820</v>
      </c>
      <c r="J1188" s="638">
        <f>I1188/G1188</f>
        <v>5.285997067135241E-2</v>
      </c>
    </row>
    <row r="1189" spans="1:10">
      <c r="C1189" s="341"/>
      <c r="D1189" s="185"/>
      <c r="E1189" s="185"/>
      <c r="F1189" s="185"/>
      <c r="G1189" s="185">
        <f t="shared" si="116"/>
        <v>0</v>
      </c>
      <c r="H1189" s="185">
        <v>0</v>
      </c>
      <c r="I1189" s="268">
        <f t="shared" si="115"/>
        <v>0</v>
      </c>
      <c r="J1189" s="634"/>
    </row>
    <row r="1190" spans="1:10">
      <c r="A1190" s="169" t="s">
        <v>295</v>
      </c>
      <c r="B1190" s="169" t="s">
        <v>712</v>
      </c>
      <c r="C1190" s="378" t="s">
        <v>706</v>
      </c>
      <c r="D1190" s="245">
        <v>392000</v>
      </c>
      <c r="E1190" s="245">
        <v>-3000</v>
      </c>
      <c r="F1190" s="245">
        <v>15000</v>
      </c>
      <c r="G1190" s="245">
        <f t="shared" si="116"/>
        <v>404000</v>
      </c>
      <c r="H1190" s="245">
        <v>404000</v>
      </c>
      <c r="I1190" s="255">
        <f t="shared" si="115"/>
        <v>0</v>
      </c>
      <c r="J1190" s="637">
        <f>I1190/G1190</f>
        <v>0</v>
      </c>
    </row>
    <row r="1191" spans="1:10">
      <c r="C1191" s="207" t="s">
        <v>291</v>
      </c>
      <c r="D1191" s="189">
        <f>3000+12800</f>
        <v>15800</v>
      </c>
      <c r="E1191" s="189"/>
      <c r="F1191" s="189"/>
      <c r="G1191" s="189">
        <f t="shared" si="116"/>
        <v>15800</v>
      </c>
      <c r="H1191" s="189">
        <v>15800</v>
      </c>
      <c r="I1191" s="184">
        <f t="shared" si="115"/>
        <v>0</v>
      </c>
      <c r="J1191" s="632">
        <f>I1191/G1191</f>
        <v>0</v>
      </c>
    </row>
    <row r="1192" spans="1:10">
      <c r="C1192" s="380" t="s">
        <v>717</v>
      </c>
      <c r="D1192" s="255">
        <v>210000</v>
      </c>
      <c r="E1192" s="255"/>
      <c r="F1192" s="255"/>
      <c r="G1192" s="255">
        <f t="shared" si="116"/>
        <v>210000</v>
      </c>
      <c r="H1192" s="255">
        <v>210000</v>
      </c>
      <c r="I1192" s="255">
        <f t="shared" si="115"/>
        <v>0</v>
      </c>
      <c r="J1192" s="637">
        <f>I1192/G1192</f>
        <v>0</v>
      </c>
    </row>
    <row r="1193" spans="1:10">
      <c r="C1193" s="381" t="s">
        <v>291</v>
      </c>
      <c r="D1193" s="184">
        <v>12800</v>
      </c>
      <c r="E1193" s="184"/>
      <c r="F1193" s="184"/>
      <c r="G1193" s="184">
        <f t="shared" si="116"/>
        <v>12800</v>
      </c>
      <c r="H1193" s="184">
        <v>12800</v>
      </c>
      <c r="I1193" s="184">
        <f t="shared" si="115"/>
        <v>0</v>
      </c>
      <c r="J1193" s="632">
        <f>I1193/G1193</f>
        <v>0</v>
      </c>
    </row>
    <row r="1194" spans="1:10">
      <c r="C1194" s="380" t="s">
        <v>1145</v>
      </c>
      <c r="D1194" s="268"/>
      <c r="E1194" s="268"/>
      <c r="F1194" s="268"/>
      <c r="G1194" s="268">
        <f t="shared" si="116"/>
        <v>0</v>
      </c>
      <c r="H1194" s="268">
        <v>15000</v>
      </c>
      <c r="I1194" s="268">
        <f t="shared" si="115"/>
        <v>15000</v>
      </c>
      <c r="J1194" s="634"/>
    </row>
    <row r="1195" spans="1:10">
      <c r="A1195" s="169" t="s">
        <v>461</v>
      </c>
      <c r="B1195" s="169" t="s">
        <v>712</v>
      </c>
      <c r="C1195" s="378" t="s">
        <v>707</v>
      </c>
      <c r="D1195" s="245">
        <v>58000</v>
      </c>
      <c r="E1195" s="245"/>
      <c r="F1195" s="245"/>
      <c r="G1195" s="245">
        <f t="shared" si="116"/>
        <v>58000</v>
      </c>
      <c r="H1195" s="245">
        <v>58000</v>
      </c>
      <c r="I1195" s="255">
        <f t="shared" si="115"/>
        <v>0</v>
      </c>
      <c r="J1195" s="637">
        <f>I1195/G1195</f>
        <v>0</v>
      </c>
    </row>
    <row r="1196" spans="1:10">
      <c r="C1196" s="194"/>
      <c r="D1196" s="185"/>
      <c r="E1196" s="185"/>
      <c r="F1196" s="185"/>
      <c r="G1196" s="185">
        <f t="shared" si="116"/>
        <v>0</v>
      </c>
      <c r="H1196" s="185">
        <v>0</v>
      </c>
      <c r="I1196" s="268">
        <f t="shared" si="115"/>
        <v>0</v>
      </c>
      <c r="J1196" s="634"/>
    </row>
    <row r="1197" spans="1:10">
      <c r="A1197" s="169" t="s">
        <v>461</v>
      </c>
      <c r="B1197" s="169" t="s">
        <v>712</v>
      </c>
      <c r="C1197" s="194" t="s">
        <v>718</v>
      </c>
      <c r="D1197" s="245">
        <v>3500</v>
      </c>
      <c r="E1197" s="245"/>
      <c r="F1197" s="245"/>
      <c r="G1197" s="245">
        <f t="shared" si="116"/>
        <v>3500</v>
      </c>
      <c r="H1197" s="245">
        <v>3500</v>
      </c>
      <c r="I1197" s="255">
        <f t="shared" si="115"/>
        <v>0</v>
      </c>
      <c r="J1197" s="637">
        <f>I1197/G1197</f>
        <v>0</v>
      </c>
    </row>
    <row r="1198" spans="1:10">
      <c r="C1198" s="341"/>
      <c r="D1198" s="245"/>
      <c r="E1198" s="245"/>
      <c r="F1198" s="245"/>
      <c r="G1198" s="245">
        <f t="shared" si="116"/>
        <v>0</v>
      </c>
      <c r="H1198" s="245">
        <v>0</v>
      </c>
      <c r="I1198" s="255">
        <f t="shared" si="115"/>
        <v>0</v>
      </c>
      <c r="J1198" s="637"/>
    </row>
    <row r="1199" spans="1:10">
      <c r="A1199" s="169" t="s">
        <v>632</v>
      </c>
      <c r="B1199" s="169" t="s">
        <v>712</v>
      </c>
      <c r="C1199" s="213" t="s">
        <v>649</v>
      </c>
      <c r="D1199" s="245">
        <v>187000</v>
      </c>
      <c r="E1199" s="245">
        <v>-28000</v>
      </c>
      <c r="F1199" s="245"/>
      <c r="G1199" s="245">
        <f t="shared" si="116"/>
        <v>159000</v>
      </c>
      <c r="H1199" s="245">
        <v>170000</v>
      </c>
      <c r="I1199" s="255">
        <f t="shared" si="115"/>
        <v>11000</v>
      </c>
      <c r="J1199" s="637">
        <f>I1199/G1199</f>
        <v>6.9182389937106917E-2</v>
      </c>
    </row>
    <row r="1200" spans="1:10">
      <c r="C1200" s="213"/>
      <c r="D1200" s="245"/>
      <c r="E1200" s="245"/>
      <c r="F1200" s="245"/>
      <c r="G1200" s="245">
        <f t="shared" si="116"/>
        <v>0</v>
      </c>
      <c r="H1200" s="245">
        <v>0</v>
      </c>
      <c r="I1200" s="255">
        <f t="shared" si="115"/>
        <v>0</v>
      </c>
      <c r="J1200" s="637"/>
    </row>
    <row r="1201" spans="1:10">
      <c r="A1201" s="169" t="s">
        <v>632</v>
      </c>
      <c r="B1201" s="169" t="s">
        <v>712</v>
      </c>
      <c r="C1201" s="378" t="s">
        <v>708</v>
      </c>
      <c r="D1201" s="245">
        <v>17800</v>
      </c>
      <c r="E1201" s="245"/>
      <c r="F1201" s="245">
        <v>1000</v>
      </c>
      <c r="G1201" s="245">
        <f t="shared" si="116"/>
        <v>18800</v>
      </c>
      <c r="H1201" s="245">
        <v>19000</v>
      </c>
      <c r="I1201" s="255">
        <f t="shared" si="115"/>
        <v>200</v>
      </c>
      <c r="J1201" s="637">
        <f>I1201/G1201</f>
        <v>1.0638297872340425E-2</v>
      </c>
    </row>
    <row r="1202" spans="1:10">
      <c r="C1202" s="213"/>
      <c r="D1202" s="245"/>
      <c r="E1202" s="245"/>
      <c r="F1202" s="245"/>
      <c r="G1202" s="245">
        <f t="shared" si="116"/>
        <v>0</v>
      </c>
      <c r="H1202" s="245">
        <v>0</v>
      </c>
      <c r="I1202" s="255">
        <f t="shared" ref="I1202:I1265" si="124">H1202-G1202</f>
        <v>0</v>
      </c>
      <c r="J1202" s="637"/>
    </row>
    <row r="1203" spans="1:10">
      <c r="A1203" s="169" t="s">
        <v>538</v>
      </c>
      <c r="B1203" s="169" t="s">
        <v>712</v>
      </c>
      <c r="C1203" s="195" t="s">
        <v>709</v>
      </c>
      <c r="D1203" s="245">
        <v>62000</v>
      </c>
      <c r="E1203" s="245">
        <v>-10000</v>
      </c>
      <c r="F1203" s="245">
        <v>-2700</v>
      </c>
      <c r="G1203" s="245">
        <f t="shared" si="116"/>
        <v>49300</v>
      </c>
      <c r="H1203" s="245">
        <v>50000</v>
      </c>
      <c r="I1203" s="255">
        <f t="shared" si="124"/>
        <v>700</v>
      </c>
      <c r="J1203" s="637">
        <f>I1203/G1203</f>
        <v>1.4198782961460446E-2</v>
      </c>
    </row>
    <row r="1204" spans="1:10">
      <c r="C1204" s="203"/>
      <c r="D1204" s="245"/>
      <c r="E1204" s="245"/>
      <c r="F1204" s="245"/>
      <c r="G1204" s="245">
        <f t="shared" si="116"/>
        <v>0</v>
      </c>
      <c r="H1204" s="245">
        <v>0</v>
      </c>
      <c r="I1204" s="255">
        <f t="shared" si="124"/>
        <v>0</v>
      </c>
      <c r="J1204" s="637"/>
    </row>
    <row r="1205" spans="1:10">
      <c r="A1205" s="169" t="s">
        <v>538</v>
      </c>
      <c r="B1205" s="169" t="s">
        <v>712</v>
      </c>
      <c r="C1205" s="195" t="s">
        <v>556</v>
      </c>
      <c r="D1205" s="245">
        <v>445000</v>
      </c>
      <c r="E1205" s="245">
        <v>-50000</v>
      </c>
      <c r="F1205" s="245"/>
      <c r="G1205" s="245">
        <f t="shared" si="116"/>
        <v>395000</v>
      </c>
      <c r="H1205" s="245">
        <v>387000</v>
      </c>
      <c r="I1205" s="255">
        <f t="shared" si="124"/>
        <v>-8000</v>
      </c>
      <c r="J1205" s="637">
        <f>I1205/G1205</f>
        <v>-2.0253164556962026E-2</v>
      </c>
    </row>
    <row r="1206" spans="1:10">
      <c r="C1206" s="194"/>
      <c r="D1206" s="245"/>
      <c r="E1206" s="245"/>
      <c r="F1206" s="245"/>
      <c r="G1206" s="245">
        <f t="shared" si="116"/>
        <v>0</v>
      </c>
      <c r="H1206" s="245">
        <v>0</v>
      </c>
      <c r="I1206" s="255">
        <f t="shared" si="124"/>
        <v>0</v>
      </c>
      <c r="J1206" s="637"/>
    </row>
    <row r="1207" spans="1:10">
      <c r="A1207" s="169" t="s">
        <v>317</v>
      </c>
      <c r="B1207" s="169" t="s">
        <v>712</v>
      </c>
      <c r="C1207" s="213" t="s">
        <v>319</v>
      </c>
      <c r="D1207" s="245">
        <v>10000</v>
      </c>
      <c r="E1207" s="245">
        <v>-2000</v>
      </c>
      <c r="F1207" s="245"/>
      <c r="G1207" s="245">
        <f t="shared" si="116"/>
        <v>8000</v>
      </c>
      <c r="H1207" s="245">
        <v>8000</v>
      </c>
      <c r="I1207" s="255">
        <f t="shared" si="124"/>
        <v>0</v>
      </c>
      <c r="J1207" s="637">
        <f>I1207/G1207</f>
        <v>0</v>
      </c>
    </row>
    <row r="1208" spans="1:10">
      <c r="C1208" s="213"/>
      <c r="D1208" s="209"/>
      <c r="E1208" s="209"/>
      <c r="F1208" s="209"/>
      <c r="G1208" s="209">
        <f t="shared" si="116"/>
        <v>0</v>
      </c>
      <c r="H1208" s="209">
        <v>0</v>
      </c>
      <c r="I1208" s="211">
        <f t="shared" si="124"/>
        <v>0</v>
      </c>
      <c r="J1208" s="634"/>
    </row>
    <row r="1209" spans="1:10">
      <c r="A1209" s="169" t="s">
        <v>538</v>
      </c>
      <c r="B1209" s="169" t="s">
        <v>712</v>
      </c>
      <c r="C1209" s="213" t="s">
        <v>719</v>
      </c>
      <c r="D1209" s="245">
        <v>371445</v>
      </c>
      <c r="E1209" s="245">
        <v>-9000</v>
      </c>
      <c r="F1209" s="245">
        <v>8000</v>
      </c>
      <c r="G1209" s="245">
        <f t="shared" si="116"/>
        <v>370445</v>
      </c>
      <c r="H1209" s="245">
        <v>362400</v>
      </c>
      <c r="I1209" s="255">
        <f t="shared" si="124"/>
        <v>-8045</v>
      </c>
      <c r="J1209" s="637">
        <f>I1209/G1209</f>
        <v>-2.1717123999514098E-2</v>
      </c>
    </row>
    <row r="1210" spans="1:10">
      <c r="C1210" s="207" t="s">
        <v>291</v>
      </c>
      <c r="D1210" s="246">
        <v>90036</v>
      </c>
      <c r="E1210" s="246"/>
      <c r="F1210" s="246"/>
      <c r="G1210" s="246">
        <f t="shared" si="116"/>
        <v>90036</v>
      </c>
      <c r="H1210" s="246">
        <v>90595</v>
      </c>
      <c r="I1210" s="520">
        <f t="shared" si="124"/>
        <v>559</v>
      </c>
      <c r="J1210" s="638">
        <f>I1210/G1210</f>
        <v>6.2086276600470921E-3</v>
      </c>
    </row>
    <row r="1211" spans="1:10">
      <c r="C1211" s="288"/>
      <c r="D1211" s="209"/>
      <c r="E1211" s="209"/>
      <c r="F1211" s="209"/>
      <c r="G1211" s="209">
        <f t="shared" si="116"/>
        <v>0</v>
      </c>
      <c r="H1211" s="209">
        <v>0</v>
      </c>
      <c r="I1211" s="211">
        <f t="shared" si="124"/>
        <v>0</v>
      </c>
      <c r="J1211" s="634"/>
    </row>
    <row r="1212" spans="1:10">
      <c r="A1212" s="169" t="s">
        <v>295</v>
      </c>
      <c r="B1212" s="169" t="s">
        <v>712</v>
      </c>
      <c r="C1212" s="213" t="s">
        <v>720</v>
      </c>
      <c r="D1212" s="245">
        <v>113263</v>
      </c>
      <c r="E1212" s="245">
        <v>-1000</v>
      </c>
      <c r="F1212" s="245">
        <v>25000</v>
      </c>
      <c r="G1212" s="245">
        <f t="shared" ref="G1212:G1273" si="125">SUM(D1212:F1212)</f>
        <v>137263</v>
      </c>
      <c r="H1212" s="245">
        <v>114700</v>
      </c>
      <c r="I1212" s="255">
        <f t="shared" si="124"/>
        <v>-22563</v>
      </c>
      <c r="J1212" s="637">
        <f>I1212/G1212</f>
        <v>-0.16437787313405652</v>
      </c>
    </row>
    <row r="1213" spans="1:10">
      <c r="C1213" s="207" t="s">
        <v>291</v>
      </c>
      <c r="D1213" s="246">
        <v>44919</v>
      </c>
      <c r="E1213" s="246"/>
      <c r="F1213" s="246">
        <v>6900</v>
      </c>
      <c r="G1213" s="246">
        <f t="shared" si="125"/>
        <v>51819</v>
      </c>
      <c r="H1213" s="246">
        <v>46205</v>
      </c>
      <c r="I1213" s="520">
        <f t="shared" si="124"/>
        <v>-5614</v>
      </c>
      <c r="J1213" s="638">
        <f>I1213/G1213</f>
        <v>-0.10833864026708351</v>
      </c>
    </row>
    <row r="1214" spans="1:10">
      <c r="C1214" s="341"/>
      <c r="D1214" s="185"/>
      <c r="E1214" s="185"/>
      <c r="F1214" s="185"/>
      <c r="G1214" s="185">
        <f t="shared" si="125"/>
        <v>0</v>
      </c>
      <c r="H1214" s="185">
        <v>0</v>
      </c>
      <c r="I1214" s="268">
        <f t="shared" si="124"/>
        <v>0</v>
      </c>
      <c r="J1214" s="634"/>
    </row>
    <row r="1215" spans="1:10">
      <c r="A1215" s="169" t="s">
        <v>710</v>
      </c>
      <c r="B1215" s="169" t="s">
        <v>712</v>
      </c>
      <c r="C1215" s="195" t="s">
        <v>711</v>
      </c>
      <c r="D1215" s="185">
        <v>54900</v>
      </c>
      <c r="E1215" s="185">
        <v>-25000</v>
      </c>
      <c r="F1215" s="185">
        <v>-5000</v>
      </c>
      <c r="G1215" s="185">
        <f t="shared" si="125"/>
        <v>24900</v>
      </c>
      <c r="H1215" s="185">
        <v>30000</v>
      </c>
      <c r="I1215" s="268">
        <f t="shared" si="124"/>
        <v>5100</v>
      </c>
      <c r="J1215" s="634">
        <f>I1215/G1215</f>
        <v>0.20481927710843373</v>
      </c>
    </row>
    <row r="1216" spans="1:10">
      <c r="C1216" s="201"/>
      <c r="D1216" s="185"/>
      <c r="E1216" s="185"/>
      <c r="F1216" s="185"/>
      <c r="G1216" s="185">
        <f t="shared" si="125"/>
        <v>0</v>
      </c>
      <c r="H1216" s="185">
        <v>0</v>
      </c>
      <c r="I1216" s="268">
        <f t="shared" si="124"/>
        <v>0</v>
      </c>
      <c r="J1216" s="634"/>
    </row>
    <row r="1217" spans="1:10">
      <c r="C1217" s="201"/>
      <c r="D1217" s="185"/>
      <c r="E1217" s="185"/>
      <c r="F1217" s="185"/>
      <c r="G1217" s="185">
        <f t="shared" si="125"/>
        <v>0</v>
      </c>
      <c r="H1217" s="185">
        <v>0</v>
      </c>
      <c r="I1217" s="268">
        <f t="shared" si="124"/>
        <v>0</v>
      </c>
      <c r="J1217" s="634"/>
    </row>
    <row r="1218" spans="1:10" ht="15.75">
      <c r="C1218" s="225" t="s">
        <v>721</v>
      </c>
      <c r="D1218" s="185"/>
      <c r="E1218" s="185"/>
      <c r="F1218" s="185"/>
      <c r="G1218" s="185">
        <f t="shared" si="125"/>
        <v>0</v>
      </c>
      <c r="H1218" s="185">
        <v>0</v>
      </c>
      <c r="I1218" s="268">
        <f t="shared" si="124"/>
        <v>0</v>
      </c>
      <c r="J1218" s="634"/>
    </row>
    <row r="1219" spans="1:10">
      <c r="C1219" s="201"/>
      <c r="D1219" s="185"/>
      <c r="E1219" s="185"/>
      <c r="F1219" s="185"/>
      <c r="G1219" s="185">
        <f t="shared" si="125"/>
        <v>0</v>
      </c>
      <c r="H1219" s="185">
        <v>0</v>
      </c>
      <c r="I1219" s="268">
        <f t="shared" si="124"/>
        <v>0</v>
      </c>
      <c r="J1219" s="634"/>
    </row>
    <row r="1220" spans="1:10">
      <c r="C1220" s="219" t="s">
        <v>5</v>
      </c>
      <c r="D1220" s="176">
        <f>D1232+D1242+D1245</f>
        <v>1755716</v>
      </c>
      <c r="E1220" s="176">
        <f>E1232+E1242+E1245</f>
        <v>10497</v>
      </c>
      <c r="F1220" s="176">
        <f>F1232+F1242+F1245+F1226</f>
        <v>78470</v>
      </c>
      <c r="G1220" s="176">
        <f t="shared" si="125"/>
        <v>1844683</v>
      </c>
      <c r="H1220" s="176">
        <v>1930700</v>
      </c>
      <c r="I1220" s="659">
        <f t="shared" si="124"/>
        <v>86017</v>
      </c>
      <c r="J1220" s="660">
        <f>I1220/G1220</f>
        <v>4.6629691930808709E-2</v>
      </c>
    </row>
    <row r="1221" spans="1:10">
      <c r="C1221" s="177" t="s">
        <v>285</v>
      </c>
      <c r="D1221" s="371">
        <v>104030</v>
      </c>
      <c r="E1221" s="371"/>
      <c r="F1221" s="371">
        <v>5300</v>
      </c>
      <c r="G1221" s="371">
        <f t="shared" si="125"/>
        <v>109330</v>
      </c>
      <c r="H1221" s="371">
        <v>87340</v>
      </c>
      <c r="I1221" s="706">
        <f t="shared" si="124"/>
        <v>-21990</v>
      </c>
      <c r="J1221" s="638">
        <f>I1221/G1221</f>
        <v>-0.20113418092015001</v>
      </c>
    </row>
    <row r="1222" spans="1:10">
      <c r="C1222" s="220" t="s">
        <v>286</v>
      </c>
      <c r="D1222" s="176">
        <f t="shared" ref="D1222:E1222" si="126">D1223+D1224</f>
        <v>1755716</v>
      </c>
      <c r="E1222" s="176">
        <f t="shared" si="126"/>
        <v>10497</v>
      </c>
      <c r="F1222" s="176">
        <f>F1223+F1224</f>
        <v>78470</v>
      </c>
      <c r="G1222" s="176">
        <f t="shared" si="125"/>
        <v>1844683</v>
      </c>
      <c r="H1222" s="176">
        <v>1930700</v>
      </c>
      <c r="I1222" s="659">
        <f t="shared" si="124"/>
        <v>86017</v>
      </c>
      <c r="J1222" s="660">
        <f>I1222/G1222</f>
        <v>4.6629691930808709E-2</v>
      </c>
    </row>
    <row r="1223" spans="1:10">
      <c r="C1223" s="221" t="s">
        <v>287</v>
      </c>
      <c r="D1223" s="178">
        <v>249450</v>
      </c>
      <c r="E1223" s="178"/>
      <c r="F1223" s="178">
        <v>24565</v>
      </c>
      <c r="G1223" s="178">
        <f t="shared" si="125"/>
        <v>274015</v>
      </c>
      <c r="H1223" s="178">
        <v>272980</v>
      </c>
      <c r="I1223" s="184">
        <f t="shared" si="124"/>
        <v>-1035</v>
      </c>
      <c r="J1223" s="632">
        <f>I1223/G1223</f>
        <v>-3.7771654836414063E-3</v>
      </c>
    </row>
    <row r="1224" spans="1:10">
      <c r="C1224" s="222" t="s">
        <v>288</v>
      </c>
      <c r="D1224" s="178">
        <f t="shared" ref="D1224:F1224" si="127">D1220-D1223</f>
        <v>1506266</v>
      </c>
      <c r="E1224" s="178">
        <f t="shared" si="127"/>
        <v>10497</v>
      </c>
      <c r="F1224" s="178">
        <f t="shared" si="127"/>
        <v>53905</v>
      </c>
      <c r="G1224" s="178">
        <f t="shared" si="125"/>
        <v>1570668</v>
      </c>
      <c r="H1224" s="178">
        <v>1657720</v>
      </c>
      <c r="I1224" s="184">
        <f t="shared" si="124"/>
        <v>87052</v>
      </c>
      <c r="J1224" s="632">
        <f>I1224/G1224</f>
        <v>5.5423552272026937E-2</v>
      </c>
    </row>
    <row r="1225" spans="1:10" s="182" customFormat="1">
      <c r="C1225" s="183"/>
      <c r="D1225" s="184"/>
      <c r="E1225" s="184"/>
      <c r="F1225" s="342"/>
      <c r="G1225" s="184">
        <f t="shared" si="125"/>
        <v>0</v>
      </c>
      <c r="H1225" s="184">
        <v>0</v>
      </c>
      <c r="I1225" s="184">
        <f t="shared" si="124"/>
        <v>0</v>
      </c>
      <c r="J1225" s="632"/>
    </row>
    <row r="1226" spans="1:10" s="182" customFormat="1" ht="15">
      <c r="A1226" s="169" t="s">
        <v>423</v>
      </c>
      <c r="B1226" s="169" t="s">
        <v>721</v>
      </c>
      <c r="C1226" s="382" t="s">
        <v>424</v>
      </c>
      <c r="D1226" s="184"/>
      <c r="E1226" s="184"/>
      <c r="F1226" s="544">
        <f>F1227</f>
        <v>57890</v>
      </c>
      <c r="G1226" s="544">
        <f t="shared" si="125"/>
        <v>57890</v>
      </c>
      <c r="H1226" s="184">
        <v>81400</v>
      </c>
      <c r="I1226" s="184">
        <f t="shared" si="124"/>
        <v>23510</v>
      </c>
      <c r="J1226" s="632">
        <f>I1226/G1226</f>
        <v>0.40611504577647262</v>
      </c>
    </row>
    <row r="1227" spans="1:10" s="182" customFormat="1">
      <c r="C1227" s="254" t="s">
        <v>425</v>
      </c>
      <c r="D1227" s="184"/>
      <c r="E1227" s="184"/>
      <c r="F1227" s="545">
        <f>F1229</f>
        <v>57890</v>
      </c>
      <c r="G1227" s="545">
        <f t="shared" si="125"/>
        <v>57890</v>
      </c>
      <c r="H1227" s="184">
        <v>81400</v>
      </c>
      <c r="I1227" s="184">
        <f t="shared" si="124"/>
        <v>23510</v>
      </c>
      <c r="J1227" s="632">
        <f>I1227/G1227</f>
        <v>0.40611504577647262</v>
      </c>
    </row>
    <row r="1228" spans="1:10" s="182" customFormat="1">
      <c r="C1228" s="374" t="s">
        <v>348</v>
      </c>
      <c r="D1228" s="184"/>
      <c r="E1228" s="184"/>
      <c r="F1228" s="342"/>
      <c r="G1228" s="342">
        <f t="shared" si="125"/>
        <v>0</v>
      </c>
      <c r="H1228" s="184">
        <v>0</v>
      </c>
      <c r="I1228" s="184">
        <f t="shared" si="124"/>
        <v>0</v>
      </c>
      <c r="J1228" s="632"/>
    </row>
    <row r="1229" spans="1:10" s="182" customFormat="1">
      <c r="C1229" s="236" t="s">
        <v>1257</v>
      </c>
      <c r="D1229" s="184"/>
      <c r="E1229" s="184"/>
      <c r="F1229" s="342">
        <v>57890</v>
      </c>
      <c r="G1229" s="342">
        <f t="shared" si="125"/>
        <v>57890</v>
      </c>
      <c r="H1229" s="184">
        <v>81400</v>
      </c>
      <c r="I1229" s="184">
        <f t="shared" si="124"/>
        <v>23510</v>
      </c>
      <c r="J1229" s="632">
        <f>I1229/G1229</f>
        <v>0.40611504577647262</v>
      </c>
    </row>
    <row r="1230" spans="1:10" s="182" customFormat="1">
      <c r="C1230" s="271" t="s">
        <v>291</v>
      </c>
      <c r="D1230" s="184"/>
      <c r="E1230" s="184"/>
      <c r="F1230" s="246">
        <v>28510</v>
      </c>
      <c r="G1230" s="342">
        <f t="shared" si="125"/>
        <v>28510</v>
      </c>
      <c r="H1230" s="184">
        <v>44215</v>
      </c>
      <c r="I1230" s="184">
        <f t="shared" si="124"/>
        <v>15705</v>
      </c>
      <c r="J1230" s="632">
        <f>I1230/G1230</f>
        <v>0.55085934759733424</v>
      </c>
    </row>
    <row r="1231" spans="1:10">
      <c r="C1231" s="222"/>
      <c r="D1231" s="342"/>
      <c r="E1231" s="342"/>
      <c r="F1231" s="342"/>
      <c r="G1231" s="342">
        <f t="shared" si="125"/>
        <v>0</v>
      </c>
      <c r="H1231" s="342">
        <v>0</v>
      </c>
      <c r="I1231" s="698">
        <f t="shared" si="124"/>
        <v>0</v>
      </c>
      <c r="J1231" s="637"/>
    </row>
    <row r="1232" spans="1:10" ht="15">
      <c r="A1232" s="169" t="s">
        <v>461</v>
      </c>
      <c r="B1232" s="169" t="s">
        <v>721</v>
      </c>
      <c r="C1232" s="372" t="s">
        <v>462</v>
      </c>
      <c r="D1232" s="280">
        <f t="shared" ref="D1232:F1232" si="128">D1233</f>
        <v>447388</v>
      </c>
      <c r="E1232" s="280">
        <f t="shared" si="128"/>
        <v>10497</v>
      </c>
      <c r="F1232" s="280">
        <f t="shared" si="128"/>
        <v>4400</v>
      </c>
      <c r="G1232" s="280">
        <f t="shared" si="125"/>
        <v>462285</v>
      </c>
      <c r="H1232" s="280">
        <v>468400</v>
      </c>
      <c r="I1232" s="659">
        <f t="shared" si="124"/>
        <v>6115</v>
      </c>
      <c r="J1232" s="660">
        <f>I1232/G1232</f>
        <v>1.3227770747482614E-2</v>
      </c>
    </row>
    <row r="1233" spans="1:10">
      <c r="C1233" s="375" t="s">
        <v>702</v>
      </c>
      <c r="D1233" s="226">
        <f>D1235+D1239</f>
        <v>447388</v>
      </c>
      <c r="E1233" s="226">
        <f>E1235+E1239</f>
        <v>10497</v>
      </c>
      <c r="F1233" s="226">
        <f>F1235+F1239</f>
        <v>4400</v>
      </c>
      <c r="G1233" s="226">
        <f t="shared" si="125"/>
        <v>462285</v>
      </c>
      <c r="H1233" s="226">
        <v>468400</v>
      </c>
      <c r="I1233" s="665">
        <f t="shared" si="124"/>
        <v>6115</v>
      </c>
      <c r="J1233" s="666">
        <f>I1233/G1233</f>
        <v>1.3227770747482614E-2</v>
      </c>
    </row>
    <row r="1234" spans="1:10">
      <c r="C1234" s="376" t="s">
        <v>348</v>
      </c>
      <c r="D1234" s="185"/>
      <c r="E1234" s="185"/>
      <c r="F1234" s="185"/>
      <c r="G1234" s="185">
        <f t="shared" si="125"/>
        <v>0</v>
      </c>
      <c r="H1234" s="185">
        <v>0</v>
      </c>
      <c r="I1234" s="268">
        <f t="shared" si="124"/>
        <v>0</v>
      </c>
      <c r="J1234" s="634"/>
    </row>
    <row r="1235" spans="1:10">
      <c r="C1235" s="377" t="s">
        <v>1258</v>
      </c>
      <c r="D1235" s="245">
        <v>167959</v>
      </c>
      <c r="E1235" s="245">
        <v>3064</v>
      </c>
      <c r="F1235" s="245">
        <v>3900</v>
      </c>
      <c r="G1235" s="245">
        <f t="shared" si="125"/>
        <v>174923</v>
      </c>
      <c r="H1235" s="245">
        <v>174100</v>
      </c>
      <c r="I1235" s="255">
        <f t="shared" si="124"/>
        <v>-823</v>
      </c>
      <c r="J1235" s="637">
        <f>I1235/G1235</f>
        <v>-4.7049273108739275E-3</v>
      </c>
    </row>
    <row r="1236" spans="1:10">
      <c r="C1236" s="208" t="s">
        <v>291</v>
      </c>
      <c r="D1236" s="246">
        <v>93813</v>
      </c>
      <c r="E1236" s="246">
        <v>2290</v>
      </c>
      <c r="F1236" s="246"/>
      <c r="G1236" s="246">
        <f t="shared" si="125"/>
        <v>96103</v>
      </c>
      <c r="H1236" s="246">
        <v>98730</v>
      </c>
      <c r="I1236" s="520">
        <f t="shared" si="124"/>
        <v>2627</v>
      </c>
      <c r="J1236" s="638">
        <f>I1236/G1236</f>
        <v>2.7335254882782014E-2</v>
      </c>
    </row>
    <row r="1237" spans="1:10">
      <c r="C1237" s="288"/>
      <c r="D1237" s="189"/>
      <c r="E1237" s="189"/>
      <c r="F1237" s="189"/>
      <c r="G1237" s="189">
        <f t="shared" si="125"/>
        <v>0</v>
      </c>
      <c r="H1237" s="189">
        <v>0</v>
      </c>
      <c r="I1237" s="184">
        <f t="shared" si="124"/>
        <v>0</v>
      </c>
      <c r="J1237" s="632"/>
    </row>
    <row r="1238" spans="1:10">
      <c r="C1238" s="376" t="s">
        <v>348</v>
      </c>
      <c r="D1238" s="185"/>
      <c r="E1238" s="185"/>
      <c r="F1238" s="185"/>
      <c r="G1238" s="185">
        <f t="shared" si="125"/>
        <v>0</v>
      </c>
      <c r="H1238" s="185">
        <v>0</v>
      </c>
      <c r="I1238" s="268">
        <f t="shared" si="124"/>
        <v>0</v>
      </c>
      <c r="J1238" s="634"/>
    </row>
    <row r="1239" spans="1:10">
      <c r="C1239" s="377" t="s">
        <v>1259</v>
      </c>
      <c r="D1239" s="245">
        <v>279429</v>
      </c>
      <c r="E1239" s="245">
        <v>7433</v>
      </c>
      <c r="F1239" s="245">
        <v>500</v>
      </c>
      <c r="G1239" s="245">
        <f t="shared" si="125"/>
        <v>287362</v>
      </c>
      <c r="H1239" s="245">
        <v>294300</v>
      </c>
      <c r="I1239" s="255">
        <f t="shared" si="124"/>
        <v>6938</v>
      </c>
      <c r="J1239" s="637">
        <f>I1239/G1239</f>
        <v>2.4143762919244714E-2</v>
      </c>
    </row>
    <row r="1240" spans="1:10">
      <c r="C1240" s="208" t="s">
        <v>291</v>
      </c>
      <c r="D1240" s="246">
        <v>195387</v>
      </c>
      <c r="E1240" s="246">
        <v>5555</v>
      </c>
      <c r="F1240" s="246"/>
      <c r="G1240" s="246">
        <f t="shared" si="125"/>
        <v>200942</v>
      </c>
      <c r="H1240" s="246">
        <v>207695</v>
      </c>
      <c r="I1240" s="520">
        <f t="shared" si="124"/>
        <v>6753</v>
      </c>
      <c r="J1240" s="638">
        <f>I1240/G1240</f>
        <v>3.3606712384668211E-2</v>
      </c>
    </row>
    <row r="1241" spans="1:10">
      <c r="C1241" s="208"/>
      <c r="D1241" s="189"/>
      <c r="E1241" s="189"/>
      <c r="F1241" s="189"/>
      <c r="G1241" s="189">
        <f t="shared" si="125"/>
        <v>0</v>
      </c>
      <c r="H1241" s="189">
        <v>0</v>
      </c>
      <c r="I1241" s="184">
        <f t="shared" si="124"/>
        <v>0</v>
      </c>
      <c r="J1241" s="632"/>
    </row>
    <row r="1242" spans="1:10" ht="15">
      <c r="A1242" s="169" t="s">
        <v>632</v>
      </c>
      <c r="B1242" s="169" t="s">
        <v>721</v>
      </c>
      <c r="C1242" s="372" t="s">
        <v>633</v>
      </c>
      <c r="D1242" s="280">
        <f t="shared" ref="D1242:F1242" si="129">D1243</f>
        <v>80000</v>
      </c>
      <c r="E1242" s="280">
        <f t="shared" si="129"/>
        <v>0</v>
      </c>
      <c r="F1242" s="280">
        <f t="shared" si="129"/>
        <v>0</v>
      </c>
      <c r="G1242" s="280">
        <f t="shared" si="125"/>
        <v>80000</v>
      </c>
      <c r="H1242" s="280">
        <v>75000</v>
      </c>
      <c r="I1242" s="659">
        <f t="shared" si="124"/>
        <v>-5000</v>
      </c>
      <c r="J1242" s="660">
        <f>I1242/G1242</f>
        <v>-6.25E-2</v>
      </c>
    </row>
    <row r="1243" spans="1:10">
      <c r="C1243" s="223" t="s">
        <v>634</v>
      </c>
      <c r="D1243" s="226">
        <v>80000</v>
      </c>
      <c r="E1243" s="226"/>
      <c r="F1243" s="226"/>
      <c r="G1243" s="226">
        <f t="shared" si="125"/>
        <v>80000</v>
      </c>
      <c r="H1243" s="226">
        <v>75000</v>
      </c>
      <c r="I1243" s="665">
        <f t="shared" si="124"/>
        <v>-5000</v>
      </c>
      <c r="J1243" s="666">
        <f>I1243/G1243</f>
        <v>-6.25E-2</v>
      </c>
    </row>
    <row r="1244" spans="1:10">
      <c r="C1244" s="222"/>
      <c r="D1244" s="342"/>
      <c r="E1244" s="342"/>
      <c r="F1244" s="342"/>
      <c r="G1244" s="342">
        <f t="shared" si="125"/>
        <v>0</v>
      </c>
      <c r="H1244" s="342">
        <v>0</v>
      </c>
      <c r="I1244" s="698">
        <f t="shared" si="124"/>
        <v>0</v>
      </c>
      <c r="J1244" s="637"/>
    </row>
    <row r="1245" spans="1:10">
      <c r="C1245" s="336" t="s">
        <v>351</v>
      </c>
      <c r="D1245" s="176">
        <f>D1247+D1250+D1254+D1256+D1258+D1262+D1260+D1252</f>
        <v>1228328</v>
      </c>
      <c r="E1245" s="176">
        <f>E1247+E1250+E1254+E1256+E1258+E1262+E1260+E1252</f>
        <v>0</v>
      </c>
      <c r="F1245" s="176">
        <f>F1247+F1250+F1254+F1256+F1258+F1262+F1260+F1252</f>
        <v>16180</v>
      </c>
      <c r="G1245" s="176">
        <f t="shared" si="125"/>
        <v>1244508</v>
      </c>
      <c r="H1245" s="176">
        <v>1305900</v>
      </c>
      <c r="I1245" s="659">
        <f t="shared" si="124"/>
        <v>61392</v>
      </c>
      <c r="J1245" s="660">
        <f>I1245/G1245</f>
        <v>4.9330337772035215E-2</v>
      </c>
    </row>
    <row r="1246" spans="1:10">
      <c r="C1246" s="336"/>
      <c r="D1246" s="185"/>
      <c r="E1246" s="185"/>
      <c r="F1246" s="185"/>
      <c r="G1246" s="185">
        <f t="shared" si="125"/>
        <v>0</v>
      </c>
      <c r="H1246" s="185">
        <v>0</v>
      </c>
      <c r="I1246" s="268">
        <f t="shared" si="124"/>
        <v>0</v>
      </c>
      <c r="J1246" s="634"/>
    </row>
    <row r="1247" spans="1:10">
      <c r="A1247" s="169" t="s">
        <v>289</v>
      </c>
      <c r="B1247" s="169" t="s">
        <v>721</v>
      </c>
      <c r="C1247" s="206" t="s">
        <v>705</v>
      </c>
      <c r="D1247" s="245">
        <f>1042584+10533+4001</f>
        <v>1057118</v>
      </c>
      <c r="E1247" s="245"/>
      <c r="F1247" s="245">
        <v>7805</v>
      </c>
      <c r="G1247" s="245">
        <f t="shared" si="125"/>
        <v>1064923</v>
      </c>
      <c r="H1247" s="245">
        <v>1110600</v>
      </c>
      <c r="I1247" s="255">
        <f t="shared" si="124"/>
        <v>45677</v>
      </c>
      <c r="J1247" s="637">
        <f>I1247/G1247</f>
        <v>4.2892303011579244E-2</v>
      </c>
    </row>
    <row r="1248" spans="1:10">
      <c r="C1248" s="196" t="s">
        <v>291</v>
      </c>
      <c r="D1248" s="246">
        <f>664620+7872+2990</f>
        <v>675482</v>
      </c>
      <c r="E1248" s="246"/>
      <c r="F1248" s="246">
        <v>-520</v>
      </c>
      <c r="G1248" s="246">
        <f t="shared" si="125"/>
        <v>674962</v>
      </c>
      <c r="H1248" s="246">
        <v>712060</v>
      </c>
      <c r="I1248" s="520">
        <f t="shared" si="124"/>
        <v>37098</v>
      </c>
      <c r="J1248" s="638">
        <f>I1248/G1248</f>
        <v>5.4963094218637494E-2</v>
      </c>
    </row>
    <row r="1249" spans="1:10">
      <c r="C1249" s="341"/>
      <c r="D1249" s="185"/>
      <c r="E1249" s="185"/>
      <c r="F1249" s="185"/>
      <c r="G1249" s="185">
        <f t="shared" si="125"/>
        <v>0</v>
      </c>
      <c r="H1249" s="185">
        <v>0</v>
      </c>
      <c r="I1249" s="268">
        <f t="shared" si="124"/>
        <v>0</v>
      </c>
      <c r="J1249" s="634"/>
    </row>
    <row r="1250" spans="1:10">
      <c r="A1250" s="169" t="s">
        <v>295</v>
      </c>
      <c r="B1250" s="169" t="s">
        <v>721</v>
      </c>
      <c r="C1250" s="378" t="s">
        <v>706</v>
      </c>
      <c r="D1250" s="245">
        <v>57000</v>
      </c>
      <c r="E1250" s="245"/>
      <c r="F1250" s="245">
        <v>18935</v>
      </c>
      <c r="G1250" s="245">
        <f t="shared" si="125"/>
        <v>75935</v>
      </c>
      <c r="H1250" s="245">
        <v>79100</v>
      </c>
      <c r="I1250" s="255">
        <f t="shared" si="124"/>
        <v>3165</v>
      </c>
      <c r="J1250" s="637">
        <f>I1250/G1250</f>
        <v>4.1680384539408706E-2</v>
      </c>
    </row>
    <row r="1251" spans="1:10">
      <c r="C1251" s="194"/>
      <c r="D1251" s="245"/>
      <c r="E1251" s="245"/>
      <c r="F1251" s="245"/>
      <c r="G1251" s="245">
        <f t="shared" si="125"/>
        <v>0</v>
      </c>
      <c r="H1251" s="245">
        <v>0</v>
      </c>
      <c r="I1251" s="255">
        <f t="shared" si="124"/>
        <v>0</v>
      </c>
      <c r="J1251" s="637"/>
    </row>
    <row r="1252" spans="1:10">
      <c r="A1252" s="169" t="s">
        <v>461</v>
      </c>
      <c r="B1252" s="169" t="s">
        <v>721</v>
      </c>
      <c r="C1252" s="378" t="s">
        <v>707</v>
      </c>
      <c r="D1252" s="245">
        <v>33000</v>
      </c>
      <c r="E1252" s="245"/>
      <c r="F1252" s="245"/>
      <c r="G1252" s="245">
        <f t="shared" si="125"/>
        <v>33000</v>
      </c>
      <c r="H1252" s="245">
        <v>33000</v>
      </c>
      <c r="I1252" s="255">
        <f t="shared" si="124"/>
        <v>0</v>
      </c>
      <c r="J1252" s="637">
        <f>I1252/G1252</f>
        <v>0</v>
      </c>
    </row>
    <row r="1253" spans="1:10">
      <c r="C1253" s="194"/>
      <c r="D1253" s="245"/>
      <c r="E1253" s="245"/>
      <c r="F1253" s="245"/>
      <c r="G1253" s="245">
        <f t="shared" si="125"/>
        <v>0</v>
      </c>
      <c r="H1253" s="245">
        <v>0</v>
      </c>
      <c r="I1253" s="255">
        <f t="shared" si="124"/>
        <v>0</v>
      </c>
      <c r="J1253" s="637"/>
    </row>
    <row r="1254" spans="1:10">
      <c r="A1254" s="169" t="s">
        <v>461</v>
      </c>
      <c r="B1254" s="169" t="s">
        <v>721</v>
      </c>
      <c r="C1254" s="194" t="s">
        <v>718</v>
      </c>
      <c r="D1254" s="245">
        <v>5800</v>
      </c>
      <c r="E1254" s="245"/>
      <c r="F1254" s="245"/>
      <c r="G1254" s="245">
        <f t="shared" si="125"/>
        <v>5800</v>
      </c>
      <c r="H1254" s="245">
        <v>5800</v>
      </c>
      <c r="I1254" s="255">
        <f t="shared" si="124"/>
        <v>0</v>
      </c>
      <c r="J1254" s="637">
        <f>I1254/G1254</f>
        <v>0</v>
      </c>
    </row>
    <row r="1255" spans="1:10">
      <c r="C1255" s="194"/>
      <c r="D1255" s="245"/>
      <c r="E1255" s="245"/>
      <c r="F1255" s="245"/>
      <c r="G1255" s="245">
        <f t="shared" si="125"/>
        <v>0</v>
      </c>
      <c r="H1255" s="245">
        <v>0</v>
      </c>
      <c r="I1255" s="255">
        <f t="shared" si="124"/>
        <v>0</v>
      </c>
      <c r="J1255" s="637"/>
    </row>
    <row r="1256" spans="1:10">
      <c r="A1256" s="169" t="s">
        <v>632</v>
      </c>
      <c r="B1256" s="169" t="s">
        <v>721</v>
      </c>
      <c r="C1256" s="213" t="s">
        <v>649</v>
      </c>
      <c r="D1256" s="245">
        <v>25000</v>
      </c>
      <c r="E1256" s="245"/>
      <c r="F1256" s="245">
        <v>6000</v>
      </c>
      <c r="G1256" s="245">
        <f t="shared" si="125"/>
        <v>31000</v>
      </c>
      <c r="H1256" s="245">
        <v>30000</v>
      </c>
      <c r="I1256" s="255">
        <f t="shared" si="124"/>
        <v>-1000</v>
      </c>
      <c r="J1256" s="637">
        <f>I1256/G1256</f>
        <v>-3.2258064516129031E-2</v>
      </c>
    </row>
    <row r="1257" spans="1:10">
      <c r="C1257" s="213"/>
      <c r="D1257" s="245"/>
      <c r="E1257" s="245"/>
      <c r="F1257" s="245"/>
      <c r="G1257" s="245">
        <f t="shared" si="125"/>
        <v>0</v>
      </c>
      <c r="H1257" s="245">
        <v>0</v>
      </c>
      <c r="I1257" s="255">
        <f t="shared" si="124"/>
        <v>0</v>
      </c>
      <c r="J1257" s="637"/>
    </row>
    <row r="1258" spans="1:10">
      <c r="A1258" s="169" t="s">
        <v>538</v>
      </c>
      <c r="B1258" s="169" t="s">
        <v>721</v>
      </c>
      <c r="C1258" s="195" t="s">
        <v>709</v>
      </c>
      <c r="D1258" s="245">
        <v>30550</v>
      </c>
      <c r="E1258" s="245"/>
      <c r="F1258" s="245">
        <v>-2000</v>
      </c>
      <c r="G1258" s="245">
        <f t="shared" si="125"/>
        <v>28550</v>
      </c>
      <c r="H1258" s="245">
        <v>28400</v>
      </c>
      <c r="I1258" s="255">
        <f t="shared" si="124"/>
        <v>-150</v>
      </c>
      <c r="J1258" s="637">
        <f>I1258/G1258</f>
        <v>-5.2539404553415062E-3</v>
      </c>
    </row>
    <row r="1259" spans="1:10">
      <c r="C1259" s="203"/>
      <c r="D1259" s="245"/>
      <c r="E1259" s="245"/>
      <c r="F1259" s="245"/>
      <c r="G1259" s="245">
        <f t="shared" si="125"/>
        <v>0</v>
      </c>
      <c r="H1259" s="245">
        <v>0</v>
      </c>
      <c r="I1259" s="255">
        <f t="shared" si="124"/>
        <v>0</v>
      </c>
      <c r="J1259" s="637"/>
    </row>
    <row r="1260" spans="1:10">
      <c r="A1260" s="169" t="s">
        <v>538</v>
      </c>
      <c r="B1260" s="169" t="s">
        <v>721</v>
      </c>
      <c r="C1260" s="195" t="s">
        <v>556</v>
      </c>
      <c r="D1260" s="245">
        <v>4860</v>
      </c>
      <c r="E1260" s="245"/>
      <c r="F1260" s="245">
        <v>-860</v>
      </c>
      <c r="G1260" s="245">
        <f t="shared" si="125"/>
        <v>4000</v>
      </c>
      <c r="H1260" s="245">
        <v>4000</v>
      </c>
      <c r="I1260" s="255">
        <f t="shared" si="124"/>
        <v>0</v>
      </c>
      <c r="J1260" s="637">
        <f>I1260/G1260</f>
        <v>0</v>
      </c>
    </row>
    <row r="1261" spans="1:10">
      <c r="C1261" s="217"/>
      <c r="D1261" s="245"/>
      <c r="E1261" s="245"/>
      <c r="F1261" s="245"/>
      <c r="G1261" s="245">
        <f t="shared" si="125"/>
        <v>0</v>
      </c>
      <c r="H1261" s="245">
        <v>0</v>
      </c>
      <c r="I1261" s="255">
        <f t="shared" si="124"/>
        <v>0</v>
      </c>
      <c r="J1261" s="637"/>
    </row>
    <row r="1262" spans="1:10">
      <c r="A1262" s="169" t="s">
        <v>710</v>
      </c>
      <c r="B1262" s="169" t="s">
        <v>721</v>
      </c>
      <c r="C1262" s="195" t="s">
        <v>711</v>
      </c>
      <c r="D1262" s="245">
        <v>15000</v>
      </c>
      <c r="E1262" s="245"/>
      <c r="F1262" s="245">
        <v>-13700</v>
      </c>
      <c r="G1262" s="245">
        <f t="shared" si="125"/>
        <v>1300</v>
      </c>
      <c r="H1262" s="245">
        <v>15000</v>
      </c>
      <c r="I1262" s="255">
        <f t="shared" si="124"/>
        <v>13700</v>
      </c>
      <c r="J1262" s="637">
        <f>I1262/G1262</f>
        <v>10.538461538461538</v>
      </c>
    </row>
    <row r="1263" spans="1:10">
      <c r="C1263" s="203"/>
      <c r="D1263" s="342"/>
      <c r="E1263" s="342"/>
      <c r="F1263" s="342"/>
      <c r="G1263" s="342">
        <f t="shared" si="125"/>
        <v>0</v>
      </c>
      <c r="H1263" s="342">
        <v>0</v>
      </c>
      <c r="I1263" s="698">
        <f t="shared" si="124"/>
        <v>0</v>
      </c>
      <c r="J1263" s="637"/>
    </row>
    <row r="1264" spans="1:10">
      <c r="C1264" s="201"/>
      <c r="D1264" s="185"/>
      <c r="E1264" s="185"/>
      <c r="F1264" s="185"/>
      <c r="G1264" s="185">
        <f t="shared" si="125"/>
        <v>0</v>
      </c>
      <c r="H1264" s="185">
        <v>0</v>
      </c>
      <c r="I1264" s="268">
        <f t="shared" si="124"/>
        <v>0</v>
      </c>
      <c r="J1264" s="634"/>
    </row>
    <row r="1265" spans="1:10" ht="15.75">
      <c r="C1265" s="225" t="s">
        <v>55</v>
      </c>
      <c r="D1265" s="185"/>
      <c r="E1265" s="185"/>
      <c r="F1265" s="185"/>
      <c r="G1265" s="185">
        <f t="shared" si="125"/>
        <v>0</v>
      </c>
      <c r="H1265" s="185">
        <v>0</v>
      </c>
      <c r="I1265" s="268">
        <f t="shared" si="124"/>
        <v>0</v>
      </c>
      <c r="J1265" s="634"/>
    </row>
    <row r="1266" spans="1:10">
      <c r="C1266" s="201"/>
      <c r="D1266" s="185"/>
      <c r="E1266" s="185"/>
      <c r="F1266" s="185"/>
      <c r="G1266" s="185">
        <f t="shared" si="125"/>
        <v>0</v>
      </c>
      <c r="H1266" s="185">
        <v>0</v>
      </c>
      <c r="I1266" s="268">
        <f t="shared" ref="I1266:I1329" si="130">H1266-G1266</f>
        <v>0</v>
      </c>
      <c r="J1266" s="634"/>
    </row>
    <row r="1267" spans="1:10">
      <c r="C1267" s="219" t="s">
        <v>5</v>
      </c>
      <c r="D1267" s="176">
        <f>D1273+D1289+D1305+D1308+D1316+D1277+D1283</f>
        <v>5200924</v>
      </c>
      <c r="E1267" s="176">
        <f>E1273+E1289+E1305+E1308+E1316+E1277+E1283</f>
        <v>233884</v>
      </c>
      <c r="F1267" s="176">
        <f>F1273+F1289+F1305+F1308+F1316+F1277+F1283</f>
        <v>123486</v>
      </c>
      <c r="G1267" s="176">
        <f t="shared" si="125"/>
        <v>5558294</v>
      </c>
      <c r="H1267" s="176">
        <v>5667599.54</v>
      </c>
      <c r="I1267" s="659">
        <f t="shared" si="130"/>
        <v>109305.54000000004</v>
      </c>
      <c r="J1267" s="660">
        <f>I1267/G1267</f>
        <v>1.9665303778461526E-2</v>
      </c>
    </row>
    <row r="1268" spans="1:10">
      <c r="C1268" s="177" t="s">
        <v>285</v>
      </c>
      <c r="D1268" s="371">
        <v>550500</v>
      </c>
      <c r="E1268" s="371"/>
      <c r="F1268" s="371">
        <v>13000</v>
      </c>
      <c r="G1268" s="371">
        <f t="shared" si="125"/>
        <v>563500</v>
      </c>
      <c r="H1268" s="371">
        <v>550500</v>
      </c>
      <c r="I1268" s="706">
        <f t="shared" si="130"/>
        <v>-13000</v>
      </c>
      <c r="J1268" s="638">
        <f>I1268/G1268</f>
        <v>-2.3070097604259095E-2</v>
      </c>
    </row>
    <row r="1269" spans="1:10">
      <c r="C1269" s="220" t="s">
        <v>286</v>
      </c>
      <c r="D1269" s="176">
        <f t="shared" ref="D1269:F1269" si="131">D1270+D1271</f>
        <v>5200924</v>
      </c>
      <c r="E1269" s="176">
        <f t="shared" si="131"/>
        <v>233884</v>
      </c>
      <c r="F1269" s="176">
        <f t="shared" si="131"/>
        <v>123486</v>
      </c>
      <c r="G1269" s="176">
        <f t="shared" si="125"/>
        <v>5558294</v>
      </c>
      <c r="H1269" s="176">
        <v>5667599.54</v>
      </c>
      <c r="I1269" s="659">
        <f t="shared" si="130"/>
        <v>109305.54000000004</v>
      </c>
      <c r="J1269" s="660">
        <f>I1269/G1269</f>
        <v>1.9665303778461526E-2</v>
      </c>
    </row>
    <row r="1270" spans="1:10">
      <c r="C1270" s="221" t="s">
        <v>287</v>
      </c>
      <c r="D1270" s="178">
        <v>1334935</v>
      </c>
      <c r="E1270" s="178">
        <v>28275</v>
      </c>
      <c r="F1270" s="178">
        <v>50160</v>
      </c>
      <c r="G1270" s="178">
        <f t="shared" si="125"/>
        <v>1413370</v>
      </c>
      <c r="H1270" s="178">
        <v>1408020</v>
      </c>
      <c r="I1270" s="184">
        <f t="shared" si="130"/>
        <v>-5350</v>
      </c>
      <c r="J1270" s="632">
        <f>I1270/G1270</f>
        <v>-3.7852791554936075E-3</v>
      </c>
    </row>
    <row r="1271" spans="1:10">
      <c r="C1271" s="222" t="s">
        <v>288</v>
      </c>
      <c r="D1271" s="178">
        <f t="shared" ref="D1271:F1271" si="132">D1267-D1270</f>
        <v>3865989</v>
      </c>
      <c r="E1271" s="178">
        <f t="shared" si="132"/>
        <v>205609</v>
      </c>
      <c r="F1271" s="178">
        <f t="shared" si="132"/>
        <v>73326</v>
      </c>
      <c r="G1271" s="178">
        <f t="shared" si="125"/>
        <v>4144924</v>
      </c>
      <c r="H1271" s="178">
        <v>4259579.54</v>
      </c>
      <c r="I1271" s="184">
        <f t="shared" si="130"/>
        <v>114655.54000000004</v>
      </c>
      <c r="J1271" s="632">
        <f>I1271/G1271</f>
        <v>2.7661674858212127E-2</v>
      </c>
    </row>
    <row r="1272" spans="1:10">
      <c r="C1272" s="222"/>
      <c r="D1272" s="185"/>
      <c r="E1272" s="185"/>
      <c r="F1272" s="185"/>
      <c r="G1272" s="185">
        <f t="shared" si="125"/>
        <v>0</v>
      </c>
      <c r="H1272" s="185">
        <v>0</v>
      </c>
      <c r="I1272" s="268">
        <f t="shared" si="130"/>
        <v>0</v>
      </c>
      <c r="J1272" s="634"/>
    </row>
    <row r="1273" spans="1:10" ht="15">
      <c r="A1273" s="169" t="s">
        <v>295</v>
      </c>
      <c r="B1273" s="169" t="s">
        <v>55</v>
      </c>
      <c r="C1273" s="372" t="s">
        <v>359</v>
      </c>
      <c r="D1273" s="280">
        <f t="shared" ref="D1273:F1273" si="133">D1274</f>
        <v>351225</v>
      </c>
      <c r="E1273" s="280">
        <f t="shared" si="133"/>
        <v>2500</v>
      </c>
      <c r="F1273" s="280">
        <f t="shared" si="133"/>
        <v>19500</v>
      </c>
      <c r="G1273" s="280">
        <f t="shared" si="125"/>
        <v>373225</v>
      </c>
      <c r="H1273" s="280">
        <v>372600</v>
      </c>
      <c r="I1273" s="659">
        <f t="shared" si="130"/>
        <v>-625</v>
      </c>
      <c r="J1273" s="660">
        <f>I1273/G1273</f>
        <v>-1.6745930738830464E-3</v>
      </c>
    </row>
    <row r="1274" spans="1:10">
      <c r="C1274" s="223" t="s">
        <v>722</v>
      </c>
      <c r="D1274" s="226">
        <f>339175+11012+1038</f>
        <v>351225</v>
      </c>
      <c r="E1274" s="226">
        <v>2500</v>
      </c>
      <c r="F1274" s="226">
        <v>19500</v>
      </c>
      <c r="G1274" s="226">
        <f t="shared" ref="G1274:G1337" si="134">SUM(D1274:F1274)</f>
        <v>373225</v>
      </c>
      <c r="H1274" s="226">
        <v>372600</v>
      </c>
      <c r="I1274" s="665">
        <f t="shared" si="130"/>
        <v>-625</v>
      </c>
      <c r="J1274" s="666">
        <f>I1274/G1274</f>
        <v>-1.6745930738830464E-3</v>
      </c>
    </row>
    <row r="1275" spans="1:10">
      <c r="C1275" s="202" t="s">
        <v>291</v>
      </c>
      <c r="D1275" s="214">
        <f>171020+8230+776</f>
        <v>180026</v>
      </c>
      <c r="E1275" s="214">
        <v>1870</v>
      </c>
      <c r="F1275" s="214"/>
      <c r="G1275" s="214">
        <f t="shared" si="134"/>
        <v>181896</v>
      </c>
      <c r="H1275" s="214">
        <v>193760</v>
      </c>
      <c r="I1275" s="663">
        <f t="shared" si="130"/>
        <v>11864</v>
      </c>
      <c r="J1275" s="664">
        <f>I1275/G1275</f>
        <v>6.5224084092008625E-2</v>
      </c>
    </row>
    <row r="1276" spans="1:10">
      <c r="C1276" s="239"/>
      <c r="D1276" s="189"/>
      <c r="E1276" s="189"/>
      <c r="F1276" s="189"/>
      <c r="G1276" s="189">
        <f t="shared" si="134"/>
        <v>0</v>
      </c>
      <c r="H1276" s="189">
        <v>0</v>
      </c>
      <c r="I1276" s="184">
        <f t="shared" si="130"/>
        <v>0</v>
      </c>
      <c r="J1276" s="632"/>
    </row>
    <row r="1277" spans="1:10" ht="15">
      <c r="A1277" s="169" t="s">
        <v>423</v>
      </c>
      <c r="B1277" s="169" t="s">
        <v>55</v>
      </c>
      <c r="C1277" s="382" t="s">
        <v>424</v>
      </c>
      <c r="D1277" s="280">
        <f t="shared" ref="D1277:F1277" si="135">D1278</f>
        <v>134869</v>
      </c>
      <c r="E1277" s="280">
        <f t="shared" si="135"/>
        <v>20400</v>
      </c>
      <c r="F1277" s="280">
        <f t="shared" si="135"/>
        <v>18100</v>
      </c>
      <c r="G1277" s="280">
        <f t="shared" si="134"/>
        <v>173369</v>
      </c>
      <c r="H1277" s="280">
        <v>168300</v>
      </c>
      <c r="I1277" s="659">
        <f t="shared" si="130"/>
        <v>-5069</v>
      </c>
      <c r="J1277" s="660">
        <f>I1277/G1277</f>
        <v>-2.9238214444335494E-2</v>
      </c>
    </row>
    <row r="1278" spans="1:10">
      <c r="C1278" s="254" t="s">
        <v>425</v>
      </c>
      <c r="D1278" s="226">
        <f t="shared" ref="D1278:F1278" si="136">D1280</f>
        <v>134869</v>
      </c>
      <c r="E1278" s="226">
        <f t="shared" si="136"/>
        <v>20400</v>
      </c>
      <c r="F1278" s="226">
        <f t="shared" si="136"/>
        <v>18100</v>
      </c>
      <c r="G1278" s="226">
        <f t="shared" si="134"/>
        <v>173369</v>
      </c>
      <c r="H1278" s="226">
        <v>168300</v>
      </c>
      <c r="I1278" s="665">
        <f t="shared" si="130"/>
        <v>-5069</v>
      </c>
      <c r="J1278" s="666">
        <f>I1278/G1278</f>
        <v>-2.9238214444335494E-2</v>
      </c>
    </row>
    <row r="1279" spans="1:10">
      <c r="C1279" s="374" t="s">
        <v>348</v>
      </c>
      <c r="D1279" s="189"/>
      <c r="E1279" s="189"/>
      <c r="F1279" s="189"/>
      <c r="G1279" s="189">
        <f t="shared" si="134"/>
        <v>0</v>
      </c>
      <c r="H1279" s="189">
        <v>0</v>
      </c>
      <c r="I1279" s="184">
        <f t="shared" si="130"/>
        <v>0</v>
      </c>
      <c r="J1279" s="632"/>
    </row>
    <row r="1280" spans="1:10">
      <c r="C1280" s="236" t="s">
        <v>723</v>
      </c>
      <c r="D1280" s="245">
        <v>134869</v>
      </c>
      <c r="E1280" s="245">
        <v>20400</v>
      </c>
      <c r="F1280" s="245">
        <v>18100</v>
      </c>
      <c r="G1280" s="245">
        <f t="shared" si="134"/>
        <v>173369</v>
      </c>
      <c r="H1280" s="245">
        <v>168300</v>
      </c>
      <c r="I1280" s="255">
        <f t="shared" si="130"/>
        <v>-5069</v>
      </c>
      <c r="J1280" s="637">
        <f>I1280/G1280</f>
        <v>-2.9238214444335494E-2</v>
      </c>
    </row>
    <row r="1281" spans="1:10">
      <c r="C1281" s="271" t="s">
        <v>291</v>
      </c>
      <c r="D1281" s="246">
        <v>71798</v>
      </c>
      <c r="E1281" s="246">
        <v>6278</v>
      </c>
      <c r="F1281" s="246">
        <v>6725</v>
      </c>
      <c r="G1281" s="246">
        <f t="shared" si="134"/>
        <v>84801</v>
      </c>
      <c r="H1281" s="246">
        <v>79810</v>
      </c>
      <c r="I1281" s="520">
        <f t="shared" si="130"/>
        <v>-4991</v>
      </c>
      <c r="J1281" s="638">
        <f>I1281/G1281</f>
        <v>-5.8855438025494984E-2</v>
      </c>
    </row>
    <row r="1282" spans="1:10">
      <c r="C1282" s="239"/>
      <c r="D1282" s="189"/>
      <c r="E1282" s="189"/>
      <c r="F1282" s="189"/>
      <c r="G1282" s="189">
        <f t="shared" si="134"/>
        <v>0</v>
      </c>
      <c r="H1282" s="189">
        <v>0</v>
      </c>
      <c r="I1282" s="184">
        <f t="shared" si="130"/>
        <v>0</v>
      </c>
      <c r="J1282" s="632"/>
    </row>
    <row r="1283" spans="1:10" ht="15">
      <c r="A1283" s="169" t="s">
        <v>412</v>
      </c>
      <c r="B1283" s="169" t="s">
        <v>55</v>
      </c>
      <c r="C1283" s="228" t="s">
        <v>413</v>
      </c>
      <c r="D1283" s="280">
        <f t="shared" ref="D1283:F1283" si="137">D1284</f>
        <v>188061</v>
      </c>
      <c r="E1283" s="280">
        <f t="shared" si="137"/>
        <v>5182</v>
      </c>
      <c r="F1283" s="280">
        <f t="shared" si="137"/>
        <v>0</v>
      </c>
      <c r="G1283" s="280">
        <f t="shared" si="134"/>
        <v>193243</v>
      </c>
      <c r="H1283" s="280">
        <v>191600</v>
      </c>
      <c r="I1283" s="659">
        <f t="shared" si="130"/>
        <v>-1643</v>
      </c>
      <c r="J1283" s="660">
        <f>I1283/G1283</f>
        <v>-8.5022484643686967E-3</v>
      </c>
    </row>
    <row r="1284" spans="1:10">
      <c r="C1284" s="223" t="s">
        <v>414</v>
      </c>
      <c r="D1284" s="226">
        <f t="shared" ref="D1284:F1284" si="138">D1286</f>
        <v>188061</v>
      </c>
      <c r="E1284" s="226">
        <f t="shared" si="138"/>
        <v>5182</v>
      </c>
      <c r="F1284" s="226">
        <f t="shared" si="138"/>
        <v>0</v>
      </c>
      <c r="G1284" s="226">
        <f t="shared" si="134"/>
        <v>193243</v>
      </c>
      <c r="H1284" s="226">
        <v>191600</v>
      </c>
      <c r="I1284" s="665">
        <f t="shared" si="130"/>
        <v>-1643</v>
      </c>
      <c r="J1284" s="666">
        <f>I1284/G1284</f>
        <v>-8.5022484643686967E-3</v>
      </c>
    </row>
    <row r="1285" spans="1:10">
      <c r="C1285" s="235" t="s">
        <v>348</v>
      </c>
      <c r="D1285" s="189"/>
      <c r="E1285" s="189"/>
      <c r="F1285" s="189"/>
      <c r="G1285" s="189">
        <f t="shared" si="134"/>
        <v>0</v>
      </c>
      <c r="H1285" s="189">
        <v>0</v>
      </c>
      <c r="I1285" s="184">
        <f t="shared" si="130"/>
        <v>0</v>
      </c>
      <c r="J1285" s="632"/>
    </row>
    <row r="1286" spans="1:10">
      <c r="C1286" s="236" t="s">
        <v>724</v>
      </c>
      <c r="D1286" s="245">
        <v>188061</v>
      </c>
      <c r="E1286" s="245">
        <v>5182</v>
      </c>
      <c r="F1286" s="245"/>
      <c r="G1286" s="245">
        <f t="shared" si="134"/>
        <v>193243</v>
      </c>
      <c r="H1286" s="245">
        <v>191600</v>
      </c>
      <c r="I1286" s="255">
        <f t="shared" si="130"/>
        <v>-1643</v>
      </c>
      <c r="J1286" s="637">
        <f>I1286/G1286</f>
        <v>-8.5022484643686967E-3</v>
      </c>
    </row>
    <row r="1287" spans="1:10">
      <c r="C1287" s="208" t="s">
        <v>291</v>
      </c>
      <c r="D1287" s="246">
        <v>85728</v>
      </c>
      <c r="E1287" s="246"/>
      <c r="F1287" s="246"/>
      <c r="G1287" s="246">
        <f t="shared" si="134"/>
        <v>85728</v>
      </c>
      <c r="H1287" s="246">
        <v>88250</v>
      </c>
      <c r="I1287" s="520">
        <f t="shared" si="130"/>
        <v>2522</v>
      </c>
      <c r="J1287" s="638">
        <f>I1287/G1287</f>
        <v>2.9418626353116834E-2</v>
      </c>
    </row>
    <row r="1288" spans="1:10">
      <c r="C1288" s="373"/>
      <c r="D1288" s="189"/>
      <c r="E1288" s="189"/>
      <c r="F1288" s="189"/>
      <c r="G1288" s="189">
        <f t="shared" si="134"/>
        <v>0</v>
      </c>
      <c r="H1288" s="189">
        <v>0</v>
      </c>
      <c r="I1288" s="184">
        <f t="shared" si="130"/>
        <v>0</v>
      </c>
      <c r="J1288" s="632"/>
    </row>
    <row r="1289" spans="1:10" ht="15">
      <c r="A1289" s="169" t="s">
        <v>461</v>
      </c>
      <c r="B1289" s="169" t="s">
        <v>55</v>
      </c>
      <c r="C1289" s="372" t="s">
        <v>462</v>
      </c>
      <c r="D1289" s="280">
        <f>D1296</f>
        <v>690982</v>
      </c>
      <c r="E1289" s="280">
        <f>E1296+E1291</f>
        <v>203262</v>
      </c>
      <c r="F1289" s="280">
        <f>F1291+F1296</f>
        <v>5356</v>
      </c>
      <c r="G1289" s="280">
        <f t="shared" si="134"/>
        <v>899600</v>
      </c>
      <c r="H1289" s="280">
        <v>950200</v>
      </c>
      <c r="I1289" s="659">
        <f t="shared" si="130"/>
        <v>50600</v>
      </c>
      <c r="J1289" s="660">
        <f>I1289/G1289</f>
        <v>5.6247220987105377E-2</v>
      </c>
    </row>
    <row r="1290" spans="1:10" ht="15">
      <c r="C1290" s="372"/>
      <c r="D1290" s="280"/>
      <c r="E1290" s="280"/>
      <c r="F1290" s="280"/>
      <c r="G1290" s="280">
        <f t="shared" si="134"/>
        <v>0</v>
      </c>
      <c r="H1290" s="280">
        <v>0</v>
      </c>
      <c r="I1290" s="659">
        <f t="shared" si="130"/>
        <v>0</v>
      </c>
      <c r="J1290" s="660"/>
    </row>
    <row r="1291" spans="1:10" ht="15">
      <c r="C1291" s="338" t="s">
        <v>478</v>
      </c>
      <c r="D1291" s="280"/>
      <c r="E1291" s="226">
        <f>E1293</f>
        <v>182304</v>
      </c>
      <c r="F1291" s="226">
        <f>F1293</f>
        <v>3656</v>
      </c>
      <c r="G1291" s="280">
        <f t="shared" si="134"/>
        <v>185960</v>
      </c>
      <c r="H1291" s="280">
        <v>207500</v>
      </c>
      <c r="I1291" s="659">
        <f t="shared" si="130"/>
        <v>21540</v>
      </c>
      <c r="J1291" s="660">
        <f>I1291/G1291</f>
        <v>0.11583136158313616</v>
      </c>
    </row>
    <row r="1292" spans="1:10" ht="15">
      <c r="C1292" s="376" t="s">
        <v>348</v>
      </c>
      <c r="D1292" s="280"/>
      <c r="E1292" s="280"/>
      <c r="F1292" s="280"/>
      <c r="G1292" s="280">
        <f t="shared" si="134"/>
        <v>0</v>
      </c>
      <c r="H1292" s="280">
        <v>0</v>
      </c>
      <c r="I1292" s="659">
        <f t="shared" si="130"/>
        <v>0</v>
      </c>
      <c r="J1292" s="660"/>
    </row>
    <row r="1293" spans="1:10" ht="15">
      <c r="C1293" s="377" t="s">
        <v>725</v>
      </c>
      <c r="D1293" s="280"/>
      <c r="E1293" s="245">
        <v>182304</v>
      </c>
      <c r="F1293" s="245">
        <v>3656</v>
      </c>
      <c r="G1293" s="280">
        <f t="shared" si="134"/>
        <v>185960</v>
      </c>
      <c r="H1293" s="280">
        <v>207500</v>
      </c>
      <c r="I1293" s="659">
        <f t="shared" si="130"/>
        <v>21540</v>
      </c>
      <c r="J1293" s="660">
        <f>I1293/G1293</f>
        <v>0.11583136158313616</v>
      </c>
    </row>
    <row r="1294" spans="1:10" ht="15">
      <c r="C1294" s="208" t="s">
        <v>291</v>
      </c>
      <c r="D1294" s="280"/>
      <c r="E1294" s="246">
        <v>110204</v>
      </c>
      <c r="F1294" s="246">
        <v>2732</v>
      </c>
      <c r="G1294" s="280">
        <f t="shared" si="134"/>
        <v>112936</v>
      </c>
      <c r="H1294" s="280">
        <v>128255</v>
      </c>
      <c r="I1294" s="659">
        <f t="shared" si="130"/>
        <v>15319</v>
      </c>
      <c r="J1294" s="660">
        <f>I1294/G1294</f>
        <v>0.13564319614649004</v>
      </c>
    </row>
    <row r="1295" spans="1:10" ht="15">
      <c r="C1295" s="208"/>
      <c r="D1295" s="280"/>
      <c r="E1295" s="280"/>
      <c r="F1295" s="280"/>
      <c r="G1295" s="280">
        <f t="shared" si="134"/>
        <v>0</v>
      </c>
      <c r="H1295" s="280">
        <v>0</v>
      </c>
      <c r="I1295" s="659">
        <f t="shared" si="130"/>
        <v>0</v>
      </c>
      <c r="J1295" s="660"/>
    </row>
    <row r="1296" spans="1:10">
      <c r="C1296" s="375" t="s">
        <v>702</v>
      </c>
      <c r="D1296" s="226">
        <f>D1298+D1302</f>
        <v>690982</v>
      </c>
      <c r="E1296" s="226">
        <f>E1298+E1302</f>
        <v>20958</v>
      </c>
      <c r="F1296" s="226">
        <f>F1298+F1302</f>
        <v>1700</v>
      </c>
      <c r="G1296" s="226">
        <f t="shared" si="134"/>
        <v>713640</v>
      </c>
      <c r="H1296" s="226">
        <v>742700</v>
      </c>
      <c r="I1296" s="665">
        <f t="shared" si="130"/>
        <v>29060</v>
      </c>
      <c r="J1296" s="666">
        <f>I1296/G1296</f>
        <v>4.0720811613698782E-2</v>
      </c>
    </row>
    <row r="1297" spans="1:10">
      <c r="C1297" s="376" t="s">
        <v>348</v>
      </c>
      <c r="D1297" s="185"/>
      <c r="E1297" s="185"/>
      <c r="F1297" s="185"/>
      <c r="G1297" s="185">
        <f t="shared" si="134"/>
        <v>0</v>
      </c>
      <c r="H1297" s="185">
        <v>0</v>
      </c>
      <c r="I1297" s="268">
        <f t="shared" si="130"/>
        <v>0</v>
      </c>
      <c r="J1297" s="634"/>
    </row>
    <row r="1298" spans="1:10">
      <c r="C1298" s="377" t="s">
        <v>726</v>
      </c>
      <c r="D1298" s="245">
        <v>238582</v>
      </c>
      <c r="E1298" s="245">
        <v>-11771</v>
      </c>
      <c r="F1298" s="245">
        <v>1700</v>
      </c>
      <c r="G1298" s="245">
        <f t="shared" si="134"/>
        <v>228511</v>
      </c>
      <c r="H1298" s="245">
        <v>227300</v>
      </c>
      <c r="I1298" s="255">
        <f t="shared" si="130"/>
        <v>-1211</v>
      </c>
      <c r="J1298" s="637">
        <f>I1298/G1298</f>
        <v>-5.299526062202695E-3</v>
      </c>
    </row>
    <row r="1299" spans="1:10">
      <c r="C1299" s="208" t="s">
        <v>291</v>
      </c>
      <c r="D1299" s="246">
        <v>146400</v>
      </c>
      <c r="E1299" s="246">
        <v>-8796</v>
      </c>
      <c r="F1299" s="246">
        <v>1270</v>
      </c>
      <c r="G1299" s="246">
        <f t="shared" si="134"/>
        <v>138874</v>
      </c>
      <c r="H1299" s="246">
        <v>135560</v>
      </c>
      <c r="I1299" s="520">
        <f t="shared" si="130"/>
        <v>-3314</v>
      </c>
      <c r="J1299" s="638">
        <f>I1299/G1299</f>
        <v>-2.3863358151993894E-2</v>
      </c>
    </row>
    <row r="1300" spans="1:10">
      <c r="C1300" s="288"/>
      <c r="D1300" s="189"/>
      <c r="E1300" s="189"/>
      <c r="F1300" s="189"/>
      <c r="G1300" s="189">
        <f t="shared" si="134"/>
        <v>0</v>
      </c>
      <c r="H1300" s="189">
        <v>0</v>
      </c>
      <c r="I1300" s="184">
        <f t="shared" si="130"/>
        <v>0</v>
      </c>
      <c r="J1300" s="632"/>
    </row>
    <row r="1301" spans="1:10">
      <c r="C1301" s="376" t="s">
        <v>348</v>
      </c>
      <c r="D1301" s="185"/>
      <c r="E1301" s="185"/>
      <c r="F1301" s="185"/>
      <c r="G1301" s="185">
        <f t="shared" si="134"/>
        <v>0</v>
      </c>
      <c r="H1301" s="185">
        <v>0</v>
      </c>
      <c r="I1301" s="268">
        <f t="shared" si="130"/>
        <v>0</v>
      </c>
      <c r="J1301" s="634"/>
    </row>
    <row r="1302" spans="1:10">
      <c r="C1302" s="377" t="s">
        <v>727</v>
      </c>
      <c r="D1302" s="245">
        <v>452400</v>
      </c>
      <c r="E1302" s="245">
        <v>32729</v>
      </c>
      <c r="F1302" s="245"/>
      <c r="G1302" s="245">
        <f t="shared" si="134"/>
        <v>485129</v>
      </c>
      <c r="H1302" s="245">
        <v>515400</v>
      </c>
      <c r="I1302" s="255">
        <f t="shared" si="130"/>
        <v>30271</v>
      </c>
      <c r="J1302" s="637">
        <f>I1302/G1302</f>
        <v>6.2397836451747887E-2</v>
      </c>
    </row>
    <row r="1303" spans="1:10">
      <c r="C1303" s="208" t="s">
        <v>291</v>
      </c>
      <c r="D1303" s="246">
        <v>327720</v>
      </c>
      <c r="E1303" s="246">
        <v>24461</v>
      </c>
      <c r="F1303" s="246"/>
      <c r="G1303" s="246">
        <f t="shared" si="134"/>
        <v>352181</v>
      </c>
      <c r="H1303" s="246">
        <v>374695</v>
      </c>
      <c r="I1303" s="520">
        <f t="shared" si="130"/>
        <v>22514</v>
      </c>
      <c r="J1303" s="638">
        <f>I1303/G1303</f>
        <v>6.3927355535931804E-2</v>
      </c>
    </row>
    <row r="1304" spans="1:10">
      <c r="C1304" s="288"/>
      <c r="D1304" s="189"/>
      <c r="E1304" s="189"/>
      <c r="F1304" s="189"/>
      <c r="G1304" s="189">
        <f t="shared" si="134"/>
        <v>0</v>
      </c>
      <c r="H1304" s="189">
        <v>0</v>
      </c>
      <c r="I1304" s="184">
        <f t="shared" si="130"/>
        <v>0</v>
      </c>
      <c r="J1304" s="632"/>
    </row>
    <row r="1305" spans="1:10" ht="15">
      <c r="A1305" s="169" t="s">
        <v>632</v>
      </c>
      <c r="B1305" s="169" t="s">
        <v>55</v>
      </c>
      <c r="C1305" s="372" t="s">
        <v>633</v>
      </c>
      <c r="D1305" s="280">
        <f t="shared" ref="D1305:F1305" si="139">D1306</f>
        <v>204160</v>
      </c>
      <c r="E1305" s="280">
        <f t="shared" si="139"/>
        <v>0</v>
      </c>
      <c r="F1305" s="280">
        <f t="shared" si="139"/>
        <v>78248</v>
      </c>
      <c r="G1305" s="280">
        <f t="shared" si="134"/>
        <v>282408</v>
      </c>
      <c r="H1305" s="280">
        <v>237200</v>
      </c>
      <c r="I1305" s="659">
        <f t="shared" si="130"/>
        <v>-45208</v>
      </c>
      <c r="J1305" s="660">
        <f>I1305/G1305</f>
        <v>-0.16008045097872581</v>
      </c>
    </row>
    <row r="1306" spans="1:10">
      <c r="C1306" s="223" t="s">
        <v>634</v>
      </c>
      <c r="D1306" s="226">
        <v>204160</v>
      </c>
      <c r="E1306" s="226"/>
      <c r="F1306" s="226">
        <v>78248</v>
      </c>
      <c r="G1306" s="226">
        <f t="shared" si="134"/>
        <v>282408</v>
      </c>
      <c r="H1306" s="226">
        <v>237200</v>
      </c>
      <c r="I1306" s="665">
        <f t="shared" si="130"/>
        <v>-45208</v>
      </c>
      <c r="J1306" s="666">
        <f>I1306/G1306</f>
        <v>-0.16008045097872581</v>
      </c>
    </row>
    <row r="1307" spans="1:10">
      <c r="C1307" s="351"/>
      <c r="D1307" s="187"/>
      <c r="E1307" s="345"/>
      <c r="F1307" s="216">
        <v>55000</v>
      </c>
      <c r="G1307" s="187">
        <f t="shared" si="134"/>
        <v>55000</v>
      </c>
      <c r="H1307" s="345">
        <v>0</v>
      </c>
      <c r="I1307" s="701">
        <f t="shared" si="130"/>
        <v>-55000</v>
      </c>
      <c r="J1307" s="702">
        <f>I1307/G1307</f>
        <v>-1</v>
      </c>
    </row>
    <row r="1308" spans="1:10" ht="15">
      <c r="A1308" s="169" t="s">
        <v>538</v>
      </c>
      <c r="B1308" s="169" t="s">
        <v>55</v>
      </c>
      <c r="C1308" s="372" t="s">
        <v>539</v>
      </c>
      <c r="D1308" s="280">
        <f t="shared" ref="D1308:F1308" si="140">D1309</f>
        <v>516800</v>
      </c>
      <c r="E1308" s="280">
        <f t="shared" si="140"/>
        <v>0</v>
      </c>
      <c r="F1308" s="280">
        <f t="shared" si="140"/>
        <v>0</v>
      </c>
      <c r="G1308" s="280">
        <f t="shared" si="134"/>
        <v>516800</v>
      </c>
      <c r="H1308" s="280">
        <v>503300</v>
      </c>
      <c r="I1308" s="659">
        <f t="shared" si="130"/>
        <v>-13500</v>
      </c>
      <c r="J1308" s="660">
        <f>I1308/G1308</f>
        <v>-2.6122291021671826E-2</v>
      </c>
    </row>
    <row r="1309" spans="1:10">
      <c r="C1309" s="223" t="s">
        <v>540</v>
      </c>
      <c r="D1309" s="226">
        <f>D1311+D1314</f>
        <v>516800</v>
      </c>
      <c r="E1309" s="226">
        <f>E1311+E1314</f>
        <v>0</v>
      </c>
      <c r="F1309" s="226">
        <f>F1311+F1314</f>
        <v>0</v>
      </c>
      <c r="G1309" s="226">
        <f t="shared" si="134"/>
        <v>516800</v>
      </c>
      <c r="H1309" s="226">
        <v>503300</v>
      </c>
      <c r="I1309" s="665">
        <f t="shared" si="130"/>
        <v>-13500</v>
      </c>
      <c r="J1309" s="666">
        <f>I1309/G1309</f>
        <v>-2.6122291021671826E-2</v>
      </c>
    </row>
    <row r="1310" spans="1:10">
      <c r="C1310" s="235" t="s">
        <v>348</v>
      </c>
      <c r="D1310" s="242"/>
      <c r="E1310" s="242"/>
      <c r="F1310" s="242"/>
      <c r="G1310" s="242">
        <f t="shared" si="134"/>
        <v>0</v>
      </c>
      <c r="H1310" s="242">
        <v>0</v>
      </c>
      <c r="I1310" s="520">
        <f t="shared" si="130"/>
        <v>0</v>
      </c>
      <c r="J1310" s="638"/>
    </row>
    <row r="1311" spans="1:10">
      <c r="C1311" s="236" t="s">
        <v>541</v>
      </c>
      <c r="D1311" s="187">
        <v>426800</v>
      </c>
      <c r="E1311" s="187"/>
      <c r="F1311" s="187"/>
      <c r="G1311" s="187">
        <f t="shared" si="134"/>
        <v>426800</v>
      </c>
      <c r="H1311" s="187">
        <v>416800</v>
      </c>
      <c r="I1311" s="661">
        <f t="shared" si="130"/>
        <v>-10000</v>
      </c>
      <c r="J1311" s="637">
        <f>I1311/G1311</f>
        <v>-2.3430178069353328E-2</v>
      </c>
    </row>
    <row r="1312" spans="1:10">
      <c r="C1312" s="222"/>
      <c r="D1312" s="185"/>
      <c r="E1312" s="185"/>
      <c r="F1312" s="185"/>
      <c r="G1312" s="185">
        <f t="shared" si="134"/>
        <v>0</v>
      </c>
      <c r="H1312" s="185">
        <v>0</v>
      </c>
      <c r="I1312" s="268">
        <f t="shared" si="130"/>
        <v>0</v>
      </c>
      <c r="J1312" s="634"/>
    </row>
    <row r="1313" spans="1:10">
      <c r="C1313" s="235" t="s">
        <v>628</v>
      </c>
      <c r="D1313" s="242"/>
      <c r="E1313" s="242"/>
      <c r="F1313" s="242"/>
      <c r="G1313" s="242">
        <f t="shared" si="134"/>
        <v>0</v>
      </c>
      <c r="H1313" s="242">
        <v>0</v>
      </c>
      <c r="I1313" s="520">
        <f t="shared" si="130"/>
        <v>0</v>
      </c>
      <c r="J1313" s="638"/>
    </row>
    <row r="1314" spans="1:10">
      <c r="C1314" s="236" t="s">
        <v>709</v>
      </c>
      <c r="D1314" s="187">
        <v>90000</v>
      </c>
      <c r="E1314" s="187"/>
      <c r="F1314" s="187"/>
      <c r="G1314" s="187">
        <f t="shared" si="134"/>
        <v>90000</v>
      </c>
      <c r="H1314" s="187">
        <v>86500</v>
      </c>
      <c r="I1314" s="661">
        <f t="shared" si="130"/>
        <v>-3500</v>
      </c>
      <c r="J1314" s="637">
        <f>I1314/G1314</f>
        <v>-3.888888888888889E-2</v>
      </c>
    </row>
    <row r="1315" spans="1:10">
      <c r="C1315" s="383"/>
      <c r="D1315" s="185"/>
      <c r="E1315" s="185"/>
      <c r="F1315" s="185"/>
      <c r="G1315" s="185">
        <f t="shared" si="134"/>
        <v>0</v>
      </c>
      <c r="H1315" s="185">
        <v>0</v>
      </c>
      <c r="I1315" s="268">
        <f t="shared" si="130"/>
        <v>0</v>
      </c>
      <c r="J1315" s="634"/>
    </row>
    <row r="1316" spans="1:10">
      <c r="C1316" s="336" t="s">
        <v>351</v>
      </c>
      <c r="D1316" s="176">
        <f>D1318+D1321+D1325+D1327+D1332+D1323+D1329</f>
        <v>3114827</v>
      </c>
      <c r="E1316" s="176">
        <f>E1318+E1321+E1325+E1327+E1332+E1323+E1329</f>
        <v>2540</v>
      </c>
      <c r="F1316" s="176">
        <f>F1318+F1321+F1325+F1327+F1332+F1323+F1329</f>
        <v>2282</v>
      </c>
      <c r="G1316" s="176">
        <f t="shared" si="134"/>
        <v>3119649</v>
      </c>
      <c r="H1316" s="176">
        <v>3244399.54</v>
      </c>
      <c r="I1316" s="659">
        <f t="shared" si="130"/>
        <v>124750.54000000004</v>
      </c>
      <c r="J1316" s="660">
        <f>I1316/G1316</f>
        <v>3.9988646158590289E-2</v>
      </c>
    </row>
    <row r="1317" spans="1:10">
      <c r="C1317" s="336"/>
      <c r="D1317" s="185"/>
      <c r="E1317" s="185"/>
      <c r="F1317" s="185"/>
      <c r="G1317" s="185">
        <f t="shared" si="134"/>
        <v>0</v>
      </c>
      <c r="H1317" s="185">
        <v>0</v>
      </c>
      <c r="I1317" s="268">
        <f t="shared" si="130"/>
        <v>0</v>
      </c>
      <c r="J1317" s="634"/>
    </row>
    <row r="1318" spans="1:10">
      <c r="A1318" s="169" t="s">
        <v>289</v>
      </c>
      <c r="B1318" s="169" t="s">
        <v>55</v>
      </c>
      <c r="C1318" s="206" t="s">
        <v>705</v>
      </c>
      <c r="D1318" s="185">
        <f>2510223+11560+6262</f>
        <v>2528045</v>
      </c>
      <c r="E1318" s="185"/>
      <c r="F1318" s="185">
        <v>5422</v>
      </c>
      <c r="G1318" s="185">
        <f t="shared" si="134"/>
        <v>2533467</v>
      </c>
      <c r="H1318" s="185">
        <v>2668199.54</v>
      </c>
      <c r="I1318" s="268">
        <f t="shared" si="130"/>
        <v>134732.54000000004</v>
      </c>
      <c r="J1318" s="634">
        <f>I1318/G1318</f>
        <v>5.3181091366100303E-2</v>
      </c>
    </row>
    <row r="1319" spans="1:10">
      <c r="C1319" s="196" t="s">
        <v>291</v>
      </c>
      <c r="D1319" s="189">
        <f>1395196+8640+4680</f>
        <v>1408516</v>
      </c>
      <c r="E1319" s="189">
        <v>3745</v>
      </c>
      <c r="F1319" s="189">
        <v>4051</v>
      </c>
      <c r="G1319" s="189">
        <f t="shared" si="134"/>
        <v>1416312</v>
      </c>
      <c r="H1319" s="189">
        <v>1510700</v>
      </c>
      <c r="I1319" s="184">
        <f t="shared" si="130"/>
        <v>94388</v>
      </c>
      <c r="J1319" s="632">
        <f>I1319/G1319</f>
        <v>6.6643507927631768E-2</v>
      </c>
    </row>
    <row r="1320" spans="1:10">
      <c r="C1320" s="194"/>
      <c r="D1320" s="185"/>
      <c r="E1320" s="185"/>
      <c r="F1320" s="185"/>
      <c r="G1320" s="185">
        <f t="shared" si="134"/>
        <v>0</v>
      </c>
      <c r="H1320" s="185">
        <v>0</v>
      </c>
      <c r="I1320" s="268">
        <f t="shared" si="130"/>
        <v>0</v>
      </c>
      <c r="J1320" s="634"/>
    </row>
    <row r="1321" spans="1:10">
      <c r="A1321" s="169" t="s">
        <v>295</v>
      </c>
      <c r="B1321" s="169" t="s">
        <v>55</v>
      </c>
      <c r="C1321" s="378" t="s">
        <v>706</v>
      </c>
      <c r="D1321" s="185">
        <v>110000</v>
      </c>
      <c r="E1321" s="185"/>
      <c r="F1321" s="185">
        <v>16050</v>
      </c>
      <c r="G1321" s="185">
        <f t="shared" si="134"/>
        <v>126050</v>
      </c>
      <c r="H1321" s="185">
        <v>110000</v>
      </c>
      <c r="I1321" s="268">
        <f t="shared" si="130"/>
        <v>-16050</v>
      </c>
      <c r="J1321" s="634">
        <f>I1321/G1321</f>
        <v>-0.12733042443474812</v>
      </c>
    </row>
    <row r="1322" spans="1:10">
      <c r="C1322" s="194"/>
      <c r="D1322" s="185"/>
      <c r="E1322" s="185"/>
      <c r="F1322" s="185"/>
      <c r="G1322" s="185">
        <f t="shared" si="134"/>
        <v>0</v>
      </c>
      <c r="H1322" s="185">
        <v>0</v>
      </c>
      <c r="I1322" s="268">
        <f t="shared" si="130"/>
        <v>0</v>
      </c>
      <c r="J1322" s="634"/>
    </row>
    <row r="1323" spans="1:10">
      <c r="A1323" s="169" t="s">
        <v>461</v>
      </c>
      <c r="B1323" s="169" t="s">
        <v>55</v>
      </c>
      <c r="C1323" s="378" t="s">
        <v>707</v>
      </c>
      <c r="D1323" s="185">
        <v>75000</v>
      </c>
      <c r="E1323" s="185"/>
      <c r="F1323" s="185"/>
      <c r="G1323" s="185">
        <f t="shared" si="134"/>
        <v>75000</v>
      </c>
      <c r="H1323" s="185">
        <v>75000</v>
      </c>
      <c r="I1323" s="268">
        <f t="shared" si="130"/>
        <v>0</v>
      </c>
      <c r="J1323" s="634">
        <f>I1323/G1323</f>
        <v>0</v>
      </c>
    </row>
    <row r="1324" spans="1:10">
      <c r="C1324" s="194"/>
      <c r="D1324" s="185"/>
      <c r="E1324" s="185"/>
      <c r="F1324" s="185"/>
      <c r="G1324" s="185">
        <f t="shared" si="134"/>
        <v>0</v>
      </c>
      <c r="H1324" s="185">
        <v>0</v>
      </c>
      <c r="I1324" s="268">
        <f t="shared" si="130"/>
        <v>0</v>
      </c>
      <c r="J1324" s="634"/>
    </row>
    <row r="1325" spans="1:10">
      <c r="A1325" s="169" t="s">
        <v>632</v>
      </c>
      <c r="B1325" s="169" t="s">
        <v>55</v>
      </c>
      <c r="C1325" s="213" t="s">
        <v>649</v>
      </c>
      <c r="D1325" s="209">
        <v>48300</v>
      </c>
      <c r="E1325" s="209">
        <v>2540</v>
      </c>
      <c r="F1325" s="209">
        <v>16620</v>
      </c>
      <c r="G1325" s="209">
        <f t="shared" si="134"/>
        <v>67460</v>
      </c>
      <c r="H1325" s="209">
        <v>50400</v>
      </c>
      <c r="I1325" s="211">
        <f t="shared" si="130"/>
        <v>-17060</v>
      </c>
      <c r="J1325" s="634">
        <f>I1325/G1325</f>
        <v>-0.25289060183812628</v>
      </c>
    </row>
    <row r="1326" spans="1:10">
      <c r="C1326" s="213"/>
      <c r="D1326" s="209"/>
      <c r="E1326" s="209"/>
      <c r="F1326" s="209"/>
      <c r="G1326" s="209">
        <f t="shared" si="134"/>
        <v>0</v>
      </c>
      <c r="H1326" s="209">
        <v>0</v>
      </c>
      <c r="I1326" s="211">
        <f t="shared" si="130"/>
        <v>0</v>
      </c>
      <c r="J1326" s="634"/>
    </row>
    <row r="1327" spans="1:10">
      <c r="A1327" s="169" t="s">
        <v>538</v>
      </c>
      <c r="B1327" s="169" t="s">
        <v>55</v>
      </c>
      <c r="C1327" s="195" t="s">
        <v>556</v>
      </c>
      <c r="D1327" s="245">
        <v>75000</v>
      </c>
      <c r="E1327" s="245"/>
      <c r="F1327" s="245"/>
      <c r="G1327" s="245">
        <f t="shared" si="134"/>
        <v>75000</v>
      </c>
      <c r="H1327" s="245">
        <v>75000</v>
      </c>
      <c r="I1327" s="255">
        <f t="shared" si="130"/>
        <v>0</v>
      </c>
      <c r="J1327" s="637">
        <f>I1327/G1327</f>
        <v>0</v>
      </c>
    </row>
    <row r="1328" spans="1:10">
      <c r="C1328" s="341"/>
      <c r="D1328" s="185"/>
      <c r="E1328" s="185"/>
      <c r="F1328" s="185"/>
      <c r="G1328" s="185">
        <f t="shared" si="134"/>
        <v>0</v>
      </c>
      <c r="H1328" s="185">
        <v>0</v>
      </c>
      <c r="I1328" s="268">
        <f t="shared" si="130"/>
        <v>0</v>
      </c>
      <c r="J1328" s="634"/>
    </row>
    <row r="1329" spans="1:10">
      <c r="A1329" s="169" t="s">
        <v>538</v>
      </c>
      <c r="B1329" s="169" t="s">
        <v>55</v>
      </c>
      <c r="C1329" s="206" t="s">
        <v>728</v>
      </c>
      <c r="D1329" s="245">
        <v>248482</v>
      </c>
      <c r="E1329" s="245"/>
      <c r="F1329" s="245">
        <v>-7810</v>
      </c>
      <c r="G1329" s="245">
        <f t="shared" si="134"/>
        <v>240672</v>
      </c>
      <c r="H1329" s="245">
        <v>240800</v>
      </c>
      <c r="I1329" s="255">
        <f t="shared" si="130"/>
        <v>128</v>
      </c>
      <c r="J1329" s="637">
        <f>I1329/G1329</f>
        <v>5.3184416965829009E-4</v>
      </c>
    </row>
    <row r="1330" spans="1:10">
      <c r="C1330" s="196" t="s">
        <v>291</v>
      </c>
      <c r="D1330" s="189">
        <v>92960</v>
      </c>
      <c r="E1330" s="189"/>
      <c r="F1330" s="189"/>
      <c r="G1330" s="189">
        <f t="shared" si="134"/>
        <v>92960</v>
      </c>
      <c r="H1330" s="189">
        <v>93440</v>
      </c>
      <c r="I1330" s="184">
        <f t="shared" ref="I1330:I1393" si="141">H1330-G1330</f>
        <v>480</v>
      </c>
      <c r="J1330" s="632">
        <f>I1330/G1330</f>
        <v>5.1635111876075735E-3</v>
      </c>
    </row>
    <row r="1331" spans="1:10">
      <c r="C1331" s="341"/>
      <c r="D1331" s="185"/>
      <c r="E1331" s="185"/>
      <c r="F1331" s="185"/>
      <c r="G1331" s="185">
        <f t="shared" si="134"/>
        <v>0</v>
      </c>
      <c r="H1331" s="185">
        <v>0</v>
      </c>
      <c r="I1331" s="268">
        <f t="shared" si="141"/>
        <v>0</v>
      </c>
      <c r="J1331" s="634"/>
    </row>
    <row r="1332" spans="1:10">
      <c r="A1332" s="169" t="s">
        <v>710</v>
      </c>
      <c r="B1332" s="169" t="s">
        <v>55</v>
      </c>
      <c r="C1332" s="195" t="s">
        <v>711</v>
      </c>
      <c r="D1332" s="185">
        <v>30000</v>
      </c>
      <c r="E1332" s="185"/>
      <c r="F1332" s="185">
        <v>-28000</v>
      </c>
      <c r="G1332" s="185">
        <f t="shared" si="134"/>
        <v>2000</v>
      </c>
      <c r="H1332" s="185">
        <v>25000</v>
      </c>
      <c r="I1332" s="268">
        <f t="shared" si="141"/>
        <v>23000</v>
      </c>
      <c r="J1332" s="634">
        <f>I1332/G1332</f>
        <v>11.5</v>
      </c>
    </row>
    <row r="1333" spans="1:10">
      <c r="C1333" s="201"/>
      <c r="D1333" s="185"/>
      <c r="E1333" s="185"/>
      <c r="F1333" s="185"/>
      <c r="G1333" s="185">
        <f t="shared" si="134"/>
        <v>0</v>
      </c>
      <c r="H1333" s="185">
        <v>0</v>
      </c>
      <c r="I1333" s="268">
        <f t="shared" si="141"/>
        <v>0</v>
      </c>
      <c r="J1333" s="634"/>
    </row>
    <row r="1334" spans="1:10">
      <c r="C1334" s="201"/>
      <c r="D1334" s="185"/>
      <c r="E1334" s="185"/>
      <c r="F1334" s="185"/>
      <c r="G1334" s="185">
        <f t="shared" si="134"/>
        <v>0</v>
      </c>
      <c r="H1334" s="185">
        <v>0</v>
      </c>
      <c r="I1334" s="268">
        <f t="shared" si="141"/>
        <v>0</v>
      </c>
      <c r="J1334" s="634"/>
    </row>
    <row r="1335" spans="1:10" ht="15.75">
      <c r="C1335" s="225" t="s">
        <v>729</v>
      </c>
      <c r="D1335" s="185"/>
      <c r="E1335" s="185"/>
      <c r="F1335" s="185"/>
      <c r="G1335" s="185">
        <f t="shared" si="134"/>
        <v>0</v>
      </c>
      <c r="H1335" s="185">
        <v>0</v>
      </c>
      <c r="I1335" s="268">
        <f t="shared" si="141"/>
        <v>0</v>
      </c>
      <c r="J1335" s="634"/>
    </row>
    <row r="1336" spans="1:10">
      <c r="C1336" s="201"/>
      <c r="D1336" s="185"/>
      <c r="E1336" s="185"/>
      <c r="F1336" s="185"/>
      <c r="G1336" s="185">
        <f t="shared" si="134"/>
        <v>0</v>
      </c>
      <c r="H1336" s="185">
        <v>0</v>
      </c>
      <c r="I1336" s="268">
        <f t="shared" si="141"/>
        <v>0</v>
      </c>
      <c r="J1336" s="634"/>
    </row>
    <row r="1337" spans="1:10">
      <c r="C1337" s="219" t="s">
        <v>5</v>
      </c>
      <c r="D1337" s="176">
        <f>D1343+D1364+D1367+D1353+D1347</f>
        <v>2795363</v>
      </c>
      <c r="E1337" s="176">
        <f>E1343+E1364+E1367+E1353+E1347</f>
        <v>59961</v>
      </c>
      <c r="F1337" s="176">
        <f>F1343+F1364+F1367+F1353+F1347</f>
        <v>-5300</v>
      </c>
      <c r="G1337" s="176">
        <f t="shared" si="134"/>
        <v>2850024</v>
      </c>
      <c r="H1337" s="176">
        <v>2944500</v>
      </c>
      <c r="I1337" s="659">
        <f t="shared" si="141"/>
        <v>94476</v>
      </c>
      <c r="J1337" s="660">
        <f>I1337/G1337</f>
        <v>3.3149194533098669E-2</v>
      </c>
    </row>
    <row r="1338" spans="1:10">
      <c r="C1338" s="177" t="s">
        <v>285</v>
      </c>
      <c r="D1338" s="178">
        <v>174200</v>
      </c>
      <c r="E1338" s="178"/>
      <c r="F1338" s="178"/>
      <c r="G1338" s="178">
        <f t="shared" ref="G1338:G1399" si="142">SUM(D1338:F1338)</f>
        <v>174200</v>
      </c>
      <c r="H1338" s="178">
        <v>175900</v>
      </c>
      <c r="I1338" s="184">
        <f t="shared" si="141"/>
        <v>1700</v>
      </c>
      <c r="J1338" s="632">
        <f>I1338/G1338</f>
        <v>9.7588978185993106E-3</v>
      </c>
    </row>
    <row r="1339" spans="1:10">
      <c r="C1339" s="220" t="s">
        <v>286</v>
      </c>
      <c r="D1339" s="176">
        <f t="shared" ref="D1339:F1339" si="143">D1340+D1341</f>
        <v>2795363</v>
      </c>
      <c r="E1339" s="176">
        <f t="shared" si="143"/>
        <v>59961</v>
      </c>
      <c r="F1339" s="176">
        <f t="shared" si="143"/>
        <v>-5300</v>
      </c>
      <c r="G1339" s="176">
        <f t="shared" si="142"/>
        <v>2850024</v>
      </c>
      <c r="H1339" s="176">
        <v>2944500</v>
      </c>
      <c r="I1339" s="659">
        <f t="shared" si="141"/>
        <v>94476</v>
      </c>
      <c r="J1339" s="660">
        <f>I1339/G1339</f>
        <v>3.3149194533098669E-2</v>
      </c>
    </row>
    <row r="1340" spans="1:10">
      <c r="C1340" s="221" t="s">
        <v>287</v>
      </c>
      <c r="D1340" s="178">
        <v>700100</v>
      </c>
      <c r="E1340" s="178">
        <v>8900</v>
      </c>
      <c r="F1340" s="178">
        <v>-315</v>
      </c>
      <c r="G1340" s="178">
        <f t="shared" si="142"/>
        <v>708685</v>
      </c>
      <c r="H1340" s="178">
        <v>704910</v>
      </c>
      <c r="I1340" s="184">
        <f t="shared" si="141"/>
        <v>-3775</v>
      </c>
      <c r="J1340" s="632">
        <f>I1340/G1340</f>
        <v>-5.3267671814699056E-3</v>
      </c>
    </row>
    <row r="1341" spans="1:10">
      <c r="C1341" s="222" t="s">
        <v>288</v>
      </c>
      <c r="D1341" s="178">
        <f t="shared" ref="D1341:F1341" si="144">D1337-D1340</f>
        <v>2095263</v>
      </c>
      <c r="E1341" s="178">
        <f t="shared" si="144"/>
        <v>51061</v>
      </c>
      <c r="F1341" s="178">
        <f t="shared" si="144"/>
        <v>-4985</v>
      </c>
      <c r="G1341" s="178">
        <f t="shared" si="142"/>
        <v>2141339</v>
      </c>
      <c r="H1341" s="178">
        <v>2239590</v>
      </c>
      <c r="I1341" s="184">
        <f t="shared" si="141"/>
        <v>98251</v>
      </c>
      <c r="J1341" s="632">
        <f>I1341/G1341</f>
        <v>4.5882973223763265E-2</v>
      </c>
    </row>
    <row r="1342" spans="1:10">
      <c r="C1342" s="222"/>
      <c r="D1342" s="178"/>
      <c r="E1342" s="178"/>
      <c r="F1342" s="178"/>
      <c r="G1342" s="178">
        <f t="shared" si="142"/>
        <v>0</v>
      </c>
      <c r="H1342" s="178">
        <v>0</v>
      </c>
      <c r="I1342" s="184">
        <f t="shared" si="141"/>
        <v>0</v>
      </c>
      <c r="J1342" s="632"/>
    </row>
    <row r="1343" spans="1:10" ht="15">
      <c r="A1343" s="169" t="s">
        <v>295</v>
      </c>
      <c r="B1343" s="169" t="s">
        <v>729</v>
      </c>
      <c r="C1343" s="372" t="s">
        <v>359</v>
      </c>
      <c r="D1343" s="280">
        <f t="shared" ref="D1343:F1343" si="145">D1344</f>
        <v>185348</v>
      </c>
      <c r="E1343" s="280">
        <f t="shared" si="145"/>
        <v>4520</v>
      </c>
      <c r="F1343" s="280">
        <f t="shared" si="145"/>
        <v>0</v>
      </c>
      <c r="G1343" s="280">
        <f t="shared" si="142"/>
        <v>189868</v>
      </c>
      <c r="H1343" s="280">
        <v>194400</v>
      </c>
      <c r="I1343" s="659">
        <f t="shared" si="141"/>
        <v>4532</v>
      </c>
      <c r="J1343" s="660">
        <f>I1343/G1343</f>
        <v>2.3869214401584259E-2</v>
      </c>
    </row>
    <row r="1344" spans="1:10">
      <c r="C1344" s="223" t="s">
        <v>730</v>
      </c>
      <c r="D1344" s="226">
        <f>180972+3750+626</f>
        <v>185348</v>
      </c>
      <c r="E1344" s="226">
        <v>4520</v>
      </c>
      <c r="F1344" s="226"/>
      <c r="G1344" s="226">
        <f t="shared" si="142"/>
        <v>189868</v>
      </c>
      <c r="H1344" s="226">
        <v>194400</v>
      </c>
      <c r="I1344" s="665">
        <f t="shared" si="141"/>
        <v>4532</v>
      </c>
      <c r="J1344" s="666">
        <f>I1344/G1344</f>
        <v>2.3869214401584259E-2</v>
      </c>
    </row>
    <row r="1345" spans="1:10">
      <c r="C1345" s="202" t="s">
        <v>291</v>
      </c>
      <c r="D1345" s="189">
        <f>95900+2803+467</f>
        <v>99170</v>
      </c>
      <c r="E1345" s="189"/>
      <c r="F1345" s="189"/>
      <c r="G1345" s="189">
        <f t="shared" si="142"/>
        <v>99170</v>
      </c>
      <c r="H1345" s="189">
        <v>102715</v>
      </c>
      <c r="I1345" s="184">
        <f t="shared" si="141"/>
        <v>3545</v>
      </c>
      <c r="J1345" s="632">
        <f>I1345/G1345</f>
        <v>3.5746697589996976E-2</v>
      </c>
    </row>
    <row r="1346" spans="1:10">
      <c r="C1346" s="239"/>
      <c r="D1346" s="189"/>
      <c r="E1346" s="189"/>
      <c r="F1346" s="189"/>
      <c r="G1346" s="189">
        <f t="shared" si="142"/>
        <v>0</v>
      </c>
      <c r="H1346" s="189">
        <v>0</v>
      </c>
      <c r="I1346" s="184">
        <f t="shared" si="141"/>
        <v>0</v>
      </c>
      <c r="J1346" s="632"/>
    </row>
    <row r="1347" spans="1:10" ht="15">
      <c r="A1347" s="169" t="s">
        <v>423</v>
      </c>
      <c r="B1347" s="169" t="s">
        <v>729</v>
      </c>
      <c r="C1347" s="382" t="s">
        <v>424</v>
      </c>
      <c r="D1347" s="280">
        <f t="shared" ref="D1347:F1347" si="146">D1348</f>
        <v>116363</v>
      </c>
      <c r="E1347" s="280">
        <f t="shared" si="146"/>
        <v>0</v>
      </c>
      <c r="F1347" s="280">
        <f t="shared" si="146"/>
        <v>0</v>
      </c>
      <c r="G1347" s="280">
        <f t="shared" si="142"/>
        <v>116363</v>
      </c>
      <c r="H1347" s="280">
        <v>112400</v>
      </c>
      <c r="I1347" s="659">
        <f t="shared" si="141"/>
        <v>-3963</v>
      </c>
      <c r="J1347" s="660">
        <f>I1347/G1347</f>
        <v>-3.4057217500408209E-2</v>
      </c>
    </row>
    <row r="1348" spans="1:10">
      <c r="C1348" s="254" t="s">
        <v>425</v>
      </c>
      <c r="D1348" s="226">
        <f t="shared" ref="D1348:F1348" si="147">D1350</f>
        <v>116363</v>
      </c>
      <c r="E1348" s="226">
        <f t="shared" si="147"/>
        <v>0</v>
      </c>
      <c r="F1348" s="226">
        <f t="shared" si="147"/>
        <v>0</v>
      </c>
      <c r="G1348" s="226">
        <f t="shared" si="142"/>
        <v>116363</v>
      </c>
      <c r="H1348" s="226">
        <v>112400</v>
      </c>
      <c r="I1348" s="665">
        <f t="shared" si="141"/>
        <v>-3963</v>
      </c>
      <c r="J1348" s="666">
        <f>I1348/G1348</f>
        <v>-3.4057217500408209E-2</v>
      </c>
    </row>
    <row r="1349" spans="1:10">
      <c r="C1349" s="374" t="s">
        <v>348</v>
      </c>
      <c r="D1349" s="185"/>
      <c r="E1349" s="185"/>
      <c r="F1349" s="185"/>
      <c r="G1349" s="185">
        <f t="shared" si="142"/>
        <v>0</v>
      </c>
      <c r="H1349" s="185">
        <v>0</v>
      </c>
      <c r="I1349" s="268">
        <f t="shared" si="141"/>
        <v>0</v>
      </c>
      <c r="J1349" s="634"/>
    </row>
    <row r="1350" spans="1:10">
      <c r="C1350" s="236" t="s">
        <v>731</v>
      </c>
      <c r="D1350" s="185">
        <f>107281+9082</f>
        <v>116363</v>
      </c>
      <c r="E1350" s="185"/>
      <c r="F1350" s="185"/>
      <c r="G1350" s="185">
        <f t="shared" si="142"/>
        <v>116363</v>
      </c>
      <c r="H1350" s="185">
        <v>112400</v>
      </c>
      <c r="I1350" s="268">
        <f t="shared" si="141"/>
        <v>-3963</v>
      </c>
      <c r="J1350" s="634">
        <f>I1350/G1350</f>
        <v>-3.4057217500408209E-2</v>
      </c>
    </row>
    <row r="1351" spans="1:10">
      <c r="C1351" s="271" t="s">
        <v>291</v>
      </c>
      <c r="D1351" s="189">
        <v>59664</v>
      </c>
      <c r="E1351" s="189"/>
      <c r="F1351" s="189"/>
      <c r="G1351" s="189">
        <f t="shared" si="142"/>
        <v>59664</v>
      </c>
      <c r="H1351" s="189">
        <v>62490</v>
      </c>
      <c r="I1351" s="184">
        <f t="shared" si="141"/>
        <v>2826</v>
      </c>
      <c r="J1351" s="632">
        <f>I1351/G1351</f>
        <v>4.7365245374094929E-2</v>
      </c>
    </row>
    <row r="1352" spans="1:10">
      <c r="C1352" s="239"/>
      <c r="D1352" s="189"/>
      <c r="E1352" s="189"/>
      <c r="F1352" s="189"/>
      <c r="G1352" s="189">
        <f t="shared" si="142"/>
        <v>0</v>
      </c>
      <c r="H1352" s="189">
        <v>0</v>
      </c>
      <c r="I1352" s="184">
        <f t="shared" si="141"/>
        <v>0</v>
      </c>
      <c r="J1352" s="632"/>
    </row>
    <row r="1353" spans="1:10" ht="15">
      <c r="A1353" s="169" t="s">
        <v>461</v>
      </c>
      <c r="B1353" s="169" t="s">
        <v>729</v>
      </c>
      <c r="C1353" s="372" t="s">
        <v>462</v>
      </c>
      <c r="D1353" s="280">
        <f t="shared" ref="D1353:F1353" si="148">D1355</f>
        <v>663404</v>
      </c>
      <c r="E1353" s="280">
        <f t="shared" si="148"/>
        <v>19561</v>
      </c>
      <c r="F1353" s="280">
        <f t="shared" si="148"/>
        <v>0</v>
      </c>
      <c r="G1353" s="280">
        <f t="shared" si="142"/>
        <v>682965</v>
      </c>
      <c r="H1353" s="280">
        <v>697600</v>
      </c>
      <c r="I1353" s="659">
        <f t="shared" si="141"/>
        <v>14635</v>
      </c>
      <c r="J1353" s="660">
        <f>I1353/G1353</f>
        <v>2.1428623721566991E-2</v>
      </c>
    </row>
    <row r="1354" spans="1:10">
      <c r="C1354" s="384"/>
      <c r="D1354" s="185"/>
      <c r="E1354" s="185"/>
      <c r="F1354" s="185"/>
      <c r="G1354" s="185">
        <f t="shared" si="142"/>
        <v>0</v>
      </c>
      <c r="H1354" s="185">
        <v>0</v>
      </c>
      <c r="I1354" s="268">
        <f t="shared" si="141"/>
        <v>0</v>
      </c>
      <c r="J1354" s="634"/>
    </row>
    <row r="1355" spans="1:10">
      <c r="C1355" s="375" t="s">
        <v>702</v>
      </c>
      <c r="D1355" s="226">
        <f>D1357+D1361</f>
        <v>663404</v>
      </c>
      <c r="E1355" s="226">
        <f>E1357+E1361</f>
        <v>19561</v>
      </c>
      <c r="F1355" s="226">
        <f>F1357+F1361</f>
        <v>0</v>
      </c>
      <c r="G1355" s="226">
        <f t="shared" si="142"/>
        <v>682965</v>
      </c>
      <c r="H1355" s="226">
        <v>697600</v>
      </c>
      <c r="I1355" s="665">
        <f t="shared" si="141"/>
        <v>14635</v>
      </c>
      <c r="J1355" s="666">
        <f>I1355/G1355</f>
        <v>2.1428623721566991E-2</v>
      </c>
    </row>
    <row r="1356" spans="1:10">
      <c r="C1356" s="376" t="s">
        <v>348</v>
      </c>
      <c r="D1356" s="242"/>
      <c r="E1356" s="242"/>
      <c r="F1356" s="242"/>
      <c r="G1356" s="242">
        <f t="shared" si="142"/>
        <v>0</v>
      </c>
      <c r="H1356" s="242">
        <v>0</v>
      </c>
      <c r="I1356" s="520">
        <f t="shared" si="141"/>
        <v>0</v>
      </c>
      <c r="J1356" s="638"/>
    </row>
    <row r="1357" spans="1:10">
      <c r="C1357" s="377" t="s">
        <v>732</v>
      </c>
      <c r="D1357" s="185">
        <v>275310</v>
      </c>
      <c r="E1357" s="185">
        <v>6524</v>
      </c>
      <c r="F1357" s="185"/>
      <c r="G1357" s="185">
        <f t="shared" si="142"/>
        <v>281834</v>
      </c>
      <c r="H1357" s="185">
        <v>287000</v>
      </c>
      <c r="I1357" s="268">
        <f t="shared" si="141"/>
        <v>5166</v>
      </c>
      <c r="J1357" s="634">
        <f>I1357/G1357</f>
        <v>1.8329938900203666E-2</v>
      </c>
    </row>
    <row r="1358" spans="1:10">
      <c r="C1358" s="208" t="s">
        <v>291</v>
      </c>
      <c r="D1358" s="246">
        <v>144745</v>
      </c>
      <c r="E1358" s="246">
        <v>3785</v>
      </c>
      <c r="F1358" s="246"/>
      <c r="G1358" s="246">
        <f t="shared" si="142"/>
        <v>148530</v>
      </c>
      <c r="H1358" s="246">
        <v>150925</v>
      </c>
      <c r="I1358" s="520">
        <f t="shared" si="141"/>
        <v>2395</v>
      </c>
      <c r="J1358" s="638">
        <f>I1358/G1358</f>
        <v>1.6124688615094595E-2</v>
      </c>
    </row>
    <row r="1359" spans="1:10">
      <c r="C1359" s="212"/>
      <c r="D1359" s="245"/>
      <c r="E1359" s="245"/>
      <c r="F1359" s="245"/>
      <c r="G1359" s="245">
        <f t="shared" si="142"/>
        <v>0</v>
      </c>
      <c r="H1359" s="245">
        <v>0</v>
      </c>
      <c r="I1359" s="255">
        <f t="shared" si="141"/>
        <v>0</v>
      </c>
      <c r="J1359" s="637"/>
    </row>
    <row r="1360" spans="1:10">
      <c r="C1360" s="376" t="s">
        <v>348</v>
      </c>
      <c r="D1360" s="245"/>
      <c r="E1360" s="245"/>
      <c r="F1360" s="245"/>
      <c r="G1360" s="245">
        <f t="shared" si="142"/>
        <v>0</v>
      </c>
      <c r="H1360" s="245">
        <v>0</v>
      </c>
      <c r="I1360" s="255">
        <f t="shared" si="141"/>
        <v>0</v>
      </c>
      <c r="J1360" s="637"/>
    </row>
    <row r="1361" spans="1:10">
      <c r="C1361" s="377" t="s">
        <v>733</v>
      </c>
      <c r="D1361" s="185">
        <v>388094</v>
      </c>
      <c r="E1361" s="185">
        <v>13037</v>
      </c>
      <c r="F1361" s="185"/>
      <c r="G1361" s="185">
        <f t="shared" si="142"/>
        <v>401131</v>
      </c>
      <c r="H1361" s="185">
        <v>410600</v>
      </c>
      <c r="I1361" s="268">
        <f t="shared" si="141"/>
        <v>9469</v>
      </c>
      <c r="J1361" s="634">
        <f>I1361/G1361</f>
        <v>2.3605754728505152E-2</v>
      </c>
    </row>
    <row r="1362" spans="1:10">
      <c r="C1362" s="208" t="s">
        <v>291</v>
      </c>
      <c r="D1362" s="246">
        <v>278560</v>
      </c>
      <c r="E1362" s="246">
        <v>8219</v>
      </c>
      <c r="F1362" s="246"/>
      <c r="G1362" s="246">
        <f t="shared" si="142"/>
        <v>286779</v>
      </c>
      <c r="H1362" s="246">
        <v>294975</v>
      </c>
      <c r="I1362" s="520">
        <f t="shared" si="141"/>
        <v>8196</v>
      </c>
      <c r="J1362" s="638">
        <f>I1362/G1362</f>
        <v>2.8579498498844058E-2</v>
      </c>
    </row>
    <row r="1363" spans="1:10">
      <c r="C1363" s="208"/>
      <c r="D1363" s="246"/>
      <c r="E1363" s="246"/>
      <c r="F1363" s="246"/>
      <c r="G1363" s="246">
        <f t="shared" si="142"/>
        <v>0</v>
      </c>
      <c r="H1363" s="246">
        <v>0</v>
      </c>
      <c r="I1363" s="520">
        <f t="shared" si="141"/>
        <v>0</v>
      </c>
      <c r="J1363" s="638"/>
    </row>
    <row r="1364" spans="1:10" ht="15">
      <c r="A1364" s="169" t="s">
        <v>632</v>
      </c>
      <c r="B1364" s="169" t="s">
        <v>729</v>
      </c>
      <c r="C1364" s="372" t="s">
        <v>633</v>
      </c>
      <c r="D1364" s="280">
        <f t="shared" ref="D1364:F1364" si="149">D1365</f>
        <v>105700</v>
      </c>
      <c r="E1364" s="280">
        <f t="shared" si="149"/>
        <v>0</v>
      </c>
      <c r="F1364" s="280">
        <f t="shared" si="149"/>
        <v>0</v>
      </c>
      <c r="G1364" s="280">
        <f t="shared" si="142"/>
        <v>105700</v>
      </c>
      <c r="H1364" s="280">
        <v>125700</v>
      </c>
      <c r="I1364" s="659">
        <f t="shared" si="141"/>
        <v>20000</v>
      </c>
      <c r="J1364" s="660">
        <f>I1364/G1364</f>
        <v>0.1892147587511826</v>
      </c>
    </row>
    <row r="1365" spans="1:10">
      <c r="C1365" s="223" t="s">
        <v>634</v>
      </c>
      <c r="D1365" s="226">
        <v>105700</v>
      </c>
      <c r="E1365" s="226"/>
      <c r="F1365" s="226"/>
      <c r="G1365" s="226">
        <f t="shared" si="142"/>
        <v>105700</v>
      </c>
      <c r="H1365" s="226">
        <v>125700</v>
      </c>
      <c r="I1365" s="665">
        <f t="shared" si="141"/>
        <v>20000</v>
      </c>
      <c r="J1365" s="666">
        <f>I1365/G1365</f>
        <v>0.1892147587511826</v>
      </c>
    </row>
    <row r="1366" spans="1:10">
      <c r="C1366" s="351"/>
      <c r="D1366" s="187"/>
      <c r="E1366" s="345"/>
      <c r="F1366" s="345"/>
      <c r="G1366" s="187">
        <f t="shared" si="142"/>
        <v>0</v>
      </c>
      <c r="H1366" s="345">
        <v>0</v>
      </c>
      <c r="I1366" s="701">
        <f t="shared" si="141"/>
        <v>0</v>
      </c>
      <c r="J1366" s="702"/>
    </row>
    <row r="1367" spans="1:10">
      <c r="C1367" s="336" t="s">
        <v>351</v>
      </c>
      <c r="D1367" s="176">
        <f>D1369+D1372+D1376+D1378+D1382+D1384+D1380+D1374</f>
        <v>1724548</v>
      </c>
      <c r="E1367" s="176">
        <f>E1369+E1372+E1376+E1378+E1382+E1384+E1380+E1374+E1386</f>
        <v>35880</v>
      </c>
      <c r="F1367" s="176">
        <f>F1369+F1372+F1376+F1378+F1382+F1384+F1380+F1374</f>
        <v>-5300</v>
      </c>
      <c r="G1367" s="176">
        <f t="shared" si="142"/>
        <v>1755128</v>
      </c>
      <c r="H1367" s="176">
        <v>1814400</v>
      </c>
      <c r="I1367" s="659">
        <f t="shared" si="141"/>
        <v>59272</v>
      </c>
      <c r="J1367" s="660">
        <f>I1367/G1367</f>
        <v>3.3770756320906509E-2</v>
      </c>
    </row>
    <row r="1368" spans="1:10">
      <c r="C1368" s="336"/>
      <c r="D1368" s="185"/>
      <c r="E1368" s="185"/>
      <c r="F1368" s="185"/>
      <c r="G1368" s="185">
        <f t="shared" si="142"/>
        <v>0</v>
      </c>
      <c r="H1368" s="185">
        <v>0</v>
      </c>
      <c r="I1368" s="268">
        <f t="shared" si="141"/>
        <v>0</v>
      </c>
      <c r="J1368" s="634"/>
    </row>
    <row r="1369" spans="1:10">
      <c r="A1369" s="169" t="s">
        <v>289</v>
      </c>
      <c r="B1369" s="169" t="s">
        <v>729</v>
      </c>
      <c r="C1369" s="206" t="s">
        <v>705</v>
      </c>
      <c r="D1369" s="185">
        <f>1418052+11496+2870</f>
        <v>1432418</v>
      </c>
      <c r="E1369" s="185">
        <v>10480</v>
      </c>
      <c r="F1369" s="185">
        <f>4915-1500-6000</f>
        <v>-2585</v>
      </c>
      <c r="G1369" s="185">
        <f t="shared" si="142"/>
        <v>1440313</v>
      </c>
      <c r="H1369" s="185">
        <v>1515200</v>
      </c>
      <c r="I1369" s="268">
        <f t="shared" si="141"/>
        <v>74887</v>
      </c>
      <c r="J1369" s="634">
        <f>I1369/G1369</f>
        <v>5.199355973319688E-2</v>
      </c>
    </row>
    <row r="1370" spans="1:10">
      <c r="C1370" s="196" t="s">
        <v>291</v>
      </c>
      <c r="D1370" s="189">
        <f>891380+8592+2145</f>
        <v>902117</v>
      </c>
      <c r="E1370" s="189"/>
      <c r="F1370" s="189">
        <f>-811-1128-4511</f>
        <v>-6450</v>
      </c>
      <c r="G1370" s="189">
        <f t="shared" si="142"/>
        <v>895667</v>
      </c>
      <c r="H1370" s="189">
        <v>955585</v>
      </c>
      <c r="I1370" s="184">
        <f t="shared" si="141"/>
        <v>59918</v>
      </c>
      <c r="J1370" s="632">
        <f>I1370/G1370</f>
        <v>6.6897630480971165E-2</v>
      </c>
    </row>
    <row r="1371" spans="1:10">
      <c r="C1371" s="195"/>
      <c r="D1371" s="185"/>
      <c r="E1371" s="185"/>
      <c r="F1371" s="185"/>
      <c r="G1371" s="185">
        <f t="shared" si="142"/>
        <v>0</v>
      </c>
      <c r="H1371" s="185">
        <v>0</v>
      </c>
      <c r="I1371" s="268">
        <f t="shared" si="141"/>
        <v>0</v>
      </c>
      <c r="J1371" s="634"/>
    </row>
    <row r="1372" spans="1:10">
      <c r="A1372" s="169" t="s">
        <v>295</v>
      </c>
      <c r="B1372" s="169" t="s">
        <v>729</v>
      </c>
      <c r="C1372" s="378" t="s">
        <v>706</v>
      </c>
      <c r="D1372" s="185">
        <v>40000</v>
      </c>
      <c r="E1372" s="185"/>
      <c r="F1372" s="185"/>
      <c r="G1372" s="185">
        <f t="shared" si="142"/>
        <v>40000</v>
      </c>
      <c r="H1372" s="185">
        <v>48000</v>
      </c>
      <c r="I1372" s="268">
        <f t="shared" si="141"/>
        <v>8000</v>
      </c>
      <c r="J1372" s="634">
        <f>I1372/G1372</f>
        <v>0.2</v>
      </c>
    </row>
    <row r="1373" spans="1:10">
      <c r="C1373" s="194"/>
      <c r="D1373" s="185"/>
      <c r="E1373" s="185"/>
      <c r="F1373" s="185"/>
      <c r="G1373" s="185">
        <f t="shared" si="142"/>
        <v>0</v>
      </c>
      <c r="H1373" s="185">
        <v>0</v>
      </c>
      <c r="I1373" s="268">
        <f t="shared" si="141"/>
        <v>0</v>
      </c>
      <c r="J1373" s="634"/>
    </row>
    <row r="1374" spans="1:10">
      <c r="A1374" s="169" t="s">
        <v>461</v>
      </c>
      <c r="B1374" s="169" t="s">
        <v>729</v>
      </c>
      <c r="C1374" s="378" t="s">
        <v>707</v>
      </c>
      <c r="D1374" s="185">
        <v>57000</v>
      </c>
      <c r="E1374" s="185"/>
      <c r="F1374" s="185"/>
      <c r="G1374" s="185">
        <f t="shared" si="142"/>
        <v>57000</v>
      </c>
      <c r="H1374" s="185">
        <v>57000</v>
      </c>
      <c r="I1374" s="268">
        <f t="shared" si="141"/>
        <v>0</v>
      </c>
      <c r="J1374" s="634">
        <f>I1374/G1374</f>
        <v>0</v>
      </c>
    </row>
    <row r="1375" spans="1:10">
      <c r="C1375" s="194"/>
      <c r="D1375" s="185"/>
      <c r="E1375" s="185"/>
      <c r="F1375" s="185"/>
      <c r="G1375" s="185">
        <f t="shared" si="142"/>
        <v>0</v>
      </c>
      <c r="H1375" s="185">
        <v>0</v>
      </c>
      <c r="I1375" s="268">
        <f t="shared" si="141"/>
        <v>0</v>
      </c>
      <c r="J1375" s="634"/>
    </row>
    <row r="1376" spans="1:10">
      <c r="A1376" s="169" t="s">
        <v>461</v>
      </c>
      <c r="B1376" s="169" t="s">
        <v>729</v>
      </c>
      <c r="C1376" s="194" t="s">
        <v>718</v>
      </c>
      <c r="D1376" s="185">
        <v>4000</v>
      </c>
      <c r="E1376" s="185"/>
      <c r="F1376" s="185"/>
      <c r="G1376" s="185">
        <f t="shared" si="142"/>
        <v>4000</v>
      </c>
      <c r="H1376" s="185">
        <v>4000</v>
      </c>
      <c r="I1376" s="268">
        <f t="shared" si="141"/>
        <v>0</v>
      </c>
      <c r="J1376" s="634">
        <f>I1376/G1376</f>
        <v>0</v>
      </c>
    </row>
    <row r="1377" spans="1:10">
      <c r="C1377" s="341"/>
      <c r="D1377" s="385"/>
      <c r="E1377" s="385"/>
      <c r="F1377" s="385"/>
      <c r="G1377" s="385">
        <f t="shared" si="142"/>
        <v>0</v>
      </c>
      <c r="H1377" s="385">
        <v>0</v>
      </c>
      <c r="I1377" s="707">
        <f t="shared" si="141"/>
        <v>0</v>
      </c>
      <c r="J1377" s="638"/>
    </row>
    <row r="1378" spans="1:10">
      <c r="A1378" s="169" t="s">
        <v>632</v>
      </c>
      <c r="B1378" s="169" t="s">
        <v>729</v>
      </c>
      <c r="C1378" s="213" t="s">
        <v>649</v>
      </c>
      <c r="D1378" s="209">
        <v>40730</v>
      </c>
      <c r="E1378" s="209">
        <v>3400</v>
      </c>
      <c r="F1378" s="209">
        <v>4500</v>
      </c>
      <c r="G1378" s="209">
        <f t="shared" si="142"/>
        <v>48630</v>
      </c>
      <c r="H1378" s="209">
        <v>45300</v>
      </c>
      <c r="I1378" s="211">
        <f t="shared" si="141"/>
        <v>-3330</v>
      </c>
      <c r="J1378" s="634">
        <f>I1378/G1378</f>
        <v>-6.8476249228871064E-2</v>
      </c>
    </row>
    <row r="1379" spans="1:10">
      <c r="C1379" s="195"/>
      <c r="D1379" s="245"/>
      <c r="E1379" s="245"/>
      <c r="F1379" s="245"/>
      <c r="G1379" s="245">
        <f t="shared" si="142"/>
        <v>0</v>
      </c>
      <c r="H1379" s="245">
        <v>0</v>
      </c>
      <c r="I1379" s="255">
        <f t="shared" si="141"/>
        <v>0</v>
      </c>
      <c r="J1379" s="637"/>
    </row>
    <row r="1380" spans="1:10">
      <c r="A1380" s="169" t="s">
        <v>538</v>
      </c>
      <c r="B1380" s="169" t="s">
        <v>729</v>
      </c>
      <c r="C1380" s="195" t="s">
        <v>709</v>
      </c>
      <c r="D1380" s="187">
        <v>50200</v>
      </c>
      <c r="E1380" s="187"/>
      <c r="F1380" s="187">
        <v>-7215</v>
      </c>
      <c r="G1380" s="187">
        <f t="shared" si="142"/>
        <v>42985</v>
      </c>
      <c r="H1380" s="187">
        <v>42200</v>
      </c>
      <c r="I1380" s="661">
        <f t="shared" si="141"/>
        <v>-785</v>
      </c>
      <c r="J1380" s="637">
        <f>I1380/G1380</f>
        <v>-1.8262184482959173E-2</v>
      </c>
    </row>
    <row r="1381" spans="1:10">
      <c r="C1381" s="213"/>
      <c r="D1381" s="209"/>
      <c r="E1381" s="209"/>
      <c r="F1381" s="209"/>
      <c r="G1381" s="209">
        <f t="shared" si="142"/>
        <v>0</v>
      </c>
      <c r="H1381" s="209">
        <v>0</v>
      </c>
      <c r="I1381" s="211">
        <f t="shared" si="141"/>
        <v>0</v>
      </c>
      <c r="J1381" s="634"/>
    </row>
    <row r="1382" spans="1:10">
      <c r="A1382" s="169" t="s">
        <v>538</v>
      </c>
      <c r="B1382" s="169" t="s">
        <v>729</v>
      </c>
      <c r="C1382" s="195" t="s">
        <v>556</v>
      </c>
      <c r="D1382" s="245">
        <v>82200</v>
      </c>
      <c r="E1382" s="245"/>
      <c r="F1382" s="245"/>
      <c r="G1382" s="245">
        <f t="shared" si="142"/>
        <v>82200</v>
      </c>
      <c r="H1382" s="245">
        <v>79200</v>
      </c>
      <c r="I1382" s="255">
        <f t="shared" si="141"/>
        <v>-3000</v>
      </c>
      <c r="J1382" s="637">
        <f>I1382/G1382</f>
        <v>-3.6496350364963501E-2</v>
      </c>
    </row>
    <row r="1383" spans="1:10">
      <c r="C1383" s="341"/>
      <c r="D1383" s="185"/>
      <c r="E1383" s="185"/>
      <c r="F1383" s="185"/>
      <c r="G1383" s="185">
        <f t="shared" si="142"/>
        <v>0</v>
      </c>
      <c r="H1383" s="185">
        <v>0</v>
      </c>
      <c r="I1383" s="268">
        <f t="shared" si="141"/>
        <v>0</v>
      </c>
      <c r="J1383" s="634"/>
    </row>
    <row r="1384" spans="1:10">
      <c r="A1384" s="169" t="s">
        <v>710</v>
      </c>
      <c r="B1384" s="169" t="s">
        <v>729</v>
      </c>
      <c r="C1384" s="195" t="s">
        <v>711</v>
      </c>
      <c r="D1384" s="185">
        <v>18000</v>
      </c>
      <c r="E1384" s="185"/>
      <c r="F1384" s="185"/>
      <c r="G1384" s="185">
        <f t="shared" si="142"/>
        <v>18000</v>
      </c>
      <c r="H1384" s="185">
        <v>23500</v>
      </c>
      <c r="I1384" s="268">
        <f t="shared" si="141"/>
        <v>5500</v>
      </c>
      <c r="J1384" s="634">
        <f>I1384/G1384</f>
        <v>0.30555555555555558</v>
      </c>
    </row>
    <row r="1385" spans="1:10">
      <c r="C1385" s="195"/>
      <c r="D1385" s="185"/>
      <c r="E1385" s="185"/>
      <c r="F1385" s="185"/>
      <c r="G1385" s="185">
        <f t="shared" si="142"/>
        <v>0</v>
      </c>
      <c r="H1385" s="185">
        <v>0</v>
      </c>
      <c r="I1385" s="268">
        <f t="shared" si="141"/>
        <v>0</v>
      </c>
      <c r="J1385" s="634"/>
    </row>
    <row r="1386" spans="1:10">
      <c r="A1386" s="169" t="s">
        <v>295</v>
      </c>
      <c r="B1386" s="169" t="s">
        <v>729</v>
      </c>
      <c r="C1386" s="213" t="s">
        <v>734</v>
      </c>
      <c r="D1386" s="185"/>
      <c r="E1386" s="185">
        <v>22000</v>
      </c>
      <c r="F1386" s="185"/>
      <c r="G1386" s="185">
        <f t="shared" si="142"/>
        <v>22000</v>
      </c>
      <c r="H1386" s="185">
        <v>0</v>
      </c>
      <c r="I1386" s="268">
        <f t="shared" si="141"/>
        <v>-22000</v>
      </c>
      <c r="J1386" s="634">
        <f>I1386/G1386</f>
        <v>-1</v>
      </c>
    </row>
    <row r="1387" spans="1:10">
      <c r="C1387" s="201"/>
      <c r="D1387" s="185"/>
      <c r="E1387" s="185"/>
      <c r="F1387" s="185"/>
      <c r="G1387" s="185">
        <f t="shared" si="142"/>
        <v>0</v>
      </c>
      <c r="H1387" s="185">
        <v>0</v>
      </c>
      <c r="I1387" s="268">
        <f t="shared" si="141"/>
        <v>0</v>
      </c>
      <c r="J1387" s="634"/>
    </row>
    <row r="1388" spans="1:10" ht="15.75">
      <c r="C1388" s="225" t="s">
        <v>735</v>
      </c>
      <c r="D1388" s="185"/>
      <c r="E1388" s="185"/>
      <c r="F1388" s="185"/>
      <c r="G1388" s="185">
        <f t="shared" si="142"/>
        <v>0</v>
      </c>
      <c r="H1388" s="185">
        <v>0</v>
      </c>
      <c r="I1388" s="268">
        <f t="shared" si="141"/>
        <v>0</v>
      </c>
      <c r="J1388" s="634"/>
    </row>
    <row r="1389" spans="1:10">
      <c r="C1389" s="201"/>
      <c r="D1389" s="185"/>
      <c r="E1389" s="185"/>
      <c r="F1389" s="185"/>
      <c r="G1389" s="185">
        <f t="shared" si="142"/>
        <v>0</v>
      </c>
      <c r="H1389" s="185">
        <v>0</v>
      </c>
      <c r="I1389" s="268">
        <f t="shared" si="141"/>
        <v>0</v>
      </c>
      <c r="J1389" s="634"/>
    </row>
    <row r="1390" spans="1:10">
      <c r="C1390" s="219" t="s">
        <v>5</v>
      </c>
      <c r="D1390" s="176">
        <f>D1396+D1406+D1434+D1431+D1400</f>
        <v>2574291</v>
      </c>
      <c r="E1390" s="176">
        <f>E1396+E1406+E1434+E1431+E1400</f>
        <v>48362</v>
      </c>
      <c r="F1390" s="176">
        <f>F1396+F1406+F1434+F1431+F1400</f>
        <v>16510</v>
      </c>
      <c r="G1390" s="176">
        <f t="shared" si="142"/>
        <v>2639163</v>
      </c>
      <c r="H1390" s="176">
        <v>2711100</v>
      </c>
      <c r="I1390" s="659">
        <f t="shared" si="141"/>
        <v>71937</v>
      </c>
      <c r="J1390" s="660">
        <f>I1390/G1390</f>
        <v>2.7257505504586114E-2</v>
      </c>
    </row>
    <row r="1391" spans="1:10">
      <c r="C1391" s="177" t="s">
        <v>285</v>
      </c>
      <c r="D1391" s="178">
        <v>294000</v>
      </c>
      <c r="E1391" s="178"/>
      <c r="F1391" s="178"/>
      <c r="G1391" s="178">
        <f t="shared" si="142"/>
        <v>294000</v>
      </c>
      <c r="H1391" s="178">
        <v>294000</v>
      </c>
      <c r="I1391" s="184">
        <f t="shared" si="141"/>
        <v>0</v>
      </c>
      <c r="J1391" s="632">
        <f>I1391/G1391</f>
        <v>0</v>
      </c>
    </row>
    <row r="1392" spans="1:10">
      <c r="C1392" s="220" t="s">
        <v>286</v>
      </c>
      <c r="D1392" s="176">
        <f t="shared" ref="D1392:F1392" si="150">D1393+D1394</f>
        <v>2574291</v>
      </c>
      <c r="E1392" s="176">
        <f t="shared" si="150"/>
        <v>48362</v>
      </c>
      <c r="F1392" s="176">
        <f t="shared" si="150"/>
        <v>16510</v>
      </c>
      <c r="G1392" s="176">
        <f t="shared" si="142"/>
        <v>2639163</v>
      </c>
      <c r="H1392" s="176">
        <v>2711100</v>
      </c>
      <c r="I1392" s="659">
        <f t="shared" si="141"/>
        <v>71937</v>
      </c>
      <c r="J1392" s="660">
        <f>I1392/G1392</f>
        <v>2.7257505504586114E-2</v>
      </c>
    </row>
    <row r="1393" spans="1:10">
      <c r="C1393" s="221" t="s">
        <v>287</v>
      </c>
      <c r="D1393" s="178">
        <v>575107</v>
      </c>
      <c r="E1393" s="178">
        <v>29200</v>
      </c>
      <c r="F1393" s="178">
        <v>11367</v>
      </c>
      <c r="G1393" s="178">
        <f t="shared" si="142"/>
        <v>615674</v>
      </c>
      <c r="H1393" s="178">
        <v>604660</v>
      </c>
      <c r="I1393" s="184">
        <f t="shared" si="141"/>
        <v>-11014</v>
      </c>
      <c r="J1393" s="632">
        <f>I1393/G1393</f>
        <v>-1.7889337539022276E-2</v>
      </c>
    </row>
    <row r="1394" spans="1:10">
      <c r="C1394" s="222" t="s">
        <v>288</v>
      </c>
      <c r="D1394" s="178">
        <f t="shared" ref="D1394:F1394" si="151">D1390-D1393</f>
        <v>1999184</v>
      </c>
      <c r="E1394" s="178">
        <f t="shared" si="151"/>
        <v>19162</v>
      </c>
      <c r="F1394" s="178">
        <f t="shared" si="151"/>
        <v>5143</v>
      </c>
      <c r="G1394" s="178">
        <f t="shared" si="142"/>
        <v>2023489</v>
      </c>
      <c r="H1394" s="178">
        <v>2106440</v>
      </c>
      <c r="I1394" s="184">
        <f t="shared" ref="I1394:I1457" si="152">H1394-G1394</f>
        <v>82951</v>
      </c>
      <c r="J1394" s="632">
        <f>I1394/G1394</f>
        <v>4.0994045433407345E-2</v>
      </c>
    </row>
    <row r="1395" spans="1:10">
      <c r="C1395" s="222"/>
      <c r="D1395" s="185"/>
      <c r="E1395" s="185"/>
      <c r="F1395" s="185"/>
      <c r="G1395" s="185">
        <f t="shared" si="142"/>
        <v>0</v>
      </c>
      <c r="H1395" s="185">
        <v>0</v>
      </c>
      <c r="I1395" s="268">
        <f t="shared" si="152"/>
        <v>0</v>
      </c>
      <c r="J1395" s="634"/>
    </row>
    <row r="1396" spans="1:10" ht="15">
      <c r="A1396" s="169" t="s">
        <v>295</v>
      </c>
      <c r="B1396" s="169" t="s">
        <v>735</v>
      </c>
      <c r="C1396" s="372" t="s">
        <v>359</v>
      </c>
      <c r="D1396" s="280">
        <f t="shared" ref="D1396:F1396" si="153">D1397</f>
        <v>244870</v>
      </c>
      <c r="E1396" s="280">
        <f t="shared" si="153"/>
        <v>10000</v>
      </c>
      <c r="F1396" s="280">
        <f t="shared" si="153"/>
        <v>1700</v>
      </c>
      <c r="G1396" s="280">
        <f t="shared" si="142"/>
        <v>256570</v>
      </c>
      <c r="H1396" s="280">
        <v>262200</v>
      </c>
      <c r="I1396" s="659">
        <f t="shared" si="152"/>
        <v>5630</v>
      </c>
      <c r="J1396" s="660">
        <f>I1396/G1396</f>
        <v>2.194332930584246E-2</v>
      </c>
    </row>
    <row r="1397" spans="1:10">
      <c r="C1397" s="223" t="s">
        <v>736</v>
      </c>
      <c r="D1397" s="226">
        <f>235247+9354+269</f>
        <v>244870</v>
      </c>
      <c r="E1397" s="226">
        <v>10000</v>
      </c>
      <c r="F1397" s="226">
        <v>1700</v>
      </c>
      <c r="G1397" s="226">
        <f t="shared" si="142"/>
        <v>256570</v>
      </c>
      <c r="H1397" s="226">
        <v>262200</v>
      </c>
      <c r="I1397" s="665">
        <f t="shared" si="152"/>
        <v>5630</v>
      </c>
      <c r="J1397" s="666">
        <f>I1397/G1397</f>
        <v>2.194332930584246E-2</v>
      </c>
    </row>
    <row r="1398" spans="1:10">
      <c r="C1398" s="202" t="s">
        <v>291</v>
      </c>
      <c r="D1398" s="189">
        <f>122908+6991+201</f>
        <v>130100</v>
      </c>
      <c r="E1398" s="189"/>
      <c r="F1398" s="189"/>
      <c r="G1398" s="189">
        <f t="shared" si="142"/>
        <v>130100</v>
      </c>
      <c r="H1398" s="189">
        <v>136040</v>
      </c>
      <c r="I1398" s="184">
        <f t="shared" si="152"/>
        <v>5940</v>
      </c>
      <c r="J1398" s="632">
        <f>I1398/G1398</f>
        <v>4.5657186779400463E-2</v>
      </c>
    </row>
    <row r="1399" spans="1:10">
      <c r="C1399" s="239"/>
      <c r="D1399" s="189"/>
      <c r="E1399" s="189"/>
      <c r="F1399" s="189"/>
      <c r="G1399" s="189">
        <f t="shared" si="142"/>
        <v>0</v>
      </c>
      <c r="H1399" s="189">
        <v>0</v>
      </c>
      <c r="I1399" s="184">
        <f t="shared" si="152"/>
        <v>0</v>
      </c>
      <c r="J1399" s="632"/>
    </row>
    <row r="1400" spans="1:10" ht="15">
      <c r="A1400" s="169" t="s">
        <v>423</v>
      </c>
      <c r="B1400" s="169" t="s">
        <v>735</v>
      </c>
      <c r="C1400" s="372" t="s">
        <v>424</v>
      </c>
      <c r="D1400" s="280">
        <f t="shared" ref="D1400:F1400" si="154">D1401</f>
        <v>133857</v>
      </c>
      <c r="E1400" s="280">
        <f t="shared" si="154"/>
        <v>0</v>
      </c>
      <c r="F1400" s="280">
        <f t="shared" si="154"/>
        <v>0</v>
      </c>
      <c r="G1400" s="280">
        <f t="shared" ref="G1400:G1462" si="155">SUM(D1400:F1400)</f>
        <v>133857</v>
      </c>
      <c r="H1400" s="280">
        <v>139400</v>
      </c>
      <c r="I1400" s="659">
        <f t="shared" si="152"/>
        <v>5543</v>
      </c>
      <c r="J1400" s="660">
        <f>I1400/G1400</f>
        <v>4.1409862763994415E-2</v>
      </c>
    </row>
    <row r="1401" spans="1:10">
      <c r="C1401" s="223" t="s">
        <v>425</v>
      </c>
      <c r="D1401" s="226">
        <f t="shared" ref="D1401:F1401" si="156">D1403</f>
        <v>133857</v>
      </c>
      <c r="E1401" s="226">
        <f t="shared" si="156"/>
        <v>0</v>
      </c>
      <c r="F1401" s="226">
        <f t="shared" si="156"/>
        <v>0</v>
      </c>
      <c r="G1401" s="226">
        <f t="shared" si="155"/>
        <v>133857</v>
      </c>
      <c r="H1401" s="226">
        <v>139400</v>
      </c>
      <c r="I1401" s="665">
        <f t="shared" si="152"/>
        <v>5543</v>
      </c>
      <c r="J1401" s="666">
        <f>I1401/G1401</f>
        <v>4.1409862763994415E-2</v>
      </c>
    </row>
    <row r="1402" spans="1:10">
      <c r="C1402" s="376" t="s">
        <v>348</v>
      </c>
      <c r="D1402" s="189"/>
      <c r="E1402" s="189"/>
      <c r="F1402" s="189"/>
      <c r="G1402" s="189">
        <f t="shared" si="155"/>
        <v>0</v>
      </c>
      <c r="H1402" s="189">
        <v>0</v>
      </c>
      <c r="I1402" s="184">
        <f t="shared" si="152"/>
        <v>0</v>
      </c>
      <c r="J1402" s="632"/>
    </row>
    <row r="1403" spans="1:10">
      <c r="C1403" s="377" t="s">
        <v>737</v>
      </c>
      <c r="D1403" s="245">
        <v>133857</v>
      </c>
      <c r="E1403" s="245"/>
      <c r="F1403" s="245"/>
      <c r="G1403" s="245">
        <f t="shared" si="155"/>
        <v>133857</v>
      </c>
      <c r="H1403" s="245">
        <v>139400</v>
      </c>
      <c r="I1403" s="255">
        <f t="shared" si="152"/>
        <v>5543</v>
      </c>
      <c r="J1403" s="637">
        <f>I1403/G1403</f>
        <v>4.1409862763994415E-2</v>
      </c>
    </row>
    <row r="1404" spans="1:10">
      <c r="C1404" s="208" t="s">
        <v>291</v>
      </c>
      <c r="D1404" s="189">
        <v>71052</v>
      </c>
      <c r="E1404" s="189"/>
      <c r="F1404" s="189"/>
      <c r="G1404" s="189">
        <f t="shared" si="155"/>
        <v>71052</v>
      </c>
      <c r="H1404" s="189">
        <v>75400</v>
      </c>
      <c r="I1404" s="184">
        <f t="shared" si="152"/>
        <v>4348</v>
      </c>
      <c r="J1404" s="632">
        <f>I1404/G1404</f>
        <v>6.1194618026234306E-2</v>
      </c>
    </row>
    <row r="1405" spans="1:10">
      <c r="C1405" s="379"/>
      <c r="D1405" s="189"/>
      <c r="E1405" s="189"/>
      <c r="F1405" s="189"/>
      <c r="G1405" s="189">
        <f t="shared" si="155"/>
        <v>0</v>
      </c>
      <c r="H1405" s="189">
        <v>0</v>
      </c>
      <c r="I1405" s="184">
        <f t="shared" si="152"/>
        <v>0</v>
      </c>
      <c r="J1405" s="632"/>
    </row>
    <row r="1406" spans="1:10" ht="15">
      <c r="A1406" s="169" t="s">
        <v>461</v>
      </c>
      <c r="B1406" s="169" t="s">
        <v>735</v>
      </c>
      <c r="C1406" s="372" t="s">
        <v>462</v>
      </c>
      <c r="D1406" s="280">
        <f>D1408+D1413+D1418</f>
        <v>667032</v>
      </c>
      <c r="E1406" s="280">
        <f>E1408+E1413+E1418</f>
        <v>18472</v>
      </c>
      <c r="F1406" s="280">
        <f>F1408+F1413+F1418</f>
        <v>9900</v>
      </c>
      <c r="G1406" s="280">
        <f t="shared" si="155"/>
        <v>695404</v>
      </c>
      <c r="H1406" s="280">
        <v>703000</v>
      </c>
      <c r="I1406" s="659">
        <f t="shared" si="152"/>
        <v>7596</v>
      </c>
      <c r="J1406" s="660">
        <f>I1406/G1406</f>
        <v>1.0923146832632541E-2</v>
      </c>
    </row>
    <row r="1407" spans="1:10">
      <c r="C1407" s="196"/>
      <c r="D1407" s="189"/>
      <c r="E1407" s="189"/>
      <c r="F1407" s="189"/>
      <c r="G1407" s="189">
        <f t="shared" si="155"/>
        <v>0</v>
      </c>
      <c r="H1407" s="189">
        <v>0</v>
      </c>
      <c r="I1407" s="184">
        <f t="shared" si="152"/>
        <v>0</v>
      </c>
      <c r="J1407" s="632"/>
    </row>
    <row r="1408" spans="1:10">
      <c r="C1408" s="338" t="s">
        <v>472</v>
      </c>
      <c r="D1408" s="176">
        <f t="shared" ref="D1408:F1408" si="157">D1410</f>
        <v>157622</v>
      </c>
      <c r="E1408" s="176">
        <f t="shared" si="157"/>
        <v>2594</v>
      </c>
      <c r="F1408" s="176">
        <f t="shared" si="157"/>
        <v>0</v>
      </c>
      <c r="G1408" s="176">
        <f t="shared" si="155"/>
        <v>160216</v>
      </c>
      <c r="H1408" s="176">
        <v>160000</v>
      </c>
      <c r="I1408" s="659">
        <f t="shared" si="152"/>
        <v>-216</v>
      </c>
      <c r="J1408" s="660">
        <f>I1408/G1408</f>
        <v>-1.3481799570579716E-3</v>
      </c>
    </row>
    <row r="1409" spans="3:10">
      <c r="C1409" s="376" t="s">
        <v>348</v>
      </c>
      <c r="D1409" s="185"/>
      <c r="E1409" s="185"/>
      <c r="F1409" s="185"/>
      <c r="G1409" s="185">
        <f t="shared" si="155"/>
        <v>0</v>
      </c>
      <c r="H1409" s="185">
        <v>0</v>
      </c>
      <c r="I1409" s="268">
        <f t="shared" si="152"/>
        <v>0</v>
      </c>
      <c r="J1409" s="634"/>
    </row>
    <row r="1410" spans="3:10">
      <c r="C1410" s="377" t="s">
        <v>738</v>
      </c>
      <c r="D1410" s="185">
        <v>157622</v>
      </c>
      <c r="E1410" s="185">
        <v>2594</v>
      </c>
      <c r="F1410" s="185"/>
      <c r="G1410" s="185">
        <f t="shared" si="155"/>
        <v>160216</v>
      </c>
      <c r="H1410" s="185">
        <v>160000</v>
      </c>
      <c r="I1410" s="268">
        <f t="shared" si="152"/>
        <v>-216</v>
      </c>
      <c r="J1410" s="634">
        <f>I1410/G1410</f>
        <v>-1.3481799570579716E-3</v>
      </c>
    </row>
    <row r="1411" spans="3:10">
      <c r="C1411" s="208" t="s">
        <v>291</v>
      </c>
      <c r="D1411" s="189">
        <v>53636</v>
      </c>
      <c r="E1411" s="189">
        <v>1938</v>
      </c>
      <c r="F1411" s="189"/>
      <c r="G1411" s="189">
        <f t="shared" si="155"/>
        <v>55574</v>
      </c>
      <c r="H1411" s="189">
        <v>57490</v>
      </c>
      <c r="I1411" s="184">
        <f t="shared" si="152"/>
        <v>1916</v>
      </c>
      <c r="J1411" s="632">
        <f>I1411/G1411</f>
        <v>3.4476553784143667E-2</v>
      </c>
    </row>
    <row r="1412" spans="3:10">
      <c r="C1412" s="212"/>
      <c r="D1412" s="185"/>
      <c r="E1412" s="185"/>
      <c r="F1412" s="185"/>
      <c r="G1412" s="185">
        <f t="shared" si="155"/>
        <v>0</v>
      </c>
      <c r="H1412" s="185">
        <v>0</v>
      </c>
      <c r="I1412" s="268">
        <f t="shared" si="152"/>
        <v>0</v>
      </c>
      <c r="J1412" s="634"/>
    </row>
    <row r="1413" spans="3:10">
      <c r="C1413" s="338" t="s">
        <v>478</v>
      </c>
      <c r="D1413" s="176">
        <f t="shared" ref="D1413:F1413" si="158">D1415</f>
        <v>104965</v>
      </c>
      <c r="E1413" s="176">
        <f t="shared" si="158"/>
        <v>2609</v>
      </c>
      <c r="F1413" s="176">
        <f t="shared" si="158"/>
        <v>0</v>
      </c>
      <c r="G1413" s="176">
        <f t="shared" si="155"/>
        <v>107574</v>
      </c>
      <c r="H1413" s="176">
        <v>110200</v>
      </c>
      <c r="I1413" s="659">
        <f t="shared" si="152"/>
        <v>2626</v>
      </c>
      <c r="J1413" s="660">
        <f>I1413/G1413</f>
        <v>2.4411103054641455E-2</v>
      </c>
    </row>
    <row r="1414" spans="3:10">
      <c r="C1414" s="376" t="s">
        <v>348</v>
      </c>
      <c r="D1414" s="185"/>
      <c r="E1414" s="185"/>
      <c r="F1414" s="185"/>
      <c r="G1414" s="185">
        <f t="shared" si="155"/>
        <v>0</v>
      </c>
      <c r="H1414" s="185">
        <v>0</v>
      </c>
      <c r="I1414" s="268">
        <f t="shared" si="152"/>
        <v>0</v>
      </c>
      <c r="J1414" s="634"/>
    </row>
    <row r="1415" spans="3:10">
      <c r="C1415" s="377" t="s">
        <v>739</v>
      </c>
      <c r="D1415" s="185">
        <v>104965</v>
      </c>
      <c r="E1415" s="185">
        <v>2609</v>
      </c>
      <c r="F1415" s="185"/>
      <c r="G1415" s="185">
        <f t="shared" si="155"/>
        <v>107574</v>
      </c>
      <c r="H1415" s="185">
        <v>110200</v>
      </c>
      <c r="I1415" s="268">
        <f t="shared" si="152"/>
        <v>2626</v>
      </c>
      <c r="J1415" s="634">
        <f>I1415/G1415</f>
        <v>2.4411103054641455E-2</v>
      </c>
    </row>
    <row r="1416" spans="3:10">
      <c r="C1416" s="208" t="s">
        <v>291</v>
      </c>
      <c r="D1416" s="189">
        <v>67892</v>
      </c>
      <c r="E1416" s="189">
        <v>1950</v>
      </c>
      <c r="F1416" s="189"/>
      <c r="G1416" s="189">
        <f t="shared" si="155"/>
        <v>69842</v>
      </c>
      <c r="H1416" s="189">
        <v>71805</v>
      </c>
      <c r="I1416" s="184">
        <f t="shared" si="152"/>
        <v>1963</v>
      </c>
      <c r="J1416" s="632">
        <f>I1416/G1416</f>
        <v>2.8106297070530625E-2</v>
      </c>
    </row>
    <row r="1417" spans="3:10">
      <c r="C1417" s="212"/>
      <c r="D1417" s="185"/>
      <c r="E1417" s="185"/>
      <c r="F1417" s="185"/>
      <c r="G1417" s="185">
        <f t="shared" si="155"/>
        <v>0</v>
      </c>
      <c r="H1417" s="185">
        <v>0</v>
      </c>
      <c r="I1417" s="268">
        <f t="shared" si="152"/>
        <v>0</v>
      </c>
      <c r="J1417" s="634"/>
    </row>
    <row r="1418" spans="3:10">
      <c r="C1418" s="375" t="s">
        <v>702</v>
      </c>
      <c r="D1418" s="176">
        <f>D1420+D1424+D1428</f>
        <v>404445</v>
      </c>
      <c r="E1418" s="176">
        <f>E1420+E1424+E1428</f>
        <v>13269</v>
      </c>
      <c r="F1418" s="176">
        <f>F1420+F1424+F1428</f>
        <v>9900</v>
      </c>
      <c r="G1418" s="176">
        <f t="shared" si="155"/>
        <v>427614</v>
      </c>
      <c r="H1418" s="176">
        <v>432800</v>
      </c>
      <c r="I1418" s="659">
        <f t="shared" si="152"/>
        <v>5186</v>
      </c>
      <c r="J1418" s="660">
        <f>I1418/G1418</f>
        <v>1.2127760082691398E-2</v>
      </c>
    </row>
    <row r="1419" spans="3:10">
      <c r="C1419" s="376" t="s">
        <v>348</v>
      </c>
      <c r="D1419" s="185"/>
      <c r="E1419" s="185"/>
      <c r="F1419" s="185"/>
      <c r="G1419" s="185">
        <f t="shared" si="155"/>
        <v>0</v>
      </c>
      <c r="H1419" s="185">
        <v>0</v>
      </c>
      <c r="I1419" s="268">
        <f t="shared" si="152"/>
        <v>0</v>
      </c>
      <c r="J1419" s="634"/>
    </row>
    <row r="1420" spans="3:10">
      <c r="C1420" s="377" t="s">
        <v>740</v>
      </c>
      <c r="D1420" s="185">
        <v>107388</v>
      </c>
      <c r="E1420" s="185">
        <v>5195</v>
      </c>
      <c r="F1420" s="185">
        <v>2400</v>
      </c>
      <c r="G1420" s="185">
        <f t="shared" si="155"/>
        <v>114983</v>
      </c>
      <c r="H1420" s="185">
        <v>117000</v>
      </c>
      <c r="I1420" s="268">
        <f t="shared" si="152"/>
        <v>2017</v>
      </c>
      <c r="J1420" s="634">
        <f>I1420/G1420</f>
        <v>1.7541723559134827E-2</v>
      </c>
    </row>
    <row r="1421" spans="3:10">
      <c r="C1421" s="208" t="s">
        <v>291</v>
      </c>
      <c r="D1421" s="189">
        <v>43137</v>
      </c>
      <c r="E1421" s="189">
        <v>2093</v>
      </c>
      <c r="F1421" s="189"/>
      <c r="G1421" s="189">
        <f t="shared" si="155"/>
        <v>45230</v>
      </c>
      <c r="H1421" s="189">
        <v>46090</v>
      </c>
      <c r="I1421" s="184">
        <f t="shared" si="152"/>
        <v>860</v>
      </c>
      <c r="J1421" s="632">
        <f>I1421/G1421</f>
        <v>1.9013928808313065E-2</v>
      </c>
    </row>
    <row r="1422" spans="3:10">
      <c r="C1422" s="212"/>
      <c r="D1422" s="185"/>
      <c r="E1422" s="185"/>
      <c r="F1422" s="185"/>
      <c r="G1422" s="185">
        <f t="shared" si="155"/>
        <v>0</v>
      </c>
      <c r="H1422" s="185">
        <v>0</v>
      </c>
      <c r="I1422" s="268">
        <f t="shared" si="152"/>
        <v>0</v>
      </c>
      <c r="J1422" s="634"/>
    </row>
    <row r="1423" spans="3:10">
      <c r="C1423" s="376" t="s">
        <v>348</v>
      </c>
      <c r="D1423" s="185"/>
      <c r="E1423" s="185"/>
      <c r="F1423" s="185"/>
      <c r="G1423" s="185">
        <f t="shared" si="155"/>
        <v>0</v>
      </c>
      <c r="H1423" s="185">
        <v>0</v>
      </c>
      <c r="I1423" s="268">
        <f t="shared" si="152"/>
        <v>0</v>
      </c>
      <c r="J1423" s="634"/>
    </row>
    <row r="1424" spans="3:10">
      <c r="C1424" s="377" t="s">
        <v>741</v>
      </c>
      <c r="D1424" s="185">
        <v>127960</v>
      </c>
      <c r="E1424" s="185">
        <v>3774</v>
      </c>
      <c r="F1424" s="185">
        <v>2000</v>
      </c>
      <c r="G1424" s="185">
        <f t="shared" si="155"/>
        <v>133734</v>
      </c>
      <c r="H1424" s="185">
        <v>137000</v>
      </c>
      <c r="I1424" s="268">
        <f t="shared" si="152"/>
        <v>3266</v>
      </c>
      <c r="J1424" s="634">
        <f>I1424/G1424</f>
        <v>2.4421613052776407E-2</v>
      </c>
    </row>
    <row r="1425" spans="1:10">
      <c r="C1425" s="208" t="s">
        <v>291</v>
      </c>
      <c r="D1425" s="189">
        <v>94032</v>
      </c>
      <c r="E1425" s="189">
        <v>2821</v>
      </c>
      <c r="F1425" s="189"/>
      <c r="G1425" s="189">
        <f t="shared" si="155"/>
        <v>96853</v>
      </c>
      <c r="H1425" s="189">
        <v>99695</v>
      </c>
      <c r="I1425" s="184">
        <f t="shared" si="152"/>
        <v>2842</v>
      </c>
      <c r="J1425" s="632">
        <f>I1425/G1425</f>
        <v>2.9343437993660494E-2</v>
      </c>
    </row>
    <row r="1426" spans="1:10">
      <c r="C1426" s="341"/>
      <c r="D1426" s="268"/>
      <c r="E1426" s="268"/>
      <c r="F1426" s="268"/>
      <c r="G1426" s="268">
        <f t="shared" si="155"/>
        <v>0</v>
      </c>
      <c r="H1426" s="268">
        <v>0</v>
      </c>
      <c r="I1426" s="268">
        <f t="shared" si="152"/>
        <v>0</v>
      </c>
      <c r="J1426" s="634"/>
    </row>
    <row r="1427" spans="1:10">
      <c r="C1427" s="376" t="s">
        <v>348</v>
      </c>
      <c r="D1427" s="185"/>
      <c r="E1427" s="185"/>
      <c r="F1427" s="185"/>
      <c r="G1427" s="185">
        <f t="shared" si="155"/>
        <v>0</v>
      </c>
      <c r="H1427" s="185">
        <v>0</v>
      </c>
      <c r="I1427" s="268">
        <f t="shared" si="152"/>
        <v>0</v>
      </c>
      <c r="J1427" s="634"/>
    </row>
    <row r="1428" spans="1:10">
      <c r="C1428" s="377" t="s">
        <v>742</v>
      </c>
      <c r="D1428" s="185">
        <v>169097</v>
      </c>
      <c r="E1428" s="185">
        <v>4300</v>
      </c>
      <c r="F1428" s="185">
        <v>5500</v>
      </c>
      <c r="G1428" s="185">
        <f t="shared" si="155"/>
        <v>178897</v>
      </c>
      <c r="H1428" s="185">
        <v>178800</v>
      </c>
      <c r="I1428" s="268">
        <f t="shared" si="152"/>
        <v>-97</v>
      </c>
      <c r="J1428" s="634">
        <f>I1428/G1428</f>
        <v>-5.4221144010240527E-4</v>
      </c>
    </row>
    <row r="1429" spans="1:10">
      <c r="C1429" s="208" t="s">
        <v>291</v>
      </c>
      <c r="D1429" s="189">
        <v>80851</v>
      </c>
      <c r="E1429" s="189">
        <v>3213</v>
      </c>
      <c r="F1429" s="189"/>
      <c r="G1429" s="189">
        <f t="shared" si="155"/>
        <v>84064</v>
      </c>
      <c r="H1429" s="189">
        <v>89415</v>
      </c>
      <c r="I1429" s="184">
        <f t="shared" si="152"/>
        <v>5351</v>
      </c>
      <c r="J1429" s="632">
        <f>I1429/G1429</f>
        <v>6.3653882755995428E-2</v>
      </c>
    </row>
    <row r="1430" spans="1:10">
      <c r="C1430" s="212"/>
      <c r="D1430" s="185"/>
      <c r="E1430" s="185"/>
      <c r="F1430" s="185"/>
      <c r="G1430" s="185">
        <f t="shared" si="155"/>
        <v>0</v>
      </c>
      <c r="H1430" s="185">
        <v>0</v>
      </c>
      <c r="I1430" s="268">
        <f t="shared" si="152"/>
        <v>0</v>
      </c>
      <c r="J1430" s="634"/>
    </row>
    <row r="1431" spans="1:10" ht="15">
      <c r="A1431" s="169" t="s">
        <v>632</v>
      </c>
      <c r="B1431" s="169" t="s">
        <v>735</v>
      </c>
      <c r="C1431" s="372" t="s">
        <v>633</v>
      </c>
      <c r="D1431" s="280">
        <f t="shared" ref="D1431:F1431" si="159">D1432</f>
        <v>102000</v>
      </c>
      <c r="E1431" s="280">
        <f t="shared" si="159"/>
        <v>12000</v>
      </c>
      <c r="F1431" s="280">
        <f t="shared" si="159"/>
        <v>0</v>
      </c>
      <c r="G1431" s="280">
        <f t="shared" si="155"/>
        <v>114000</v>
      </c>
      <c r="H1431" s="280">
        <v>114000</v>
      </c>
      <c r="I1431" s="659">
        <f t="shared" si="152"/>
        <v>0</v>
      </c>
      <c r="J1431" s="660">
        <f>I1431/G1431</f>
        <v>0</v>
      </c>
    </row>
    <row r="1432" spans="1:10">
      <c r="C1432" s="223" t="s">
        <v>634</v>
      </c>
      <c r="D1432" s="226">
        <v>102000</v>
      </c>
      <c r="E1432" s="226">
        <v>12000</v>
      </c>
      <c r="F1432" s="226"/>
      <c r="G1432" s="226">
        <f t="shared" si="155"/>
        <v>114000</v>
      </c>
      <c r="H1432" s="226">
        <v>114000</v>
      </c>
      <c r="I1432" s="665">
        <f t="shared" si="152"/>
        <v>0</v>
      </c>
      <c r="J1432" s="666">
        <f>I1432/G1432</f>
        <v>0</v>
      </c>
    </row>
    <row r="1433" spans="1:10">
      <c r="C1433" s="222"/>
      <c r="D1433" s="185"/>
      <c r="E1433" s="185"/>
      <c r="F1433" s="185"/>
      <c r="G1433" s="185">
        <f t="shared" si="155"/>
        <v>0</v>
      </c>
      <c r="H1433" s="185">
        <v>0</v>
      </c>
      <c r="I1433" s="268">
        <f t="shared" si="152"/>
        <v>0</v>
      </c>
      <c r="J1433" s="634"/>
    </row>
    <row r="1434" spans="1:10">
      <c r="C1434" s="336" t="s">
        <v>351</v>
      </c>
      <c r="D1434" s="176">
        <f>D1436++D1439+D1443+D1445+D1447+D1452+D1449+D1441</f>
        <v>1426532</v>
      </c>
      <c r="E1434" s="176">
        <f>E1436++E1439+E1443+E1445+E1447+E1452+E1449+E1441</f>
        <v>7890</v>
      </c>
      <c r="F1434" s="176">
        <f>F1436++F1439+F1443+F1445+F1447+F1452+F1449+F1441</f>
        <v>4910</v>
      </c>
      <c r="G1434" s="176">
        <f t="shared" si="155"/>
        <v>1439332</v>
      </c>
      <c r="H1434" s="176">
        <v>1492500</v>
      </c>
      <c r="I1434" s="659">
        <f t="shared" si="152"/>
        <v>53168</v>
      </c>
      <c r="J1434" s="660">
        <f>I1434/G1434</f>
        <v>3.6939357979951813E-2</v>
      </c>
    </row>
    <row r="1435" spans="1:10">
      <c r="C1435" s="336"/>
      <c r="D1435" s="176"/>
      <c r="E1435" s="176"/>
      <c r="F1435" s="176"/>
      <c r="G1435" s="176">
        <f t="shared" si="155"/>
        <v>0</v>
      </c>
      <c r="H1435" s="176">
        <v>0</v>
      </c>
      <c r="I1435" s="659">
        <f t="shared" si="152"/>
        <v>0</v>
      </c>
      <c r="J1435" s="660"/>
    </row>
    <row r="1436" spans="1:10">
      <c r="A1436" s="169" t="s">
        <v>289</v>
      </c>
      <c r="B1436" s="169" t="s">
        <v>735</v>
      </c>
      <c r="C1436" s="206" t="s">
        <v>705</v>
      </c>
      <c r="D1436" s="185">
        <f>1152451+10533+2348</f>
        <v>1165332</v>
      </c>
      <c r="E1436" s="185">
        <v>-10910</v>
      </c>
      <c r="F1436" s="185">
        <v>-1090</v>
      </c>
      <c r="G1436" s="185">
        <f t="shared" si="155"/>
        <v>1153332</v>
      </c>
      <c r="H1436" s="185">
        <v>1213300</v>
      </c>
      <c r="I1436" s="268">
        <f t="shared" si="152"/>
        <v>59968</v>
      </c>
      <c r="J1436" s="634">
        <f>I1436/G1436</f>
        <v>5.1995435832873797E-2</v>
      </c>
    </row>
    <row r="1437" spans="1:10">
      <c r="C1437" s="196" t="s">
        <v>291</v>
      </c>
      <c r="D1437" s="189">
        <f>683646+7872+1755</f>
        <v>693273</v>
      </c>
      <c r="E1437" s="189"/>
      <c r="F1437" s="189">
        <v>-815</v>
      </c>
      <c r="G1437" s="189">
        <f t="shared" si="155"/>
        <v>692458</v>
      </c>
      <c r="H1437" s="189">
        <v>737310</v>
      </c>
      <c r="I1437" s="184">
        <f t="shared" si="152"/>
        <v>44852</v>
      </c>
      <c r="J1437" s="632">
        <f>I1437/G1437</f>
        <v>6.4772159466711332E-2</v>
      </c>
    </row>
    <row r="1438" spans="1:10">
      <c r="C1438" s="386"/>
      <c r="D1438" s="185"/>
      <c r="E1438" s="185"/>
      <c r="F1438" s="185"/>
      <c r="G1438" s="185">
        <f t="shared" si="155"/>
        <v>0</v>
      </c>
      <c r="H1438" s="185">
        <v>0</v>
      </c>
      <c r="I1438" s="268">
        <f t="shared" si="152"/>
        <v>0</v>
      </c>
      <c r="J1438" s="634"/>
    </row>
    <row r="1439" spans="1:10">
      <c r="A1439" s="169" t="s">
        <v>295</v>
      </c>
      <c r="B1439" s="169" t="s">
        <v>735</v>
      </c>
      <c r="C1439" s="378" t="s">
        <v>706</v>
      </c>
      <c r="D1439" s="245">
        <v>20000</v>
      </c>
      <c r="E1439" s="245">
        <v>10000</v>
      </c>
      <c r="F1439" s="245">
        <v>4000</v>
      </c>
      <c r="G1439" s="245">
        <f t="shared" si="155"/>
        <v>34000</v>
      </c>
      <c r="H1439" s="245">
        <v>26000</v>
      </c>
      <c r="I1439" s="255">
        <f t="shared" si="152"/>
        <v>-8000</v>
      </c>
      <c r="J1439" s="637">
        <f>I1439/G1439</f>
        <v>-0.23529411764705882</v>
      </c>
    </row>
    <row r="1440" spans="1:10">
      <c r="C1440" s="378"/>
      <c r="D1440" s="245"/>
      <c r="E1440" s="245"/>
      <c r="F1440" s="245"/>
      <c r="G1440" s="245">
        <f t="shared" si="155"/>
        <v>0</v>
      </c>
      <c r="H1440" s="245">
        <v>0</v>
      </c>
      <c r="I1440" s="255">
        <f t="shared" si="152"/>
        <v>0</v>
      </c>
      <c r="J1440" s="637"/>
    </row>
    <row r="1441" spans="1:10">
      <c r="A1441" s="169" t="s">
        <v>461</v>
      </c>
      <c r="B1441" s="169" t="s">
        <v>735</v>
      </c>
      <c r="C1441" s="378" t="s">
        <v>707</v>
      </c>
      <c r="D1441" s="245">
        <v>20000</v>
      </c>
      <c r="E1441" s="245"/>
      <c r="F1441" s="245"/>
      <c r="G1441" s="245">
        <f t="shared" si="155"/>
        <v>20000</v>
      </c>
      <c r="H1441" s="245">
        <v>20000</v>
      </c>
      <c r="I1441" s="255">
        <f t="shared" si="152"/>
        <v>0</v>
      </c>
      <c r="J1441" s="637">
        <f>I1441/G1441</f>
        <v>0</v>
      </c>
    </row>
    <row r="1442" spans="1:10">
      <c r="C1442" s="194"/>
      <c r="D1442" s="185"/>
      <c r="E1442" s="185"/>
      <c r="F1442" s="185"/>
      <c r="G1442" s="185">
        <f t="shared" si="155"/>
        <v>0</v>
      </c>
      <c r="H1442" s="185">
        <v>0</v>
      </c>
      <c r="I1442" s="268">
        <f t="shared" si="152"/>
        <v>0</v>
      </c>
      <c r="J1442" s="634"/>
    </row>
    <row r="1443" spans="1:10">
      <c r="A1443" s="169" t="s">
        <v>632</v>
      </c>
      <c r="B1443" s="169" t="s">
        <v>735</v>
      </c>
      <c r="C1443" s="213" t="s">
        <v>649</v>
      </c>
      <c r="D1443" s="209">
        <v>60000</v>
      </c>
      <c r="E1443" s="209">
        <v>4000</v>
      </c>
      <c r="F1443" s="209"/>
      <c r="G1443" s="209">
        <f t="shared" si="155"/>
        <v>64000</v>
      </c>
      <c r="H1443" s="209">
        <v>64000</v>
      </c>
      <c r="I1443" s="211">
        <f t="shared" si="152"/>
        <v>0</v>
      </c>
      <c r="J1443" s="634">
        <f>I1443/G1443</f>
        <v>0</v>
      </c>
    </row>
    <row r="1444" spans="1:10">
      <c r="C1444" s="213"/>
      <c r="D1444" s="209"/>
      <c r="E1444" s="209"/>
      <c r="F1444" s="209"/>
      <c r="G1444" s="209">
        <f t="shared" si="155"/>
        <v>0</v>
      </c>
      <c r="H1444" s="209">
        <v>0</v>
      </c>
      <c r="I1444" s="211">
        <f t="shared" si="152"/>
        <v>0</v>
      </c>
      <c r="J1444" s="634"/>
    </row>
    <row r="1445" spans="1:10">
      <c r="A1445" s="169" t="s">
        <v>538</v>
      </c>
      <c r="B1445" s="169" t="s">
        <v>735</v>
      </c>
      <c r="C1445" s="195" t="s">
        <v>709</v>
      </c>
      <c r="D1445" s="245">
        <v>1100</v>
      </c>
      <c r="E1445" s="245"/>
      <c r="F1445" s="245"/>
      <c r="G1445" s="245">
        <f t="shared" si="155"/>
        <v>1100</v>
      </c>
      <c r="H1445" s="245">
        <v>1100</v>
      </c>
      <c r="I1445" s="255">
        <f t="shared" si="152"/>
        <v>0</v>
      </c>
      <c r="J1445" s="637">
        <f>I1445/G1445</f>
        <v>0</v>
      </c>
    </row>
    <row r="1446" spans="1:10">
      <c r="C1446" s="203"/>
      <c r="D1446" s="242"/>
      <c r="E1446" s="242"/>
      <c r="F1446" s="242"/>
      <c r="G1446" s="242">
        <f t="shared" si="155"/>
        <v>0</v>
      </c>
      <c r="H1446" s="242">
        <v>0</v>
      </c>
      <c r="I1446" s="520">
        <f t="shared" si="152"/>
        <v>0</v>
      </c>
      <c r="J1446" s="638"/>
    </row>
    <row r="1447" spans="1:10">
      <c r="A1447" s="169" t="s">
        <v>538</v>
      </c>
      <c r="B1447" s="169" t="s">
        <v>735</v>
      </c>
      <c r="C1447" s="195" t="s">
        <v>556</v>
      </c>
      <c r="D1447" s="245">
        <v>26500</v>
      </c>
      <c r="E1447" s="245"/>
      <c r="F1447" s="245"/>
      <c r="G1447" s="245">
        <f t="shared" si="155"/>
        <v>26500</v>
      </c>
      <c r="H1447" s="245">
        <v>26500</v>
      </c>
      <c r="I1447" s="255">
        <f t="shared" si="152"/>
        <v>0</v>
      </c>
      <c r="J1447" s="637">
        <f>I1447/G1447</f>
        <v>0</v>
      </c>
    </row>
    <row r="1448" spans="1:10">
      <c r="C1448" s="195"/>
      <c r="D1448" s="245"/>
      <c r="E1448" s="245"/>
      <c r="F1448" s="245"/>
      <c r="G1448" s="245">
        <f t="shared" si="155"/>
        <v>0</v>
      </c>
      <c r="H1448" s="245">
        <v>0</v>
      </c>
      <c r="I1448" s="255">
        <f t="shared" si="152"/>
        <v>0</v>
      </c>
      <c r="J1448" s="637"/>
    </row>
    <row r="1449" spans="1:10">
      <c r="A1449" s="169" t="s">
        <v>538</v>
      </c>
      <c r="B1449" s="169" t="s">
        <v>735</v>
      </c>
      <c r="C1449" s="213" t="s">
        <v>743</v>
      </c>
      <c r="D1449" s="185">
        <v>113600</v>
      </c>
      <c r="E1449" s="185">
        <v>4800</v>
      </c>
      <c r="F1449" s="185">
        <v>2000</v>
      </c>
      <c r="G1449" s="185">
        <f t="shared" si="155"/>
        <v>120400</v>
      </c>
      <c r="H1449" s="185">
        <v>121600</v>
      </c>
      <c r="I1449" s="268">
        <f t="shared" si="152"/>
        <v>1200</v>
      </c>
      <c r="J1449" s="634">
        <f>I1449/G1449</f>
        <v>9.9667774086378731E-3</v>
      </c>
    </row>
    <row r="1450" spans="1:10">
      <c r="C1450" s="207" t="s">
        <v>291</v>
      </c>
      <c r="D1450" s="189">
        <v>47416</v>
      </c>
      <c r="E1450" s="189">
        <v>3552</v>
      </c>
      <c r="F1450" s="189"/>
      <c r="G1450" s="189">
        <f t="shared" si="155"/>
        <v>50968</v>
      </c>
      <c r="H1450" s="189">
        <v>53730</v>
      </c>
      <c r="I1450" s="184">
        <f t="shared" si="152"/>
        <v>2762</v>
      </c>
      <c r="J1450" s="632">
        <f>I1450/G1450</f>
        <v>5.4190864856380472E-2</v>
      </c>
    </row>
    <row r="1451" spans="1:10">
      <c r="C1451" s="213"/>
      <c r="D1451" s="185"/>
      <c r="E1451" s="185"/>
      <c r="F1451" s="185"/>
      <c r="G1451" s="185">
        <f t="shared" si="155"/>
        <v>0</v>
      </c>
      <c r="H1451" s="185">
        <v>0</v>
      </c>
      <c r="I1451" s="268">
        <f t="shared" si="152"/>
        <v>0</v>
      </c>
      <c r="J1451" s="634"/>
    </row>
    <row r="1452" spans="1:10">
      <c r="A1452" s="169" t="s">
        <v>710</v>
      </c>
      <c r="B1452" s="169" t="s">
        <v>735</v>
      </c>
      <c r="C1452" s="195" t="s">
        <v>711</v>
      </c>
      <c r="D1452" s="185">
        <v>20000</v>
      </c>
      <c r="E1452" s="185"/>
      <c r="F1452" s="185"/>
      <c r="G1452" s="185">
        <f t="shared" si="155"/>
        <v>20000</v>
      </c>
      <c r="H1452" s="185">
        <v>20000</v>
      </c>
      <c r="I1452" s="268">
        <f t="shared" si="152"/>
        <v>0</v>
      </c>
      <c r="J1452" s="634">
        <f>I1452/G1452</f>
        <v>0</v>
      </c>
    </row>
    <row r="1453" spans="1:10">
      <c r="C1453" s="195"/>
      <c r="D1453" s="185"/>
      <c r="E1453" s="185"/>
      <c r="F1453" s="185"/>
      <c r="G1453" s="185">
        <f t="shared" si="155"/>
        <v>0</v>
      </c>
      <c r="H1453" s="185">
        <v>0</v>
      </c>
      <c r="I1453" s="268">
        <f t="shared" si="152"/>
        <v>0</v>
      </c>
      <c r="J1453" s="634"/>
    </row>
    <row r="1454" spans="1:10">
      <c r="C1454" s="195"/>
      <c r="D1454" s="185"/>
      <c r="E1454" s="185"/>
      <c r="F1454" s="185"/>
      <c r="G1454" s="185">
        <f t="shared" si="155"/>
        <v>0</v>
      </c>
      <c r="H1454" s="185">
        <v>0</v>
      </c>
      <c r="I1454" s="268">
        <f t="shared" si="152"/>
        <v>0</v>
      </c>
      <c r="J1454" s="634"/>
    </row>
    <row r="1455" spans="1:10" ht="15.75">
      <c r="C1455" s="225" t="s">
        <v>744</v>
      </c>
      <c r="D1455" s="185"/>
      <c r="E1455" s="185"/>
      <c r="F1455" s="185"/>
      <c r="G1455" s="185">
        <f t="shared" si="155"/>
        <v>0</v>
      </c>
      <c r="H1455" s="185">
        <v>0</v>
      </c>
      <c r="I1455" s="268">
        <f t="shared" si="152"/>
        <v>0</v>
      </c>
      <c r="J1455" s="634"/>
    </row>
    <row r="1456" spans="1:10">
      <c r="C1456" s="201"/>
      <c r="D1456" s="185"/>
      <c r="E1456" s="185"/>
      <c r="F1456" s="185"/>
      <c r="G1456" s="185">
        <f t="shared" si="155"/>
        <v>0</v>
      </c>
      <c r="H1456" s="185">
        <v>0</v>
      </c>
      <c r="I1456" s="268">
        <f t="shared" si="152"/>
        <v>0</v>
      </c>
      <c r="J1456" s="634"/>
    </row>
    <row r="1457" spans="1:10">
      <c r="C1457" s="219" t="s">
        <v>5</v>
      </c>
      <c r="D1457" s="176">
        <f>D1463+D1473+D1483+D1486+D1467</f>
        <v>1559479</v>
      </c>
      <c r="E1457" s="176">
        <f>E1463+E1473+E1483+E1486+E1467</f>
        <v>49534</v>
      </c>
      <c r="F1457" s="176">
        <f>F1463+F1473+F1483+F1486+F1467</f>
        <v>4085</v>
      </c>
      <c r="G1457" s="176">
        <f t="shared" si="155"/>
        <v>1613098</v>
      </c>
      <c r="H1457" s="176">
        <v>1653100</v>
      </c>
      <c r="I1457" s="659">
        <f t="shared" si="152"/>
        <v>40002</v>
      </c>
      <c r="J1457" s="660">
        <f>I1457/G1457</f>
        <v>2.4798245363889856E-2</v>
      </c>
    </row>
    <row r="1458" spans="1:10">
      <c r="C1458" s="177" t="s">
        <v>285</v>
      </c>
      <c r="D1458" s="178">
        <v>191000</v>
      </c>
      <c r="E1458" s="178"/>
      <c r="F1458" s="178"/>
      <c r="G1458" s="178">
        <f t="shared" si="155"/>
        <v>191000</v>
      </c>
      <c r="H1458" s="178">
        <v>191000</v>
      </c>
      <c r="I1458" s="184">
        <f t="shared" ref="I1458:I1521" si="160">H1458-G1458</f>
        <v>0</v>
      </c>
      <c r="J1458" s="632">
        <f>I1458/G1458</f>
        <v>0</v>
      </c>
    </row>
    <row r="1459" spans="1:10">
      <c r="C1459" s="220" t="s">
        <v>286</v>
      </c>
      <c r="D1459" s="176">
        <f t="shared" ref="D1459:F1459" si="161">D1460+D1461</f>
        <v>1559479</v>
      </c>
      <c r="E1459" s="176">
        <f t="shared" si="161"/>
        <v>49534</v>
      </c>
      <c r="F1459" s="176">
        <f t="shared" si="161"/>
        <v>4085</v>
      </c>
      <c r="G1459" s="176">
        <f t="shared" si="155"/>
        <v>1613098</v>
      </c>
      <c r="H1459" s="176">
        <v>1653100</v>
      </c>
      <c r="I1459" s="659">
        <f t="shared" si="160"/>
        <v>40002</v>
      </c>
      <c r="J1459" s="660">
        <f>I1459/G1459</f>
        <v>2.4798245363889856E-2</v>
      </c>
    </row>
    <row r="1460" spans="1:10">
      <c r="C1460" s="221" t="s">
        <v>287</v>
      </c>
      <c r="D1460" s="178">
        <v>231900</v>
      </c>
      <c r="E1460" s="178">
        <v>26300</v>
      </c>
      <c r="F1460" s="178">
        <v>3640</v>
      </c>
      <c r="G1460" s="178">
        <f t="shared" si="155"/>
        <v>261840</v>
      </c>
      <c r="H1460" s="178">
        <v>244810</v>
      </c>
      <c r="I1460" s="184">
        <f t="shared" si="160"/>
        <v>-17030</v>
      </c>
      <c r="J1460" s="632">
        <f>I1460/G1460</f>
        <v>-6.5039718912312861E-2</v>
      </c>
    </row>
    <row r="1461" spans="1:10">
      <c r="C1461" s="222" t="s">
        <v>288</v>
      </c>
      <c r="D1461" s="178">
        <f t="shared" ref="D1461:F1461" si="162">D1457-D1460</f>
        <v>1327579</v>
      </c>
      <c r="E1461" s="178">
        <f t="shared" si="162"/>
        <v>23234</v>
      </c>
      <c r="F1461" s="178">
        <f t="shared" si="162"/>
        <v>445</v>
      </c>
      <c r="G1461" s="178">
        <f t="shared" si="155"/>
        <v>1351258</v>
      </c>
      <c r="H1461" s="178">
        <v>1408290</v>
      </c>
      <c r="I1461" s="184">
        <f t="shared" si="160"/>
        <v>57032</v>
      </c>
      <c r="J1461" s="632">
        <f>I1461/G1461</f>
        <v>4.220659563162623E-2</v>
      </c>
    </row>
    <row r="1462" spans="1:10">
      <c r="C1462" s="222"/>
      <c r="D1462" s="185"/>
      <c r="E1462" s="185"/>
      <c r="F1462" s="185"/>
      <c r="G1462" s="185">
        <f t="shared" si="155"/>
        <v>0</v>
      </c>
      <c r="H1462" s="185">
        <v>0</v>
      </c>
      <c r="I1462" s="268">
        <f t="shared" si="160"/>
        <v>0</v>
      </c>
      <c r="J1462" s="634"/>
    </row>
    <row r="1463" spans="1:10" ht="15">
      <c r="A1463" s="169" t="s">
        <v>295</v>
      </c>
      <c r="B1463" s="169" t="s">
        <v>744</v>
      </c>
      <c r="C1463" s="372" t="s">
        <v>359</v>
      </c>
      <c r="D1463" s="280">
        <f t="shared" ref="D1463:F1463" si="163">D1464</f>
        <v>210567</v>
      </c>
      <c r="E1463" s="280">
        <f t="shared" si="163"/>
        <v>0</v>
      </c>
      <c r="F1463" s="280">
        <f t="shared" si="163"/>
        <v>-3280</v>
      </c>
      <c r="G1463" s="280">
        <f t="shared" ref="G1463:G1525" si="164">SUM(D1463:F1463)</f>
        <v>207287</v>
      </c>
      <c r="H1463" s="280">
        <v>203800</v>
      </c>
      <c r="I1463" s="659">
        <f t="shared" si="160"/>
        <v>-3487</v>
      </c>
      <c r="J1463" s="660">
        <f>I1463/G1463</f>
        <v>-1.682208725100947E-2</v>
      </c>
    </row>
    <row r="1464" spans="1:10">
      <c r="C1464" s="223" t="s">
        <v>745</v>
      </c>
      <c r="D1464" s="226">
        <f>203375+6467+725</f>
        <v>210567</v>
      </c>
      <c r="E1464" s="226"/>
      <c r="F1464" s="226">
        <v>-3280</v>
      </c>
      <c r="G1464" s="226">
        <f t="shared" si="164"/>
        <v>207287</v>
      </c>
      <c r="H1464" s="226">
        <v>203800</v>
      </c>
      <c r="I1464" s="665">
        <f t="shared" si="160"/>
        <v>-3487</v>
      </c>
      <c r="J1464" s="666">
        <f>I1464/G1464</f>
        <v>-1.682208725100947E-2</v>
      </c>
    </row>
    <row r="1465" spans="1:10">
      <c r="C1465" s="202" t="s">
        <v>291</v>
      </c>
      <c r="D1465" s="189">
        <f>98049+4834+541</f>
        <v>103424</v>
      </c>
      <c r="E1465" s="189"/>
      <c r="F1465" s="189"/>
      <c r="G1465" s="189">
        <f t="shared" si="164"/>
        <v>103424</v>
      </c>
      <c r="H1465" s="189">
        <v>100510</v>
      </c>
      <c r="I1465" s="184">
        <f t="shared" si="160"/>
        <v>-2914</v>
      </c>
      <c r="J1465" s="632">
        <f>I1465/G1465</f>
        <v>-2.8175278465346534E-2</v>
      </c>
    </row>
    <row r="1466" spans="1:10">
      <c r="C1466" s="239"/>
      <c r="D1466" s="189"/>
      <c r="E1466" s="189"/>
      <c r="F1466" s="189"/>
      <c r="G1466" s="189">
        <f t="shared" si="164"/>
        <v>0</v>
      </c>
      <c r="H1466" s="189">
        <v>0</v>
      </c>
      <c r="I1466" s="184">
        <f t="shared" si="160"/>
        <v>0</v>
      </c>
      <c r="J1466" s="632"/>
    </row>
    <row r="1467" spans="1:10" ht="15">
      <c r="A1467" s="169" t="s">
        <v>423</v>
      </c>
      <c r="B1467" s="169" t="s">
        <v>744</v>
      </c>
      <c r="C1467" s="382" t="s">
        <v>424</v>
      </c>
      <c r="D1467" s="280">
        <f t="shared" ref="D1467:F1467" si="165">D1468</f>
        <v>106770</v>
      </c>
      <c r="E1467" s="280">
        <f t="shared" si="165"/>
        <v>0</v>
      </c>
      <c r="F1467" s="280">
        <f t="shared" si="165"/>
        <v>100</v>
      </c>
      <c r="G1467" s="280">
        <f t="shared" si="164"/>
        <v>106870</v>
      </c>
      <c r="H1467" s="280">
        <v>114000</v>
      </c>
      <c r="I1467" s="659">
        <f t="shared" si="160"/>
        <v>7130</v>
      </c>
      <c r="J1467" s="660">
        <f>I1467/G1467</f>
        <v>6.671657153551043E-2</v>
      </c>
    </row>
    <row r="1468" spans="1:10">
      <c r="C1468" s="254" t="s">
        <v>425</v>
      </c>
      <c r="D1468" s="226">
        <f t="shared" ref="D1468:F1468" si="166">D1470</f>
        <v>106770</v>
      </c>
      <c r="E1468" s="226">
        <f t="shared" si="166"/>
        <v>0</v>
      </c>
      <c r="F1468" s="226">
        <f t="shared" si="166"/>
        <v>100</v>
      </c>
      <c r="G1468" s="226">
        <f t="shared" si="164"/>
        <v>106870</v>
      </c>
      <c r="H1468" s="226">
        <v>114000</v>
      </c>
      <c r="I1468" s="665">
        <f t="shared" si="160"/>
        <v>7130</v>
      </c>
      <c r="J1468" s="666">
        <f>I1468/G1468</f>
        <v>6.671657153551043E-2</v>
      </c>
    </row>
    <row r="1469" spans="1:10">
      <c r="C1469" s="374" t="s">
        <v>348</v>
      </c>
      <c r="D1469" s="189"/>
      <c r="E1469" s="189"/>
      <c r="F1469" s="189"/>
      <c r="G1469" s="189">
        <f t="shared" si="164"/>
        <v>0</v>
      </c>
      <c r="H1469" s="189">
        <v>0</v>
      </c>
      <c r="I1469" s="184">
        <f t="shared" si="160"/>
        <v>0</v>
      </c>
      <c r="J1469" s="632"/>
    </row>
    <row r="1470" spans="1:10">
      <c r="C1470" s="236" t="s">
        <v>746</v>
      </c>
      <c r="D1470" s="185">
        <v>106770</v>
      </c>
      <c r="E1470" s="185"/>
      <c r="F1470" s="185">
        <v>100</v>
      </c>
      <c r="G1470" s="185">
        <f t="shared" si="164"/>
        <v>106870</v>
      </c>
      <c r="H1470" s="185">
        <v>114000</v>
      </c>
      <c r="I1470" s="268">
        <f t="shared" si="160"/>
        <v>7130</v>
      </c>
      <c r="J1470" s="634">
        <f>I1470/G1470</f>
        <v>6.671657153551043E-2</v>
      </c>
    </row>
    <row r="1471" spans="1:10">
      <c r="C1471" s="271" t="s">
        <v>291</v>
      </c>
      <c r="D1471" s="189">
        <v>56362</v>
      </c>
      <c r="E1471" s="189"/>
      <c r="F1471" s="189"/>
      <c r="G1471" s="189">
        <f t="shared" si="164"/>
        <v>56362</v>
      </c>
      <c r="H1471" s="189">
        <v>58790</v>
      </c>
      <c r="I1471" s="184">
        <f t="shared" si="160"/>
        <v>2428</v>
      </c>
      <c r="J1471" s="632">
        <f>I1471/G1471</f>
        <v>4.307867002590398E-2</v>
      </c>
    </row>
    <row r="1472" spans="1:10">
      <c r="C1472" s="222"/>
      <c r="D1472" s="185"/>
      <c r="E1472" s="185"/>
      <c r="F1472" s="185"/>
      <c r="G1472" s="185">
        <f t="shared" si="164"/>
        <v>0</v>
      </c>
      <c r="H1472" s="185">
        <v>0</v>
      </c>
      <c r="I1472" s="268">
        <f t="shared" si="160"/>
        <v>0</v>
      </c>
      <c r="J1472" s="634"/>
    </row>
    <row r="1473" spans="1:10" ht="15">
      <c r="A1473" s="169" t="s">
        <v>461</v>
      </c>
      <c r="B1473" s="169" t="s">
        <v>744</v>
      </c>
      <c r="C1473" s="372" t="s">
        <v>462</v>
      </c>
      <c r="D1473" s="280">
        <f t="shared" ref="D1473:F1473" si="167">D1474</f>
        <v>164031</v>
      </c>
      <c r="E1473" s="280">
        <f t="shared" si="167"/>
        <v>3234</v>
      </c>
      <c r="F1473" s="280">
        <f t="shared" si="167"/>
        <v>3300</v>
      </c>
      <c r="G1473" s="280">
        <f t="shared" si="164"/>
        <v>170565</v>
      </c>
      <c r="H1473" s="280">
        <v>179600</v>
      </c>
      <c r="I1473" s="659">
        <f t="shared" si="160"/>
        <v>9035</v>
      </c>
      <c r="J1473" s="660">
        <f>I1473/G1473</f>
        <v>5.2971008120071529E-2</v>
      </c>
    </row>
    <row r="1474" spans="1:10">
      <c r="C1474" s="375" t="s">
        <v>702</v>
      </c>
      <c r="D1474" s="226">
        <f>D1476+D1480</f>
        <v>164031</v>
      </c>
      <c r="E1474" s="226">
        <f>E1476+E1480</f>
        <v>3234</v>
      </c>
      <c r="F1474" s="226">
        <f>F1476+F1480</f>
        <v>3300</v>
      </c>
      <c r="G1474" s="226">
        <f t="shared" si="164"/>
        <v>170565</v>
      </c>
      <c r="H1474" s="226">
        <v>179600</v>
      </c>
      <c r="I1474" s="665">
        <f t="shared" si="160"/>
        <v>9035</v>
      </c>
      <c r="J1474" s="666">
        <f>I1474/G1474</f>
        <v>5.2971008120071529E-2</v>
      </c>
    </row>
    <row r="1475" spans="1:10">
      <c r="C1475" s="376" t="s">
        <v>348</v>
      </c>
      <c r="D1475" s="185"/>
      <c r="E1475" s="185"/>
      <c r="F1475" s="185"/>
      <c r="G1475" s="185">
        <f t="shared" si="164"/>
        <v>0</v>
      </c>
      <c r="H1475" s="185">
        <v>0</v>
      </c>
      <c r="I1475" s="268">
        <f t="shared" si="160"/>
        <v>0</v>
      </c>
      <c r="J1475" s="634"/>
    </row>
    <row r="1476" spans="1:10">
      <c r="C1476" s="377" t="s">
        <v>747</v>
      </c>
      <c r="D1476" s="185">
        <v>118754</v>
      </c>
      <c r="E1476" s="185">
        <v>2016</v>
      </c>
      <c r="F1476" s="185">
        <v>3300</v>
      </c>
      <c r="G1476" s="185">
        <f t="shared" si="164"/>
        <v>124070</v>
      </c>
      <c r="H1476" s="185">
        <v>131900</v>
      </c>
      <c r="I1476" s="268">
        <f t="shared" si="160"/>
        <v>7830</v>
      </c>
      <c r="J1476" s="634">
        <f>I1476/G1476</f>
        <v>6.3109534939953249E-2</v>
      </c>
    </row>
    <row r="1477" spans="1:10">
      <c r="C1477" s="208" t="s">
        <v>291</v>
      </c>
      <c r="D1477" s="189">
        <v>58220</v>
      </c>
      <c r="E1477" s="189">
        <v>1507</v>
      </c>
      <c r="F1477" s="189"/>
      <c r="G1477" s="189">
        <f t="shared" si="164"/>
        <v>59727</v>
      </c>
      <c r="H1477" s="189">
        <v>67975</v>
      </c>
      <c r="I1477" s="184">
        <f t="shared" si="160"/>
        <v>8248</v>
      </c>
      <c r="J1477" s="632">
        <f>I1477/G1477</f>
        <v>0.13809499891171498</v>
      </c>
    </row>
    <row r="1478" spans="1:10">
      <c r="C1478" s="387"/>
      <c r="D1478" s="185"/>
      <c r="E1478" s="185"/>
      <c r="F1478" s="185"/>
      <c r="G1478" s="185">
        <f t="shared" si="164"/>
        <v>0</v>
      </c>
      <c r="H1478" s="185">
        <v>0</v>
      </c>
      <c r="I1478" s="268">
        <f t="shared" si="160"/>
        <v>0</v>
      </c>
      <c r="J1478" s="634"/>
    </row>
    <row r="1479" spans="1:10">
      <c r="C1479" s="376" t="s">
        <v>348</v>
      </c>
      <c r="D1479" s="185"/>
      <c r="E1479" s="185"/>
      <c r="F1479" s="185"/>
      <c r="G1479" s="185">
        <f t="shared" si="164"/>
        <v>0</v>
      </c>
      <c r="H1479" s="185">
        <v>0</v>
      </c>
      <c r="I1479" s="268">
        <f t="shared" si="160"/>
        <v>0</v>
      </c>
      <c r="J1479" s="634"/>
    </row>
    <row r="1480" spans="1:10">
      <c r="C1480" s="377" t="s">
        <v>748</v>
      </c>
      <c r="D1480" s="185">
        <v>45277</v>
      </c>
      <c r="E1480" s="185">
        <v>1218</v>
      </c>
      <c r="F1480" s="185"/>
      <c r="G1480" s="185">
        <f t="shared" si="164"/>
        <v>46495</v>
      </c>
      <c r="H1480" s="185">
        <v>47700</v>
      </c>
      <c r="I1480" s="268">
        <f t="shared" si="160"/>
        <v>1205</v>
      </c>
      <c r="J1480" s="634">
        <f>I1480/G1480</f>
        <v>2.5916765243574579E-2</v>
      </c>
    </row>
    <row r="1481" spans="1:10">
      <c r="C1481" s="208" t="s">
        <v>291</v>
      </c>
      <c r="D1481" s="189">
        <v>31536</v>
      </c>
      <c r="E1481" s="189">
        <v>910</v>
      </c>
      <c r="F1481" s="189"/>
      <c r="G1481" s="189">
        <f t="shared" si="164"/>
        <v>32446</v>
      </c>
      <c r="H1481" s="189">
        <v>33315</v>
      </c>
      <c r="I1481" s="184">
        <f t="shared" si="160"/>
        <v>869</v>
      </c>
      <c r="J1481" s="632">
        <f>I1481/G1481</f>
        <v>2.6782962460703937E-2</v>
      </c>
    </row>
    <row r="1482" spans="1:10">
      <c r="C1482" s="281"/>
      <c r="D1482" s="185"/>
      <c r="E1482" s="185"/>
      <c r="F1482" s="185"/>
      <c r="G1482" s="185">
        <f t="shared" si="164"/>
        <v>0</v>
      </c>
      <c r="H1482" s="185">
        <v>0</v>
      </c>
      <c r="I1482" s="268">
        <f t="shared" si="160"/>
        <v>0</v>
      </c>
      <c r="J1482" s="634"/>
    </row>
    <row r="1483" spans="1:10" ht="15">
      <c r="A1483" s="169" t="s">
        <v>632</v>
      </c>
      <c r="B1483" s="169" t="s">
        <v>744</v>
      </c>
      <c r="C1483" s="372" t="s">
        <v>633</v>
      </c>
      <c r="D1483" s="280">
        <f t="shared" ref="D1483:F1483" si="168">D1484</f>
        <v>148716</v>
      </c>
      <c r="E1483" s="280">
        <f t="shared" si="168"/>
        <v>0</v>
      </c>
      <c r="F1483" s="280">
        <f t="shared" si="168"/>
        <v>0</v>
      </c>
      <c r="G1483" s="280">
        <f t="shared" si="164"/>
        <v>148716</v>
      </c>
      <c r="H1483" s="280">
        <v>158200</v>
      </c>
      <c r="I1483" s="659">
        <f t="shared" si="160"/>
        <v>9484</v>
      </c>
      <c r="J1483" s="660">
        <f>I1483/G1483</f>
        <v>6.3772559778369514E-2</v>
      </c>
    </row>
    <row r="1484" spans="1:10">
      <c r="C1484" s="223" t="s">
        <v>634</v>
      </c>
      <c r="D1484" s="226">
        <v>148716</v>
      </c>
      <c r="E1484" s="226"/>
      <c r="F1484" s="226"/>
      <c r="G1484" s="226">
        <f t="shared" si="164"/>
        <v>148716</v>
      </c>
      <c r="H1484" s="226">
        <v>158200</v>
      </c>
      <c r="I1484" s="665">
        <f t="shared" si="160"/>
        <v>9484</v>
      </c>
      <c r="J1484" s="666">
        <f>I1484/G1484</f>
        <v>6.3772559778369514E-2</v>
      </c>
    </row>
    <row r="1485" spans="1:10">
      <c r="C1485" s="203"/>
      <c r="D1485" s="242"/>
      <c r="E1485" s="242"/>
      <c r="F1485" s="242"/>
      <c r="G1485" s="242">
        <f t="shared" si="164"/>
        <v>0</v>
      </c>
      <c r="H1485" s="242">
        <v>0</v>
      </c>
      <c r="I1485" s="520">
        <f t="shared" si="160"/>
        <v>0</v>
      </c>
      <c r="J1485" s="638"/>
    </row>
    <row r="1486" spans="1:10">
      <c r="C1486" s="336" t="s">
        <v>351</v>
      </c>
      <c r="D1486" s="176">
        <f>D1488+D1491+D1495+D1499+D1501+D1493+D1497</f>
        <v>929395</v>
      </c>
      <c r="E1486" s="176">
        <f>E1488+E1491+E1495+E1499+E1501+E1493+E1497</f>
        <v>46300</v>
      </c>
      <c r="F1486" s="176">
        <f>F1488+F1491+F1495+F1499+F1501+F1493+F1497</f>
        <v>3965</v>
      </c>
      <c r="G1486" s="176">
        <f t="shared" si="164"/>
        <v>979660</v>
      </c>
      <c r="H1486" s="176">
        <v>997500</v>
      </c>
      <c r="I1486" s="659">
        <f t="shared" si="160"/>
        <v>17840</v>
      </c>
      <c r="J1486" s="660">
        <f>I1486/G1486</f>
        <v>1.8210399526366289E-2</v>
      </c>
    </row>
    <row r="1487" spans="1:10">
      <c r="C1487" s="336"/>
      <c r="D1487" s="185"/>
      <c r="E1487" s="185"/>
      <c r="F1487" s="185"/>
      <c r="G1487" s="185">
        <f t="shared" si="164"/>
        <v>0</v>
      </c>
      <c r="H1487" s="185">
        <v>0</v>
      </c>
      <c r="I1487" s="268">
        <f t="shared" si="160"/>
        <v>0</v>
      </c>
      <c r="J1487" s="634"/>
    </row>
    <row r="1488" spans="1:10">
      <c r="A1488" s="169" t="s">
        <v>289</v>
      </c>
      <c r="B1488" s="169" t="s">
        <v>744</v>
      </c>
      <c r="C1488" s="206" t="s">
        <v>705</v>
      </c>
      <c r="D1488" s="185">
        <f>737202+10533+348</f>
        <v>748083</v>
      </c>
      <c r="E1488" s="185">
        <v>10000</v>
      </c>
      <c r="F1488" s="185">
        <v>445</v>
      </c>
      <c r="G1488" s="185">
        <f t="shared" si="164"/>
        <v>758528</v>
      </c>
      <c r="H1488" s="185">
        <v>792300</v>
      </c>
      <c r="I1488" s="268">
        <f t="shared" si="160"/>
        <v>33772</v>
      </c>
      <c r="J1488" s="634">
        <f>I1488/G1488</f>
        <v>4.4523076274046572E-2</v>
      </c>
    </row>
    <row r="1489" spans="1:10">
      <c r="C1489" s="196" t="s">
        <v>291</v>
      </c>
      <c r="D1489" s="189">
        <f>443444+7872+260</f>
        <v>451576</v>
      </c>
      <c r="E1489" s="189"/>
      <c r="F1489" s="189">
        <v>-1416</v>
      </c>
      <c r="G1489" s="189">
        <f t="shared" si="164"/>
        <v>450160</v>
      </c>
      <c r="H1489" s="189">
        <v>476935</v>
      </c>
      <c r="I1489" s="184">
        <f t="shared" si="160"/>
        <v>26775</v>
      </c>
      <c r="J1489" s="632">
        <f>I1489/G1489</f>
        <v>5.9478851963746221E-2</v>
      </c>
    </row>
    <row r="1490" spans="1:10">
      <c r="C1490" s="310"/>
      <c r="D1490" s="185"/>
      <c r="E1490" s="185"/>
      <c r="F1490" s="185"/>
      <c r="G1490" s="185">
        <f t="shared" si="164"/>
        <v>0</v>
      </c>
      <c r="H1490" s="185">
        <v>0</v>
      </c>
      <c r="I1490" s="268">
        <f t="shared" si="160"/>
        <v>0</v>
      </c>
      <c r="J1490" s="634"/>
    </row>
    <row r="1491" spans="1:10">
      <c r="A1491" s="169" t="s">
        <v>295</v>
      </c>
      <c r="B1491" s="169" t="s">
        <v>744</v>
      </c>
      <c r="C1491" s="378" t="s">
        <v>706</v>
      </c>
      <c r="D1491" s="185">
        <v>23310</v>
      </c>
      <c r="E1491" s="185">
        <v>30000</v>
      </c>
      <c r="F1491" s="185">
        <v>9090</v>
      </c>
      <c r="G1491" s="185">
        <f t="shared" si="164"/>
        <v>62400</v>
      </c>
      <c r="H1491" s="185">
        <v>31000</v>
      </c>
      <c r="I1491" s="268">
        <f t="shared" si="160"/>
        <v>-31400</v>
      </c>
      <c r="J1491" s="634">
        <f>I1491/G1491</f>
        <v>-0.50320512820512819</v>
      </c>
    </row>
    <row r="1492" spans="1:10">
      <c r="C1492" s="378"/>
      <c r="D1492" s="185"/>
      <c r="E1492" s="185"/>
      <c r="F1492" s="185"/>
      <c r="G1492" s="185">
        <f t="shared" si="164"/>
        <v>0</v>
      </c>
      <c r="H1492" s="185">
        <v>0</v>
      </c>
      <c r="I1492" s="268">
        <f t="shared" si="160"/>
        <v>0</v>
      </c>
      <c r="J1492" s="634"/>
    </row>
    <row r="1493" spans="1:10">
      <c r="A1493" s="169" t="s">
        <v>461</v>
      </c>
      <c r="B1493" s="169" t="s">
        <v>744</v>
      </c>
      <c r="C1493" s="378" t="s">
        <v>707</v>
      </c>
      <c r="D1493" s="185">
        <v>9600</v>
      </c>
      <c r="E1493" s="185"/>
      <c r="F1493" s="185"/>
      <c r="G1493" s="185">
        <f t="shared" si="164"/>
        <v>9600</v>
      </c>
      <c r="H1493" s="185">
        <v>9600</v>
      </c>
      <c r="I1493" s="268">
        <f t="shared" si="160"/>
        <v>0</v>
      </c>
      <c r="J1493" s="634">
        <f>I1493/G1493</f>
        <v>0</v>
      </c>
    </row>
    <row r="1494" spans="1:10">
      <c r="C1494" s="194"/>
      <c r="D1494" s="185"/>
      <c r="E1494" s="185"/>
      <c r="F1494" s="185"/>
      <c r="G1494" s="185">
        <f t="shared" si="164"/>
        <v>0</v>
      </c>
      <c r="H1494" s="185">
        <v>0</v>
      </c>
      <c r="I1494" s="268">
        <f t="shared" si="160"/>
        <v>0</v>
      </c>
      <c r="J1494" s="634"/>
    </row>
    <row r="1495" spans="1:10">
      <c r="A1495" s="169" t="s">
        <v>632</v>
      </c>
      <c r="B1495" s="169" t="s">
        <v>744</v>
      </c>
      <c r="C1495" s="213" t="s">
        <v>649</v>
      </c>
      <c r="D1495" s="185">
        <v>35309</v>
      </c>
      <c r="E1495" s="185">
        <v>1300</v>
      </c>
      <c r="F1495" s="185">
        <v>5010</v>
      </c>
      <c r="G1495" s="185">
        <f t="shared" si="164"/>
        <v>41619</v>
      </c>
      <c r="H1495" s="185">
        <v>35000</v>
      </c>
      <c r="I1495" s="268">
        <f t="shared" si="160"/>
        <v>-6619</v>
      </c>
      <c r="J1495" s="634">
        <f>I1495/G1495</f>
        <v>-0.15903793940267666</v>
      </c>
    </row>
    <row r="1496" spans="1:10">
      <c r="C1496" s="213"/>
      <c r="D1496" s="185"/>
      <c r="E1496" s="185"/>
      <c r="F1496" s="185"/>
      <c r="G1496" s="185">
        <f t="shared" si="164"/>
        <v>0</v>
      </c>
      <c r="H1496" s="185">
        <v>0</v>
      </c>
      <c r="I1496" s="268">
        <f t="shared" si="160"/>
        <v>0</v>
      </c>
      <c r="J1496" s="634"/>
    </row>
    <row r="1497" spans="1:10">
      <c r="A1497" s="169" t="s">
        <v>632</v>
      </c>
      <c r="B1497" s="169" t="s">
        <v>744</v>
      </c>
      <c r="C1497" s="378" t="s">
        <v>708</v>
      </c>
      <c r="D1497" s="185">
        <v>76000</v>
      </c>
      <c r="E1497" s="185">
        <v>5000</v>
      </c>
      <c r="F1497" s="185"/>
      <c r="G1497" s="185">
        <f t="shared" si="164"/>
        <v>81000</v>
      </c>
      <c r="H1497" s="185">
        <v>92500</v>
      </c>
      <c r="I1497" s="268">
        <f t="shared" si="160"/>
        <v>11500</v>
      </c>
      <c r="J1497" s="634">
        <f>I1497/G1497</f>
        <v>0.1419753086419753</v>
      </c>
    </row>
    <row r="1498" spans="1:10">
      <c r="C1498" s="203"/>
      <c r="D1498" s="185"/>
      <c r="E1498" s="185"/>
      <c r="F1498" s="185"/>
      <c r="G1498" s="185">
        <f t="shared" si="164"/>
        <v>0</v>
      </c>
      <c r="H1498" s="185">
        <v>0</v>
      </c>
      <c r="I1498" s="268">
        <f t="shared" si="160"/>
        <v>0</v>
      </c>
      <c r="J1498" s="634"/>
    </row>
    <row r="1499" spans="1:10">
      <c r="A1499" s="169" t="s">
        <v>538</v>
      </c>
      <c r="B1499" s="169" t="s">
        <v>744</v>
      </c>
      <c r="C1499" s="195" t="s">
        <v>556</v>
      </c>
      <c r="D1499" s="185">
        <v>24573</v>
      </c>
      <c r="E1499" s="185"/>
      <c r="F1499" s="185"/>
      <c r="G1499" s="185">
        <f t="shared" si="164"/>
        <v>24573</v>
      </c>
      <c r="H1499" s="185">
        <v>24600</v>
      </c>
      <c r="I1499" s="268">
        <f t="shared" si="160"/>
        <v>27</v>
      </c>
      <c r="J1499" s="634">
        <f>I1499/G1499</f>
        <v>1.0987669393236479E-3</v>
      </c>
    </row>
    <row r="1500" spans="1:10">
      <c r="C1500" s="341"/>
      <c r="D1500" s="185"/>
      <c r="E1500" s="185"/>
      <c r="F1500" s="185"/>
      <c r="G1500" s="185">
        <f t="shared" si="164"/>
        <v>0</v>
      </c>
      <c r="H1500" s="185">
        <v>0</v>
      </c>
      <c r="I1500" s="268">
        <f t="shared" si="160"/>
        <v>0</v>
      </c>
      <c r="J1500" s="634"/>
    </row>
    <row r="1501" spans="1:10">
      <c r="A1501" s="169" t="s">
        <v>710</v>
      </c>
      <c r="B1501" s="169" t="s">
        <v>744</v>
      </c>
      <c r="C1501" s="195" t="s">
        <v>711</v>
      </c>
      <c r="D1501" s="185">
        <v>12520</v>
      </c>
      <c r="E1501" s="185"/>
      <c r="F1501" s="185">
        <v>-10580</v>
      </c>
      <c r="G1501" s="185">
        <f t="shared" si="164"/>
        <v>1940</v>
      </c>
      <c r="H1501" s="185">
        <v>12500</v>
      </c>
      <c r="I1501" s="268">
        <f t="shared" si="160"/>
        <v>10560</v>
      </c>
      <c r="J1501" s="634">
        <f>I1501/G1501</f>
        <v>5.4432989690721651</v>
      </c>
    </row>
    <row r="1502" spans="1:10">
      <c r="C1502" s="201"/>
      <c r="D1502" s="185"/>
      <c r="E1502" s="185"/>
      <c r="F1502" s="185"/>
      <c r="G1502" s="185">
        <f t="shared" si="164"/>
        <v>0</v>
      </c>
      <c r="H1502" s="185">
        <v>0</v>
      </c>
      <c r="I1502" s="268">
        <f t="shared" si="160"/>
        <v>0</v>
      </c>
      <c r="J1502" s="634"/>
    </row>
    <row r="1503" spans="1:10">
      <c r="C1503" s="201"/>
      <c r="D1503" s="185"/>
      <c r="E1503" s="185"/>
      <c r="F1503" s="185"/>
      <c r="G1503" s="185">
        <f t="shared" si="164"/>
        <v>0</v>
      </c>
      <c r="H1503" s="185">
        <v>0</v>
      </c>
      <c r="I1503" s="268">
        <f t="shared" si="160"/>
        <v>0</v>
      </c>
      <c r="J1503" s="634"/>
    </row>
    <row r="1504" spans="1:10" ht="15.75">
      <c r="C1504" s="225" t="s">
        <v>749</v>
      </c>
      <c r="D1504" s="185"/>
      <c r="E1504" s="185"/>
      <c r="F1504" s="185"/>
      <c r="G1504" s="185">
        <f t="shared" si="164"/>
        <v>0</v>
      </c>
      <c r="H1504" s="185">
        <v>0</v>
      </c>
      <c r="I1504" s="268">
        <f t="shared" si="160"/>
        <v>0</v>
      </c>
      <c r="J1504" s="634"/>
    </row>
    <row r="1505" spans="1:10">
      <c r="C1505" s="201"/>
      <c r="D1505" s="185"/>
      <c r="E1505" s="185"/>
      <c r="F1505" s="185"/>
      <c r="G1505" s="185">
        <f t="shared" si="164"/>
        <v>0</v>
      </c>
      <c r="H1505" s="185">
        <v>0</v>
      </c>
      <c r="I1505" s="268">
        <f t="shared" si="160"/>
        <v>0</v>
      </c>
      <c r="J1505" s="634"/>
    </row>
    <row r="1506" spans="1:10">
      <c r="C1506" s="219" t="s">
        <v>5</v>
      </c>
      <c r="D1506" s="176">
        <f>D1512+D1523+D1533+D1536+D1516</f>
        <v>4250399</v>
      </c>
      <c r="E1506" s="176">
        <f>E1512+E1523+E1533+E1536+E1516</f>
        <v>-34209</v>
      </c>
      <c r="F1506" s="176">
        <f>F1512+F1523+F1533+F1536+F1516</f>
        <v>-31257</v>
      </c>
      <c r="G1506" s="176">
        <f>SUM(D1506:F1506)</f>
        <v>4184933</v>
      </c>
      <c r="H1506" s="176">
        <v>4193300</v>
      </c>
      <c r="I1506" s="659">
        <f t="shared" si="160"/>
        <v>8367</v>
      </c>
      <c r="J1506" s="660">
        <f>I1506/G1506</f>
        <v>1.9993151622738044E-3</v>
      </c>
    </row>
    <row r="1507" spans="1:10">
      <c r="C1507" s="177" t="s">
        <v>285</v>
      </c>
      <c r="D1507" s="178">
        <v>808400</v>
      </c>
      <c r="E1507" s="178"/>
      <c r="F1507" s="178"/>
      <c r="G1507" s="178">
        <f t="shared" si="164"/>
        <v>808400</v>
      </c>
      <c r="H1507" s="178">
        <v>673200</v>
      </c>
      <c r="I1507" s="184">
        <f t="shared" si="160"/>
        <v>-135200</v>
      </c>
      <c r="J1507" s="632">
        <f>I1507/G1507</f>
        <v>-0.16724393864423553</v>
      </c>
    </row>
    <row r="1508" spans="1:10">
      <c r="C1508" s="220" t="s">
        <v>286</v>
      </c>
      <c r="D1508" s="176">
        <f t="shared" ref="D1508:F1508" si="169">D1509+D1510</f>
        <v>4250399</v>
      </c>
      <c r="E1508" s="176">
        <f t="shared" si="169"/>
        <v>-34209</v>
      </c>
      <c r="F1508" s="176">
        <f t="shared" si="169"/>
        <v>-31257</v>
      </c>
      <c r="G1508" s="176">
        <f t="shared" si="164"/>
        <v>4184933</v>
      </c>
      <c r="H1508" s="176">
        <v>4193300</v>
      </c>
      <c r="I1508" s="659">
        <f t="shared" si="160"/>
        <v>8367</v>
      </c>
      <c r="J1508" s="660">
        <f>I1508/G1508</f>
        <v>1.9993151622738044E-3</v>
      </c>
    </row>
    <row r="1509" spans="1:10">
      <c r="C1509" s="221" t="s">
        <v>287</v>
      </c>
      <c r="D1509" s="178">
        <v>1457615</v>
      </c>
      <c r="E1509" s="178">
        <v>-178270</v>
      </c>
      <c r="F1509" s="178">
        <v>-24845</v>
      </c>
      <c r="G1509" s="178">
        <f t="shared" si="164"/>
        <v>1254500</v>
      </c>
      <c r="H1509" s="178">
        <v>1215730</v>
      </c>
      <c r="I1509" s="184">
        <f t="shared" si="160"/>
        <v>-38770</v>
      </c>
      <c r="J1509" s="632">
        <f>I1509/G1509</f>
        <v>-3.0904742925468316E-2</v>
      </c>
    </row>
    <row r="1510" spans="1:10">
      <c r="C1510" s="222" t="s">
        <v>288</v>
      </c>
      <c r="D1510" s="178">
        <f t="shared" ref="D1510:F1510" si="170">D1506-D1509</f>
        <v>2792784</v>
      </c>
      <c r="E1510" s="178">
        <f t="shared" si="170"/>
        <v>144061</v>
      </c>
      <c r="F1510" s="178">
        <f t="shared" si="170"/>
        <v>-6412</v>
      </c>
      <c r="G1510" s="178">
        <f t="shared" si="164"/>
        <v>2930433</v>
      </c>
      <c r="H1510" s="178">
        <v>2977570</v>
      </c>
      <c r="I1510" s="184">
        <f t="shared" si="160"/>
        <v>47137</v>
      </c>
      <c r="J1510" s="632">
        <f>I1510/G1510</f>
        <v>1.6085336194343977E-2</v>
      </c>
    </row>
    <row r="1511" spans="1:10">
      <c r="C1511" s="222"/>
      <c r="D1511" s="178"/>
      <c r="E1511" s="178"/>
      <c r="F1511" s="178"/>
      <c r="G1511" s="178">
        <f t="shared" si="164"/>
        <v>0</v>
      </c>
      <c r="H1511" s="178">
        <v>0</v>
      </c>
      <c r="I1511" s="184">
        <f t="shared" si="160"/>
        <v>0</v>
      </c>
      <c r="J1511" s="632"/>
    </row>
    <row r="1512" spans="1:10" ht="15">
      <c r="A1512" s="169" t="s">
        <v>295</v>
      </c>
      <c r="B1512" s="169" t="s">
        <v>749</v>
      </c>
      <c r="C1512" s="372" t="s">
        <v>359</v>
      </c>
      <c r="D1512" s="280">
        <f t="shared" ref="D1512:F1512" si="171">D1513</f>
        <v>701283</v>
      </c>
      <c r="E1512" s="280">
        <f t="shared" si="171"/>
        <v>28024</v>
      </c>
      <c r="F1512" s="280">
        <f t="shared" si="171"/>
        <v>0</v>
      </c>
      <c r="G1512" s="280">
        <f t="shared" si="164"/>
        <v>729307</v>
      </c>
      <c r="H1512" s="280">
        <v>644600</v>
      </c>
      <c r="I1512" s="659">
        <f t="shared" si="160"/>
        <v>-84707</v>
      </c>
      <c r="J1512" s="660">
        <f>I1512/G1512</f>
        <v>-0.11614724663276234</v>
      </c>
    </row>
    <row r="1513" spans="1:10">
      <c r="C1513" s="223" t="s">
        <v>750</v>
      </c>
      <c r="D1513" s="226">
        <f>537295+12887+1101+150000</f>
        <v>701283</v>
      </c>
      <c r="E1513" s="226">
        <v>28024</v>
      </c>
      <c r="F1513" s="226"/>
      <c r="G1513" s="226">
        <f t="shared" si="164"/>
        <v>729307</v>
      </c>
      <c r="H1513" s="226">
        <v>644600</v>
      </c>
      <c r="I1513" s="665">
        <f t="shared" si="160"/>
        <v>-84707</v>
      </c>
      <c r="J1513" s="666">
        <f>I1513/G1513</f>
        <v>-0.11614724663276234</v>
      </c>
    </row>
    <row r="1514" spans="1:10">
      <c r="C1514" s="202" t="s">
        <v>291</v>
      </c>
      <c r="D1514" s="214">
        <f>290642+9631+824+61470</f>
        <v>362567</v>
      </c>
      <c r="E1514" s="214"/>
      <c r="F1514" s="214"/>
      <c r="G1514" s="214">
        <f t="shared" si="164"/>
        <v>362567</v>
      </c>
      <c r="H1514" s="214">
        <v>340585</v>
      </c>
      <c r="I1514" s="663">
        <f t="shared" si="160"/>
        <v>-21982</v>
      </c>
      <c r="J1514" s="664">
        <f>I1514/G1514</f>
        <v>-6.0628794126326997E-2</v>
      </c>
    </row>
    <row r="1515" spans="1:10">
      <c r="C1515" s="239"/>
      <c r="D1515" s="189"/>
      <c r="E1515" s="189"/>
      <c r="F1515" s="189"/>
      <c r="G1515" s="189">
        <f t="shared" si="164"/>
        <v>0</v>
      </c>
      <c r="H1515" s="189">
        <v>0</v>
      </c>
      <c r="I1515" s="184">
        <f t="shared" si="160"/>
        <v>0</v>
      </c>
      <c r="J1515" s="632"/>
    </row>
    <row r="1516" spans="1:10" ht="15">
      <c r="A1516" s="169" t="s">
        <v>423</v>
      </c>
      <c r="B1516" s="169" t="s">
        <v>749</v>
      </c>
      <c r="C1516" s="372" t="s">
        <v>424</v>
      </c>
      <c r="D1516" s="280">
        <f t="shared" ref="D1516:F1516" si="172">D1517</f>
        <v>98877</v>
      </c>
      <c r="E1516" s="280">
        <f t="shared" si="172"/>
        <v>420</v>
      </c>
      <c r="F1516" s="280">
        <f t="shared" si="172"/>
        <v>2085</v>
      </c>
      <c r="G1516" s="280">
        <f t="shared" si="164"/>
        <v>101382</v>
      </c>
      <c r="H1516" s="280">
        <v>106300</v>
      </c>
      <c r="I1516" s="659">
        <f t="shared" si="160"/>
        <v>4918</v>
      </c>
      <c r="J1516" s="660">
        <f>I1516/G1516</f>
        <v>4.8509597364423666E-2</v>
      </c>
    </row>
    <row r="1517" spans="1:10">
      <c r="C1517" s="223" t="s">
        <v>425</v>
      </c>
      <c r="D1517" s="226">
        <f t="shared" ref="D1517:F1517" si="173">D1520</f>
        <v>98877</v>
      </c>
      <c r="E1517" s="226">
        <f t="shared" si="173"/>
        <v>420</v>
      </c>
      <c r="F1517" s="226">
        <f t="shared" si="173"/>
        <v>2085</v>
      </c>
      <c r="G1517" s="226">
        <f t="shared" si="164"/>
        <v>101382</v>
      </c>
      <c r="H1517" s="226">
        <v>106300</v>
      </c>
      <c r="I1517" s="665">
        <f t="shared" si="160"/>
        <v>4918</v>
      </c>
      <c r="J1517" s="666">
        <f>I1517/G1517</f>
        <v>4.8509597364423666E-2</v>
      </c>
    </row>
    <row r="1518" spans="1:10">
      <c r="C1518" s="388"/>
      <c r="D1518" s="189"/>
      <c r="E1518" s="189"/>
      <c r="F1518" s="189"/>
      <c r="G1518" s="189">
        <f t="shared" si="164"/>
        <v>0</v>
      </c>
      <c r="H1518" s="189">
        <v>0</v>
      </c>
      <c r="I1518" s="184">
        <f t="shared" si="160"/>
        <v>0</v>
      </c>
      <c r="J1518" s="632"/>
    </row>
    <row r="1519" spans="1:10">
      <c r="C1519" s="376" t="s">
        <v>348</v>
      </c>
      <c r="D1519" s="189"/>
      <c r="E1519" s="189"/>
      <c r="F1519" s="189"/>
      <c r="G1519" s="189">
        <f t="shared" si="164"/>
        <v>0</v>
      </c>
      <c r="H1519" s="189">
        <v>0</v>
      </c>
      <c r="I1519" s="184">
        <f t="shared" si="160"/>
        <v>0</v>
      </c>
      <c r="J1519" s="632"/>
    </row>
    <row r="1520" spans="1:10">
      <c r="C1520" s="377" t="s">
        <v>751</v>
      </c>
      <c r="D1520" s="185">
        <v>98877</v>
      </c>
      <c r="E1520" s="185">
        <v>420</v>
      </c>
      <c r="F1520" s="185">
        <v>2085</v>
      </c>
      <c r="G1520" s="185">
        <f t="shared" si="164"/>
        <v>101382</v>
      </c>
      <c r="H1520" s="185">
        <v>106300</v>
      </c>
      <c r="I1520" s="268">
        <f t="shared" si="160"/>
        <v>4918</v>
      </c>
      <c r="J1520" s="634">
        <f>I1520/G1520</f>
        <v>4.8509597364423666E-2</v>
      </c>
    </row>
    <row r="1521" spans="1:10">
      <c r="C1521" s="208" t="s">
        <v>291</v>
      </c>
      <c r="D1521" s="189">
        <v>52856</v>
      </c>
      <c r="E1521" s="189"/>
      <c r="F1521" s="189"/>
      <c r="G1521" s="189">
        <f t="shared" si="164"/>
        <v>52856</v>
      </c>
      <c r="H1521" s="189">
        <v>58180</v>
      </c>
      <c r="I1521" s="184">
        <f t="shared" si="160"/>
        <v>5324</v>
      </c>
      <c r="J1521" s="632">
        <f>I1521/G1521</f>
        <v>0.10072650219464205</v>
      </c>
    </row>
    <row r="1522" spans="1:10">
      <c r="C1522" s="222"/>
      <c r="D1522" s="342"/>
      <c r="E1522" s="342"/>
      <c r="F1522" s="342"/>
      <c r="G1522" s="342">
        <f t="shared" si="164"/>
        <v>0</v>
      </c>
      <c r="H1522" s="342">
        <v>0</v>
      </c>
      <c r="I1522" s="698">
        <f t="shared" ref="I1522:I1570" si="174">H1522-G1522</f>
        <v>0</v>
      </c>
      <c r="J1522" s="637"/>
    </row>
    <row r="1523" spans="1:10" ht="15">
      <c r="A1523" s="169" t="s">
        <v>461</v>
      </c>
      <c r="B1523" s="169" t="s">
        <v>749</v>
      </c>
      <c r="C1523" s="372" t="s">
        <v>462</v>
      </c>
      <c r="D1523" s="280">
        <f t="shared" ref="D1523:F1523" si="175">D1524</f>
        <v>643366</v>
      </c>
      <c r="E1523" s="280">
        <f t="shared" si="175"/>
        <v>15600</v>
      </c>
      <c r="F1523" s="280">
        <f t="shared" si="175"/>
        <v>4170</v>
      </c>
      <c r="G1523" s="280">
        <f t="shared" si="164"/>
        <v>663136</v>
      </c>
      <c r="H1523" s="280">
        <v>689900</v>
      </c>
      <c r="I1523" s="659">
        <f t="shared" si="174"/>
        <v>26764</v>
      </c>
      <c r="J1523" s="660">
        <f>I1523/G1523</f>
        <v>4.0359745210635525E-2</v>
      </c>
    </row>
    <row r="1524" spans="1:10">
      <c r="C1524" s="375" t="s">
        <v>702</v>
      </c>
      <c r="D1524" s="226">
        <f>D1526+D1530</f>
        <v>643366</v>
      </c>
      <c r="E1524" s="226">
        <f>E1526+E1530</f>
        <v>15600</v>
      </c>
      <c r="F1524" s="226">
        <f>F1526+F1530</f>
        <v>4170</v>
      </c>
      <c r="G1524" s="226">
        <f t="shared" si="164"/>
        <v>663136</v>
      </c>
      <c r="H1524" s="226">
        <v>689900</v>
      </c>
      <c r="I1524" s="665">
        <f t="shared" si="174"/>
        <v>26764</v>
      </c>
      <c r="J1524" s="666">
        <f>I1524/G1524</f>
        <v>4.0359745210635525E-2</v>
      </c>
    </row>
    <row r="1525" spans="1:10">
      <c r="C1525" s="376" t="s">
        <v>348</v>
      </c>
      <c r="D1525" s="185"/>
      <c r="E1525" s="185"/>
      <c r="F1525" s="185"/>
      <c r="G1525" s="185">
        <f t="shared" si="164"/>
        <v>0</v>
      </c>
      <c r="H1525" s="185">
        <v>0</v>
      </c>
      <c r="I1525" s="268">
        <f t="shared" si="174"/>
        <v>0</v>
      </c>
      <c r="J1525" s="634"/>
    </row>
    <row r="1526" spans="1:10">
      <c r="C1526" s="377" t="s">
        <v>752</v>
      </c>
      <c r="D1526" s="185">
        <v>231369</v>
      </c>
      <c r="E1526" s="185">
        <v>4307</v>
      </c>
      <c r="F1526" s="185"/>
      <c r="G1526" s="185">
        <f t="shared" ref="G1526:G1568" si="176">SUM(D1526:F1526)</f>
        <v>235676</v>
      </c>
      <c r="H1526" s="185">
        <v>239600</v>
      </c>
      <c r="I1526" s="268">
        <f t="shared" si="174"/>
        <v>3924</v>
      </c>
      <c r="J1526" s="634">
        <f>I1526/G1526</f>
        <v>1.6649977087187493E-2</v>
      </c>
    </row>
    <row r="1527" spans="1:10">
      <c r="C1527" s="208" t="s">
        <v>291</v>
      </c>
      <c r="D1527" s="189">
        <v>119242</v>
      </c>
      <c r="E1527" s="189">
        <v>3219</v>
      </c>
      <c r="F1527" s="189"/>
      <c r="G1527" s="189">
        <f t="shared" si="176"/>
        <v>122461</v>
      </c>
      <c r="H1527" s="189">
        <v>126035</v>
      </c>
      <c r="I1527" s="184">
        <f t="shared" si="174"/>
        <v>3574</v>
      </c>
      <c r="J1527" s="632">
        <f>I1527/G1527</f>
        <v>2.918480169196724E-2</v>
      </c>
    </row>
    <row r="1528" spans="1:10">
      <c r="C1528" s="377"/>
      <c r="D1528" s="185"/>
      <c r="E1528" s="185"/>
      <c r="F1528" s="185"/>
      <c r="G1528" s="185">
        <f t="shared" si="176"/>
        <v>0</v>
      </c>
      <c r="H1528" s="185">
        <v>0</v>
      </c>
      <c r="I1528" s="268">
        <f t="shared" si="174"/>
        <v>0</v>
      </c>
      <c r="J1528" s="634"/>
    </row>
    <row r="1529" spans="1:10">
      <c r="C1529" s="376" t="s">
        <v>348</v>
      </c>
      <c r="D1529" s="185"/>
      <c r="E1529" s="185"/>
      <c r="F1529" s="185"/>
      <c r="G1529" s="185">
        <f t="shared" si="176"/>
        <v>0</v>
      </c>
      <c r="H1529" s="185">
        <v>0</v>
      </c>
      <c r="I1529" s="268">
        <f t="shared" si="174"/>
        <v>0</v>
      </c>
      <c r="J1529" s="634"/>
    </row>
    <row r="1530" spans="1:10">
      <c r="C1530" s="389" t="s">
        <v>753</v>
      </c>
      <c r="D1530" s="185">
        <v>411997</v>
      </c>
      <c r="E1530" s="185">
        <v>11293</v>
      </c>
      <c r="F1530" s="185">
        <v>4170</v>
      </c>
      <c r="G1530" s="185">
        <f t="shared" si="176"/>
        <v>427460</v>
      </c>
      <c r="H1530" s="185">
        <v>450300</v>
      </c>
      <c r="I1530" s="268">
        <f t="shared" si="174"/>
        <v>22840</v>
      </c>
      <c r="J1530" s="634">
        <f>I1530/G1530</f>
        <v>5.3431900060824405E-2</v>
      </c>
    </row>
    <row r="1531" spans="1:10">
      <c r="C1531" s="271" t="s">
        <v>291</v>
      </c>
      <c r="D1531" s="189">
        <v>285190</v>
      </c>
      <c r="E1531" s="189">
        <v>8440</v>
      </c>
      <c r="F1531" s="189"/>
      <c r="G1531" s="189">
        <f t="shared" si="176"/>
        <v>293630</v>
      </c>
      <c r="H1531" s="189">
        <v>307385</v>
      </c>
      <c r="I1531" s="184">
        <f t="shared" si="174"/>
        <v>13755</v>
      </c>
      <c r="J1531" s="632">
        <f>I1531/G1531</f>
        <v>4.6844668460307187E-2</v>
      </c>
    </row>
    <row r="1532" spans="1:10">
      <c r="C1532" s="201"/>
      <c r="D1532" s="185"/>
      <c r="E1532" s="185"/>
      <c r="F1532" s="185"/>
      <c r="G1532" s="185">
        <f t="shared" si="176"/>
        <v>0</v>
      </c>
      <c r="H1532" s="185">
        <v>0</v>
      </c>
      <c r="I1532" s="268">
        <f t="shared" si="174"/>
        <v>0</v>
      </c>
      <c r="J1532" s="634"/>
    </row>
    <row r="1533" spans="1:10" ht="15">
      <c r="A1533" s="169" t="s">
        <v>632</v>
      </c>
      <c r="B1533" s="169" t="s">
        <v>749</v>
      </c>
      <c r="C1533" s="372" t="s">
        <v>633</v>
      </c>
      <c r="D1533" s="280">
        <f t="shared" ref="D1533:F1533" si="177">D1534</f>
        <v>234100</v>
      </c>
      <c r="E1533" s="280">
        <f t="shared" si="177"/>
        <v>0</v>
      </c>
      <c r="F1533" s="280">
        <f t="shared" si="177"/>
        <v>10000</v>
      </c>
      <c r="G1533" s="280">
        <f t="shared" si="176"/>
        <v>244100</v>
      </c>
      <c r="H1533" s="280">
        <v>254100</v>
      </c>
      <c r="I1533" s="659">
        <f t="shared" si="174"/>
        <v>10000</v>
      </c>
      <c r="J1533" s="660">
        <f>I1533/G1533</f>
        <v>4.0966816878328552E-2</v>
      </c>
    </row>
    <row r="1534" spans="1:10">
      <c r="C1534" s="223" t="s">
        <v>634</v>
      </c>
      <c r="D1534" s="226">
        <v>234100</v>
      </c>
      <c r="E1534" s="226"/>
      <c r="F1534" s="226">
        <v>10000</v>
      </c>
      <c r="G1534" s="226">
        <f t="shared" si="176"/>
        <v>244100</v>
      </c>
      <c r="H1534" s="226">
        <v>254100</v>
      </c>
      <c r="I1534" s="665">
        <f t="shared" si="174"/>
        <v>10000</v>
      </c>
      <c r="J1534" s="666">
        <f>I1534/G1534</f>
        <v>4.0966816878328552E-2</v>
      </c>
    </row>
    <row r="1535" spans="1:10">
      <c r="C1535" s="203"/>
      <c r="D1535" s="654"/>
      <c r="E1535" s="390"/>
      <c r="F1535" s="390"/>
      <c r="G1535" s="654">
        <f t="shared" si="176"/>
        <v>0</v>
      </c>
      <c r="H1535" s="390">
        <v>0</v>
      </c>
      <c r="I1535" s="390">
        <f t="shared" si="174"/>
        <v>0</v>
      </c>
      <c r="J1535" s="650"/>
    </row>
    <row r="1536" spans="1:10">
      <c r="C1536" s="336" t="s">
        <v>351</v>
      </c>
      <c r="D1536" s="176">
        <f>D1538+D1541+D1545+D1549+D1551+D1553+D1543+D1547</f>
        <v>2572773</v>
      </c>
      <c r="E1536" s="176">
        <f>E1538+E1541+E1545+E1549+E1551+E1553+E1543+E1547</f>
        <v>-78253</v>
      </c>
      <c r="F1536" s="176">
        <f>F1538+F1541+F1545+F1549+F1551+F1553+F1543+F1547</f>
        <v>-47512</v>
      </c>
      <c r="G1536" s="176">
        <f t="shared" si="176"/>
        <v>2447008</v>
      </c>
      <c r="H1536" s="176">
        <v>2498400</v>
      </c>
      <c r="I1536" s="659">
        <f t="shared" si="174"/>
        <v>51392</v>
      </c>
      <c r="J1536" s="660">
        <f>I1536/G1536</f>
        <v>2.1001974656396711E-2</v>
      </c>
    </row>
    <row r="1537" spans="1:10">
      <c r="C1537" s="336"/>
      <c r="D1537" s="176"/>
      <c r="E1537" s="176"/>
      <c r="F1537" s="176"/>
      <c r="G1537" s="176">
        <f t="shared" si="176"/>
        <v>0</v>
      </c>
      <c r="H1537" s="176">
        <v>0</v>
      </c>
      <c r="I1537" s="659">
        <f t="shared" si="174"/>
        <v>0</v>
      </c>
      <c r="J1537" s="660"/>
    </row>
    <row r="1538" spans="1:10">
      <c r="A1538" s="169" t="s">
        <v>289</v>
      </c>
      <c r="B1538" s="169" t="s">
        <v>749</v>
      </c>
      <c r="C1538" s="206" t="s">
        <v>705</v>
      </c>
      <c r="D1538" s="185">
        <f>1599551+9634+2348</f>
        <v>1611533</v>
      </c>
      <c r="E1538" s="185">
        <v>35437</v>
      </c>
      <c r="F1538" s="185">
        <v>-6412</v>
      </c>
      <c r="G1538" s="185">
        <f t="shared" si="176"/>
        <v>1640558</v>
      </c>
      <c r="H1538" s="185">
        <v>1739900</v>
      </c>
      <c r="I1538" s="268">
        <f t="shared" si="174"/>
        <v>99342</v>
      </c>
      <c r="J1538" s="634">
        <f>I1538/G1538</f>
        <v>6.0553787187042456E-2</v>
      </c>
    </row>
    <row r="1539" spans="1:10">
      <c r="C1539" s="196" t="s">
        <v>291</v>
      </c>
      <c r="D1539" s="189">
        <f>1022262+7200+1755</f>
        <v>1031217</v>
      </c>
      <c r="E1539" s="189">
        <v>20880</v>
      </c>
      <c r="F1539" s="189">
        <v>-4792</v>
      </c>
      <c r="G1539" s="189">
        <f t="shared" si="176"/>
        <v>1047305</v>
      </c>
      <c r="H1539" s="189">
        <v>1118890</v>
      </c>
      <c r="I1539" s="184">
        <f t="shared" si="174"/>
        <v>71585</v>
      </c>
      <c r="J1539" s="632">
        <f>I1539/G1539</f>
        <v>6.8351626317070951E-2</v>
      </c>
    </row>
    <row r="1540" spans="1:10">
      <c r="C1540" s="341"/>
      <c r="D1540" s="178"/>
      <c r="E1540" s="178"/>
      <c r="F1540" s="178"/>
      <c r="G1540" s="178">
        <f t="shared" si="176"/>
        <v>0</v>
      </c>
      <c r="H1540" s="178">
        <v>0</v>
      </c>
      <c r="I1540" s="184">
        <f t="shared" si="174"/>
        <v>0</v>
      </c>
      <c r="J1540" s="632"/>
    </row>
    <row r="1541" spans="1:10">
      <c r="A1541" s="169" t="s">
        <v>295</v>
      </c>
      <c r="B1541" s="169" t="s">
        <v>749</v>
      </c>
      <c r="C1541" s="378" t="s">
        <v>706</v>
      </c>
      <c r="D1541" s="185">
        <v>90000</v>
      </c>
      <c r="E1541" s="185"/>
      <c r="F1541" s="185">
        <v>-12000</v>
      </c>
      <c r="G1541" s="185">
        <f t="shared" si="176"/>
        <v>78000</v>
      </c>
      <c r="H1541" s="185">
        <v>30000</v>
      </c>
      <c r="I1541" s="268">
        <f t="shared" si="174"/>
        <v>-48000</v>
      </c>
      <c r="J1541" s="634">
        <f>I1541/G1541</f>
        <v>-0.61538461538461542</v>
      </c>
    </row>
    <row r="1542" spans="1:10">
      <c r="C1542" s="378"/>
      <c r="D1542" s="185"/>
      <c r="E1542" s="185"/>
      <c r="F1542" s="185"/>
      <c r="G1542" s="185">
        <f t="shared" si="176"/>
        <v>0</v>
      </c>
      <c r="H1542" s="185">
        <v>0</v>
      </c>
      <c r="I1542" s="268">
        <f t="shared" si="174"/>
        <v>0</v>
      </c>
      <c r="J1542" s="634"/>
    </row>
    <row r="1543" spans="1:10">
      <c r="A1543" s="169" t="s">
        <v>461</v>
      </c>
      <c r="B1543" s="169" t="s">
        <v>749</v>
      </c>
      <c r="C1543" s="378" t="s">
        <v>707</v>
      </c>
      <c r="D1543" s="185">
        <v>112240</v>
      </c>
      <c r="E1543" s="185"/>
      <c r="F1543" s="185"/>
      <c r="G1543" s="185">
        <f t="shared" si="176"/>
        <v>112240</v>
      </c>
      <c r="H1543" s="185">
        <v>112300</v>
      </c>
      <c r="I1543" s="268">
        <f t="shared" si="174"/>
        <v>60</v>
      </c>
      <c r="J1543" s="634">
        <f>I1543/G1543</f>
        <v>5.3456878118317893E-4</v>
      </c>
    </row>
    <row r="1544" spans="1:10">
      <c r="C1544" s="391"/>
      <c r="D1544" s="185"/>
      <c r="E1544" s="185"/>
      <c r="F1544" s="185"/>
      <c r="G1544" s="185">
        <f t="shared" si="176"/>
        <v>0</v>
      </c>
      <c r="H1544" s="185">
        <v>0</v>
      </c>
      <c r="I1544" s="268">
        <f t="shared" si="174"/>
        <v>0</v>
      </c>
      <c r="J1544" s="634"/>
    </row>
    <row r="1545" spans="1:10">
      <c r="A1545" s="169" t="s">
        <v>632</v>
      </c>
      <c r="B1545" s="169" t="s">
        <v>749</v>
      </c>
      <c r="C1545" s="213" t="s">
        <v>649</v>
      </c>
      <c r="D1545" s="185">
        <v>35000</v>
      </c>
      <c r="E1545" s="185"/>
      <c r="F1545" s="185"/>
      <c r="G1545" s="185">
        <f t="shared" si="176"/>
        <v>35000</v>
      </c>
      <c r="H1545" s="185">
        <v>75000</v>
      </c>
      <c r="I1545" s="268">
        <f t="shared" si="174"/>
        <v>40000</v>
      </c>
      <c r="J1545" s="634">
        <f>I1545/G1545</f>
        <v>1.1428571428571428</v>
      </c>
    </row>
    <row r="1546" spans="1:10">
      <c r="C1546" s="213"/>
      <c r="D1546" s="185"/>
      <c r="E1546" s="185"/>
      <c r="F1546" s="185"/>
      <c r="G1546" s="185">
        <f t="shared" si="176"/>
        <v>0</v>
      </c>
      <c r="H1546" s="185">
        <v>0</v>
      </c>
      <c r="I1546" s="268">
        <f t="shared" si="174"/>
        <v>0</v>
      </c>
      <c r="J1546" s="634"/>
    </row>
    <row r="1547" spans="1:10">
      <c r="A1547" s="169" t="s">
        <v>632</v>
      </c>
      <c r="B1547" s="169" t="s">
        <v>749</v>
      </c>
      <c r="C1547" s="378" t="s">
        <v>708</v>
      </c>
      <c r="D1547" s="185">
        <v>75000</v>
      </c>
      <c r="E1547" s="185">
        <v>10000</v>
      </c>
      <c r="F1547" s="185"/>
      <c r="G1547" s="185">
        <f t="shared" si="176"/>
        <v>85000</v>
      </c>
      <c r="H1547" s="185">
        <v>85000</v>
      </c>
      <c r="I1547" s="268">
        <f t="shared" si="174"/>
        <v>0</v>
      </c>
      <c r="J1547" s="634">
        <f>I1547/G1547</f>
        <v>0</v>
      </c>
    </row>
    <row r="1548" spans="1:10">
      <c r="C1548" s="213"/>
      <c r="D1548" s="185"/>
      <c r="E1548" s="185"/>
      <c r="F1548" s="185"/>
      <c r="G1548" s="185">
        <f t="shared" si="176"/>
        <v>0</v>
      </c>
      <c r="H1548" s="185">
        <v>0</v>
      </c>
      <c r="I1548" s="268">
        <f t="shared" si="174"/>
        <v>0</v>
      </c>
      <c r="J1548" s="634"/>
    </row>
    <row r="1549" spans="1:10">
      <c r="A1549" s="169" t="s">
        <v>538</v>
      </c>
      <c r="B1549" s="169" t="s">
        <v>749</v>
      </c>
      <c r="C1549" s="195" t="s">
        <v>709</v>
      </c>
      <c r="D1549" s="185">
        <v>342000</v>
      </c>
      <c r="E1549" s="185">
        <v>-115910</v>
      </c>
      <c r="F1549" s="185">
        <v>-31100</v>
      </c>
      <c r="G1549" s="185">
        <f t="shared" si="176"/>
        <v>194990</v>
      </c>
      <c r="H1549" s="185">
        <v>161000</v>
      </c>
      <c r="I1549" s="268">
        <f t="shared" si="174"/>
        <v>-33990</v>
      </c>
      <c r="J1549" s="634">
        <f>I1549/G1549</f>
        <v>-0.17431663162213445</v>
      </c>
    </row>
    <row r="1550" spans="1:10">
      <c r="C1550" s="203"/>
      <c r="D1550" s="185"/>
      <c r="E1550" s="185"/>
      <c r="F1550" s="185"/>
      <c r="G1550" s="185">
        <f t="shared" si="176"/>
        <v>0</v>
      </c>
      <c r="H1550" s="185">
        <v>0</v>
      </c>
      <c r="I1550" s="268">
        <f t="shared" si="174"/>
        <v>0</v>
      </c>
      <c r="J1550" s="634"/>
    </row>
    <row r="1551" spans="1:10">
      <c r="A1551" s="169" t="s">
        <v>538</v>
      </c>
      <c r="B1551" s="169" t="s">
        <v>749</v>
      </c>
      <c r="C1551" s="195" t="s">
        <v>556</v>
      </c>
      <c r="D1551" s="185">
        <v>287000</v>
      </c>
      <c r="E1551" s="185">
        <v>-7780</v>
      </c>
      <c r="F1551" s="185"/>
      <c r="G1551" s="185">
        <f t="shared" si="176"/>
        <v>279220</v>
      </c>
      <c r="H1551" s="185">
        <v>275200</v>
      </c>
      <c r="I1551" s="268">
        <f t="shared" si="174"/>
        <v>-4020</v>
      </c>
      <c r="J1551" s="634">
        <f>I1551/G1551</f>
        <v>-1.4397249480696225E-2</v>
      </c>
    </row>
    <row r="1552" spans="1:10">
      <c r="C1552" s="341"/>
      <c r="D1552" s="185"/>
      <c r="E1552" s="185"/>
      <c r="F1552" s="185"/>
      <c r="G1552" s="185">
        <f t="shared" si="176"/>
        <v>0</v>
      </c>
      <c r="H1552" s="185">
        <v>0</v>
      </c>
      <c r="I1552" s="268">
        <f t="shared" si="174"/>
        <v>0</v>
      </c>
      <c r="J1552" s="634"/>
    </row>
    <row r="1553" spans="1:10">
      <c r="A1553" s="169" t="s">
        <v>710</v>
      </c>
      <c r="B1553" s="169" t="s">
        <v>749</v>
      </c>
      <c r="C1553" s="195" t="s">
        <v>711</v>
      </c>
      <c r="D1553" s="185">
        <v>20000</v>
      </c>
      <c r="E1553" s="185"/>
      <c r="F1553" s="185">
        <v>2000</v>
      </c>
      <c r="G1553" s="185">
        <f t="shared" si="176"/>
        <v>22000</v>
      </c>
      <c r="H1553" s="185">
        <v>20000</v>
      </c>
      <c r="I1553" s="268">
        <f t="shared" si="174"/>
        <v>-2000</v>
      </c>
      <c r="J1553" s="634">
        <f>I1553/G1553</f>
        <v>-9.0909090909090912E-2</v>
      </c>
    </row>
    <row r="1554" spans="1:10">
      <c r="C1554" s="169"/>
      <c r="D1554" s="718"/>
      <c r="G1554" s="718">
        <f t="shared" si="176"/>
        <v>0</v>
      </c>
      <c r="H1554" s="392">
        <v>0</v>
      </c>
      <c r="I1554" s="182">
        <f t="shared" si="174"/>
        <v>0</v>
      </c>
      <c r="J1554" s="668"/>
    </row>
    <row r="1555" spans="1:10">
      <c r="C1555" s="169"/>
      <c r="D1555" s="185"/>
      <c r="G1555" s="185">
        <f t="shared" si="176"/>
        <v>0</v>
      </c>
      <c r="H1555" s="185">
        <v>0</v>
      </c>
      <c r="I1555" s="268">
        <f t="shared" si="174"/>
        <v>0</v>
      </c>
      <c r="J1555" s="634"/>
    </row>
    <row r="1556" spans="1:10" ht="15.75">
      <c r="C1556" s="225" t="s">
        <v>754</v>
      </c>
      <c r="D1556" s="185"/>
      <c r="G1556" s="185">
        <f t="shared" si="176"/>
        <v>0</v>
      </c>
      <c r="H1556" s="185">
        <v>0</v>
      </c>
      <c r="I1556" s="268">
        <f t="shared" si="174"/>
        <v>0</v>
      </c>
      <c r="J1556" s="634"/>
    </row>
    <row r="1557" spans="1:10">
      <c r="C1557" s="195"/>
      <c r="D1557" s="185"/>
      <c r="G1557" s="185">
        <f t="shared" si="176"/>
        <v>0</v>
      </c>
      <c r="H1557" s="185">
        <v>0</v>
      </c>
      <c r="I1557" s="268">
        <f t="shared" si="174"/>
        <v>0</v>
      </c>
      <c r="J1557" s="634"/>
    </row>
    <row r="1558" spans="1:10">
      <c r="A1558" s="169" t="s">
        <v>755</v>
      </c>
      <c r="C1558" s="198" t="s">
        <v>756</v>
      </c>
      <c r="D1558" s="176">
        <v>5500000</v>
      </c>
      <c r="E1558" s="176">
        <v>-185000</v>
      </c>
      <c r="F1558" s="176">
        <v>-10000</v>
      </c>
      <c r="G1558" s="176">
        <f t="shared" si="176"/>
        <v>5305000</v>
      </c>
      <c r="H1558" s="176">
        <v>5500000</v>
      </c>
      <c r="I1558" s="659">
        <f t="shared" si="174"/>
        <v>195000</v>
      </c>
      <c r="J1558" s="660">
        <f>I1558/G1558</f>
        <v>3.6757775683317624E-2</v>
      </c>
    </row>
    <row r="1559" spans="1:10">
      <c r="C1559" s="393"/>
      <c r="D1559" s="176"/>
      <c r="G1559" s="176">
        <f t="shared" si="176"/>
        <v>0</v>
      </c>
      <c r="H1559" s="176">
        <v>0</v>
      </c>
      <c r="I1559" s="659">
        <f t="shared" si="174"/>
        <v>0</v>
      </c>
      <c r="J1559" s="660"/>
    </row>
    <row r="1560" spans="1:10">
      <c r="C1560" s="198" t="s">
        <v>757</v>
      </c>
      <c r="D1560" s="176">
        <f>D1561+D1562</f>
        <v>8027950</v>
      </c>
      <c r="E1560" s="176">
        <f t="shared" ref="E1560:F1560" si="178">E1561+E1562</f>
        <v>-371678</v>
      </c>
      <c r="F1560" s="176">
        <f t="shared" si="178"/>
        <v>-5744023</v>
      </c>
      <c r="G1560" s="176">
        <f t="shared" si="176"/>
        <v>1912249</v>
      </c>
      <c r="H1560" s="176">
        <v>5438000</v>
      </c>
      <c r="I1560" s="659">
        <f t="shared" si="174"/>
        <v>3525751</v>
      </c>
      <c r="J1560" s="660">
        <f t="shared" ref="J1560:J1565" si="179">I1560/G1560</f>
        <v>1.8437719146408234</v>
      </c>
    </row>
    <row r="1561" spans="1:10">
      <c r="A1561" s="169" t="s">
        <v>758</v>
      </c>
      <c r="C1561" s="393" t="s">
        <v>759</v>
      </c>
      <c r="D1561" s="176">
        <v>1490000</v>
      </c>
      <c r="E1561" s="176">
        <f>-60387-13000-15481-85638-61274-9000</f>
        <v>-244780</v>
      </c>
      <c r="F1561" s="176">
        <f>-50565-2000</f>
        <v>-52565</v>
      </c>
      <c r="G1561" s="176">
        <f t="shared" si="176"/>
        <v>1192655</v>
      </c>
      <c r="H1561" s="176">
        <v>1638000</v>
      </c>
      <c r="I1561" s="659">
        <f t="shared" si="174"/>
        <v>445345</v>
      </c>
      <c r="J1561" s="660">
        <f t="shared" si="179"/>
        <v>0.3734063916220533</v>
      </c>
    </row>
    <row r="1562" spans="1:10">
      <c r="A1562" s="169" t="s">
        <v>760</v>
      </c>
      <c r="C1562" s="393" t="s">
        <v>761</v>
      </c>
      <c r="D1562" s="176">
        <f>SUM(D1563:D1565)</f>
        <v>6537950</v>
      </c>
      <c r="E1562" s="176">
        <f t="shared" ref="E1562:F1562" si="180">SUM(E1563:E1565)</f>
        <v>-126898</v>
      </c>
      <c r="F1562" s="176">
        <f t="shared" si="180"/>
        <v>-5691458</v>
      </c>
      <c r="G1562" s="176">
        <f t="shared" si="176"/>
        <v>719594</v>
      </c>
      <c r="H1562" s="176">
        <v>3800000</v>
      </c>
      <c r="I1562" s="659">
        <f t="shared" si="174"/>
        <v>3080406</v>
      </c>
      <c r="J1562" s="660">
        <f t="shared" si="179"/>
        <v>4.2807555371501156</v>
      </c>
    </row>
    <row r="1563" spans="1:10">
      <c r="C1563" s="394" t="s">
        <v>762</v>
      </c>
      <c r="D1563" s="185">
        <f>1625000-18468-5000-10000-70000-14000</f>
        <v>1507532</v>
      </c>
      <c r="F1563" s="169">
        <v>-1107532</v>
      </c>
      <c r="G1563" s="185">
        <f t="shared" si="176"/>
        <v>400000</v>
      </c>
      <c r="H1563" s="185">
        <v>1000000</v>
      </c>
      <c r="I1563" s="268">
        <f t="shared" si="174"/>
        <v>600000</v>
      </c>
      <c r="J1563" s="634">
        <f t="shared" si="179"/>
        <v>1.5</v>
      </c>
    </row>
    <row r="1564" spans="1:10">
      <c r="C1564" s="395" t="s">
        <v>763</v>
      </c>
      <c r="D1564" s="185">
        <v>100000</v>
      </c>
      <c r="G1564" s="185">
        <f t="shared" si="176"/>
        <v>100000</v>
      </c>
      <c r="H1564" s="185">
        <v>100000</v>
      </c>
      <c r="I1564" s="268">
        <f t="shared" si="174"/>
        <v>0</v>
      </c>
      <c r="J1564" s="634">
        <f t="shared" si="179"/>
        <v>0</v>
      </c>
    </row>
    <row r="1565" spans="1:10" ht="25.5">
      <c r="C1565" s="396" t="s">
        <v>764</v>
      </c>
      <c r="D1565" s="185">
        <f>5000000-20000-15000-25500-9082</f>
        <v>4930418</v>
      </c>
      <c r="E1565" s="185">
        <f>-121817-5081</f>
        <v>-126898</v>
      </c>
      <c r="F1565" s="185">
        <f>-4480926-98000-5000</f>
        <v>-4583926</v>
      </c>
      <c r="G1565" s="185">
        <f t="shared" si="176"/>
        <v>219594</v>
      </c>
      <c r="H1565" s="185">
        <v>2700000</v>
      </c>
      <c r="I1565" s="268">
        <f t="shared" si="174"/>
        <v>2480406</v>
      </c>
      <c r="J1565" s="634">
        <f t="shared" si="179"/>
        <v>11.295417907593103</v>
      </c>
    </row>
    <row r="1566" spans="1:10" ht="22.5">
      <c r="C1566" s="391" t="s">
        <v>765</v>
      </c>
      <c r="D1566" s="185"/>
      <c r="G1566" s="185">
        <f t="shared" si="176"/>
        <v>0</v>
      </c>
      <c r="H1566" s="185">
        <v>0</v>
      </c>
      <c r="I1566" s="268">
        <f t="shared" si="174"/>
        <v>0</v>
      </c>
      <c r="J1566" s="634"/>
    </row>
    <row r="1567" spans="1:10">
      <c r="C1567" s="391"/>
      <c r="D1567" s="185"/>
      <c r="G1567" s="185">
        <f t="shared" si="176"/>
        <v>0</v>
      </c>
      <c r="H1567" s="185">
        <v>0</v>
      </c>
      <c r="I1567" s="268">
        <f t="shared" si="174"/>
        <v>0</v>
      </c>
      <c r="J1567" s="634"/>
    </row>
    <row r="1568" spans="1:10">
      <c r="A1568" s="169" t="s">
        <v>766</v>
      </c>
      <c r="C1568" s="266" t="s">
        <v>767</v>
      </c>
      <c r="D1568" s="176">
        <v>76000000</v>
      </c>
      <c r="E1568" s="176">
        <v>10000000</v>
      </c>
      <c r="F1568" s="176"/>
      <c r="G1568" s="176">
        <f t="shared" si="176"/>
        <v>86000000</v>
      </c>
      <c r="H1568" s="176">
        <v>86099258</v>
      </c>
      <c r="I1568" s="659">
        <f t="shared" si="174"/>
        <v>99258</v>
      </c>
      <c r="J1568" s="660">
        <f>I1568/G1568</f>
        <v>1.1541627906976745E-3</v>
      </c>
    </row>
    <row r="1569" spans="3:10">
      <c r="C1569" s="266"/>
      <c r="D1569" s="176"/>
      <c r="G1569" s="176">
        <f t="shared" ref="G1569" si="181">SUM(D1569:F1569)</f>
        <v>0</v>
      </c>
      <c r="H1569" s="176">
        <v>0</v>
      </c>
      <c r="I1569" s="659">
        <f t="shared" si="174"/>
        <v>0</v>
      </c>
      <c r="J1569" s="660"/>
    </row>
    <row r="1570" spans="3:10">
      <c r="C1570" s="266" t="s">
        <v>52</v>
      </c>
      <c r="D1570" s="434">
        <f ca="1">SUMIF($C6:D1568,$C$7,D6:D1568)+D1558+D1560+D1568</f>
        <v>473562494</v>
      </c>
      <c r="E1570" s="434">
        <f ca="1">SUMIF($C6:E1568,$C$7,E6:E1568)+E1558+E1560+E1568</f>
        <v>13803035</v>
      </c>
      <c r="F1570" s="434">
        <f ca="1">SUMIF($C6:F1568,$C$7,F6:F1568)+F1558+F1560+F1568</f>
        <v>-3155673</v>
      </c>
      <c r="G1570" s="434">
        <f ca="1">SUMIF($C6:G1568,$C$7,G6:G1568)+G1558+G1560+G1568</f>
        <v>484209856</v>
      </c>
      <c r="H1570" s="434">
        <v>502767339.9429</v>
      </c>
      <c r="I1570" s="671">
        <f t="shared" ca="1" si="174"/>
        <v>18557483.942900002</v>
      </c>
      <c r="J1570" s="672">
        <f ca="1">I1570/G1570</f>
        <v>3.8325291633262419E-2</v>
      </c>
    </row>
    <row r="1571" spans="3:10">
      <c r="C1571" s="397"/>
      <c r="D1571" s="651"/>
      <c r="E1571" s="408"/>
      <c r="F1571" s="408"/>
      <c r="G1571" s="651"/>
      <c r="H1571" s="651"/>
      <c r="I1571" s="708"/>
      <c r="J1571" s="683"/>
    </row>
    <row r="1572" spans="3:10">
      <c r="C1572" s="398" t="s">
        <v>285</v>
      </c>
      <c r="D1572" s="399">
        <f ca="1">SUMIF($C7:D1568,$C$8,D7:D1568)</f>
        <v>45405782</v>
      </c>
      <c r="E1572" s="399">
        <f ca="1">SUMIF($C7:E1568,$C$8,E7:E1568)</f>
        <v>91295</v>
      </c>
      <c r="F1572" s="399">
        <f ca="1">SUMIF($C7:F1568,$C$8,F7:F1568)</f>
        <v>720911</v>
      </c>
      <c r="G1572" s="399">
        <f ca="1">SUMIF($C7:G1568,$C$8,G$7:G$1568)</f>
        <v>46217988</v>
      </c>
      <c r="H1572" s="399">
        <v>45132753</v>
      </c>
      <c r="I1572" s="709">
        <f ca="1">H1572-G1572</f>
        <v>-1085235</v>
      </c>
      <c r="J1572" s="710">
        <f ca="1">I1572/G1572</f>
        <v>-2.3480792803009944E-2</v>
      </c>
    </row>
    <row r="1573" spans="3:10">
      <c r="D1573" s="652"/>
      <c r="E1573" s="630"/>
      <c r="F1573" s="630"/>
      <c r="G1573" s="652"/>
      <c r="H1573" s="651"/>
      <c r="I1573" s="682"/>
      <c r="J1573" s="683"/>
    </row>
    <row r="1574" spans="3:10">
      <c r="C1574" s="631" t="s">
        <v>286</v>
      </c>
      <c r="D1574" s="434">
        <f ca="1">SUMIF($C$7:D1568,$C$1508,D7:D1568)+D1558+D1560+D1568</f>
        <v>473562494</v>
      </c>
      <c r="E1574" s="434">
        <f ca="1">SUMIF($C$7:E1568,$C$1508,E7:E1568)+E1558+E1560+E1568</f>
        <v>13803035</v>
      </c>
      <c r="F1574" s="434">
        <f ca="1">SUMIF($C$7:F1568,$C$1508,F7:F1568)+F1558+F1560+F1568</f>
        <v>-3155673</v>
      </c>
      <c r="G1574" s="434">
        <f ca="1">SUMIF($C$7:G1568,$C$1508,G7:G1568)+G1558+G1560+G1568</f>
        <v>484209856</v>
      </c>
      <c r="H1574" s="434">
        <v>502767339.9429</v>
      </c>
      <c r="I1574" s="671">
        <f ca="1">H1574-G1574</f>
        <v>18557483.942900002</v>
      </c>
      <c r="J1574" s="672">
        <f ca="1">I1574/G1574</f>
        <v>3.8325291633262419E-2</v>
      </c>
    </row>
    <row r="1575" spans="3:10">
      <c r="C1575" s="400" t="s">
        <v>287</v>
      </c>
      <c r="D1575" s="248">
        <f ca="1">SUMIF($C5:D1568,$C$10,D5:D1568)</f>
        <v>61803515</v>
      </c>
      <c r="E1575" s="248">
        <f ca="1">SUMIF($C5:E1568,$C$10,E5:E1568)</f>
        <v>-119476</v>
      </c>
      <c r="F1575" s="248">
        <f ca="1">SUMIF($C5:F1568,$C$10,F5:F1568)</f>
        <v>1325417</v>
      </c>
      <c r="G1575" s="248">
        <f ca="1">SUMIF($C5:G1568,$C$10,G5:G1568)</f>
        <v>63009456</v>
      </c>
      <c r="H1575" s="248">
        <v>65904903</v>
      </c>
      <c r="I1575" s="673">
        <f ca="1">H1575-G1575</f>
        <v>2895447</v>
      </c>
      <c r="J1575" s="674">
        <f ca="1">I1575/G1575</f>
        <v>4.5952578927201025E-2</v>
      </c>
    </row>
    <row r="1576" spans="3:10">
      <c r="C1576" s="401" t="s">
        <v>298</v>
      </c>
      <c r="D1576" s="248">
        <f ca="1">SUMIF($C7:D1568,$C$32,D7:D1568)</f>
        <v>153510</v>
      </c>
      <c r="E1576" s="248">
        <f ca="1">SUMIF($C7:E1568,$C$32,E7:E1568)</f>
        <v>498392</v>
      </c>
      <c r="F1576" s="248">
        <f ca="1">SUMIF($C7:F1568,$C$32,F7:F1568)</f>
        <v>84256</v>
      </c>
      <c r="G1576" s="248">
        <f ca="1">SUMIF($C7:G1568,$C$32,G7:G1568)</f>
        <v>736158</v>
      </c>
      <c r="H1576" s="248">
        <v>1211161</v>
      </c>
      <c r="I1576" s="673">
        <f ca="1">H1576-G1576</f>
        <v>475003</v>
      </c>
      <c r="J1576" s="674">
        <f ca="1">I1576/G1576</f>
        <v>0.64524599338728916</v>
      </c>
    </row>
    <row r="1577" spans="3:10">
      <c r="C1577" s="401" t="s">
        <v>796</v>
      </c>
      <c r="D1577" s="248"/>
      <c r="E1577" s="248"/>
      <c r="F1577" s="248">
        <f>F876</f>
        <v>418</v>
      </c>
      <c r="G1577" s="248">
        <f>G876</f>
        <v>418</v>
      </c>
      <c r="H1577" s="248"/>
      <c r="I1577" s="673"/>
      <c r="J1577" s="674"/>
    </row>
    <row r="1578" spans="3:10">
      <c r="C1578" s="401" t="s">
        <v>460</v>
      </c>
      <c r="D1578" s="248">
        <f>D1568</f>
        <v>76000000</v>
      </c>
      <c r="E1578" s="248">
        <f t="shared" ref="E1578:G1578" si="182">E1568</f>
        <v>10000000</v>
      </c>
      <c r="F1578" s="248">
        <f t="shared" si="182"/>
        <v>0</v>
      </c>
      <c r="G1578" s="248">
        <f t="shared" si="182"/>
        <v>86000000</v>
      </c>
      <c r="H1578" s="248">
        <v>86600000</v>
      </c>
      <c r="I1578" s="673">
        <f>H1578-G1578</f>
        <v>600000</v>
      </c>
      <c r="J1578" s="674">
        <f>I1578/G1578</f>
        <v>6.9767441860465115E-3</v>
      </c>
    </row>
    <row r="1579" spans="3:10">
      <c r="C1579" s="401" t="s">
        <v>288</v>
      </c>
      <c r="D1579" s="248">
        <f ca="1">SUMIF($C7:D1568,$C$11,D7:D1568)+D1558+D1560+D1096</f>
        <v>335605469</v>
      </c>
      <c r="E1579" s="248">
        <f ca="1">SUMIF($C7:E1568,$C$11,E7:E1568)+E1558+E1560+E1096</f>
        <v>3424119</v>
      </c>
      <c r="F1579" s="248">
        <f ca="1">SUMIF($C7:F1568,$C$11,F7:F1568)+F1558+F1560+F1096</f>
        <v>-4565764</v>
      </c>
      <c r="G1579" s="248">
        <f ca="1">SUMIF($C7:G1568,$C$11,G7:G1568)+G1558+G1560+G1096</f>
        <v>334463824</v>
      </c>
      <c r="H1579" s="248">
        <v>349051275.9429</v>
      </c>
      <c r="I1579" s="673">
        <f ca="1">H1579-G1579</f>
        <v>14587451.942900002</v>
      </c>
      <c r="J1579" s="674">
        <f ca="1">I1579/G1579</f>
        <v>4.3614438681117279E-2</v>
      </c>
    </row>
    <row r="1580" spans="3:10">
      <c r="C1580" s="401"/>
      <c r="D1580" s="248"/>
      <c r="E1580" s="248"/>
      <c r="F1580" s="248"/>
      <c r="G1580" s="248"/>
      <c r="H1580" s="248"/>
      <c r="I1580" s="248"/>
      <c r="J1580" s="248"/>
    </row>
    <row r="1581" spans="3:10">
      <c r="C1581" s="401"/>
      <c r="D1581" s="178"/>
      <c r="E1581" s="178"/>
      <c r="F1581" s="178"/>
      <c r="G1581" s="178"/>
      <c r="H1581" s="178"/>
      <c r="I1581" s="178"/>
      <c r="J1581" s="178"/>
    </row>
    <row r="1582" spans="3:10">
      <c r="C1582" s="402" t="s">
        <v>768</v>
      </c>
      <c r="D1582" s="248"/>
      <c r="E1582" s="248"/>
      <c r="F1582" s="248"/>
      <c r="G1582" s="248"/>
      <c r="H1582" s="248">
        <v>0</v>
      </c>
      <c r="I1582" s="248"/>
      <c r="J1582" s="248"/>
    </row>
    <row r="1583" spans="3:10">
      <c r="C1583" s="403"/>
      <c r="D1583" s="248"/>
      <c r="E1583" s="248"/>
      <c r="F1583" s="248"/>
      <c r="G1583" s="248"/>
      <c r="H1583" s="248">
        <v>0</v>
      </c>
      <c r="I1583" s="248"/>
      <c r="J1583" s="248"/>
    </row>
    <row r="1584" spans="3:10">
      <c r="C1584" s="172" t="s">
        <v>769</v>
      </c>
      <c r="D1584" s="237">
        <f ca="1">SUMIF($A$3:D$1568,$C1584,D$3:D$1568)</f>
        <v>2263435</v>
      </c>
      <c r="E1584" s="237">
        <f ca="1">SUMIF($A$3:E$1568,$C1584,E$3:E$1568)</f>
        <v>24953</v>
      </c>
      <c r="F1584" s="237">
        <f ca="1">SUMIF($A$3:F$1568,$C1584,F$3:F$1568)</f>
        <v>5121</v>
      </c>
      <c r="G1584" s="237">
        <f ca="1">SUMIF($A$3:G$1568,$C1584,G$3:G$1568)</f>
        <v>2293509</v>
      </c>
      <c r="H1584" s="237">
        <v>2399250</v>
      </c>
      <c r="I1584" s="237">
        <f t="shared" ref="I1584:I1614" ca="1" si="183">H1584-G1584</f>
        <v>105741</v>
      </c>
      <c r="J1584" s="875">
        <f t="shared" ref="J1584:J1614" ca="1" si="184">I1584/G1584</f>
        <v>4.6104462637818297E-2</v>
      </c>
    </row>
    <row r="1585" spans="3:10">
      <c r="C1585" s="172" t="s">
        <v>770</v>
      </c>
      <c r="D1585" s="237">
        <f ca="1">SUMIF($A$3:D$1568,$C1585,D$3:D$1568)</f>
        <v>33806290</v>
      </c>
      <c r="E1585" s="237">
        <f ca="1">SUMIF($A$3:E$1568,$C1585,E$3:E$1568)</f>
        <v>693640</v>
      </c>
      <c r="F1585" s="237">
        <f ca="1">SUMIF($A$3:F$1568,$C1585,F$3:F$1568)</f>
        <v>-382281</v>
      </c>
      <c r="G1585" s="237">
        <f ca="1">SUMIF($A$3:G$1568,$C1585,G$3:G$1568)</f>
        <v>34117649</v>
      </c>
      <c r="H1585" s="237">
        <v>37934829.388999999</v>
      </c>
      <c r="I1585" s="237">
        <f t="shared" ca="1" si="183"/>
        <v>3817180.3889999986</v>
      </c>
      <c r="J1585" s="875">
        <f t="shared" ca="1" si="184"/>
        <v>0.11188286710494028</v>
      </c>
    </row>
    <row r="1586" spans="3:10">
      <c r="C1586" s="172" t="s">
        <v>771</v>
      </c>
      <c r="D1586" s="237">
        <f ca="1">SUMIF($A$3:D$1568,$C1586,D$3:D$1568)</f>
        <v>124817946</v>
      </c>
      <c r="E1586" s="237">
        <f ca="1">SUMIF($A$3:E$1568,$C1586,E$3:E$1568)</f>
        <v>1063771</v>
      </c>
      <c r="F1586" s="237">
        <f ca="1">SUMIF($A$3:F$1568,$C1586,F$3:F$1568)</f>
        <v>1149495</v>
      </c>
      <c r="G1586" s="237">
        <f ca="1">SUMIF($A$3:G$1568,$C1586,G$3:G$1568)</f>
        <v>127031212</v>
      </c>
      <c r="H1586" s="237">
        <v>132749735</v>
      </c>
      <c r="I1586" s="237">
        <f t="shared" ca="1" si="183"/>
        <v>5718523</v>
      </c>
      <c r="J1586" s="875">
        <f t="shared" ca="1" si="184"/>
        <v>4.501667668887549E-2</v>
      </c>
    </row>
    <row r="1587" spans="3:10">
      <c r="C1587" s="172" t="s">
        <v>772</v>
      </c>
      <c r="D1587" s="237">
        <f ca="1">SUMIF($A$3:D$1568,$C1587,D$3:D$1568)</f>
        <v>24984251</v>
      </c>
      <c r="E1587" s="237">
        <f ca="1">SUMIF($A$3:E$1568,$C1587,E$3:E$1568)</f>
        <v>331418</v>
      </c>
      <c r="F1587" s="237">
        <f ca="1">SUMIF($A$3:F$1568,$C1587,F$3:F$1568)</f>
        <v>211763</v>
      </c>
      <c r="G1587" s="237">
        <f ca="1">SUMIF($A$3:G$1568,$C1587,G$3:G$1568)</f>
        <v>25527432</v>
      </c>
      <c r="H1587" s="237">
        <v>26147067</v>
      </c>
      <c r="I1587" s="237">
        <f t="shared" ca="1" si="183"/>
        <v>619635</v>
      </c>
      <c r="J1587" s="875">
        <f t="shared" ca="1" si="184"/>
        <v>2.4273299405909689E-2</v>
      </c>
    </row>
    <row r="1588" spans="3:10">
      <c r="C1588" s="172" t="s">
        <v>773</v>
      </c>
      <c r="D1588" s="237">
        <f ca="1">SUMIF($A$3:D$1568,$C1588,D$3:D$1568)</f>
        <v>14482400</v>
      </c>
      <c r="E1588" s="237">
        <f ca="1">SUMIF($A$3:E$1568,$C1588,E$3:E$1568)</f>
        <v>81197</v>
      </c>
      <c r="F1588" s="237">
        <f ca="1">SUMIF($A$3:F$1568,$C1588,F$3:F$1568)</f>
        <v>-105917</v>
      </c>
      <c r="G1588" s="237">
        <f ca="1">SUMIF($A$3:G$1568,$C1588,G$3:G$1568)</f>
        <v>14457680</v>
      </c>
      <c r="H1588" s="237">
        <v>15356395</v>
      </c>
      <c r="I1588" s="237">
        <f t="shared" ca="1" si="183"/>
        <v>898715</v>
      </c>
      <c r="J1588" s="875">
        <f t="shared" ca="1" si="184"/>
        <v>6.2161771459874615E-2</v>
      </c>
    </row>
    <row r="1589" spans="3:10">
      <c r="C1589" s="172" t="s">
        <v>774</v>
      </c>
      <c r="D1589" s="237">
        <f ca="1">SUMIF($A$3:D$1568,$C1589,D$3:D$1568)</f>
        <v>1724623</v>
      </c>
      <c r="E1589" s="237">
        <f ca="1">SUMIF($A$3:E$1568,$C1589,E$3:E$1568)</f>
        <v>47820</v>
      </c>
      <c r="F1589" s="237">
        <f ca="1">SUMIF($A$3:F$1568,$C1589,F$3:F$1568)</f>
        <v>5610</v>
      </c>
      <c r="G1589" s="237">
        <f ca="1">SUMIF($A$3:G$1568,$C1589,G$3:G$1568)</f>
        <v>1778053</v>
      </c>
      <c r="H1589" s="237">
        <v>1698355</v>
      </c>
      <c r="I1589" s="237">
        <f t="shared" ca="1" si="183"/>
        <v>-79698</v>
      </c>
      <c r="J1589" s="875">
        <f t="shared" ca="1" si="184"/>
        <v>-4.4823185810546708E-2</v>
      </c>
    </row>
    <row r="1590" spans="3:10">
      <c r="C1590" s="172" t="s">
        <v>775</v>
      </c>
      <c r="D1590" s="237">
        <f ca="1">SUMIF($A$3:D$1568,$C1590,D$3:D$1568)</f>
        <v>33783517</v>
      </c>
      <c r="E1590" s="237">
        <f ca="1">SUMIF($A$3:E$1568,$C1590,E$3:E$1568)</f>
        <v>763528</v>
      </c>
      <c r="F1590" s="237">
        <f ca="1">SUMIF($A$3:F$1568,$C1590,F$3:F$1568)</f>
        <v>246328</v>
      </c>
      <c r="G1590" s="237">
        <f ca="1">SUMIF($A$3:G$1568,$C1590,G$3:G$1568)</f>
        <v>34793373</v>
      </c>
      <c r="H1590" s="237">
        <v>35878740</v>
      </c>
      <c r="I1590" s="237">
        <f t="shared" ca="1" si="183"/>
        <v>1085367</v>
      </c>
      <c r="J1590" s="875">
        <f t="shared" ca="1" si="184"/>
        <v>3.1194647325512245E-2</v>
      </c>
    </row>
    <row r="1591" spans="3:10">
      <c r="C1591" s="172" t="s">
        <v>776</v>
      </c>
      <c r="D1591" s="237">
        <f ca="1">SUMIF($A$3:D$1568,$C1591,D$3:D$1568)</f>
        <v>1998354</v>
      </c>
      <c r="E1591" s="237">
        <f ca="1">SUMIF($A$3:E$1568,$C1591,E$3:E$1568)</f>
        <v>60244</v>
      </c>
      <c r="F1591" s="237">
        <f ca="1">SUMIF($A$3:F$1568,$C1591,F$3:F$1568)</f>
        <v>-61100</v>
      </c>
      <c r="G1591" s="237">
        <f ca="1">SUMIF($A$3:G$1568,$C1591,G$3:G$1568)</f>
        <v>1997498</v>
      </c>
      <c r="H1591" s="237">
        <v>2111125</v>
      </c>
      <c r="I1591" s="237">
        <f t="shared" ca="1" si="183"/>
        <v>113627</v>
      </c>
      <c r="J1591" s="875">
        <f t="shared" ca="1" si="184"/>
        <v>5.6884662713054028E-2</v>
      </c>
    </row>
    <row r="1592" spans="3:10">
      <c r="C1592" s="172" t="s">
        <v>777</v>
      </c>
      <c r="D1592" s="237">
        <f ca="1">SUMIF($A$3:D$1568,$C1592,D$3:D$1568)</f>
        <v>19178025</v>
      </c>
      <c r="E1592" s="237">
        <f ca="1">SUMIF($A$3:E$1568,$C1592,E$3:E$1568)</f>
        <v>-128608</v>
      </c>
      <c r="F1592" s="237">
        <f ca="1">SUMIF($A$3:F$1568,$C1592,F$3:F$1568)</f>
        <v>-4849</v>
      </c>
      <c r="G1592" s="237">
        <f ca="1">SUMIF($A$3:G$1568,$C1592,G$3:G$1568)</f>
        <v>19044568</v>
      </c>
      <c r="H1592" s="237">
        <v>19289950.082937501</v>
      </c>
      <c r="I1592" s="237">
        <f t="shared" ca="1" si="183"/>
        <v>245382.08293750137</v>
      </c>
      <c r="J1592" s="875">
        <f t="shared" ca="1" si="184"/>
        <v>1.2884623213165107E-2</v>
      </c>
    </row>
    <row r="1593" spans="3:10">
      <c r="C1593" s="172" t="s">
        <v>778</v>
      </c>
      <c r="D1593" s="237">
        <f ca="1">SUMIF($A$3:D$1568,$C1593,D$3:D$1568)</f>
        <v>300000</v>
      </c>
      <c r="E1593" s="237">
        <f ca="1">SUMIF($A$3:E$1568,$C1593,E$3:E$1568)</f>
        <v>0</v>
      </c>
      <c r="F1593" s="237">
        <f ca="1">SUMIF($A$3:F$1568,$C1593,F$3:F$1568)</f>
        <v>0</v>
      </c>
      <c r="G1593" s="237">
        <f ca="1">SUMIF($A$3:G$1568,$C1593,G$3:G$1568)</f>
        <v>300000</v>
      </c>
      <c r="H1593" s="237">
        <v>0</v>
      </c>
      <c r="I1593" s="237">
        <f t="shared" ca="1" si="183"/>
        <v>-300000</v>
      </c>
      <c r="J1593" s="875">
        <f t="shared" ca="1" si="184"/>
        <v>-1</v>
      </c>
    </row>
    <row r="1594" spans="3:10">
      <c r="C1594" s="172" t="s">
        <v>779</v>
      </c>
      <c r="D1594" s="237">
        <f ca="1">SUMIF($A$3:D$1568,$C1594,D$3:D$1568)</f>
        <v>4055308</v>
      </c>
      <c r="E1594" s="237">
        <f ca="1">SUMIF($A$3:E$1568,$C1594,E$3:E$1568)</f>
        <v>25800</v>
      </c>
      <c r="F1594" s="237">
        <f ca="1">SUMIF($A$3:F$1568,$C1594,F$3:F$1568)</f>
        <v>85768</v>
      </c>
      <c r="G1594" s="237">
        <f ca="1">SUMIF($A$3:G$1568,$C1594,G$3:G$1568)</f>
        <v>4166876</v>
      </c>
      <c r="H1594" s="237">
        <v>4232830</v>
      </c>
      <c r="I1594" s="237">
        <f t="shared" ca="1" si="183"/>
        <v>65954</v>
      </c>
      <c r="J1594" s="875">
        <f t="shared" ca="1" si="184"/>
        <v>1.5828164793000799E-2</v>
      </c>
    </row>
    <row r="1595" spans="3:10">
      <c r="C1595" s="172" t="s">
        <v>780</v>
      </c>
      <c r="D1595" s="237">
        <f ca="1">SUMIF($A$3:D$1568,$C1595,D$3:D$1568)</f>
        <v>69365092</v>
      </c>
      <c r="E1595" s="237">
        <f ca="1">SUMIF($A$3:E$1568,$C1595,E$3:E$1568)</f>
        <v>536664</v>
      </c>
      <c r="F1595" s="237">
        <f ca="1">SUMIF($A$3:F$1568,$C1595,F$3:F$1568)</f>
        <v>172720</v>
      </c>
      <c r="G1595" s="237">
        <f ca="1">SUMIF($A$3:G$1568,$C1595,G$3:G$1568)</f>
        <v>70074476</v>
      </c>
      <c r="H1595" s="237">
        <v>71958187.626249999</v>
      </c>
      <c r="I1595" s="237">
        <f t="shared" ca="1" si="183"/>
        <v>1883711.6262499988</v>
      </c>
      <c r="J1595" s="875">
        <f t="shared" ca="1" si="184"/>
        <v>2.6881565639534699E-2</v>
      </c>
    </row>
    <row r="1596" spans="3:10">
      <c r="C1596" s="172" t="s">
        <v>781</v>
      </c>
      <c r="D1596" s="237">
        <f ca="1">SUMIF($A$3:D$1568,$C1596,D$3:D$1568)</f>
        <v>28050697</v>
      </c>
      <c r="E1596" s="237">
        <f ca="1">SUMIF($A$3:E$1568,$C1596,E$3:E$1568)</f>
        <v>335000</v>
      </c>
      <c r="F1596" s="237">
        <f ca="1">SUMIF($A$3:F$1568,$C1596,F$3:F$1568)</f>
        <v>1135000</v>
      </c>
      <c r="G1596" s="237">
        <f ca="1">SUMIF($A$3:G$1568,$C1596,G$3:G$1568)</f>
        <v>29520697</v>
      </c>
      <c r="H1596" s="237">
        <v>28143500</v>
      </c>
      <c r="I1596" s="237">
        <f t="shared" ca="1" si="183"/>
        <v>-1377197</v>
      </c>
      <c r="J1596" s="875">
        <f t="shared" ca="1" si="184"/>
        <v>-4.6651913401638177E-2</v>
      </c>
    </row>
    <row r="1597" spans="3:10">
      <c r="C1597" s="172" t="s">
        <v>782</v>
      </c>
      <c r="D1597" s="237">
        <f ca="1">SUMIF($A$3:D$1568,$C1597,D$3:D$1568)</f>
        <v>10093912</v>
      </c>
      <c r="E1597" s="237">
        <f ca="1">SUMIF($A$3:E$1568,$C1597,E$3:E$1568)</f>
        <v>295240</v>
      </c>
      <c r="F1597" s="237">
        <f ca="1">SUMIF($A$3:F$1568,$C1597,F$3:F$1568)</f>
        <v>260978</v>
      </c>
      <c r="G1597" s="237">
        <f ca="1">SUMIF($A$3:G$1568,$C1597,G$3:G$1568)</f>
        <v>10650130</v>
      </c>
      <c r="H1597" s="237">
        <v>11635185</v>
      </c>
      <c r="I1597" s="237">
        <f t="shared" ca="1" si="183"/>
        <v>985055</v>
      </c>
      <c r="J1597" s="875">
        <f t="shared" ca="1" si="184"/>
        <v>9.2492298216078114E-2</v>
      </c>
    </row>
    <row r="1598" spans="3:10">
      <c r="C1598" s="172" t="s">
        <v>783</v>
      </c>
      <c r="D1598" s="237">
        <f ca="1">SUMIF($A$3:D$1568,$C1598,D$3:D$1568)</f>
        <v>5230618</v>
      </c>
      <c r="E1598" s="237">
        <f ca="1">SUMIF($A$3:E$1568,$C1598,E$3:E$1568)</f>
        <v>10000</v>
      </c>
      <c r="F1598" s="237">
        <f ca="1">SUMIF($A$3:F$1568,$C1598,F$3:F$1568)</f>
        <v>12176</v>
      </c>
      <c r="G1598" s="237">
        <f ca="1">SUMIF($A$3:G$1568,$C1598,G$3:G$1568)</f>
        <v>5252794</v>
      </c>
      <c r="H1598" s="237">
        <v>5245145</v>
      </c>
      <c r="I1598" s="237">
        <f t="shared" ca="1" si="183"/>
        <v>-7649</v>
      </c>
      <c r="J1598" s="875">
        <f t="shared" ca="1" si="184"/>
        <v>-1.4561774171993039E-3</v>
      </c>
    </row>
    <row r="1599" spans="3:10">
      <c r="C1599" s="172" t="s">
        <v>784</v>
      </c>
      <c r="D1599" s="237">
        <f ca="1">SUMIF($A$3:D$1568,$C1599,D$3:D$1568)</f>
        <v>1607678</v>
      </c>
      <c r="E1599" s="237">
        <f ca="1">SUMIF($A$3:E$1568,$C1599,E$3:E$1568)</f>
        <v>67497</v>
      </c>
      <c r="F1599" s="237">
        <f ca="1">SUMIF($A$3:F$1568,$C1599,F$3:F$1568)</f>
        <v>5449</v>
      </c>
      <c r="G1599" s="237">
        <f ca="1">SUMIF($A$3:G$1568,$C1599,G$3:G$1568)</f>
        <v>1680624</v>
      </c>
      <c r="H1599" s="237">
        <v>1706340.46685</v>
      </c>
      <c r="I1599" s="237">
        <f t="shared" ca="1" si="183"/>
        <v>25716.466849999968</v>
      </c>
      <c r="J1599" s="875">
        <f t="shared" ca="1" si="184"/>
        <v>1.530173724164356E-2</v>
      </c>
    </row>
    <row r="1600" spans="3:10">
      <c r="C1600" s="172" t="s">
        <v>785</v>
      </c>
      <c r="D1600" s="237">
        <f ca="1">SUMIF($A$3:D$1568,$C1600,D$3:D$1568)</f>
        <v>1288342</v>
      </c>
      <c r="E1600" s="237">
        <f ca="1">SUMIF($A$3:E$1568,$C1600,E$3:E$1568)</f>
        <v>127959</v>
      </c>
      <c r="F1600" s="237">
        <f ca="1">SUMIF($A$3:F$1568,$C1600,F$3:F$1568)</f>
        <v>5915</v>
      </c>
      <c r="G1600" s="237">
        <f ca="1">SUMIF($A$3:G$1568,$C1600,G$3:G$1568)</f>
        <v>1422216</v>
      </c>
      <c r="H1600" s="237">
        <v>1546639.4437374999</v>
      </c>
      <c r="I1600" s="237">
        <f t="shared" ca="1" si="183"/>
        <v>124423.44373749988</v>
      </c>
      <c r="J1600" s="875">
        <f t="shared" ca="1" si="184"/>
        <v>8.7485616627502344E-2</v>
      </c>
    </row>
    <row r="1601" spans="3:10">
      <c r="C1601" s="172" t="s">
        <v>786</v>
      </c>
      <c r="D1601" s="237">
        <f ca="1">SUMIF($A$3:D$1568,$C1601,D$3:D$1568)</f>
        <v>3447025</v>
      </c>
      <c r="E1601" s="237">
        <f ca="1">SUMIF($A$3:E$1568,$C1601,E$3:E$1568)</f>
        <v>35316</v>
      </c>
      <c r="F1601" s="237">
        <f ca="1">SUMIF($A$3:F$1568,$C1601,F$3:F$1568)</f>
        <v>-84751</v>
      </c>
      <c r="G1601" s="237">
        <f ca="1">SUMIF($A$3:G$1568,$C1601,G$3:G$1568)</f>
        <v>3397590</v>
      </c>
      <c r="H1601" s="237">
        <v>3963068.1985875</v>
      </c>
      <c r="I1601" s="237">
        <f t="shared" ca="1" si="183"/>
        <v>565478.19858750002</v>
      </c>
      <c r="J1601" s="875">
        <f t="shared" ca="1" si="184"/>
        <v>0.16643509033977025</v>
      </c>
    </row>
    <row r="1602" spans="3:10">
      <c r="C1602" s="172" t="s">
        <v>787</v>
      </c>
      <c r="D1602" s="237">
        <f ca="1">SUMIF($A$3:D$1568,$C1602,D$3:D$1568)</f>
        <v>3367611</v>
      </c>
      <c r="E1602" s="237">
        <f ca="1">SUMIF($A$3:E$1568,$C1602,E$3:E$1568)</f>
        <v>13274</v>
      </c>
      <c r="F1602" s="237">
        <f ca="1">SUMIF($A$3:F$1568,$C1602,F$3:F$1568)</f>
        <v>-3795</v>
      </c>
      <c r="G1602" s="237">
        <f ca="1">SUMIF($A$3:G$1568,$C1602,G$3:G$1568)</f>
        <v>3377090</v>
      </c>
      <c r="H1602" s="237">
        <v>3571739.7355375001</v>
      </c>
      <c r="I1602" s="237">
        <f t="shared" ca="1" si="183"/>
        <v>194649.73553750012</v>
      </c>
      <c r="J1602" s="875">
        <f t="shared" ca="1" si="184"/>
        <v>5.7638302662203295E-2</v>
      </c>
    </row>
    <row r="1603" spans="3:10">
      <c r="C1603" s="404" t="s">
        <v>788</v>
      </c>
      <c r="D1603" s="308">
        <f ca="1">SUM(D1584:D1602)</f>
        <v>383845124</v>
      </c>
      <c r="E1603" s="308">
        <f ca="1">SUM(E1584:E1602)</f>
        <v>4384713</v>
      </c>
      <c r="F1603" s="308">
        <f ca="1">SUM(F1584:F1602)</f>
        <v>2653630</v>
      </c>
      <c r="G1603" s="308">
        <f ca="1">SUM(G1584:G1602)</f>
        <v>390883467</v>
      </c>
      <c r="H1603" s="308">
        <v>405568081.9429</v>
      </c>
      <c r="I1603" s="308">
        <f t="shared" ca="1" si="183"/>
        <v>14684614.942900002</v>
      </c>
      <c r="J1603" s="876">
        <f t="shared" ca="1" si="184"/>
        <v>3.756775658894778E-2</v>
      </c>
    </row>
    <row r="1604" spans="3:10">
      <c r="C1604" s="172" t="s">
        <v>789</v>
      </c>
      <c r="D1604" s="337">
        <f>D1558</f>
        <v>5500000</v>
      </c>
      <c r="E1604" s="337">
        <f>E1558</f>
        <v>-185000</v>
      </c>
      <c r="F1604" s="337">
        <f>F1558</f>
        <v>-10000</v>
      </c>
      <c r="G1604" s="337">
        <f>G1558</f>
        <v>5305000</v>
      </c>
      <c r="H1604" s="337">
        <v>5500000</v>
      </c>
      <c r="I1604" s="337">
        <f t="shared" si="183"/>
        <v>195000</v>
      </c>
      <c r="J1604" s="877">
        <f t="shared" si="184"/>
        <v>3.6757775683317624E-2</v>
      </c>
    </row>
    <row r="1605" spans="3:10">
      <c r="C1605" s="172" t="s">
        <v>790</v>
      </c>
      <c r="D1605" s="237">
        <f>D1561+D1553+D1501+D1452+D1384+D1332+D1262+D1215+D1150</f>
        <v>1679420</v>
      </c>
      <c r="E1605" s="237">
        <f>E1561+E1553+E1501+E1452+E1384+E1332+E1262+E1215+E1150</f>
        <v>-269780</v>
      </c>
      <c r="F1605" s="237">
        <f>F1561+F1553+F1501+F1452+F1384+F1332+F1262+F1215+F1150</f>
        <v>-107845</v>
      </c>
      <c r="G1605" s="237">
        <f>G1561+G1553+G1501+G1452+G1384+G1332+G1262+G1215+G1150</f>
        <v>1301795</v>
      </c>
      <c r="H1605" s="237">
        <v>1800000</v>
      </c>
      <c r="I1605" s="237">
        <f t="shared" si="183"/>
        <v>498205</v>
      </c>
      <c r="J1605" s="875">
        <f t="shared" si="184"/>
        <v>0.38270618645792925</v>
      </c>
    </row>
    <row r="1606" spans="3:10">
      <c r="C1606" s="172" t="s">
        <v>791</v>
      </c>
      <c r="D1606" s="337">
        <f t="shared" ref="D1606:G1608" si="185">D1563</f>
        <v>1507532</v>
      </c>
      <c r="E1606" s="337">
        <f t="shared" si="185"/>
        <v>0</v>
      </c>
      <c r="F1606" s="337">
        <f t="shared" si="185"/>
        <v>-1107532</v>
      </c>
      <c r="G1606" s="337">
        <f t="shared" si="185"/>
        <v>400000</v>
      </c>
      <c r="H1606" s="337">
        <v>1000000</v>
      </c>
      <c r="I1606" s="337">
        <f t="shared" si="183"/>
        <v>600000</v>
      </c>
      <c r="J1606" s="877">
        <f t="shared" si="184"/>
        <v>1.5</v>
      </c>
    </row>
    <row r="1607" spans="3:10">
      <c r="C1607" s="405" t="s">
        <v>792</v>
      </c>
      <c r="D1607" s="337">
        <f t="shared" si="185"/>
        <v>100000</v>
      </c>
      <c r="E1607" s="337">
        <f t="shared" si="185"/>
        <v>0</v>
      </c>
      <c r="F1607" s="337">
        <f t="shared" si="185"/>
        <v>0</v>
      </c>
      <c r="G1607" s="337">
        <f t="shared" si="185"/>
        <v>100000</v>
      </c>
      <c r="H1607" s="337">
        <v>100000</v>
      </c>
      <c r="I1607" s="337">
        <f t="shared" si="183"/>
        <v>0</v>
      </c>
      <c r="J1607" s="877">
        <f t="shared" si="184"/>
        <v>0</v>
      </c>
    </row>
    <row r="1608" spans="3:10">
      <c r="C1608" s="203" t="s">
        <v>793</v>
      </c>
      <c r="D1608" s="337">
        <f t="shared" si="185"/>
        <v>4930418</v>
      </c>
      <c r="E1608" s="337">
        <f t="shared" si="185"/>
        <v>-126898</v>
      </c>
      <c r="F1608" s="337">
        <f t="shared" si="185"/>
        <v>-4583926</v>
      </c>
      <c r="G1608" s="337">
        <f t="shared" si="185"/>
        <v>219594</v>
      </c>
      <c r="H1608" s="337">
        <v>2700000</v>
      </c>
      <c r="I1608" s="337">
        <f t="shared" si="183"/>
        <v>2480406</v>
      </c>
      <c r="J1608" s="877">
        <f t="shared" si="184"/>
        <v>11.295417907593103</v>
      </c>
    </row>
    <row r="1609" spans="3:10">
      <c r="C1609" s="404" t="s">
        <v>794</v>
      </c>
      <c r="D1609" s="308">
        <f ca="1">SUM(D1603:D1608)</f>
        <v>397562494</v>
      </c>
      <c r="E1609" s="308">
        <f ca="1">SUM(E1603:E1608)</f>
        <v>3803035</v>
      </c>
      <c r="F1609" s="308">
        <f ca="1">SUM(F1603:F1608)</f>
        <v>-3155673</v>
      </c>
      <c r="G1609" s="308">
        <f ca="1">SUM(G1603:G1608)</f>
        <v>398209856</v>
      </c>
      <c r="H1609" s="308">
        <v>416668081.9429</v>
      </c>
      <c r="I1609" s="308">
        <f t="shared" ca="1" si="183"/>
        <v>18458225.942900002</v>
      </c>
      <c r="J1609" s="876">
        <f t="shared" ca="1" si="184"/>
        <v>4.6353011269766264E-2</v>
      </c>
    </row>
    <row r="1610" spans="3:10">
      <c r="C1610" s="406" t="s">
        <v>795</v>
      </c>
      <c r="D1610" s="214">
        <f t="shared" ref="D1610:G1611" ca="1" si="186">D1575</f>
        <v>61803515</v>
      </c>
      <c r="E1610" s="214">
        <f t="shared" ca="1" si="186"/>
        <v>-119476</v>
      </c>
      <c r="F1610" s="214">
        <f t="shared" ca="1" si="186"/>
        <v>1325417</v>
      </c>
      <c r="G1610" s="214">
        <f t="shared" ca="1" si="186"/>
        <v>63009456</v>
      </c>
      <c r="H1610" s="214">
        <v>65904903</v>
      </c>
      <c r="I1610" s="214">
        <f t="shared" ca="1" si="183"/>
        <v>2895447</v>
      </c>
      <c r="J1610" s="878">
        <f t="shared" ca="1" si="184"/>
        <v>4.5952578927201025E-2</v>
      </c>
    </row>
    <row r="1611" spans="3:10">
      <c r="C1611" s="406" t="s">
        <v>337</v>
      </c>
      <c r="D1611" s="214">
        <f t="shared" ca="1" si="186"/>
        <v>153510</v>
      </c>
      <c r="E1611" s="214">
        <f t="shared" ca="1" si="186"/>
        <v>498392</v>
      </c>
      <c r="F1611" s="214">
        <f t="shared" ca="1" si="186"/>
        <v>84256</v>
      </c>
      <c r="G1611" s="214">
        <f t="shared" ca="1" si="186"/>
        <v>736158</v>
      </c>
      <c r="H1611" s="214">
        <v>1211161</v>
      </c>
      <c r="I1611" s="214">
        <f t="shared" ca="1" si="183"/>
        <v>475003</v>
      </c>
      <c r="J1611" s="878">
        <f t="shared" ca="1" si="184"/>
        <v>0.64524599338728916</v>
      </c>
    </row>
    <row r="1612" spans="3:10">
      <c r="C1612" s="406" t="s">
        <v>797</v>
      </c>
      <c r="D1612" s="214">
        <f ca="1">D1579</f>
        <v>335605469</v>
      </c>
      <c r="E1612" s="214">
        <f ca="1">E1579</f>
        <v>3424119</v>
      </c>
      <c r="F1612" s="214">
        <f ca="1">F1579</f>
        <v>-4565764</v>
      </c>
      <c r="G1612" s="214">
        <f ca="1">G1579</f>
        <v>334463824</v>
      </c>
      <c r="H1612" s="214">
        <v>349051275.9429</v>
      </c>
      <c r="I1612" s="214">
        <f t="shared" ca="1" si="183"/>
        <v>14587451.942900002</v>
      </c>
      <c r="J1612" s="878">
        <f t="shared" ca="1" si="184"/>
        <v>4.3614438681117279E-2</v>
      </c>
    </row>
    <row r="1613" spans="3:10">
      <c r="C1613" s="172" t="s">
        <v>766</v>
      </c>
      <c r="D1613" s="337">
        <f>D1568</f>
        <v>76000000</v>
      </c>
      <c r="E1613" s="337">
        <f>E1568</f>
        <v>10000000</v>
      </c>
      <c r="F1613" s="337">
        <f>F1568</f>
        <v>0</v>
      </c>
      <c r="G1613" s="337">
        <f>G1568</f>
        <v>86000000</v>
      </c>
      <c r="H1613" s="337">
        <v>86099258</v>
      </c>
      <c r="I1613" s="337">
        <f t="shared" si="183"/>
        <v>99258</v>
      </c>
      <c r="J1613" s="877">
        <f t="shared" si="184"/>
        <v>1.1541627906976745E-3</v>
      </c>
    </row>
    <row r="1614" spans="3:10">
      <c r="C1614" s="404" t="s">
        <v>52</v>
      </c>
      <c r="D1614" s="308">
        <f ca="1">D1609+D1613</f>
        <v>473562494</v>
      </c>
      <c r="E1614" s="308">
        <f ca="1">E1609+E1613</f>
        <v>13803035</v>
      </c>
      <c r="F1614" s="308">
        <f ca="1">F1609+F1613</f>
        <v>-3155673</v>
      </c>
      <c r="G1614" s="308">
        <f ca="1">G1609+G1613</f>
        <v>484209856</v>
      </c>
      <c r="H1614" s="308">
        <v>502767339.9429</v>
      </c>
      <c r="I1614" s="308">
        <f t="shared" ca="1" si="183"/>
        <v>18557483.942900002</v>
      </c>
      <c r="J1614" s="876">
        <f t="shared" ca="1" si="184"/>
        <v>3.8325291633262419E-2</v>
      </c>
    </row>
    <row r="1615" spans="3:10">
      <c r="C1615" s="404"/>
      <c r="D1615" s="214"/>
      <c r="E1615" s="214"/>
      <c r="F1615" s="214"/>
      <c r="G1615" s="214"/>
      <c r="H1615" s="214"/>
      <c r="I1615" s="214"/>
      <c r="J1615" s="878"/>
    </row>
    <row r="1616" spans="3:10">
      <c r="C1616" s="403"/>
      <c r="D1616" s="407"/>
      <c r="E1616" s="407"/>
      <c r="F1616" s="407"/>
      <c r="G1616" s="407"/>
      <c r="H1616" s="407"/>
      <c r="I1616" s="407"/>
      <c r="J1616" s="878"/>
    </row>
    <row r="1617" spans="3:10">
      <c r="C1617" s="402" t="s">
        <v>798</v>
      </c>
      <c r="D1617" s="407"/>
      <c r="E1617" s="407"/>
      <c r="F1617" s="407"/>
      <c r="G1617" s="407"/>
      <c r="H1617" s="407"/>
      <c r="I1617" s="407"/>
      <c r="J1617" s="878"/>
    </row>
    <row r="1618" spans="3:10">
      <c r="C1618" s="404"/>
      <c r="D1618" s="407"/>
      <c r="E1618" s="407"/>
      <c r="F1618" s="407"/>
      <c r="G1618" s="407"/>
      <c r="H1618" s="407"/>
      <c r="I1618" s="407"/>
      <c r="J1618" s="878"/>
    </row>
    <row r="1619" spans="3:10">
      <c r="C1619" s="172" t="s">
        <v>290</v>
      </c>
      <c r="D1619" s="237">
        <f ca="1">SUMIF($B$3:D$1568,$C1619,D$3:D$1568)</f>
        <v>2087042</v>
      </c>
      <c r="E1619" s="237">
        <f ca="1">SUMIF($B$3:E$1568,$C1619,E$3:E$1568)</f>
        <v>24783</v>
      </c>
      <c r="F1619" s="237">
        <f ca="1">SUMIF($B$3:F$1568,$C1619,F$3:F$1568)</f>
        <v>-3487</v>
      </c>
      <c r="G1619" s="237">
        <f ca="1">SUMIF($B$3:G$1568,$C1619,G$3:G$1568)</f>
        <v>2108338</v>
      </c>
      <c r="H1619" s="237">
        <v>2161950</v>
      </c>
      <c r="I1619" s="237">
        <f t="shared" ref="I1619:I1649" ca="1" si="187">H1619-G1619</f>
        <v>53612</v>
      </c>
      <c r="J1619" s="875">
        <f t="shared" ref="J1619:J1649" ca="1" si="188">I1619/G1619</f>
        <v>2.5428560316230132E-2</v>
      </c>
    </row>
    <row r="1620" spans="3:10">
      <c r="C1620" s="172" t="s">
        <v>297</v>
      </c>
      <c r="D1620" s="237">
        <f ca="1">SUMIF($B$3:D$1568,$C1620,D$3:D$1568)</f>
        <v>21268803</v>
      </c>
      <c r="E1620" s="237">
        <f ca="1">SUMIF($B$3:E$1568,$C1620,E$3:E$1568)</f>
        <v>1452577</v>
      </c>
      <c r="F1620" s="237">
        <f ca="1">SUMIF($B$3:F$1568,$C1620,F$3:F$1568)</f>
        <v>13493</v>
      </c>
      <c r="G1620" s="237">
        <f ca="1">SUMIF($B$3:G$1568,$C1620,G$3:G$1568)</f>
        <v>22734873</v>
      </c>
      <c r="H1620" s="237">
        <v>26156880</v>
      </c>
      <c r="I1620" s="237">
        <f t="shared" ca="1" si="187"/>
        <v>3422007</v>
      </c>
      <c r="J1620" s="875">
        <f t="shared" ca="1" si="188"/>
        <v>0.1505179729836186</v>
      </c>
    </row>
    <row r="1621" spans="3:10">
      <c r="C1621" s="172" t="s">
        <v>31</v>
      </c>
      <c r="D1621" s="237">
        <f ca="1">SUMIF($B$3:D$1568,$C1621,D$3:D$1568)</f>
        <v>826765</v>
      </c>
      <c r="E1621" s="237">
        <f ca="1">SUMIF($B$3:E$1568,$C1621,E$3:E$1568)</f>
        <v>0</v>
      </c>
      <c r="F1621" s="237">
        <f ca="1">SUMIF($B$3:F$1568,$C1621,F$3:F$1568)</f>
        <v>153</v>
      </c>
      <c r="G1621" s="237">
        <f ca="1">SUMIF($B$3:G$1568,$C1621,G$3:G$1568)</f>
        <v>826918</v>
      </c>
      <c r="H1621" s="237">
        <v>864620</v>
      </c>
      <c r="I1621" s="237">
        <f t="shared" ca="1" si="187"/>
        <v>37702</v>
      </c>
      <c r="J1621" s="875">
        <f t="shared" ca="1" si="188"/>
        <v>4.5593396201316215E-2</v>
      </c>
    </row>
    <row r="1622" spans="3:10">
      <c r="C1622" s="172" t="s">
        <v>340</v>
      </c>
      <c r="D1622" s="237">
        <f ca="1">SUMIF($B$3:D$1568,$C1622,D$3:D$1568)</f>
        <v>498689</v>
      </c>
      <c r="E1622" s="237">
        <f ca="1">SUMIF($B$3:E$1568,$C1622,E$3:E$1568)</f>
        <v>2300</v>
      </c>
      <c r="F1622" s="237">
        <f ca="1">SUMIF($B$3:F$1568,$C1622,F$3:F$1568)</f>
        <v>-1201</v>
      </c>
      <c r="G1622" s="237">
        <f ca="1">SUMIF($B$3:G$1568,$C1622,G$3:G$1568)</f>
        <v>499788</v>
      </c>
      <c r="H1622" s="237">
        <v>974290</v>
      </c>
      <c r="I1622" s="237">
        <f t="shared" ca="1" si="187"/>
        <v>474502</v>
      </c>
      <c r="J1622" s="875">
        <f t="shared" ca="1" si="188"/>
        <v>0.94940654837651162</v>
      </c>
    </row>
    <row r="1623" spans="3:10">
      <c r="C1623" s="172" t="s">
        <v>53</v>
      </c>
      <c r="D1623" s="237">
        <f ca="1">SUMIF($B$3:D$1568,$C1623,D$3:D$1568)</f>
        <v>124740736</v>
      </c>
      <c r="E1623" s="237">
        <f ca="1">SUMIF($B$3:E$1568,$C1623,E$3:E$1568)</f>
        <v>266097</v>
      </c>
      <c r="F1623" s="237">
        <f ca="1">SUMIF($B$3:F$1568,$C1623,F$3:F$1568)</f>
        <v>793569</v>
      </c>
      <c r="G1623" s="237">
        <f ca="1">SUMIF($B$3:G$1568,$C1623,G$3:G$1568)</f>
        <v>125800402</v>
      </c>
      <c r="H1623" s="237">
        <v>130831025</v>
      </c>
      <c r="I1623" s="237">
        <f t="shared" ca="1" si="187"/>
        <v>5030623</v>
      </c>
      <c r="J1623" s="875">
        <f t="shared" ca="1" si="188"/>
        <v>3.998892626750112E-2</v>
      </c>
    </row>
    <row r="1624" spans="3:10">
      <c r="C1624" s="172" t="s">
        <v>54</v>
      </c>
      <c r="D1624" s="237">
        <f ca="1">SUMIF($B$3:D$1568,$C1624,D$3:D$1568)</f>
        <v>17102956</v>
      </c>
      <c r="E1624" s="237">
        <f ca="1">SUMIF($B$3:E$1568,$C1624,E$3:E$1568)</f>
        <v>217077</v>
      </c>
      <c r="F1624" s="237">
        <f ca="1">SUMIF($B$3:F$1568,$C1624,F$3:F$1568)</f>
        <v>118268</v>
      </c>
      <c r="G1624" s="237">
        <f ca="1">SUMIF($B$3:G$1568,$C1624,G$3:G$1568)</f>
        <v>17438301</v>
      </c>
      <c r="H1624" s="237">
        <v>17928305</v>
      </c>
      <c r="I1624" s="237">
        <f t="shared" ca="1" si="187"/>
        <v>490004</v>
      </c>
      <c r="J1624" s="875">
        <f t="shared" ca="1" si="188"/>
        <v>2.8099297058813241E-2</v>
      </c>
    </row>
    <row r="1625" spans="3:10">
      <c r="C1625" s="172" t="s">
        <v>254</v>
      </c>
      <c r="D1625" s="237">
        <f ca="1">SUMIF($B$3:D$1568,$C1625,D$3:D$1568)</f>
        <v>15119766</v>
      </c>
      <c r="E1625" s="237">
        <f ca="1">SUMIF($B$3:E$1568,$C1625,E$3:E$1568)</f>
        <v>103015</v>
      </c>
      <c r="F1625" s="237">
        <f ca="1">SUMIF($B$3:F$1568,$C1625,F$3:F$1568)</f>
        <v>-127782</v>
      </c>
      <c r="G1625" s="237">
        <f ca="1">SUMIF($B$3:G$1568,$C1625,G$3:G$1568)</f>
        <v>15094999</v>
      </c>
      <c r="H1625" s="237">
        <v>15900550</v>
      </c>
      <c r="I1625" s="237">
        <f t="shared" ca="1" si="187"/>
        <v>805551</v>
      </c>
      <c r="J1625" s="875">
        <f t="shared" ca="1" si="188"/>
        <v>5.3365422548222761E-2</v>
      </c>
    </row>
    <row r="1626" spans="3:10">
      <c r="C1626" s="172" t="s">
        <v>459</v>
      </c>
      <c r="D1626" s="237">
        <f ca="1">SUMIF($B$3:D$1568,$C1626,D$3:D$1568)</f>
        <v>30442649</v>
      </c>
      <c r="E1626" s="237">
        <f ca="1">SUMIF($B$3:E$1568,$C1626,E$3:E$1568)</f>
        <v>558078</v>
      </c>
      <c r="F1626" s="237">
        <f ca="1">SUMIF($B$3:F$1568,$C1626,F$3:F$1568)</f>
        <v>158102</v>
      </c>
      <c r="G1626" s="237">
        <f ca="1">SUMIF($B$3:G$1568,$C1626,G$3:G$1568)</f>
        <v>31158829</v>
      </c>
      <c r="H1626" s="237">
        <v>32207265</v>
      </c>
      <c r="I1626" s="237">
        <f t="shared" ca="1" si="187"/>
        <v>1048436</v>
      </c>
      <c r="J1626" s="875">
        <f t="shared" ca="1" si="188"/>
        <v>3.3648119446337346E-2</v>
      </c>
    </row>
    <row r="1627" spans="3:10">
      <c r="C1627" s="172" t="s">
        <v>15</v>
      </c>
      <c r="D1627" s="237">
        <f ca="1">SUMIF($B$3:D$1568,$C1627,D$3:D$1568)</f>
        <v>16285405</v>
      </c>
      <c r="E1627" s="237">
        <f ca="1">SUMIF($B$3:E$1568,$C1627,E$3:E$1568)</f>
        <v>59282</v>
      </c>
      <c r="F1627" s="237">
        <f ca="1">SUMIF($B$3:F$1568,$C1627,F$3:F$1568)</f>
        <v>-41329</v>
      </c>
      <c r="G1627" s="237">
        <f ca="1">SUMIF($B$3:G$1568,$C1627,G$3:G$1568)</f>
        <v>16303358</v>
      </c>
      <c r="H1627" s="237">
        <v>16720990.0829375</v>
      </c>
      <c r="I1627" s="237">
        <f t="shared" ca="1" si="187"/>
        <v>417632.08293749951</v>
      </c>
      <c r="J1627" s="875">
        <f t="shared" ca="1" si="188"/>
        <v>2.5616322903385887E-2</v>
      </c>
    </row>
    <row r="1628" spans="3:10">
      <c r="C1628" s="172" t="s">
        <v>14</v>
      </c>
      <c r="D1628" s="237">
        <f ca="1">SUMIF($B$3:D$1568,$C1628,D$3:D$1568)</f>
        <v>9138998</v>
      </c>
      <c r="E1628" s="237">
        <f ca="1">SUMIF($B$3:E$1568,$C1628,E$3:E$1568)</f>
        <v>44300</v>
      </c>
      <c r="F1628" s="237">
        <f ca="1">SUMIF($B$3:F$1568,$C1628,F$3:F$1568)</f>
        <v>142183</v>
      </c>
      <c r="G1628" s="237">
        <f ca="1">SUMIF($B$3:G$1568,$C1628,G$3:G$1568)</f>
        <v>9325481</v>
      </c>
      <c r="H1628" s="237">
        <v>9016190</v>
      </c>
      <c r="I1628" s="237">
        <f t="shared" ca="1" si="187"/>
        <v>-309291</v>
      </c>
      <c r="J1628" s="875">
        <f t="shared" ca="1" si="188"/>
        <v>-3.3166224884271386E-2</v>
      </c>
    </row>
    <row r="1629" spans="3:10">
      <c r="C1629" s="172" t="s">
        <v>16</v>
      </c>
      <c r="D1629" s="237">
        <f ca="1">SUMIF($B$3:D$1568,$C1629,D$3:D$1568)</f>
        <v>69365092</v>
      </c>
      <c r="E1629" s="237">
        <f ca="1">SUMIF($B$3:E$1568,$C1629,E$3:E$1568)</f>
        <v>536664</v>
      </c>
      <c r="F1629" s="237">
        <f ca="1">SUMIF($B$3:F$1568,$C1629,F$3:F$1568)</f>
        <v>172720</v>
      </c>
      <c r="G1629" s="237">
        <f ca="1">SUMIF($B$3:G$1568,$C1629,G$3:G$1568)</f>
        <v>70074476</v>
      </c>
      <c r="H1629" s="237">
        <v>71958187.626249999</v>
      </c>
      <c r="I1629" s="237">
        <f t="shared" ca="1" si="187"/>
        <v>1883711.6262499988</v>
      </c>
      <c r="J1629" s="875">
        <f t="shared" ca="1" si="188"/>
        <v>2.6881565639534699E-2</v>
      </c>
    </row>
    <row r="1630" spans="3:10">
      <c r="C1630" s="172" t="s">
        <v>622</v>
      </c>
      <c r="D1630" s="237">
        <f ca="1">SUMIF($B$3:D$1568,$C1630,D$3:D$1568)</f>
        <v>37483260</v>
      </c>
      <c r="E1630" s="237">
        <f ca="1">SUMIF($B$3:E$1568,$C1630,E$3:E$1568)</f>
        <v>312497</v>
      </c>
      <c r="F1630" s="237">
        <f ca="1">SUMIF($B$3:F$1568,$C1630,F$3:F$1568)</f>
        <v>1222225</v>
      </c>
      <c r="G1630" s="237">
        <f ca="1">SUMIF($B$3:G$1568,$C1630,G$3:G$1568)</f>
        <v>39017982</v>
      </c>
      <c r="H1630" s="237">
        <v>37608760.466849998</v>
      </c>
      <c r="I1630" s="237">
        <f t="shared" ca="1" si="187"/>
        <v>-1409221.5331500024</v>
      </c>
      <c r="J1630" s="875">
        <f t="shared" ca="1" si="188"/>
        <v>-3.6117232642887638E-2</v>
      </c>
    </row>
    <row r="1631" spans="3:10">
      <c r="C1631" s="172" t="s">
        <v>662</v>
      </c>
      <c r="D1631" s="237">
        <f ca="1">SUMIF($B$3:D$1568,$C1631,D$3:D$1568)</f>
        <v>7969666</v>
      </c>
      <c r="E1631" s="237">
        <f ca="1">SUMIF($B$3:E$1568,$C1631,E$3:E$1568)</f>
        <v>520672</v>
      </c>
      <c r="F1631" s="237">
        <f ca="1">SUMIF($B$3:F$1568,$C1631,F$3:F$1568)</f>
        <v>75915</v>
      </c>
      <c r="G1631" s="237">
        <f ca="1">SUMIF($B$3:G$1568,$C1631,G$3:G$1568)</f>
        <v>8566253</v>
      </c>
      <c r="H1631" s="237">
        <v>9739969.4437374994</v>
      </c>
      <c r="I1631" s="237">
        <f t="shared" ca="1" si="187"/>
        <v>1173716.4437374994</v>
      </c>
      <c r="J1631" s="875">
        <f t="shared" ca="1" si="188"/>
        <v>0.13701631783902476</v>
      </c>
    </row>
    <row r="1632" spans="3:10">
      <c r="C1632" s="172" t="s">
        <v>32</v>
      </c>
      <c r="D1632" s="237">
        <f ca="1">SUMIF($B$3:D$1568,$C1632,D$3:D$1568)</f>
        <v>3638325</v>
      </c>
      <c r="E1632" s="237">
        <f ca="1">SUMIF($B$3:E$1568,$C1632,E$3:E$1568)</f>
        <v>27000</v>
      </c>
      <c r="F1632" s="237">
        <f ca="1">SUMIF($B$3:F$1568,$C1632,F$3:F$1568)</f>
        <v>-84751</v>
      </c>
      <c r="G1632" s="237">
        <f ca="1">SUMIF($B$3:G$1568,$C1632,G$3:G$1568)</f>
        <v>3580574</v>
      </c>
      <c r="H1632" s="237">
        <v>4440330.1985874996</v>
      </c>
      <c r="I1632" s="237">
        <f t="shared" ca="1" si="187"/>
        <v>859756.19858749956</v>
      </c>
      <c r="J1632" s="875">
        <f t="shared" ca="1" si="188"/>
        <v>0.24011686354967096</v>
      </c>
    </row>
    <row r="1633" spans="3:10">
      <c r="C1633" s="172" t="s">
        <v>38</v>
      </c>
      <c r="D1633" s="237">
        <f ca="1">SUMIF($B$3:D$1568,$C1633,D$3:D$1568)</f>
        <v>2844806</v>
      </c>
      <c r="E1633" s="237">
        <f ca="1">SUMIF($B$3:E$1568,$C1633,E$3:E$1568)</f>
        <v>15274</v>
      </c>
      <c r="F1633" s="237">
        <f ca="1">SUMIF($B$3:F$1568,$C1633,F$3:F$1568)</f>
        <v>-3795</v>
      </c>
      <c r="G1633" s="237">
        <f ca="1">SUMIF($B$3:G$1568,$C1633,G$3:G$1568)</f>
        <v>2856285</v>
      </c>
      <c r="H1633" s="237">
        <v>3018369.7355375001</v>
      </c>
      <c r="I1633" s="237">
        <f t="shared" ca="1" si="187"/>
        <v>162084.73553750012</v>
      </c>
      <c r="J1633" s="875">
        <f t="shared" ca="1" si="188"/>
        <v>5.6746695633488997E-2</v>
      </c>
    </row>
    <row r="1634" spans="3:10">
      <c r="C1634" s="172" t="s">
        <v>699</v>
      </c>
      <c r="D1634" s="237">
        <f ca="1">SUMIF($B$3:D$1568,$C1634,D$3:D$1568)</f>
        <v>1862869</v>
      </c>
      <c r="E1634" s="237">
        <f ca="1">SUMIF($B$3:E$1568,$C1634,E$3:E$1568)</f>
        <v>6492</v>
      </c>
      <c r="F1634" s="237">
        <f ca="1">SUMIF($B$3:F$1568,$C1634,F$3:F$1568)</f>
        <v>8281</v>
      </c>
      <c r="G1634" s="237">
        <f ca="1">SUMIF($B$3:G$1568,$C1634,G$3:G$1568)</f>
        <v>1877642</v>
      </c>
      <c r="H1634" s="237">
        <v>1963600</v>
      </c>
      <c r="I1634" s="237">
        <f t="shared" ca="1" si="187"/>
        <v>85958</v>
      </c>
      <c r="J1634" s="875">
        <f t="shared" ca="1" si="188"/>
        <v>4.5779759932937161E-2</v>
      </c>
    </row>
    <row r="1635" spans="3:10">
      <c r="C1635" s="172" t="s">
        <v>712</v>
      </c>
      <c r="D1635" s="237">
        <f ca="1">SUMIF($B$3:D$1568,$C1635,D$3:D$1568)</f>
        <v>5222545</v>
      </c>
      <c r="E1635" s="237">
        <f ca="1">SUMIF($B$3:E$1568,$C1635,E$3:E$1568)</f>
        <v>-154424</v>
      </c>
      <c r="F1635" s="237">
        <f ca="1">SUMIF($B$3:F$1568,$C1635,F$3:F$1568)</f>
        <v>-30208</v>
      </c>
      <c r="G1635" s="237">
        <f ca="1">SUMIF($B$3:G$1568,$C1635,G$3:G$1568)</f>
        <v>5037913</v>
      </c>
      <c r="H1635" s="237">
        <v>5138499.8490000004</v>
      </c>
      <c r="I1635" s="237">
        <f t="shared" ca="1" si="187"/>
        <v>100586.84900000039</v>
      </c>
      <c r="J1635" s="875">
        <f t="shared" ca="1" si="188"/>
        <v>1.9965975791959963E-2</v>
      </c>
    </row>
    <row r="1636" spans="3:10">
      <c r="C1636" s="172" t="s">
        <v>721</v>
      </c>
      <c r="D1636" s="237">
        <f ca="1">SUMIF($B$3:D$1568,$C1636,D$3:D$1568)</f>
        <v>1755716</v>
      </c>
      <c r="E1636" s="237">
        <f ca="1">SUMIF($B$3:E$1568,$C1636,E$3:E$1568)</f>
        <v>10497</v>
      </c>
      <c r="F1636" s="237">
        <f ca="1">SUMIF($B$3:F$1568,$C1636,F$3:F$1568)</f>
        <v>78470</v>
      </c>
      <c r="G1636" s="237">
        <f ca="1">SUMIF($B$3:G$1568,$C1636,G$3:G$1568)</f>
        <v>1844683</v>
      </c>
      <c r="H1636" s="237">
        <v>1930700</v>
      </c>
      <c r="I1636" s="237">
        <f t="shared" ca="1" si="187"/>
        <v>86017</v>
      </c>
      <c r="J1636" s="875">
        <f t="shared" ca="1" si="188"/>
        <v>4.6629691930808709E-2</v>
      </c>
    </row>
    <row r="1637" spans="3:10">
      <c r="C1637" s="172" t="s">
        <v>55</v>
      </c>
      <c r="D1637" s="237">
        <f ca="1">SUMIF($B$3:D$1568,$C1637,D$3:D$1568)</f>
        <v>5200924</v>
      </c>
      <c r="E1637" s="237">
        <f ca="1">SUMIF($B$3:E$1568,$C1637,E$3:E$1568)</f>
        <v>233884</v>
      </c>
      <c r="F1637" s="237">
        <f ca="1">SUMIF($B$3:F$1568,$C1637,F$3:F$1568)</f>
        <v>123486</v>
      </c>
      <c r="G1637" s="237">
        <f ca="1">SUMIF($B$3:G$1568,$C1637,G$3:G$1568)</f>
        <v>5558294</v>
      </c>
      <c r="H1637" s="237">
        <v>5667599.54</v>
      </c>
      <c r="I1637" s="237">
        <f t="shared" ca="1" si="187"/>
        <v>109305.54000000004</v>
      </c>
      <c r="J1637" s="875">
        <f t="shared" ca="1" si="188"/>
        <v>1.9665303778461526E-2</v>
      </c>
    </row>
    <row r="1638" spans="3:10">
      <c r="C1638" s="172" t="s">
        <v>729</v>
      </c>
      <c r="D1638" s="237">
        <f ca="1">SUMIF($B$3:D$1568,$C1638,D$3:D$1568)</f>
        <v>2795363</v>
      </c>
      <c r="E1638" s="237">
        <f ca="1">SUMIF($B$3:E$1568,$C1638,E$3:E$1568)</f>
        <v>59961</v>
      </c>
      <c r="F1638" s="237">
        <f ca="1">SUMIF($B$3:F$1568,$C1638,F$3:F$1568)</f>
        <v>-5300</v>
      </c>
      <c r="G1638" s="237">
        <f ca="1">SUMIF($B$3:G$1568,$C1638,G$3:G$1568)</f>
        <v>2850024</v>
      </c>
      <c r="H1638" s="237">
        <v>2944500</v>
      </c>
      <c r="I1638" s="237">
        <f t="shared" ca="1" si="187"/>
        <v>94476</v>
      </c>
      <c r="J1638" s="875">
        <f t="shared" ca="1" si="188"/>
        <v>3.3149194533098669E-2</v>
      </c>
    </row>
    <row r="1639" spans="3:10">
      <c r="C1639" s="172" t="s">
        <v>735</v>
      </c>
      <c r="D1639" s="237">
        <f ca="1">SUMIF($B$3:D$1568,$C1639,D$3:D$1568)</f>
        <v>2574291</v>
      </c>
      <c r="E1639" s="237">
        <f ca="1">SUMIF($B$3:E$1568,$C1639,E$3:E$1568)</f>
        <v>48362</v>
      </c>
      <c r="F1639" s="237">
        <f ca="1">SUMIF($B$3:F$1568,$C1639,F$3:F$1568)</f>
        <v>16510</v>
      </c>
      <c r="G1639" s="237">
        <f ca="1">SUMIF($B$3:G$1568,$C1639,G$3:G$1568)</f>
        <v>2639163</v>
      </c>
      <c r="H1639" s="237">
        <v>2711100</v>
      </c>
      <c r="I1639" s="237">
        <f t="shared" ca="1" si="187"/>
        <v>71937</v>
      </c>
      <c r="J1639" s="875">
        <f t="shared" ca="1" si="188"/>
        <v>2.7257505504586114E-2</v>
      </c>
    </row>
    <row r="1640" spans="3:10">
      <c r="C1640" s="172" t="s">
        <v>744</v>
      </c>
      <c r="D1640" s="237">
        <f ca="1">SUMIF($B$3:D$1568,$C1640,D$3:D$1568)</f>
        <v>1559479</v>
      </c>
      <c r="E1640" s="237">
        <f ca="1">SUMIF($B$3:E$1568,$C1640,E$3:E$1568)</f>
        <v>49534</v>
      </c>
      <c r="F1640" s="237">
        <f ca="1">SUMIF($B$3:F$1568,$C1640,F$3:F$1568)</f>
        <v>4085</v>
      </c>
      <c r="G1640" s="237">
        <f ca="1">SUMIF($B$3:G$1568,$C1640,G$3:G$1568)</f>
        <v>1613098</v>
      </c>
      <c r="H1640" s="237">
        <v>1653100</v>
      </c>
      <c r="I1640" s="237">
        <f t="shared" ca="1" si="187"/>
        <v>40002</v>
      </c>
      <c r="J1640" s="875">
        <f t="shared" ca="1" si="188"/>
        <v>2.4798245363889856E-2</v>
      </c>
    </row>
    <row r="1641" spans="3:10">
      <c r="C1641" s="172" t="s">
        <v>749</v>
      </c>
      <c r="D1641" s="237">
        <f ca="1">SUMIF($B$3:D$1568,$C1641,D$3:D$1568)</f>
        <v>4250399</v>
      </c>
      <c r="E1641" s="237">
        <f ca="1">SUMIF($B$3:E$1568,$C1641,E$3:E$1568)</f>
        <v>-34209</v>
      </c>
      <c r="F1641" s="237">
        <f ca="1">SUMIF($B$3:F$1568,$C1641,F$3:F$1568)</f>
        <v>-31257</v>
      </c>
      <c r="G1641" s="237">
        <f ca="1">SUMIF($B$3:G$1568,$C1641,G$3:G$1568)</f>
        <v>4184933</v>
      </c>
      <c r="H1641" s="237">
        <v>4193300</v>
      </c>
      <c r="I1641" s="237">
        <f t="shared" ca="1" si="187"/>
        <v>8367</v>
      </c>
      <c r="J1641" s="875">
        <f t="shared" ca="1" si="188"/>
        <v>1.9993151622738044E-3</v>
      </c>
    </row>
    <row r="1642" spans="3:10">
      <c r="C1642" s="404" t="s">
        <v>799</v>
      </c>
      <c r="D1642" s="308">
        <f t="shared" ref="D1642:G1642" ca="1" si="189">SUM(D1619:D1641)</f>
        <v>384034544</v>
      </c>
      <c r="E1642" s="308">
        <f t="shared" ca="1" si="189"/>
        <v>4359713</v>
      </c>
      <c r="F1642" s="308">
        <f t="shared" ref="F1642" ca="1" si="190">SUM(F1619:F1641)</f>
        <v>2598350</v>
      </c>
      <c r="G1642" s="308">
        <f t="shared" ca="1" si="189"/>
        <v>390992607</v>
      </c>
      <c r="H1642" s="308">
        <v>405730081.9429</v>
      </c>
      <c r="I1642" s="308">
        <f t="shared" ca="1" si="187"/>
        <v>14737474.942900002</v>
      </c>
      <c r="J1642" s="876">
        <f t="shared" ca="1" si="188"/>
        <v>3.7692464458541547E-2</v>
      </c>
    </row>
    <row r="1643" spans="3:10">
      <c r="C1643" s="172" t="s">
        <v>789</v>
      </c>
      <c r="D1643" s="337">
        <f>D1558</f>
        <v>5500000</v>
      </c>
      <c r="E1643" s="337">
        <f>E1558</f>
        <v>-185000</v>
      </c>
      <c r="F1643" s="337">
        <f>F1558</f>
        <v>-10000</v>
      </c>
      <c r="G1643" s="337">
        <f>G1558</f>
        <v>5305000</v>
      </c>
      <c r="H1643" s="337">
        <v>5500000</v>
      </c>
      <c r="I1643" s="337">
        <f t="shared" si="187"/>
        <v>195000</v>
      </c>
      <c r="J1643" s="877">
        <f t="shared" si="188"/>
        <v>3.6757775683317624E-2</v>
      </c>
    </row>
    <row r="1644" spans="3:10">
      <c r="C1644" s="172" t="s">
        <v>800</v>
      </c>
      <c r="D1644" s="337">
        <f>D1561</f>
        <v>1490000</v>
      </c>
      <c r="E1644" s="337">
        <f>E1561</f>
        <v>-244780</v>
      </c>
      <c r="F1644" s="337">
        <f>F1561</f>
        <v>-52565</v>
      </c>
      <c r="G1644" s="337">
        <f>G1561</f>
        <v>1192655</v>
      </c>
      <c r="H1644" s="337">
        <v>1638000</v>
      </c>
      <c r="I1644" s="337">
        <f t="shared" si="187"/>
        <v>445345</v>
      </c>
      <c r="J1644" s="877">
        <f t="shared" si="188"/>
        <v>0.3734063916220533</v>
      </c>
    </row>
    <row r="1645" spans="3:10">
      <c r="C1645" s="172" t="s">
        <v>791</v>
      </c>
      <c r="D1645" s="337">
        <f t="shared" ref="D1645:G1647" si="191">D1563</f>
        <v>1507532</v>
      </c>
      <c r="E1645" s="337">
        <f t="shared" si="191"/>
        <v>0</v>
      </c>
      <c r="F1645" s="337">
        <f t="shared" si="191"/>
        <v>-1107532</v>
      </c>
      <c r="G1645" s="337">
        <f t="shared" si="191"/>
        <v>400000</v>
      </c>
      <c r="H1645" s="337">
        <v>1000000</v>
      </c>
      <c r="I1645" s="337">
        <f t="shared" si="187"/>
        <v>600000</v>
      </c>
      <c r="J1645" s="877">
        <f t="shared" si="188"/>
        <v>1.5</v>
      </c>
    </row>
    <row r="1646" spans="3:10">
      <c r="C1646" s="405" t="s">
        <v>792</v>
      </c>
      <c r="D1646" s="337">
        <f t="shared" si="191"/>
        <v>100000</v>
      </c>
      <c r="E1646" s="337">
        <f t="shared" si="191"/>
        <v>0</v>
      </c>
      <c r="F1646" s="337">
        <f t="shared" si="191"/>
        <v>0</v>
      </c>
      <c r="G1646" s="337">
        <f t="shared" si="191"/>
        <v>100000</v>
      </c>
      <c r="H1646" s="337">
        <v>100000</v>
      </c>
      <c r="I1646" s="337">
        <f t="shared" si="187"/>
        <v>0</v>
      </c>
      <c r="J1646" s="877">
        <f t="shared" si="188"/>
        <v>0</v>
      </c>
    </row>
    <row r="1647" spans="3:10">
      <c r="C1647" s="203" t="s">
        <v>793</v>
      </c>
      <c r="D1647" s="337">
        <f t="shared" si="191"/>
        <v>4930418</v>
      </c>
      <c r="E1647" s="337">
        <f t="shared" si="191"/>
        <v>-126898</v>
      </c>
      <c r="F1647" s="337">
        <f t="shared" si="191"/>
        <v>-4583926</v>
      </c>
      <c r="G1647" s="337">
        <f t="shared" si="191"/>
        <v>219594</v>
      </c>
      <c r="H1647" s="337">
        <v>2700000</v>
      </c>
      <c r="I1647" s="337">
        <f t="shared" si="187"/>
        <v>2480406</v>
      </c>
      <c r="J1647" s="877">
        <f t="shared" si="188"/>
        <v>11.295417907593103</v>
      </c>
    </row>
    <row r="1648" spans="3:10">
      <c r="C1648" s="172" t="s">
        <v>766</v>
      </c>
      <c r="D1648" s="337">
        <f>D1568</f>
        <v>76000000</v>
      </c>
      <c r="E1648" s="337">
        <f>E1568</f>
        <v>10000000</v>
      </c>
      <c r="F1648" s="337">
        <f>F1568</f>
        <v>0</v>
      </c>
      <c r="G1648" s="337">
        <f>G1568</f>
        <v>86000000</v>
      </c>
      <c r="H1648" s="337">
        <v>86099258</v>
      </c>
      <c r="I1648" s="337">
        <f t="shared" si="187"/>
        <v>99258</v>
      </c>
      <c r="J1648" s="877">
        <f t="shared" si="188"/>
        <v>1.1541627906976745E-3</v>
      </c>
    </row>
    <row r="1649" spans="3:10">
      <c r="C1649" s="404" t="s">
        <v>52</v>
      </c>
      <c r="D1649" s="308">
        <f ca="1">SUM(D1642:D1648)</f>
        <v>473562494</v>
      </c>
      <c r="E1649" s="308">
        <f ca="1">SUM(E1642:E1648)</f>
        <v>13803035</v>
      </c>
      <c r="F1649" s="308">
        <f ca="1">SUM(F1642:F1648)</f>
        <v>-3155673</v>
      </c>
      <c r="G1649" s="308">
        <f ca="1">SUM(G1642:G1648)</f>
        <v>484209856</v>
      </c>
      <c r="H1649" s="308">
        <v>502767339.9429</v>
      </c>
      <c r="I1649" s="308">
        <f t="shared" ca="1" si="187"/>
        <v>18557483.942900002</v>
      </c>
      <c r="J1649" s="876">
        <f t="shared" ca="1" si="188"/>
        <v>3.8325291633262419E-2</v>
      </c>
    </row>
    <row r="1650" spans="3:10">
      <c r="C1650" s="172"/>
      <c r="D1650" s="337"/>
      <c r="E1650" s="337"/>
      <c r="F1650" s="337"/>
      <c r="G1650" s="337"/>
      <c r="H1650" s="337"/>
      <c r="I1650" s="337"/>
      <c r="J1650" s="877"/>
    </row>
    <row r="1651" spans="3:10">
      <c r="C1651" s="402" t="s">
        <v>801</v>
      </c>
      <c r="D1651" s="407"/>
      <c r="E1651" s="407"/>
      <c r="F1651" s="407"/>
      <c r="G1651" s="407"/>
      <c r="H1651" s="407"/>
      <c r="I1651" s="407"/>
      <c r="J1651" s="878"/>
    </row>
    <row r="1652" spans="3:10">
      <c r="C1652" s="172" t="s">
        <v>284</v>
      </c>
      <c r="D1652" s="337">
        <f>D11</f>
        <v>2059425</v>
      </c>
      <c r="E1652" s="337">
        <f>E11</f>
        <v>24953</v>
      </c>
      <c r="F1652" s="337">
        <f>F11</f>
        <v>-3487</v>
      </c>
      <c r="G1652" s="337">
        <f>G11</f>
        <v>2080891</v>
      </c>
      <c r="H1652" s="337">
        <v>2134466</v>
      </c>
      <c r="I1652" s="337">
        <f t="shared" ref="I1652:I1681" si="192">H1652-G1652</f>
        <v>53575</v>
      </c>
      <c r="J1652" s="877">
        <f t="shared" ref="J1652:J1681" si="193">I1652/G1652</f>
        <v>2.5746182764979041E-2</v>
      </c>
    </row>
    <row r="1653" spans="3:10">
      <c r="C1653" s="172" t="s">
        <v>297</v>
      </c>
      <c r="D1653" s="337">
        <f>D33</f>
        <v>20578193</v>
      </c>
      <c r="E1653" s="337">
        <f>E33</f>
        <v>1513783</v>
      </c>
      <c r="F1653" s="337">
        <f>F33</f>
        <v>13493</v>
      </c>
      <c r="G1653" s="337">
        <f>G33</f>
        <v>22105469</v>
      </c>
      <c r="H1653" s="337">
        <v>25576390</v>
      </c>
      <c r="I1653" s="337">
        <f t="shared" si="192"/>
        <v>3470921</v>
      </c>
      <c r="J1653" s="877">
        <f t="shared" si="193"/>
        <v>0.15701639264021044</v>
      </c>
    </row>
    <row r="1654" spans="3:10">
      <c r="C1654" s="172" t="s">
        <v>31</v>
      </c>
      <c r="D1654" s="337">
        <f>D125</f>
        <v>791872</v>
      </c>
      <c r="E1654" s="337">
        <f>E125</f>
        <v>0</v>
      </c>
      <c r="F1654" s="337">
        <f>F125</f>
        <v>153</v>
      </c>
      <c r="G1654" s="337">
        <f>G125</f>
        <v>792025</v>
      </c>
      <c r="H1654" s="337">
        <v>835554</v>
      </c>
      <c r="I1654" s="337">
        <f t="shared" si="192"/>
        <v>43529</v>
      </c>
      <c r="J1654" s="877">
        <f t="shared" si="193"/>
        <v>5.4959123765032668E-2</v>
      </c>
    </row>
    <row r="1655" spans="3:10">
      <c r="C1655" s="172" t="s">
        <v>340</v>
      </c>
      <c r="D1655" s="337">
        <f>D141</f>
        <v>277346</v>
      </c>
      <c r="E1655" s="337">
        <f>E141</f>
        <v>2300</v>
      </c>
      <c r="F1655" s="337">
        <f>F141</f>
        <v>-1201</v>
      </c>
      <c r="G1655" s="337">
        <f>G141</f>
        <v>278445</v>
      </c>
      <c r="H1655" s="337">
        <v>258363</v>
      </c>
      <c r="I1655" s="337">
        <f t="shared" si="192"/>
        <v>-20082</v>
      </c>
      <c r="J1655" s="877">
        <f t="shared" si="193"/>
        <v>-7.2121963044766466E-2</v>
      </c>
    </row>
    <row r="1656" spans="3:10">
      <c r="C1656" s="172" t="s">
        <v>53</v>
      </c>
      <c r="D1656" s="337">
        <f>D154</f>
        <v>95713736</v>
      </c>
      <c r="E1656" s="337">
        <f>E154</f>
        <v>-227866</v>
      </c>
      <c r="F1656" s="337">
        <f>F154</f>
        <v>6598</v>
      </c>
      <c r="G1656" s="337">
        <f>G154</f>
        <v>95492468</v>
      </c>
      <c r="H1656" s="337">
        <v>99040289</v>
      </c>
      <c r="I1656" s="337">
        <f t="shared" si="192"/>
        <v>3547821</v>
      </c>
      <c r="J1656" s="877">
        <f t="shared" si="193"/>
        <v>3.7152888330417848E-2</v>
      </c>
    </row>
    <row r="1657" spans="3:10">
      <c r="C1657" s="172" t="s">
        <v>54</v>
      </c>
      <c r="D1657" s="337">
        <f>D222</f>
        <v>12110909</v>
      </c>
      <c r="E1657" s="337">
        <f>E222</f>
        <v>174077</v>
      </c>
      <c r="F1657" s="337">
        <f>F222</f>
        <v>6268</v>
      </c>
      <c r="G1657" s="337">
        <f>G222</f>
        <v>12291254</v>
      </c>
      <c r="H1657" s="337">
        <v>12724658</v>
      </c>
      <c r="I1657" s="337">
        <f t="shared" si="192"/>
        <v>433404</v>
      </c>
      <c r="J1657" s="877">
        <f t="shared" si="193"/>
        <v>3.5261170259763566E-2</v>
      </c>
    </row>
    <row r="1658" spans="3:10">
      <c r="C1658" s="172" t="s">
        <v>254</v>
      </c>
      <c r="D1658" s="337">
        <f>D326</f>
        <v>10454765</v>
      </c>
      <c r="E1658" s="337">
        <f>E326</f>
        <v>166464</v>
      </c>
      <c r="F1658" s="337">
        <f>F326</f>
        <v>-83730</v>
      </c>
      <c r="G1658" s="337">
        <f>G326</f>
        <v>10537499</v>
      </c>
      <c r="H1658" s="337">
        <v>11366830</v>
      </c>
      <c r="I1658" s="337">
        <f t="shared" si="192"/>
        <v>829331</v>
      </c>
      <c r="J1658" s="877">
        <f t="shared" si="193"/>
        <v>7.870283071912984E-2</v>
      </c>
    </row>
    <row r="1659" spans="3:10">
      <c r="C1659" s="172" t="s">
        <v>459</v>
      </c>
      <c r="D1659" s="337">
        <f>D426</f>
        <v>27844699</v>
      </c>
      <c r="E1659" s="337">
        <f>E426</f>
        <v>543329</v>
      </c>
      <c r="F1659" s="337">
        <f>F426</f>
        <v>124979</v>
      </c>
      <c r="G1659" s="337">
        <f>G426</f>
        <v>28513007</v>
      </c>
      <c r="H1659" s="337">
        <v>29395146</v>
      </c>
      <c r="I1659" s="337">
        <f t="shared" si="192"/>
        <v>882139</v>
      </c>
      <c r="J1659" s="877">
        <f t="shared" si="193"/>
        <v>3.0938125887599296E-2</v>
      </c>
    </row>
    <row r="1660" spans="3:10">
      <c r="C1660" s="172" t="s">
        <v>15</v>
      </c>
      <c r="D1660" s="337">
        <f>D650</f>
        <v>13104815</v>
      </c>
      <c r="E1660" s="337">
        <f>E650</f>
        <v>27282</v>
      </c>
      <c r="F1660" s="337">
        <f>F650</f>
        <v>-47563</v>
      </c>
      <c r="G1660" s="337">
        <f>G650</f>
        <v>13084534</v>
      </c>
      <c r="H1660" s="337">
        <v>13377800.0829375</v>
      </c>
      <c r="I1660" s="337">
        <f t="shared" si="192"/>
        <v>293266.08293749951</v>
      </c>
      <c r="J1660" s="877">
        <f t="shared" si="193"/>
        <v>2.2413185134258471E-2</v>
      </c>
    </row>
    <row r="1661" spans="3:10">
      <c r="C1661" s="172" t="s">
        <v>14</v>
      </c>
      <c r="D1661" s="337">
        <f>D693</f>
        <v>8321883</v>
      </c>
      <c r="E1661" s="337">
        <f>E693</f>
        <v>22370</v>
      </c>
      <c r="F1661" s="337">
        <f>F693</f>
        <v>-12</v>
      </c>
      <c r="G1661" s="337">
        <f>G693</f>
        <v>8344241</v>
      </c>
      <c r="H1661" s="337">
        <v>8025100</v>
      </c>
      <c r="I1661" s="337">
        <f t="shared" si="192"/>
        <v>-319141</v>
      </c>
      <c r="J1661" s="877">
        <f t="shared" si="193"/>
        <v>-3.8246857922727785E-2</v>
      </c>
    </row>
    <row r="1662" spans="3:10">
      <c r="C1662" s="172" t="s">
        <v>16</v>
      </c>
      <c r="D1662" s="337">
        <f>D799</f>
        <v>68077387</v>
      </c>
      <c r="E1662" s="337">
        <f>E799</f>
        <v>508067</v>
      </c>
      <c r="F1662" s="337">
        <f>F799</f>
        <v>168020</v>
      </c>
      <c r="G1662" s="337">
        <f>G799</f>
        <v>68753474</v>
      </c>
      <c r="H1662" s="337">
        <v>70221846.626249999</v>
      </c>
      <c r="I1662" s="337">
        <f t="shared" si="192"/>
        <v>1468372.6262499988</v>
      </c>
      <c r="J1662" s="877">
        <f t="shared" si="193"/>
        <v>2.1357068098842524E-2</v>
      </c>
    </row>
    <row r="1663" spans="3:10">
      <c r="C1663" s="172" t="s">
        <v>622</v>
      </c>
      <c r="D1663" s="337">
        <f>D878</f>
        <v>36723618</v>
      </c>
      <c r="E1663" s="337">
        <f>E878</f>
        <v>279959</v>
      </c>
      <c r="F1663" s="337">
        <f>F878</f>
        <v>1178049</v>
      </c>
      <c r="G1663" s="337">
        <f>G878</f>
        <v>38181626</v>
      </c>
      <c r="H1663" s="337">
        <v>36919376.466849998</v>
      </c>
      <c r="I1663" s="337">
        <f t="shared" si="192"/>
        <v>-1262249.5331500024</v>
      </c>
      <c r="J1663" s="877">
        <f t="shared" si="193"/>
        <v>-3.3059082741787954E-2</v>
      </c>
    </row>
    <row r="1664" spans="3:10">
      <c r="C1664" s="172" t="s">
        <v>662</v>
      </c>
      <c r="D1664" s="337">
        <f>D969</f>
        <v>3937252</v>
      </c>
      <c r="E1664" s="337">
        <f>E969</f>
        <v>411093</v>
      </c>
      <c r="F1664" s="337">
        <f>F969</f>
        <v>-224547</v>
      </c>
      <c r="G1664" s="337">
        <f>G969</f>
        <v>4123798</v>
      </c>
      <c r="H1664" s="337">
        <v>4021396.4437374999</v>
      </c>
      <c r="I1664" s="337">
        <f t="shared" si="192"/>
        <v>-102401.55626250012</v>
      </c>
      <c r="J1664" s="877">
        <f t="shared" si="193"/>
        <v>-2.4831855552211849E-2</v>
      </c>
    </row>
    <row r="1665" spans="3:10">
      <c r="C1665" s="172" t="s">
        <v>32</v>
      </c>
      <c r="D1665" s="337">
        <f>D1063</f>
        <v>3582434</v>
      </c>
      <c r="E1665" s="337">
        <f>E1063</f>
        <v>4050</v>
      </c>
      <c r="F1665" s="337">
        <f>F1063</f>
        <v>-84751</v>
      </c>
      <c r="G1665" s="337">
        <f>G1063</f>
        <v>3501733</v>
      </c>
      <c r="H1665" s="337">
        <v>4340511.1985874996</v>
      </c>
      <c r="I1665" s="337">
        <f t="shared" si="192"/>
        <v>838778.19858749956</v>
      </c>
      <c r="J1665" s="877">
        <f t="shared" si="193"/>
        <v>0.23953231116921236</v>
      </c>
    </row>
    <row r="1666" spans="3:10">
      <c r="C1666" s="172" t="s">
        <v>38</v>
      </c>
      <c r="D1666" s="337">
        <f>D1096</f>
        <v>2844806</v>
      </c>
      <c r="E1666" s="337">
        <f>E1096</f>
        <v>15274</v>
      </c>
      <c r="F1666" s="337">
        <f>F1096</f>
        <v>-3795</v>
      </c>
      <c r="G1666" s="337">
        <f>G1096</f>
        <v>2856285</v>
      </c>
      <c r="H1666" s="337">
        <v>3018369.7355375001</v>
      </c>
      <c r="I1666" s="337">
        <f t="shared" si="192"/>
        <v>162084.73553750012</v>
      </c>
      <c r="J1666" s="877">
        <f t="shared" si="193"/>
        <v>5.6746695633488997E-2</v>
      </c>
    </row>
    <row r="1667" spans="3:10">
      <c r="C1667" s="172" t="s">
        <v>699</v>
      </c>
      <c r="D1667" s="337">
        <f>D1108</f>
        <v>1517299</v>
      </c>
      <c r="E1667" s="337">
        <f>E1108</f>
        <v>6492</v>
      </c>
      <c r="F1667" s="337">
        <f>F1108</f>
        <v>3871</v>
      </c>
      <c r="G1667" s="337">
        <f>G1108</f>
        <v>1527662</v>
      </c>
      <c r="H1667" s="337">
        <v>1601050</v>
      </c>
      <c r="I1667" s="337">
        <f t="shared" si="192"/>
        <v>73388</v>
      </c>
      <c r="J1667" s="877">
        <f t="shared" si="193"/>
        <v>4.8039422332950617E-2</v>
      </c>
    </row>
    <row r="1668" spans="3:10">
      <c r="C1668" s="172" t="s">
        <v>712</v>
      </c>
      <c r="D1668" s="337">
        <f>D1159</f>
        <v>550015</v>
      </c>
      <c r="E1668" s="337">
        <f>E1159</f>
        <v>55546</v>
      </c>
      <c r="F1668" s="337">
        <f>F1159</f>
        <v>14492</v>
      </c>
      <c r="G1668" s="337">
        <f>G1159</f>
        <v>620053</v>
      </c>
      <c r="H1668" s="337">
        <v>606939.84899999993</v>
      </c>
      <c r="I1668" s="337">
        <f t="shared" si="192"/>
        <v>-13113.151000000071</v>
      </c>
      <c r="J1668" s="877">
        <f t="shared" si="193"/>
        <v>-2.1148435698238814E-2</v>
      </c>
    </row>
    <row r="1669" spans="3:10">
      <c r="C1669" s="172" t="s">
        <v>721</v>
      </c>
      <c r="D1669" s="337">
        <f>D1224</f>
        <v>1506266</v>
      </c>
      <c r="E1669" s="337">
        <f>E1224</f>
        <v>10497</v>
      </c>
      <c r="F1669" s="337">
        <f>F1224</f>
        <v>53905</v>
      </c>
      <c r="G1669" s="337">
        <f>G1224</f>
        <v>1570668</v>
      </c>
      <c r="H1669" s="337">
        <v>1657720</v>
      </c>
      <c r="I1669" s="337">
        <f t="shared" si="192"/>
        <v>87052</v>
      </c>
      <c r="J1669" s="877">
        <f t="shared" si="193"/>
        <v>5.5423552272026937E-2</v>
      </c>
    </row>
    <row r="1670" spans="3:10">
      <c r="C1670" s="172" t="s">
        <v>55</v>
      </c>
      <c r="D1670" s="337">
        <f>D1271</f>
        <v>3865989</v>
      </c>
      <c r="E1670" s="337">
        <f>E1271</f>
        <v>205609</v>
      </c>
      <c r="F1670" s="337">
        <f>F1271</f>
        <v>73326</v>
      </c>
      <c r="G1670" s="337">
        <f>G1271</f>
        <v>4144924</v>
      </c>
      <c r="H1670" s="337">
        <v>4259579.54</v>
      </c>
      <c r="I1670" s="337">
        <f t="shared" si="192"/>
        <v>114655.54000000004</v>
      </c>
      <c r="J1670" s="877">
        <f t="shared" si="193"/>
        <v>2.7661674858212127E-2</v>
      </c>
    </row>
    <row r="1671" spans="3:10">
      <c r="C1671" s="172" t="s">
        <v>729</v>
      </c>
      <c r="D1671" s="337">
        <f>D1341</f>
        <v>2095263</v>
      </c>
      <c r="E1671" s="337">
        <f>E1341</f>
        <v>51061</v>
      </c>
      <c r="F1671" s="337">
        <f>F1341</f>
        <v>-4985</v>
      </c>
      <c r="G1671" s="337">
        <f>G1341</f>
        <v>2141339</v>
      </c>
      <c r="H1671" s="337">
        <v>2239590</v>
      </c>
      <c r="I1671" s="337">
        <f t="shared" si="192"/>
        <v>98251</v>
      </c>
      <c r="J1671" s="877">
        <f t="shared" si="193"/>
        <v>4.5882973223763265E-2</v>
      </c>
    </row>
    <row r="1672" spans="3:10">
      <c r="C1672" s="172" t="s">
        <v>735</v>
      </c>
      <c r="D1672" s="337">
        <f>D1394</f>
        <v>1999184</v>
      </c>
      <c r="E1672" s="337">
        <f>E1394</f>
        <v>19162</v>
      </c>
      <c r="F1672" s="337">
        <f>F1394</f>
        <v>5143</v>
      </c>
      <c r="G1672" s="337">
        <f>G1394</f>
        <v>2023489</v>
      </c>
      <c r="H1672" s="337">
        <v>2106440</v>
      </c>
      <c r="I1672" s="337">
        <f t="shared" si="192"/>
        <v>82951</v>
      </c>
      <c r="J1672" s="877">
        <f t="shared" si="193"/>
        <v>4.0994045433407345E-2</v>
      </c>
    </row>
    <row r="1673" spans="3:10">
      <c r="C1673" s="172" t="s">
        <v>744</v>
      </c>
      <c r="D1673" s="337">
        <f>D1461</f>
        <v>1327579</v>
      </c>
      <c r="E1673" s="337">
        <f>E1461</f>
        <v>23234</v>
      </c>
      <c r="F1673" s="337">
        <f>F1461</f>
        <v>445</v>
      </c>
      <c r="G1673" s="337">
        <f>G1461</f>
        <v>1351258</v>
      </c>
      <c r="H1673" s="337">
        <v>1408290</v>
      </c>
      <c r="I1673" s="337">
        <f t="shared" si="192"/>
        <v>57032</v>
      </c>
      <c r="J1673" s="877">
        <f t="shared" si="193"/>
        <v>4.220659563162623E-2</v>
      </c>
    </row>
    <row r="1674" spans="3:10">
      <c r="C1674" s="172" t="s">
        <v>749</v>
      </c>
      <c r="D1674" s="337">
        <f>D1510</f>
        <v>2792784</v>
      </c>
      <c r="E1674" s="337">
        <f>E1510</f>
        <v>144061</v>
      </c>
      <c r="F1674" s="337">
        <f>F1510</f>
        <v>-6412</v>
      </c>
      <c r="G1674" s="337">
        <f>G1510</f>
        <v>2930433</v>
      </c>
      <c r="H1674" s="337">
        <v>2977570</v>
      </c>
      <c r="I1674" s="337">
        <f t="shared" si="192"/>
        <v>47137</v>
      </c>
      <c r="J1674" s="877">
        <f t="shared" si="193"/>
        <v>1.6085336194343977E-2</v>
      </c>
    </row>
    <row r="1675" spans="3:10">
      <c r="C1675" s="404" t="s">
        <v>799</v>
      </c>
      <c r="D1675" s="308">
        <f>SUM(D1652:D1674)</f>
        <v>322077519</v>
      </c>
      <c r="E1675" s="308">
        <f t="shared" ref="E1675:G1675" si="194">SUM(E1652:E1674)</f>
        <v>3980797</v>
      </c>
      <c r="F1675" s="308">
        <f t="shared" si="194"/>
        <v>1188259</v>
      </c>
      <c r="G1675" s="308">
        <f t="shared" si="194"/>
        <v>327246575</v>
      </c>
      <c r="H1675" s="308">
        <v>338113275.9429</v>
      </c>
      <c r="I1675" s="308">
        <f t="shared" si="192"/>
        <v>10866700.942900002</v>
      </c>
      <c r="J1675" s="876">
        <f t="shared" si="193"/>
        <v>3.3206461955789766E-2</v>
      </c>
    </row>
    <row r="1676" spans="3:10">
      <c r="C1676" s="172" t="s">
        <v>789</v>
      </c>
      <c r="D1676" s="337">
        <f>D1558</f>
        <v>5500000</v>
      </c>
      <c r="E1676" s="337">
        <f>E1558</f>
        <v>-185000</v>
      </c>
      <c r="F1676" s="337">
        <f>F1558</f>
        <v>-10000</v>
      </c>
      <c r="G1676" s="337">
        <f>G1558</f>
        <v>5305000</v>
      </c>
      <c r="H1676" s="337">
        <v>5500000</v>
      </c>
      <c r="I1676" s="337">
        <f t="shared" si="192"/>
        <v>195000</v>
      </c>
      <c r="J1676" s="877">
        <f t="shared" si="193"/>
        <v>3.6757775683317624E-2</v>
      </c>
    </row>
    <row r="1677" spans="3:10">
      <c r="C1677" s="172" t="s">
        <v>800</v>
      </c>
      <c r="D1677" s="337">
        <f>D1561</f>
        <v>1490000</v>
      </c>
      <c r="E1677" s="337">
        <f>E1561</f>
        <v>-244780</v>
      </c>
      <c r="F1677" s="337">
        <f>F1561</f>
        <v>-52565</v>
      </c>
      <c r="G1677" s="337">
        <f>G1561</f>
        <v>1192655</v>
      </c>
      <c r="H1677" s="337">
        <v>1638000</v>
      </c>
      <c r="I1677" s="337">
        <f t="shared" si="192"/>
        <v>445345</v>
      </c>
      <c r="J1677" s="877">
        <f t="shared" si="193"/>
        <v>0.3734063916220533</v>
      </c>
    </row>
    <row r="1678" spans="3:10">
      <c r="C1678" s="172" t="s">
        <v>791</v>
      </c>
      <c r="D1678" s="337">
        <f t="shared" ref="D1678:G1680" si="195">D1563</f>
        <v>1507532</v>
      </c>
      <c r="E1678" s="337">
        <f t="shared" si="195"/>
        <v>0</v>
      </c>
      <c r="F1678" s="337">
        <f t="shared" si="195"/>
        <v>-1107532</v>
      </c>
      <c r="G1678" s="337">
        <f t="shared" si="195"/>
        <v>400000</v>
      </c>
      <c r="H1678" s="337">
        <v>1000000</v>
      </c>
      <c r="I1678" s="337">
        <f t="shared" si="192"/>
        <v>600000</v>
      </c>
      <c r="J1678" s="877">
        <f t="shared" si="193"/>
        <v>1.5</v>
      </c>
    </row>
    <row r="1679" spans="3:10">
      <c r="C1679" s="405" t="s">
        <v>792</v>
      </c>
      <c r="D1679" s="337">
        <f t="shared" si="195"/>
        <v>100000</v>
      </c>
      <c r="E1679" s="337">
        <f t="shared" si="195"/>
        <v>0</v>
      </c>
      <c r="F1679" s="337">
        <f t="shared" si="195"/>
        <v>0</v>
      </c>
      <c r="G1679" s="337">
        <f t="shared" si="195"/>
        <v>100000</v>
      </c>
      <c r="H1679" s="337">
        <v>100000</v>
      </c>
      <c r="I1679" s="337">
        <f t="shared" si="192"/>
        <v>0</v>
      </c>
      <c r="J1679" s="877">
        <f t="shared" si="193"/>
        <v>0</v>
      </c>
    </row>
    <row r="1680" spans="3:10">
      <c r="C1680" s="203" t="s">
        <v>793</v>
      </c>
      <c r="D1680" s="337">
        <f t="shared" si="195"/>
        <v>4930418</v>
      </c>
      <c r="E1680" s="337">
        <f t="shared" si="195"/>
        <v>-126898</v>
      </c>
      <c r="F1680" s="337">
        <f t="shared" si="195"/>
        <v>-4583926</v>
      </c>
      <c r="G1680" s="337">
        <f t="shared" si="195"/>
        <v>219594</v>
      </c>
      <c r="H1680" s="337">
        <v>2700000</v>
      </c>
      <c r="I1680" s="337">
        <f t="shared" si="192"/>
        <v>2480406</v>
      </c>
      <c r="J1680" s="877">
        <f t="shared" si="193"/>
        <v>11.295417907593103</v>
      </c>
    </row>
    <row r="1681" spans="3:10">
      <c r="C1681" s="404" t="s">
        <v>52</v>
      </c>
      <c r="D1681" s="308">
        <f>SUM(D1675:D1680)</f>
        <v>335605469</v>
      </c>
      <c r="E1681" s="308">
        <f>SUM(E1675:E1680)</f>
        <v>3424119</v>
      </c>
      <c r="F1681" s="308">
        <f>SUM(F1675:F1680)</f>
        <v>-4565764</v>
      </c>
      <c r="G1681" s="308">
        <f>SUM(G1675:G1680)</f>
        <v>334463824</v>
      </c>
      <c r="H1681" s="308">
        <v>349051275.9429</v>
      </c>
      <c r="I1681" s="308">
        <f t="shared" si="192"/>
        <v>14587451.942900002</v>
      </c>
      <c r="J1681" s="876">
        <f t="shared" si="193"/>
        <v>4.3614438681117279E-2</v>
      </c>
    </row>
    <row r="1682" spans="3:10">
      <c r="C1682" s="401"/>
      <c r="D1682" s="248"/>
      <c r="E1682" s="248"/>
      <c r="F1682" s="248"/>
      <c r="G1682" s="248"/>
      <c r="H1682" s="248"/>
      <c r="I1682" s="248"/>
      <c r="J1682" s="879"/>
    </row>
  </sheetData>
  <mergeCells count="2">
    <mergeCell ref="D3:G3"/>
    <mergeCell ref="I3:J3"/>
  </mergeCells>
  <printOptions gridLines="1"/>
  <pageMargins left="0.39370078740157483" right="0.27559055118110237" top="0.47244094488188981" bottom="0.98425196850393704" header="0.51181102362204722" footer="0.51181102362204722"/>
  <pageSetup paperSize="9" scale="75" fitToHeight="70" orientation="portrait" r:id="rId1"/>
  <headerFooter alignWithMargins="0">
    <oddFooter>&amp;C&amp;P/&amp;N&amp;R&amp;D &amp;T</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5"/>
  <sheetViews>
    <sheetView workbookViewId="0"/>
  </sheetViews>
  <sheetFormatPr defaultColWidth="9.140625" defaultRowHeight="12.75"/>
  <cols>
    <col min="1" max="1" width="32.85546875" style="721" customWidth="1"/>
    <col min="2" max="2" width="10.140625" style="721" bestFit="1" customWidth="1"/>
    <col min="3" max="4" width="9.140625" style="721" customWidth="1"/>
    <col min="5" max="5" width="10.140625" style="721" bestFit="1" customWidth="1"/>
    <col min="6" max="6" width="10.85546875" style="721" customWidth="1"/>
    <col min="7" max="7" width="10.140625" style="721" bestFit="1" customWidth="1"/>
    <col min="8" max="16384" width="9.140625" style="721"/>
  </cols>
  <sheetData>
    <row r="1" spans="1:8" ht="12.75" customHeight="1">
      <c r="A1" s="844" t="s">
        <v>1230</v>
      </c>
      <c r="B1" s="845"/>
      <c r="C1" s="845"/>
      <c r="D1" s="845"/>
      <c r="E1" s="845"/>
      <c r="F1" s="845"/>
    </row>
    <row r="2" spans="1:8" ht="12.75" customHeight="1">
      <c r="A2" s="844"/>
      <c r="B2" s="845"/>
      <c r="C2" s="845"/>
      <c r="D2" s="845"/>
      <c r="E2" s="845"/>
      <c r="F2" s="846" t="s">
        <v>2</v>
      </c>
    </row>
    <row r="3" spans="1:8" customFormat="1" ht="24.75" customHeight="1">
      <c r="A3" s="900" t="s">
        <v>1231</v>
      </c>
      <c r="B3" s="901">
        <v>2016</v>
      </c>
      <c r="C3" s="901"/>
      <c r="D3" s="901"/>
      <c r="E3" s="901"/>
      <c r="F3" s="881">
        <v>2017</v>
      </c>
      <c r="G3" s="898" t="s">
        <v>1263</v>
      </c>
      <c r="H3" s="899"/>
    </row>
    <row r="4" spans="1:8" customFormat="1" ht="25.5" customHeight="1">
      <c r="A4" s="900"/>
      <c r="B4" s="909" t="s">
        <v>1264</v>
      </c>
      <c r="C4" s="902" t="s">
        <v>1265</v>
      </c>
      <c r="D4" s="902" t="s">
        <v>1266</v>
      </c>
      <c r="E4" s="909" t="s">
        <v>1267</v>
      </c>
      <c r="F4" s="903" t="s">
        <v>1223</v>
      </c>
      <c r="G4" s="905" t="s">
        <v>1268</v>
      </c>
      <c r="H4" s="907" t="s">
        <v>1269</v>
      </c>
    </row>
    <row r="5" spans="1:8" customFormat="1">
      <c r="A5" s="900"/>
      <c r="B5" s="910" t="s">
        <v>1270</v>
      </c>
      <c r="C5" s="902"/>
      <c r="D5" s="902"/>
      <c r="E5" s="909" t="s">
        <v>1270</v>
      </c>
      <c r="F5" s="904"/>
      <c r="G5" s="906"/>
      <c r="H5" s="908"/>
    </row>
    <row r="6" spans="1:8" customFormat="1">
      <c r="A6" s="886"/>
      <c r="B6" s="889"/>
      <c r="C6" s="889"/>
      <c r="D6" s="889"/>
      <c r="E6" s="889"/>
      <c r="F6" s="889"/>
      <c r="G6" s="889"/>
      <c r="H6" s="889"/>
    </row>
    <row r="7" spans="1:8" customFormat="1">
      <c r="A7" s="887" t="s">
        <v>771</v>
      </c>
      <c r="B7" s="888">
        <v>15098500</v>
      </c>
      <c r="C7" s="888">
        <v>1370000</v>
      </c>
      <c r="D7" s="888">
        <v>6000</v>
      </c>
      <c r="E7" s="888">
        <f>SUM(B7:D7)</f>
        <v>16474500</v>
      </c>
      <c r="F7" s="888">
        <v>29762583</v>
      </c>
      <c r="G7" s="888">
        <f>F7-E7</f>
        <v>13288083</v>
      </c>
      <c r="H7" s="890">
        <f>F7/E7%-100</f>
        <v>80.658490394245661</v>
      </c>
    </row>
    <row r="8" spans="1:8" customFormat="1">
      <c r="A8" s="887" t="s">
        <v>772</v>
      </c>
      <c r="B8" s="888">
        <v>3740096</v>
      </c>
      <c r="C8" s="888">
        <v>614295</v>
      </c>
      <c r="D8" s="888">
        <v>221450</v>
      </c>
      <c r="E8" s="888">
        <f t="shared" ref="E8:E18" si="0">SUM(B8:D8)</f>
        <v>4575841</v>
      </c>
      <c r="F8" s="888">
        <v>10985779</v>
      </c>
      <c r="G8" s="888">
        <f t="shared" ref="G8:G19" si="1">F8-E8</f>
        <v>6409938</v>
      </c>
      <c r="H8" s="890">
        <f t="shared" ref="H8:H18" si="2">F8/E8%-100</f>
        <v>140.08218379965561</v>
      </c>
    </row>
    <row r="9" spans="1:8" customFormat="1">
      <c r="A9" s="887" t="s">
        <v>1232</v>
      </c>
      <c r="B9" s="888">
        <v>6094669</v>
      </c>
      <c r="C9" s="888">
        <v>346753</v>
      </c>
      <c r="D9" s="888">
        <v>120000</v>
      </c>
      <c r="E9" s="888">
        <f t="shared" si="0"/>
        <v>6561422</v>
      </c>
      <c r="F9" s="888">
        <v>11057400</v>
      </c>
      <c r="G9" s="888">
        <f t="shared" si="1"/>
        <v>4495978</v>
      </c>
      <c r="H9" s="890">
        <f t="shared" si="2"/>
        <v>68.521396733817767</v>
      </c>
    </row>
    <row r="10" spans="1:8" customFormat="1">
      <c r="A10" s="887" t="s">
        <v>1233</v>
      </c>
      <c r="B10" s="888">
        <v>1687600</v>
      </c>
      <c r="C10" s="888">
        <v>210033</v>
      </c>
      <c r="D10" s="888">
        <v>0</v>
      </c>
      <c r="E10" s="888">
        <f t="shared" si="0"/>
        <v>1897633</v>
      </c>
      <c r="F10" s="888">
        <v>1853358</v>
      </c>
      <c r="G10" s="888">
        <f t="shared" si="1"/>
        <v>-44275</v>
      </c>
      <c r="H10" s="890">
        <f t="shared" si="2"/>
        <v>-2.3331697962672564</v>
      </c>
    </row>
    <row r="11" spans="1:8" customFormat="1">
      <c r="A11" s="887" t="s">
        <v>832</v>
      </c>
      <c r="B11" s="888">
        <v>5450000</v>
      </c>
      <c r="C11" s="888">
        <v>0</v>
      </c>
      <c r="D11" s="888">
        <v>0</v>
      </c>
      <c r="E11" s="888">
        <f t="shared" si="0"/>
        <v>5450000</v>
      </c>
      <c r="F11" s="888">
        <v>4600000</v>
      </c>
      <c r="G11" s="888">
        <f t="shared" si="1"/>
        <v>-850000</v>
      </c>
      <c r="H11" s="890">
        <f t="shared" si="2"/>
        <v>-15.596330275229363</v>
      </c>
    </row>
    <row r="12" spans="1:8" customFormat="1">
      <c r="A12" s="887" t="s">
        <v>777</v>
      </c>
      <c r="B12" s="888">
        <v>2557330</v>
      </c>
      <c r="C12" s="888">
        <v>10000</v>
      </c>
      <c r="D12" s="888">
        <v>10000</v>
      </c>
      <c r="E12" s="888">
        <f t="shared" si="0"/>
        <v>2577330</v>
      </c>
      <c r="F12" s="888">
        <v>1358100</v>
      </c>
      <c r="G12" s="888">
        <f t="shared" si="1"/>
        <v>-1219230</v>
      </c>
      <c r="H12" s="890">
        <f t="shared" si="2"/>
        <v>-47.305932884031144</v>
      </c>
    </row>
    <row r="13" spans="1:8" customFormat="1">
      <c r="A13" s="887" t="s">
        <v>781</v>
      </c>
      <c r="B13" s="888">
        <v>46084639</v>
      </c>
      <c r="C13" s="888">
        <v>680000</v>
      </c>
      <c r="D13" s="888">
        <v>3647200</v>
      </c>
      <c r="E13" s="888">
        <f t="shared" si="0"/>
        <v>50411839</v>
      </c>
      <c r="F13" s="888">
        <v>51773179.666666664</v>
      </c>
      <c r="G13" s="888">
        <f t="shared" si="1"/>
        <v>1361340.6666666642</v>
      </c>
      <c r="H13" s="890">
        <f t="shared" si="2"/>
        <v>2.700438416195567</v>
      </c>
    </row>
    <row r="14" spans="1:8" customFormat="1">
      <c r="A14" s="887" t="s">
        <v>1271</v>
      </c>
      <c r="B14" s="888">
        <v>4710533</v>
      </c>
      <c r="C14" s="888">
        <v>677888</v>
      </c>
      <c r="D14" s="888">
        <v>-521500</v>
      </c>
      <c r="E14" s="888">
        <f t="shared" si="0"/>
        <v>4866921</v>
      </c>
      <c r="F14" s="888">
        <v>4864850</v>
      </c>
      <c r="G14" s="888">
        <f t="shared" si="1"/>
        <v>-2071</v>
      </c>
      <c r="H14" s="890">
        <f t="shared" si="2"/>
        <v>-4.2552570711535509E-2</v>
      </c>
    </row>
    <row r="15" spans="1:8" customFormat="1">
      <c r="A15" s="887" t="s">
        <v>786</v>
      </c>
      <c r="B15" s="888">
        <v>65000</v>
      </c>
      <c r="C15" s="888">
        <v>0</v>
      </c>
      <c r="D15" s="888">
        <v>0</v>
      </c>
      <c r="E15" s="888">
        <f t="shared" si="0"/>
        <v>65000</v>
      </c>
      <c r="F15" s="888">
        <v>30000</v>
      </c>
      <c r="G15" s="888">
        <f t="shared" si="1"/>
        <v>-35000</v>
      </c>
      <c r="H15" s="890">
        <f t="shared" si="2"/>
        <v>-53.846153846153847</v>
      </c>
    </row>
    <row r="16" spans="1:8" customFormat="1">
      <c r="A16" s="887" t="s">
        <v>780</v>
      </c>
      <c r="B16" s="888">
        <v>1684000</v>
      </c>
      <c r="C16" s="888">
        <v>9612</v>
      </c>
      <c r="D16" s="888">
        <v>4700</v>
      </c>
      <c r="E16" s="888">
        <f t="shared" si="0"/>
        <v>1698312</v>
      </c>
      <c r="F16" s="888">
        <v>25157250</v>
      </c>
      <c r="G16" s="888">
        <f t="shared" si="1"/>
        <v>23458938</v>
      </c>
      <c r="H16" s="890">
        <f t="shared" si="2"/>
        <v>1381.3090880827551</v>
      </c>
    </row>
    <row r="17" spans="1:9" customFormat="1">
      <c r="A17" s="887" t="s">
        <v>1272</v>
      </c>
      <c r="B17" s="888">
        <v>326600</v>
      </c>
      <c r="C17" s="888">
        <v>289340</v>
      </c>
      <c r="D17" s="888">
        <v>-25000</v>
      </c>
      <c r="E17" s="888">
        <f t="shared" si="0"/>
        <v>590940</v>
      </c>
      <c r="F17" s="888">
        <v>101600</v>
      </c>
      <c r="G17" s="888">
        <f t="shared" si="1"/>
        <v>-489340</v>
      </c>
      <c r="H17" s="890">
        <f t="shared" si="2"/>
        <v>-82.807053169526512</v>
      </c>
    </row>
    <row r="18" spans="1:9" customFormat="1">
      <c r="A18" s="887" t="s">
        <v>783</v>
      </c>
      <c r="B18" s="888">
        <v>460000</v>
      </c>
      <c r="C18" s="888">
        <v>50000</v>
      </c>
      <c r="D18" s="888">
        <v>-113580</v>
      </c>
      <c r="E18" s="888">
        <f t="shared" si="0"/>
        <v>396420</v>
      </c>
      <c r="F18" s="888">
        <v>0</v>
      </c>
      <c r="G18" s="888">
        <f t="shared" si="1"/>
        <v>-396420</v>
      </c>
      <c r="H18" s="890">
        <f t="shared" si="2"/>
        <v>-100</v>
      </c>
    </row>
    <row r="19" spans="1:9" customFormat="1">
      <c r="A19" s="847" t="s">
        <v>3</v>
      </c>
      <c r="B19" s="848">
        <f>SUM(B7:B18)</f>
        <v>87958967</v>
      </c>
      <c r="C19" s="849">
        <f t="shared" ref="C19:D19" si="3">SUM(C7:C18)</f>
        <v>4257921</v>
      </c>
      <c r="D19" s="849">
        <f t="shared" si="3"/>
        <v>3349270</v>
      </c>
      <c r="E19" s="850">
        <f>SUM(B19:D19)</f>
        <v>95566158</v>
      </c>
      <c r="F19" s="849">
        <f>SUM(F7:F18)</f>
        <v>141544099.66666666</v>
      </c>
      <c r="G19" s="849">
        <f t="shared" si="1"/>
        <v>45977941.666666657</v>
      </c>
      <c r="H19" s="891">
        <v>0.48099999999999998</v>
      </c>
      <c r="I19" s="721"/>
    </row>
    <row r="20" spans="1:9" customFormat="1"/>
    <row r="21" spans="1:9" customFormat="1"/>
    <row r="22" spans="1:9" customFormat="1"/>
    <row r="23" spans="1:9" customFormat="1"/>
    <row r="24" spans="1:9" customFormat="1"/>
    <row r="25" spans="1:9" customFormat="1"/>
  </sheetData>
  <mergeCells count="10">
    <mergeCell ref="A3:A5"/>
    <mergeCell ref="B3:E3"/>
    <mergeCell ref="G3:H3"/>
    <mergeCell ref="C4:C5"/>
    <mergeCell ref="D4:D5"/>
    <mergeCell ref="F4:F5"/>
    <mergeCell ref="G4:G5"/>
    <mergeCell ref="H4:H5"/>
    <mergeCell ref="B4:B5"/>
    <mergeCell ref="E4:E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1"/>
  <sheetViews>
    <sheetView zoomScaleNormal="100" workbookViewId="0"/>
  </sheetViews>
  <sheetFormatPr defaultColWidth="9.140625" defaultRowHeight="12.75"/>
  <cols>
    <col min="1" max="1" width="46.140625" style="721" customWidth="1"/>
    <col min="2" max="2" width="12.28515625" style="833" customWidth="1"/>
    <col min="3" max="3" width="12.28515625" style="833" hidden="1" customWidth="1"/>
    <col min="4" max="4" width="12.28515625" style="833" customWidth="1"/>
    <col min="5" max="5" width="11.5703125" style="721" bestFit="1" customWidth="1"/>
    <col min="6" max="6" width="10.7109375" style="721" bestFit="1" customWidth="1"/>
    <col min="7" max="16384" width="9.140625" style="721"/>
  </cols>
  <sheetData>
    <row r="1" spans="1:7" ht="15">
      <c r="A1" s="832" t="s">
        <v>1226</v>
      </c>
    </row>
    <row r="2" spans="1:7" ht="15">
      <c r="A2" s="832"/>
      <c r="E2" s="816" t="s">
        <v>2</v>
      </c>
    </row>
    <row r="3" spans="1:7" ht="24" customHeight="1">
      <c r="B3" s="895">
        <v>2016</v>
      </c>
      <c r="C3" s="896"/>
      <c r="D3" s="897"/>
      <c r="E3" s="793">
        <v>2017</v>
      </c>
      <c r="F3" s="898" t="s">
        <v>1224</v>
      </c>
      <c r="G3" s="899"/>
    </row>
    <row r="4" spans="1:7" ht="25.5">
      <c r="A4" s="725"/>
      <c r="B4" s="794" t="s">
        <v>18</v>
      </c>
      <c r="C4" s="795" t="s">
        <v>19</v>
      </c>
      <c r="D4" s="796" t="s">
        <v>20</v>
      </c>
      <c r="E4" s="797" t="s">
        <v>1223</v>
      </c>
      <c r="F4" s="834" t="s">
        <v>2</v>
      </c>
      <c r="G4" s="835" t="s">
        <v>21</v>
      </c>
    </row>
    <row r="5" spans="1:7">
      <c r="A5" s="770" t="s">
        <v>1227</v>
      </c>
      <c r="B5" s="836">
        <f>B6</f>
        <v>20000000</v>
      </c>
      <c r="C5" s="836"/>
      <c r="D5" s="836">
        <f>B5+C5</f>
        <v>20000000</v>
      </c>
      <c r="E5" s="836">
        <f>E6</f>
        <v>50000000</v>
      </c>
      <c r="F5" s="836">
        <f t="shared" ref="F5:F14" si="0">E5-D5</f>
        <v>30000000</v>
      </c>
      <c r="G5" s="837">
        <f t="shared" ref="G5:G14" si="1">IF(F5=0,"",F5/D5)</f>
        <v>1.5</v>
      </c>
    </row>
    <row r="6" spans="1:7">
      <c r="A6" s="838" t="s">
        <v>24</v>
      </c>
      <c r="B6" s="762">
        <v>20000000</v>
      </c>
      <c r="C6" s="762"/>
      <c r="D6" s="762">
        <f t="shared" ref="D6:D14" si="2">B6+C6</f>
        <v>20000000</v>
      </c>
      <c r="E6" s="762">
        <v>50000000</v>
      </c>
      <c r="F6" s="762">
        <f t="shared" si="0"/>
        <v>30000000</v>
      </c>
      <c r="G6" s="825">
        <f t="shared" si="1"/>
        <v>1.5</v>
      </c>
    </row>
    <row r="7" spans="1:7">
      <c r="A7" s="725"/>
      <c r="B7" s="762"/>
      <c r="C7" s="762"/>
      <c r="D7" s="762"/>
      <c r="E7" s="762"/>
      <c r="F7" s="762"/>
      <c r="G7" s="825" t="str">
        <f t="shared" si="1"/>
        <v/>
      </c>
    </row>
    <row r="8" spans="1:7">
      <c r="A8" s="770" t="s">
        <v>1228</v>
      </c>
      <c r="B8" s="836">
        <f>B9</f>
        <v>7569265</v>
      </c>
      <c r="C8" s="836"/>
      <c r="D8" s="836">
        <f t="shared" si="2"/>
        <v>7569265</v>
      </c>
      <c r="E8" s="836">
        <f>E9</f>
        <v>9913192</v>
      </c>
      <c r="F8" s="836">
        <f t="shared" si="0"/>
        <v>2343927</v>
      </c>
      <c r="G8" s="837">
        <f t="shared" si="1"/>
        <v>0.30966375202876367</v>
      </c>
    </row>
    <row r="9" spans="1:7">
      <c r="A9" s="838" t="s">
        <v>24</v>
      </c>
      <c r="B9" s="762">
        <v>7569265</v>
      </c>
      <c r="C9" s="762"/>
      <c r="D9" s="762">
        <f t="shared" si="2"/>
        <v>7569265</v>
      </c>
      <c r="E9" s="762">
        <v>9913192</v>
      </c>
      <c r="F9" s="762">
        <f t="shared" si="0"/>
        <v>2343927</v>
      </c>
      <c r="G9" s="825">
        <f t="shared" si="1"/>
        <v>0.30966375202876367</v>
      </c>
    </row>
    <row r="10" spans="1:7">
      <c r="A10" s="838"/>
      <c r="B10" s="762"/>
      <c r="C10" s="762"/>
      <c r="D10" s="762"/>
      <c r="E10" s="762"/>
      <c r="F10" s="762"/>
      <c r="G10" s="825" t="str">
        <f t="shared" si="1"/>
        <v/>
      </c>
    </row>
    <row r="11" spans="1:7">
      <c r="A11" s="770" t="s">
        <v>1195</v>
      </c>
      <c r="B11" s="836">
        <f>B13</f>
        <v>1042360</v>
      </c>
      <c r="C11" s="836"/>
      <c r="D11" s="836">
        <f t="shared" si="2"/>
        <v>1042360</v>
      </c>
      <c r="E11" s="836">
        <f>E13</f>
        <v>1113500</v>
      </c>
      <c r="F11" s="836">
        <f t="shared" si="0"/>
        <v>71140</v>
      </c>
      <c r="G11" s="837">
        <f t="shared" si="1"/>
        <v>6.8248973483249556E-2</v>
      </c>
    </row>
    <row r="12" spans="1:7">
      <c r="A12" s="839"/>
      <c r="B12" s="762"/>
      <c r="C12" s="762"/>
      <c r="D12" s="762"/>
      <c r="E12" s="762"/>
      <c r="F12" s="762"/>
      <c r="G12" s="825" t="str">
        <f t="shared" si="1"/>
        <v/>
      </c>
    </row>
    <row r="13" spans="1:7">
      <c r="A13" s="840" t="s">
        <v>53</v>
      </c>
      <c r="B13" s="762">
        <f>B14</f>
        <v>1042360</v>
      </c>
      <c r="C13" s="762"/>
      <c r="D13" s="762">
        <f t="shared" si="2"/>
        <v>1042360</v>
      </c>
      <c r="E13" s="762">
        <f>E14</f>
        <v>1113500</v>
      </c>
      <c r="F13" s="762">
        <f t="shared" si="0"/>
        <v>71140</v>
      </c>
      <c r="G13" s="825">
        <f t="shared" si="1"/>
        <v>6.8248973483249556E-2</v>
      </c>
    </row>
    <row r="14" spans="1:7" ht="25.5">
      <c r="A14" s="841" t="s">
        <v>1229</v>
      </c>
      <c r="B14" s="762">
        <v>1042360</v>
      </c>
      <c r="C14" s="762"/>
      <c r="D14" s="762">
        <f t="shared" si="2"/>
        <v>1042360</v>
      </c>
      <c r="E14" s="762">
        <v>1113500</v>
      </c>
      <c r="F14" s="762">
        <f t="shared" si="0"/>
        <v>71140</v>
      </c>
      <c r="G14" s="825">
        <f t="shared" si="1"/>
        <v>6.8248973483249556E-2</v>
      </c>
    </row>
    <row r="15" spans="1:7">
      <c r="A15" s="842"/>
      <c r="B15" s="843"/>
      <c r="C15" s="843"/>
      <c r="D15" s="843"/>
    </row>
    <row r="16" spans="1:7">
      <c r="A16" s="842"/>
      <c r="B16" s="843"/>
      <c r="C16" s="843"/>
      <c r="D16" s="843"/>
    </row>
    <row r="17" spans="1:4">
      <c r="A17" s="842"/>
      <c r="B17" s="843"/>
      <c r="C17" s="843"/>
      <c r="D17" s="843"/>
    </row>
    <row r="18" spans="1:4">
      <c r="A18" s="842"/>
      <c r="B18" s="843"/>
      <c r="C18" s="843"/>
      <c r="D18" s="843"/>
    </row>
    <row r="19" spans="1:4">
      <c r="A19" s="842"/>
      <c r="B19" s="843"/>
      <c r="C19" s="843"/>
      <c r="D19" s="843"/>
    </row>
    <row r="20" spans="1:4">
      <c r="A20" s="725"/>
    </row>
    <row r="21" spans="1:4">
      <c r="A21" s="725"/>
    </row>
  </sheetData>
  <mergeCells count="2">
    <mergeCell ref="B3:D3"/>
    <mergeCell ref="F3:G3"/>
  </mergeCell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6"/>
  <sheetViews>
    <sheetView showZeros="0" zoomScaleNormal="100" workbookViewId="0"/>
  </sheetViews>
  <sheetFormatPr defaultColWidth="9.140625" defaultRowHeight="12.75"/>
  <cols>
    <col min="1" max="1" width="35.42578125" style="814" customWidth="1"/>
    <col min="2" max="2" width="11.140625" style="814" bestFit="1" customWidth="1"/>
    <col min="3" max="3" width="10.7109375" style="814" hidden="1" customWidth="1"/>
    <col min="4" max="4" width="11.42578125" style="814" hidden="1" customWidth="1"/>
    <col min="5" max="5" width="11.85546875" style="814" customWidth="1"/>
    <col min="6" max="6" width="12.7109375" style="814" bestFit="1" customWidth="1"/>
    <col min="7" max="7" width="10.7109375" style="814" bestFit="1" customWidth="1"/>
    <col min="8" max="16384" width="9.140625" style="814"/>
  </cols>
  <sheetData>
    <row r="1" spans="1:9" ht="15">
      <c r="A1" s="813" t="s">
        <v>1198</v>
      </c>
    </row>
    <row r="2" spans="1:9" ht="15">
      <c r="A2" s="815"/>
      <c r="F2" s="816" t="s">
        <v>2</v>
      </c>
    </row>
    <row r="3" spans="1:9" ht="27" customHeight="1">
      <c r="A3" s="817"/>
      <c r="B3" s="895">
        <v>2016</v>
      </c>
      <c r="C3" s="896"/>
      <c r="D3" s="896"/>
      <c r="E3" s="897"/>
      <c r="F3" s="793">
        <v>2017</v>
      </c>
      <c r="G3" s="898" t="s">
        <v>1224</v>
      </c>
      <c r="H3" s="899"/>
    </row>
    <row r="4" spans="1:9" ht="27.75" customHeight="1">
      <c r="A4" s="817"/>
      <c r="B4" s="794" t="s">
        <v>18</v>
      </c>
      <c r="C4" s="795" t="s">
        <v>19</v>
      </c>
      <c r="D4" s="795" t="s">
        <v>1036</v>
      </c>
      <c r="E4" s="796" t="s">
        <v>20</v>
      </c>
      <c r="F4" s="797" t="s">
        <v>1223</v>
      </c>
      <c r="G4" s="798" t="s">
        <v>2</v>
      </c>
      <c r="H4" s="798" t="s">
        <v>21</v>
      </c>
    </row>
    <row r="5" spans="1:9" ht="15">
      <c r="A5" s="817"/>
      <c r="F5" s="818"/>
    </row>
    <row r="6" spans="1:9">
      <c r="A6" s="819" t="s">
        <v>1199</v>
      </c>
      <c r="B6" s="781">
        <f t="shared" ref="B6:E6" si="0">SUM(B8:B11)</f>
        <v>508454043</v>
      </c>
      <c r="C6" s="781">
        <f t="shared" si="0"/>
        <v>17310638</v>
      </c>
      <c r="D6" s="781">
        <f t="shared" si="0"/>
        <v>7943622</v>
      </c>
      <c r="E6" s="781">
        <f t="shared" si="0"/>
        <v>533708303</v>
      </c>
      <c r="F6" s="820">
        <f ca="1">SUM(F7:F11)</f>
        <v>555570108</v>
      </c>
      <c r="G6" s="820">
        <f t="shared" ref="G6:G40" ca="1" si="1">IF(F6=0,0,F6-E6)</f>
        <v>21861805</v>
      </c>
      <c r="H6" s="892">
        <f t="shared" ref="H6:H40" ca="1" si="2">IF(F6=0,"",G6/E6)</f>
        <v>4.0962085238535256E-2</v>
      </c>
      <c r="I6" s="771"/>
    </row>
    <row r="7" spans="1:9">
      <c r="B7" s="409"/>
      <c r="C7" s="409"/>
      <c r="D7" s="773"/>
      <c r="E7" s="810">
        <f t="shared" ref="E7:E40" si="3">SUM(B7:D7)</f>
        <v>0</v>
      </c>
      <c r="F7" s="821"/>
      <c r="G7" s="821">
        <f t="shared" si="1"/>
        <v>0</v>
      </c>
      <c r="H7" s="893" t="str">
        <f t="shared" si="2"/>
        <v/>
      </c>
      <c r="I7" s="778"/>
    </row>
    <row r="8" spans="1:9">
      <c r="A8" s="814" t="s">
        <v>1200</v>
      </c>
      <c r="B8" s="422">
        <v>365135000</v>
      </c>
      <c r="C8" s="422">
        <v>6180000</v>
      </c>
      <c r="D8" s="774">
        <v>6173000</v>
      </c>
      <c r="E8" s="811">
        <f t="shared" si="3"/>
        <v>377488000</v>
      </c>
      <c r="F8" s="822">
        <f>Koondeelarve!F8+Koondeelarve!F9</f>
        <v>395910000</v>
      </c>
      <c r="G8" s="822">
        <f t="shared" si="1"/>
        <v>18422000</v>
      </c>
      <c r="H8" s="893">
        <f t="shared" si="2"/>
        <v>4.8801551307591236E-2</v>
      </c>
      <c r="I8" s="778"/>
    </row>
    <row r="9" spans="1:9">
      <c r="A9" s="814" t="s">
        <v>1201</v>
      </c>
      <c r="B9" s="422">
        <v>63044514</v>
      </c>
      <c r="C9" s="422">
        <v>29069</v>
      </c>
      <c r="D9" s="774">
        <v>1437644</v>
      </c>
      <c r="E9" s="811">
        <f t="shared" si="3"/>
        <v>64511227</v>
      </c>
      <c r="F9" s="822">
        <f ca="1">Koondeelarve!F10+Koondeelarve!F11</f>
        <v>67207383</v>
      </c>
      <c r="G9" s="822">
        <f t="shared" ca="1" si="1"/>
        <v>2696156</v>
      </c>
      <c r="H9" s="893">
        <f t="shared" ca="1" si="2"/>
        <v>4.1793593539927551E-2</v>
      </c>
      <c r="I9" s="778"/>
    </row>
    <row r="10" spans="1:9">
      <c r="A10" s="814" t="s">
        <v>1202</v>
      </c>
      <c r="B10" s="422">
        <v>79131379</v>
      </c>
      <c r="C10" s="422">
        <v>11065732</v>
      </c>
      <c r="D10" s="774">
        <v>84674</v>
      </c>
      <c r="E10" s="811">
        <f t="shared" si="3"/>
        <v>90281785</v>
      </c>
      <c r="F10" s="822">
        <v>91202675</v>
      </c>
      <c r="G10" s="822">
        <f t="shared" si="1"/>
        <v>920890</v>
      </c>
      <c r="H10" s="893">
        <f t="shared" si="2"/>
        <v>1.0200174930081411E-2</v>
      </c>
      <c r="I10" s="778"/>
    </row>
    <row r="11" spans="1:9">
      <c r="A11" s="814" t="s">
        <v>1203</v>
      </c>
      <c r="B11" s="422">
        <v>1143150</v>
      </c>
      <c r="C11" s="422">
        <v>35837</v>
      </c>
      <c r="D11" s="774">
        <v>248304</v>
      </c>
      <c r="E11" s="811">
        <f t="shared" si="3"/>
        <v>1427291</v>
      </c>
      <c r="F11" s="822">
        <f ca="1">Koondeelarve!F17+Koondeelarve!F12</f>
        <v>1250050</v>
      </c>
      <c r="G11" s="822">
        <f t="shared" ca="1" si="1"/>
        <v>-177241</v>
      </c>
      <c r="H11" s="893">
        <f t="shared" ca="1" si="2"/>
        <v>-0.12418000253627326</v>
      </c>
      <c r="I11" s="778"/>
    </row>
    <row r="12" spans="1:9">
      <c r="A12" s="821"/>
      <c r="B12" s="409"/>
      <c r="C12" s="409"/>
      <c r="D12" s="773"/>
      <c r="E12" s="810">
        <f t="shared" si="3"/>
        <v>0</v>
      </c>
      <c r="F12" s="821"/>
      <c r="G12" s="821">
        <f t="shared" si="1"/>
        <v>0</v>
      </c>
      <c r="H12" s="893" t="str">
        <f t="shared" si="2"/>
        <v/>
      </c>
      <c r="I12" s="777"/>
    </row>
    <row r="13" spans="1:9">
      <c r="A13" s="823" t="s">
        <v>1204</v>
      </c>
      <c r="B13" s="781">
        <f t="shared" ref="B13:E13" si="4">B15+B16+B17</f>
        <v>467465796</v>
      </c>
      <c r="C13" s="781">
        <f t="shared" si="4"/>
        <v>14396594</v>
      </c>
      <c r="D13" s="781">
        <f t="shared" si="4"/>
        <v>-3139132</v>
      </c>
      <c r="E13" s="781">
        <f t="shared" si="4"/>
        <v>478723258</v>
      </c>
      <c r="F13" s="820">
        <f>SUM(F15:F17)</f>
        <v>493642595</v>
      </c>
      <c r="G13" s="820">
        <f t="shared" si="1"/>
        <v>14919337</v>
      </c>
      <c r="H13" s="892">
        <f t="shared" si="2"/>
        <v>3.1164846810095865E-2</v>
      </c>
      <c r="I13" s="775"/>
    </row>
    <row r="14" spans="1:9">
      <c r="A14" s="821"/>
      <c r="B14" s="409"/>
      <c r="C14" s="409"/>
      <c r="D14" s="773"/>
      <c r="E14" s="810">
        <f t="shared" si="3"/>
        <v>0</v>
      </c>
      <c r="F14" s="821"/>
      <c r="G14" s="821">
        <f t="shared" si="1"/>
        <v>0</v>
      </c>
      <c r="H14" s="197" t="str">
        <f t="shared" si="2"/>
        <v/>
      </c>
      <c r="I14" s="777"/>
    </row>
    <row r="15" spans="1:9">
      <c r="A15" s="821" t="s">
        <v>1205</v>
      </c>
      <c r="B15" s="421">
        <v>89648765</v>
      </c>
      <c r="C15" s="421">
        <v>296649</v>
      </c>
      <c r="D15" s="776">
        <v>162397</v>
      </c>
      <c r="E15" s="812">
        <f t="shared" si="3"/>
        <v>90107811</v>
      </c>
      <c r="F15" s="822">
        <v>91839835</v>
      </c>
      <c r="G15" s="824">
        <f t="shared" si="1"/>
        <v>1732024</v>
      </c>
      <c r="H15" s="825">
        <f t="shared" si="2"/>
        <v>1.9221685454105637E-2</v>
      </c>
      <c r="I15" s="777"/>
    </row>
    <row r="16" spans="1:9">
      <c r="A16" s="821" t="s">
        <v>1206</v>
      </c>
      <c r="B16" s="422">
        <v>369599661</v>
      </c>
      <c r="C16" s="422">
        <v>14496623</v>
      </c>
      <c r="D16" s="774">
        <v>2497774</v>
      </c>
      <c r="E16" s="774">
        <f t="shared" si="3"/>
        <v>386594058</v>
      </c>
      <c r="F16" s="826">
        <v>396202760</v>
      </c>
      <c r="G16" s="826">
        <f t="shared" si="1"/>
        <v>9608702</v>
      </c>
      <c r="H16" s="197">
        <f t="shared" si="2"/>
        <v>2.4854758631598004E-2</v>
      </c>
      <c r="I16" s="777"/>
    </row>
    <row r="17" spans="1:9">
      <c r="A17" s="821" t="s">
        <v>1207</v>
      </c>
      <c r="B17" s="422">
        <v>8217370</v>
      </c>
      <c r="C17" s="422">
        <v>-396678</v>
      </c>
      <c r="D17" s="774">
        <v>-5799303</v>
      </c>
      <c r="E17" s="811">
        <f t="shared" si="3"/>
        <v>2021389</v>
      </c>
      <c r="F17" s="822">
        <v>5600000</v>
      </c>
      <c r="G17" s="822">
        <f t="shared" si="1"/>
        <v>3578611</v>
      </c>
      <c r="H17" s="197">
        <f t="shared" si="2"/>
        <v>1.7703722539303419</v>
      </c>
      <c r="I17" s="777"/>
    </row>
    <row r="18" spans="1:9">
      <c r="A18" s="821"/>
      <c r="B18" s="409"/>
      <c r="C18" s="409"/>
      <c r="D18" s="773"/>
      <c r="E18" s="810">
        <f t="shared" si="3"/>
        <v>0</v>
      </c>
      <c r="F18" s="821"/>
      <c r="G18" s="821">
        <f t="shared" si="1"/>
        <v>0</v>
      </c>
      <c r="H18" s="197" t="str">
        <f t="shared" si="2"/>
        <v/>
      </c>
      <c r="I18" s="777"/>
    </row>
    <row r="19" spans="1:9">
      <c r="A19" s="821" t="s">
        <v>1208</v>
      </c>
      <c r="B19" s="422">
        <f t="shared" ref="B19:E19" si="5">B6-B13</f>
        <v>40988247</v>
      </c>
      <c r="C19" s="422">
        <f t="shared" si="5"/>
        <v>2914044</v>
      </c>
      <c r="D19" s="422">
        <f t="shared" si="5"/>
        <v>11082754</v>
      </c>
      <c r="E19" s="422">
        <f t="shared" si="5"/>
        <v>54985045</v>
      </c>
      <c r="F19" s="826">
        <f ca="1">F6-F13</f>
        <v>61927513</v>
      </c>
      <c r="G19" s="826">
        <f t="shared" ca="1" si="1"/>
        <v>6942468</v>
      </c>
      <c r="H19" s="197">
        <f t="shared" ca="1" si="2"/>
        <v>0.12626102242891682</v>
      </c>
      <c r="I19" s="777"/>
    </row>
    <row r="20" spans="1:9">
      <c r="A20" s="821"/>
      <c r="B20" s="409"/>
      <c r="C20" s="409"/>
      <c r="D20" s="773"/>
      <c r="E20" s="810">
        <f t="shared" si="3"/>
        <v>0</v>
      </c>
      <c r="F20" s="821"/>
      <c r="G20" s="821">
        <f t="shared" si="1"/>
        <v>0</v>
      </c>
      <c r="H20" s="197" t="str">
        <f t="shared" si="2"/>
        <v/>
      </c>
      <c r="I20" s="777"/>
    </row>
    <row r="21" spans="1:9">
      <c r="A21" s="819" t="s">
        <v>1209</v>
      </c>
      <c r="B21" s="781">
        <f>B23-B24+B25-B26+B29-B30-B28</f>
        <v>-61469628</v>
      </c>
      <c r="C21" s="781">
        <f>C23-C24+C25-C26+C29-C30-C28</f>
        <v>-8031028</v>
      </c>
      <c r="D21" s="781">
        <f>D23-D24+D25-D26+D29-D30-D28</f>
        <v>-4330829</v>
      </c>
      <c r="E21" s="781">
        <f>E23-E24+E25-E26+E29-E30-E28</f>
        <v>-73831485</v>
      </c>
      <c r="F21" s="781">
        <f>F23-F24+F25-F26+F29-F30-F28</f>
        <v>-100900821</v>
      </c>
      <c r="G21" s="820">
        <f t="shared" si="1"/>
        <v>-27069336</v>
      </c>
      <c r="H21" s="232">
        <f t="shared" si="2"/>
        <v>0.3666367539539534</v>
      </c>
      <c r="I21" s="771"/>
    </row>
    <row r="22" spans="1:9">
      <c r="B22" s="409"/>
      <c r="C22" s="409"/>
      <c r="D22" s="773"/>
      <c r="E22" s="810">
        <f t="shared" si="3"/>
        <v>0</v>
      </c>
      <c r="F22" s="821"/>
      <c r="G22" s="821">
        <f t="shared" si="1"/>
        <v>0</v>
      </c>
      <c r="H22" s="197" t="str">
        <f t="shared" si="2"/>
        <v/>
      </c>
      <c r="I22" s="778"/>
    </row>
    <row r="23" spans="1:9">
      <c r="A23" s="814" t="s">
        <v>1210</v>
      </c>
      <c r="B23" s="422">
        <v>2917000</v>
      </c>
      <c r="C23" s="422">
        <v>300000</v>
      </c>
      <c r="D23" s="774">
        <v>11900</v>
      </c>
      <c r="E23" s="811">
        <f t="shared" si="3"/>
        <v>3228900</v>
      </c>
      <c r="F23" s="822">
        <v>16643204</v>
      </c>
      <c r="G23" s="822">
        <f t="shared" si="1"/>
        <v>13414304</v>
      </c>
      <c r="H23" s="197">
        <f t="shared" si="2"/>
        <v>4.1544501223326833</v>
      </c>
      <c r="I23" s="778"/>
    </row>
    <row r="24" spans="1:9">
      <c r="A24" s="827" t="s">
        <v>1211</v>
      </c>
      <c r="B24" s="422">
        <v>77876368</v>
      </c>
      <c r="C24" s="422">
        <v>3549362</v>
      </c>
      <c r="D24" s="774">
        <v>-1263691</v>
      </c>
      <c r="E24" s="774">
        <f t="shared" si="3"/>
        <v>80162039</v>
      </c>
      <c r="F24" s="826">
        <v>105975650</v>
      </c>
      <c r="G24" s="826">
        <f t="shared" si="1"/>
        <v>25813611</v>
      </c>
      <c r="H24" s="197">
        <f t="shared" si="2"/>
        <v>0.32201789428035882</v>
      </c>
      <c r="I24" s="778"/>
    </row>
    <row r="25" spans="1:9">
      <c r="A25" s="814" t="s">
        <v>1212</v>
      </c>
      <c r="B25" s="422">
        <v>21279037</v>
      </c>
      <c r="C25" s="422">
        <v>187507</v>
      </c>
      <c r="D25" s="774">
        <v>0</v>
      </c>
      <c r="E25" s="811">
        <f t="shared" si="3"/>
        <v>21466544</v>
      </c>
      <c r="F25" s="822">
        <v>24214820</v>
      </c>
      <c r="G25" s="822">
        <f t="shared" si="1"/>
        <v>2748276</v>
      </c>
      <c r="H25" s="197">
        <f t="shared" si="2"/>
        <v>0.12802601108031175</v>
      </c>
      <c r="I25" s="778"/>
    </row>
    <row r="26" spans="1:9">
      <c r="A26" s="827" t="s">
        <v>1213</v>
      </c>
      <c r="B26" s="422">
        <v>6744000</v>
      </c>
      <c r="C26" s="422">
        <v>300000</v>
      </c>
      <c r="D26" s="774">
        <v>4606420</v>
      </c>
      <c r="E26" s="774">
        <f t="shared" si="3"/>
        <v>11650420</v>
      </c>
      <c r="F26" s="826">
        <v>35568450</v>
      </c>
      <c r="G26" s="826">
        <f t="shared" si="1"/>
        <v>23918030</v>
      </c>
      <c r="H26" s="197">
        <f t="shared" si="2"/>
        <v>2.0529757725472559</v>
      </c>
      <c r="I26" s="778"/>
    </row>
    <row r="27" spans="1:9">
      <c r="B27" s="422"/>
      <c r="C27" s="422"/>
      <c r="D27" s="774"/>
      <c r="E27" s="779">
        <f t="shared" si="3"/>
        <v>0</v>
      </c>
      <c r="F27" s="828"/>
      <c r="G27" s="828">
        <f t="shared" si="1"/>
        <v>0</v>
      </c>
      <c r="H27" s="829" t="str">
        <f t="shared" si="2"/>
        <v/>
      </c>
      <c r="I27" s="778"/>
    </row>
    <row r="28" spans="1:9">
      <c r="A28" s="409" t="s">
        <v>1214</v>
      </c>
      <c r="B28" s="422">
        <v>260000</v>
      </c>
      <c r="C28" s="422">
        <v>4999990</v>
      </c>
      <c r="D28" s="774">
        <v>1000000</v>
      </c>
      <c r="E28" s="774">
        <f t="shared" si="3"/>
        <v>6259990</v>
      </c>
      <c r="F28" s="828"/>
      <c r="G28" s="828">
        <f t="shared" si="1"/>
        <v>0</v>
      </c>
      <c r="H28" s="829" t="str">
        <f t="shared" si="2"/>
        <v/>
      </c>
      <c r="I28" s="409"/>
    </row>
    <row r="29" spans="1:9">
      <c r="A29" s="814" t="s">
        <v>1215</v>
      </c>
      <c r="B29" s="422">
        <v>8950000</v>
      </c>
      <c r="C29" s="422">
        <v>145817</v>
      </c>
      <c r="D29" s="774">
        <v>-10000</v>
      </c>
      <c r="E29" s="811">
        <f t="shared" si="3"/>
        <v>9085817</v>
      </c>
      <c r="F29" s="822">
        <v>8910000</v>
      </c>
      <c r="G29" s="822">
        <f t="shared" si="1"/>
        <v>-175817</v>
      </c>
      <c r="H29" s="197">
        <f t="shared" si="2"/>
        <v>-1.9350708912583205E-2</v>
      </c>
      <c r="I29" s="778"/>
    </row>
    <row r="30" spans="1:9">
      <c r="A30" s="814" t="s">
        <v>1216</v>
      </c>
      <c r="B30" s="422">
        <v>9735297</v>
      </c>
      <c r="C30" s="422">
        <v>-185000</v>
      </c>
      <c r="D30" s="774">
        <v>-10000</v>
      </c>
      <c r="E30" s="811">
        <f t="shared" si="3"/>
        <v>9540297</v>
      </c>
      <c r="F30" s="822">
        <v>9124745</v>
      </c>
      <c r="G30" s="822">
        <f t="shared" si="1"/>
        <v>-415552</v>
      </c>
      <c r="H30" s="197">
        <f t="shared" si="2"/>
        <v>-4.3557553816196706E-2</v>
      </c>
      <c r="I30" s="778"/>
    </row>
    <row r="31" spans="1:9">
      <c r="B31" s="409"/>
      <c r="C31" s="409"/>
      <c r="D31" s="773"/>
      <c r="E31" s="810">
        <f t="shared" si="3"/>
        <v>0</v>
      </c>
      <c r="F31" s="821"/>
      <c r="G31" s="821">
        <f t="shared" si="1"/>
        <v>0</v>
      </c>
      <c r="H31" s="197" t="str">
        <f t="shared" si="2"/>
        <v/>
      </c>
      <c r="I31" s="778"/>
    </row>
    <row r="32" spans="1:9">
      <c r="A32" s="814" t="s">
        <v>1217</v>
      </c>
      <c r="B32" s="422">
        <f t="shared" ref="B32:E32" si="6">B19+B21</f>
        <v>-20481381</v>
      </c>
      <c r="C32" s="422">
        <f t="shared" si="6"/>
        <v>-5116984</v>
      </c>
      <c r="D32" s="422">
        <f t="shared" si="6"/>
        <v>6751925</v>
      </c>
      <c r="E32" s="422">
        <f t="shared" si="6"/>
        <v>-18846440</v>
      </c>
      <c r="F32" s="822">
        <f ca="1">F19+F21</f>
        <v>-38973308</v>
      </c>
      <c r="G32" s="822">
        <f t="shared" ca="1" si="1"/>
        <v>-20126868</v>
      </c>
      <c r="H32" s="197">
        <f t="shared" ca="1" si="2"/>
        <v>1.0679400459715469</v>
      </c>
      <c r="I32" s="778"/>
    </row>
    <row r="33" spans="1:9">
      <c r="B33" s="409"/>
      <c r="C33" s="409"/>
      <c r="D33" s="773"/>
      <c r="E33" s="810">
        <f t="shared" si="3"/>
        <v>0</v>
      </c>
      <c r="F33" s="821"/>
      <c r="G33" s="821">
        <f t="shared" si="1"/>
        <v>0</v>
      </c>
      <c r="H33" s="197" t="str">
        <f t="shared" si="2"/>
        <v/>
      </c>
      <c r="I33" s="778"/>
    </row>
    <row r="34" spans="1:9">
      <c r="A34" s="819" t="s">
        <v>1218</v>
      </c>
      <c r="B34" s="781">
        <f t="shared" ref="B34:E34" si="7">B36-B37</f>
        <v>11388375</v>
      </c>
      <c r="C34" s="781">
        <f t="shared" si="7"/>
        <v>0</v>
      </c>
      <c r="D34" s="781">
        <f t="shared" si="7"/>
        <v>0</v>
      </c>
      <c r="E34" s="781">
        <f t="shared" si="7"/>
        <v>11388375</v>
      </c>
      <c r="F34" s="820">
        <f>F36-F37</f>
        <v>38973308</v>
      </c>
      <c r="G34" s="820">
        <f t="shared" si="1"/>
        <v>27584933</v>
      </c>
      <c r="H34" s="232">
        <f t="shared" si="2"/>
        <v>2.4222009724829046</v>
      </c>
      <c r="I34" s="771"/>
    </row>
    <row r="35" spans="1:9">
      <c r="B35" s="409"/>
      <c r="C35" s="409"/>
      <c r="D35" s="773"/>
      <c r="E35" s="810">
        <f t="shared" si="3"/>
        <v>0</v>
      </c>
      <c r="F35" s="821"/>
      <c r="G35" s="821">
        <f t="shared" si="1"/>
        <v>0</v>
      </c>
      <c r="H35" s="197" t="str">
        <f t="shared" si="2"/>
        <v/>
      </c>
      <c r="I35" s="778"/>
    </row>
    <row r="36" spans="1:9">
      <c r="A36" s="814" t="s">
        <v>1219</v>
      </c>
      <c r="B36" s="422">
        <v>20000000</v>
      </c>
      <c r="C36" s="422">
        <v>0</v>
      </c>
      <c r="D36" s="774">
        <v>0</v>
      </c>
      <c r="E36" s="811">
        <f t="shared" si="3"/>
        <v>20000000</v>
      </c>
      <c r="F36" s="822">
        <f>Fin.teh!E5</f>
        <v>50000000</v>
      </c>
      <c r="G36" s="822">
        <f t="shared" si="1"/>
        <v>30000000</v>
      </c>
      <c r="H36" s="197">
        <f t="shared" si="2"/>
        <v>1.5</v>
      </c>
      <c r="I36" s="778"/>
    </row>
    <row r="37" spans="1:9">
      <c r="A37" s="814" t="s">
        <v>1220</v>
      </c>
      <c r="B37" s="422">
        <v>8611625</v>
      </c>
      <c r="C37" s="422">
        <v>0</v>
      </c>
      <c r="D37" s="774">
        <v>0</v>
      </c>
      <c r="E37" s="811">
        <f t="shared" si="3"/>
        <v>8611625</v>
      </c>
      <c r="F37" s="822">
        <f>Fin.teh!E8+Fin.teh!E11</f>
        <v>11026692</v>
      </c>
      <c r="G37" s="822">
        <f t="shared" si="1"/>
        <v>2415067</v>
      </c>
      <c r="H37" s="197">
        <f t="shared" si="2"/>
        <v>0.28044265745431324</v>
      </c>
      <c r="I37" s="778"/>
    </row>
    <row r="38" spans="1:9">
      <c r="B38" s="409"/>
      <c r="C38" s="409"/>
      <c r="D38" s="773"/>
      <c r="E38" s="810">
        <f t="shared" si="3"/>
        <v>0</v>
      </c>
      <c r="F38" s="821"/>
      <c r="G38" s="821">
        <f t="shared" si="1"/>
        <v>0</v>
      </c>
      <c r="H38" s="197" t="str">
        <f t="shared" si="2"/>
        <v/>
      </c>
      <c r="I38" s="778"/>
    </row>
    <row r="39" spans="1:9">
      <c r="A39" s="819" t="s">
        <v>1221</v>
      </c>
      <c r="B39" s="781">
        <f t="shared" ref="B39:E39" si="8">B40+B34+B32</f>
        <v>-9093006</v>
      </c>
      <c r="C39" s="781">
        <f t="shared" si="8"/>
        <v>-2213557</v>
      </c>
      <c r="D39" s="781">
        <f t="shared" si="8"/>
        <v>6751925</v>
      </c>
      <c r="E39" s="781">
        <f t="shared" si="8"/>
        <v>-4554638</v>
      </c>
      <c r="F39" s="873">
        <f ca="1">F40+F34+F32</f>
        <v>0</v>
      </c>
      <c r="G39" s="820">
        <f t="shared" ca="1" si="1"/>
        <v>0</v>
      </c>
      <c r="H39" s="232" t="str">
        <f t="shared" ca="1" si="2"/>
        <v/>
      </c>
      <c r="I39" s="771"/>
    </row>
    <row r="40" spans="1:9">
      <c r="A40" s="819" t="s">
        <v>1222</v>
      </c>
      <c r="B40" s="781">
        <v>0</v>
      </c>
      <c r="C40" s="781">
        <v>2903427</v>
      </c>
      <c r="D40" s="772">
        <v>0</v>
      </c>
      <c r="E40" s="772">
        <f t="shared" si="3"/>
        <v>2903427</v>
      </c>
      <c r="F40" s="820"/>
      <c r="G40" s="820">
        <f t="shared" si="1"/>
        <v>0</v>
      </c>
      <c r="H40" s="232" t="str">
        <f t="shared" si="2"/>
        <v/>
      </c>
      <c r="I40" s="771"/>
    </row>
    <row r="41" spans="1:9">
      <c r="A41" s="827"/>
      <c r="F41" s="830"/>
    </row>
    <row r="42" spans="1:9">
      <c r="A42" s="831"/>
    </row>
    <row r="43" spans="1:9">
      <c r="A43" s="831"/>
      <c r="F43" s="824"/>
    </row>
    <row r="44" spans="1:9">
      <c r="A44" s="831"/>
      <c r="F44" s="824"/>
    </row>
    <row r="45" spans="1:9">
      <c r="A45" s="827"/>
      <c r="F45" s="874"/>
    </row>
    <row r="46" spans="1:9">
      <c r="A46" s="827"/>
      <c r="F46" s="824"/>
    </row>
  </sheetData>
  <mergeCells count="2">
    <mergeCell ref="B3:E3"/>
    <mergeCell ref="G3:H3"/>
  </mergeCells>
  <pageMargins left="1.1811023622047245" right="0.47244094488188981" top="0.47244094488188981" bottom="0.98425196850393704" header="0.51181102362204722" footer="0.51181102362204722"/>
  <pageSetup paperSize="9" scale="90" orientation="portrait"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Koondeelarve</vt:lpstr>
      <vt:lpstr>Tulude koond</vt:lpstr>
      <vt:lpstr>LK tulud</vt:lpstr>
      <vt:lpstr>Toetused</vt:lpstr>
      <vt:lpstr>Omatulud</vt:lpstr>
      <vt:lpstr>Kulud</vt:lpstr>
      <vt:lpstr>Investeeringud</vt:lpstr>
      <vt:lpstr>Fin.teh</vt:lpstr>
      <vt:lpstr>Liigendus</vt:lpstr>
      <vt:lpstr>Ülevaade</vt:lpstr>
      <vt:lpstr>Sheet10</vt:lpstr>
      <vt:lpstr>T. Aasale</vt:lpstr>
      <vt:lpstr>Koondeelarve!Print_Titles</vt:lpstr>
      <vt:lpstr>Kulud!Print_Titles</vt:lpstr>
      <vt:lpstr>'T. Aasale'!Print_Titles</vt:lpstr>
      <vt:lpstr>'Tulude koond'!Print_Titles</vt:lpstr>
    </vt:vector>
  </TitlesOfParts>
  <Company>Tallinna Linnavalitsus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Maarja Valler</dc:creator>
  <cp:lastModifiedBy>Maarja Valler</cp:lastModifiedBy>
  <cp:lastPrinted>2016-11-11T07:07:48Z</cp:lastPrinted>
  <dcterms:created xsi:type="dcterms:W3CDTF">2005-06-14T09:13:24Z</dcterms:created>
  <dcterms:modified xsi:type="dcterms:W3CDTF">2016-11-29T08:27:08Z</dcterms:modified>
</cp:coreProperties>
</file>