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19\Vormid\Kodulehele\Ametid\"/>
    </mc:Choice>
  </mc:AlternateContent>
  <bookViews>
    <workbookView xWindow="-15" yWindow="45" windowWidth="11520" windowHeight="6855" tabRatio="870"/>
  </bookViews>
  <sheets>
    <sheet name="Koondvorm (1)" sheetId="43" r:id="rId1"/>
    <sheet name="1 KOONDEELARVE" sheetId="5" state="hidden" r:id="rId2"/>
    <sheet name="6 RAHAKÄIVE" sheetId="10" state="hidden" r:id="rId3"/>
    <sheet name="2 TULUDE KOOND" sheetId="6" state="hidden" r:id="rId4"/>
    <sheet name="Sheet2" sheetId="15" state="hidden" r:id="rId5"/>
    <sheet name="Omatulud (3)" sheetId="4" r:id="rId6"/>
    <sheet name="Üüritulu (3a)" sheetId="48" r:id="rId7"/>
    <sheet name="Toetused (4)" sheetId="12" r:id="rId8"/>
    <sheet name="Piirsumma" sheetId="47" r:id="rId9"/>
    <sheet name="Kulud (5)" sheetId="8" r:id="rId10"/>
    <sheet name="Inv koond - põhitaotlus (6a)" sheetId="16" r:id="rId11"/>
    <sheet name="Inv koond - lisa (6a-lisa)" sheetId="50" r:id="rId12"/>
    <sheet name="5 FIN.TEH" sheetId="11" state="hidden" r:id="rId13"/>
    <sheet name="7 LIIGENDUS" sheetId="13" state="hidden" r:id="rId14"/>
    <sheet name="Inv infokaart (6b)" sheetId="44" r:id="rId15"/>
    <sheet name="Inv infokaardi lisa(6c)" sheetId="45" r:id="rId16"/>
    <sheet name="välisprojektid (7)" sheetId="46" r:id="rId17"/>
    <sheet name="Valdkonnad" sheetId="17" state="hidden" r:id="rId18"/>
  </sheets>
  <externalReferences>
    <externalReference r:id="rId19"/>
    <externalReference r:id="rId20"/>
  </externalReferences>
  <definedNames>
    <definedName name="_xlnm._FilterDatabase" localSheetId="1" hidden="1">'1 KOONDEELARVE'!#REF!</definedName>
    <definedName name="_xlnm._FilterDatabase" localSheetId="11" hidden="1">'Inv koond - lisa (6a-lisa)'!$A$4:$M$32</definedName>
    <definedName name="_xlnm._FilterDatabase" localSheetId="10" hidden="1">'Inv koond - põhitaotlus (6a)'!$C$4:$T$306</definedName>
    <definedName name="_xlnm._FilterDatabase" localSheetId="9" hidden="1">'Kulud (5)'!$C$4:$S$35</definedName>
    <definedName name="_xlnm._FilterDatabase" localSheetId="5" hidden="1">'Omatulud (3)'!$A$5:$E$12</definedName>
    <definedName name="_xlnm._FilterDatabase" localSheetId="7" hidden="1">'Toetused (4)'!$A$8:$F$13</definedName>
    <definedName name="a" localSheetId="11">'[1]8 KULUD'!#REF!</definedName>
    <definedName name="a" localSheetId="0">'[1]8 KULUD'!#REF!</definedName>
    <definedName name="a" localSheetId="8">'[1]8 KULUD'!#REF!</definedName>
    <definedName name="a">'[1]8 KULUD'!#REF!</definedName>
    <definedName name="job_levels" localSheetId="15">OFFSET(job_levels_range,0,0,COUNTA(job_levels_range),1)</definedName>
    <definedName name="job_levels" localSheetId="14">OFFSET(job_levels_range,0,0,COUNTA(job_levels_range),1)</definedName>
    <definedName name="job_levels" localSheetId="11">OFFSET(job_levels_range,0,0,COUNTA(job_levels_range),1)</definedName>
    <definedName name="job_levels" localSheetId="0">OFFSET(job_levels_range,0,0,COUNTA(job_levels_range),1)</definedName>
    <definedName name="job_levels" localSheetId="8">OFFSET(job_levels_range,0,0,COUNTA(job_levels_range),1)</definedName>
    <definedName name="job_levels" localSheetId="16">OFFSET(job_levels_range,0,0,COUNTA(job_levels_range),1)</definedName>
    <definedName name="job_levels">OFFSET(job_levels_range,0,0,COUNTA(job_levels_range),1)</definedName>
    <definedName name="job_names" localSheetId="15">OFFSET(job_names_range,0,0,COUNTA(job_names_range),1)</definedName>
    <definedName name="job_names" localSheetId="14">OFFSET(job_names_range,0,0,COUNTA(job_names_range),1)</definedName>
    <definedName name="job_names" localSheetId="11">OFFSET(job_names_range,0,0,COUNTA(job_names_range),1)</definedName>
    <definedName name="job_names" localSheetId="0">OFFSET(job_names_range,0,0,COUNTA(job_names_range),1)</definedName>
    <definedName name="job_names" localSheetId="8">OFFSET(job_names_range,0,0,COUNTA(job_names_range),1)</definedName>
    <definedName name="job_names" localSheetId="16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8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8">'[2]Job Names'!$E$2:$E$5</definedName>
    <definedName name="language_list">'[2]Job Names'!$E$2:$E$5</definedName>
    <definedName name="Maalist" localSheetId="0">[2]Maakonnad!$A$1:$A$15</definedName>
    <definedName name="Maalist" localSheetId="8">[2]Maakonnad!$A$1:$A$15</definedName>
    <definedName name="Maalist">[2]Maakonnad!$A$1:$A$15</definedName>
    <definedName name="OLE_LINK1" localSheetId="9">'Kulud (5)'!#REF!</definedName>
    <definedName name="_xlnm.Print_Titles" localSheetId="3">'2 TULUDE KOOND'!$5:$5</definedName>
    <definedName name="_xlnm.Print_Titles" localSheetId="11">'Inv koond - lisa (6a-lisa)'!$4:$5</definedName>
    <definedName name="_xlnm.Print_Titles" localSheetId="10">'Inv koond - põhitaotlus (6a)'!$4:$5</definedName>
    <definedName name="_xlnm.Print_Titles" localSheetId="0">'Koondvorm (1)'!#REF!</definedName>
    <definedName name="_xlnm.Print_Titles" localSheetId="9">'Kulud (5)'!$3:$4</definedName>
    <definedName name="_xlnm.Print_Titles" localSheetId="5">'Omatulud (3)'!$3:$4</definedName>
    <definedName name="_xlnm.Print_Titles" localSheetId="7">'Toetused (4)'!$3:$4</definedName>
    <definedName name="zJob" localSheetId="0">'[2]Job Families'!$D$1:$D$481</definedName>
    <definedName name="zJob" localSheetId="8">'[2]Job Families'!$D$1:$D$481</definedName>
    <definedName name="zJob">'[2]Job Families'!$D$1:$D$481</definedName>
    <definedName name="zLev" localSheetId="0">'[2]Job Families'!$E$1:$E$481</definedName>
    <definedName name="zLev" localSheetId="8">'[2]Job Families'!$E$1:$E$481</definedName>
    <definedName name="zLev">'[2]Job Families'!$E$1:$E$481</definedName>
    <definedName name="zPnt" localSheetId="0">'[2]Job Families'!$F$1:$F$481</definedName>
    <definedName name="zPnt" localSheetId="8">'[2]Job Families'!$F$1:$F$481</definedName>
    <definedName name="zPnt">'[2]Job Families'!$F$1:$F$481</definedName>
    <definedName name="zPntH" localSheetId="0">'[2]Job Families'!$H$1:$H$481</definedName>
    <definedName name="zPntH" localSheetId="8">'[2]Job Families'!$H$1:$H$481</definedName>
    <definedName name="zPntH">'[2]Job Families'!$H$1:$H$481</definedName>
    <definedName name="zPntL" localSheetId="0">'[2]Job Families'!$G$1:$G$481</definedName>
    <definedName name="zPntL" localSheetId="8">'[2]Job Families'!$G$1:$G$481</definedName>
    <definedName name="zPntL">'[2]Job Families'!$G$1:$G$481</definedName>
    <definedName name="test" localSheetId="11">OFFSET(job_levels_range,0,0,COUNTA(job_levels_range),1)</definedName>
    <definedName name="test" localSheetId="8">OFFSET(job_levels_range,0,0,COUNTA(job_levels_range),1)</definedName>
    <definedName name="test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K33" i="8" l="1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D10" i="8" l="1"/>
  <c r="O46" i="16" l="1"/>
  <c r="O48" i="16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1" i="8"/>
  <c r="P10" i="8"/>
  <c r="P8" i="8"/>
  <c r="P6" i="8"/>
  <c r="P5" i="8"/>
  <c r="W18" i="8"/>
  <c r="V18" i="8"/>
  <c r="U18" i="8"/>
  <c r="W17" i="8"/>
  <c r="V17" i="8"/>
  <c r="U17" i="8"/>
  <c r="T7" i="8"/>
  <c r="T12" i="8" s="1"/>
  <c r="T9" i="8" s="1"/>
  <c r="T13" i="8"/>
  <c r="H33" i="8"/>
  <c r="V33" i="8" s="1"/>
  <c r="W33" i="8" s="1"/>
  <c r="H32" i="8"/>
  <c r="V32" i="8" s="1"/>
  <c r="H31" i="8"/>
  <c r="H30" i="8"/>
  <c r="H29" i="8"/>
  <c r="H28" i="8"/>
  <c r="H27" i="8"/>
  <c r="V27" i="8" s="1"/>
  <c r="W27" i="8" s="1"/>
  <c r="H26" i="8"/>
  <c r="H25" i="8"/>
  <c r="V25" i="8" s="1"/>
  <c r="D24" i="8"/>
  <c r="H24" i="8" s="1"/>
  <c r="I23" i="8"/>
  <c r="D23" i="8"/>
  <c r="H23" i="8" s="1"/>
  <c r="V23" i="8"/>
  <c r="H22" i="8"/>
  <c r="H21" i="8"/>
  <c r="V21" i="8" s="1"/>
  <c r="H20" i="8"/>
  <c r="H19" i="8"/>
  <c r="S19" i="8" s="1"/>
  <c r="U19" i="8" s="1"/>
  <c r="S21" i="8"/>
  <c r="U21" i="8" s="1"/>
  <c r="W21" i="8"/>
  <c r="S32" i="8"/>
  <c r="U32" i="8" s="1"/>
  <c r="S22" i="8"/>
  <c r="U22" i="8" s="1"/>
  <c r="W22" i="8"/>
  <c r="S25" i="8"/>
  <c r="U25" i="8" s="1"/>
  <c r="W25" i="8"/>
  <c r="W29" i="8"/>
  <c r="S33" i="8"/>
  <c r="U33" i="8" s="1"/>
  <c r="V19" i="8"/>
  <c r="W19" i="8" s="1"/>
  <c r="S26" i="8"/>
  <c r="U26" i="8" s="1"/>
  <c r="W26" i="8"/>
  <c r="V26" i="8"/>
  <c r="S30" i="8"/>
  <c r="U30" i="8" s="1"/>
  <c r="V30" i="8"/>
  <c r="W30" i="8" s="1"/>
  <c r="S28" i="8"/>
  <c r="U28" i="8" s="1"/>
  <c r="S27" i="8"/>
  <c r="U27" i="8" s="1"/>
  <c r="S132" i="16"/>
  <c r="N24" i="48"/>
  <c r="K24" i="48"/>
  <c r="J24" i="48"/>
  <c r="F24" i="48"/>
  <c r="P175" i="16"/>
  <c r="P165" i="16"/>
  <c r="P116" i="16"/>
  <c r="P59" i="16"/>
  <c r="P77" i="16"/>
  <c r="P14" i="16"/>
  <c r="P32" i="16"/>
  <c r="P55" i="16"/>
  <c r="P6" i="16"/>
  <c r="R306" i="16"/>
  <c r="R305" i="16"/>
  <c r="R304" i="16"/>
  <c r="R303" i="16"/>
  <c r="R302" i="16"/>
  <c r="R301" i="16"/>
  <c r="R300" i="16"/>
  <c r="R299" i="16"/>
  <c r="R298" i="16"/>
  <c r="R297" i="16"/>
  <c r="R296" i="16"/>
  <c r="R294" i="16"/>
  <c r="R292" i="16"/>
  <c r="R291" i="16"/>
  <c r="R290" i="16"/>
  <c r="R289" i="16"/>
  <c r="R288" i="16"/>
  <c r="R287" i="16"/>
  <c r="R286" i="16"/>
  <c r="R285" i="16"/>
  <c r="R284" i="16"/>
  <c r="R283" i="16"/>
  <c r="R282" i="16"/>
  <c r="R280" i="16"/>
  <c r="R279" i="16"/>
  <c r="R277" i="16"/>
  <c r="R276" i="16"/>
  <c r="R275" i="16"/>
  <c r="R274" i="16"/>
  <c r="R273" i="16"/>
  <c r="R272" i="16"/>
  <c r="R271" i="16"/>
  <c r="R269" i="16"/>
  <c r="R268" i="16"/>
  <c r="R267" i="16"/>
  <c r="R266" i="16"/>
  <c r="R265" i="16"/>
  <c r="R264" i="16"/>
  <c r="R263" i="16"/>
  <c r="R260" i="16"/>
  <c r="R258" i="16"/>
  <c r="R257" i="16"/>
  <c r="R256" i="16"/>
  <c r="R254" i="16"/>
  <c r="R253" i="16"/>
  <c r="R251" i="16"/>
  <c r="R250" i="16"/>
  <c r="R249" i="16"/>
  <c r="R247" i="16"/>
  <c r="R246" i="16"/>
  <c r="R244" i="16"/>
  <c r="R237" i="16"/>
  <c r="R236" i="16"/>
  <c r="R235" i="16"/>
  <c r="R234" i="16"/>
  <c r="R233" i="16"/>
  <c r="R230" i="16"/>
  <c r="R229" i="16"/>
  <c r="R228" i="16"/>
  <c r="R227" i="16"/>
  <c r="R226" i="16"/>
  <c r="R225" i="16"/>
  <c r="R224" i="16"/>
  <c r="R223" i="16"/>
  <c r="R222" i="16"/>
  <c r="R221" i="16"/>
  <c r="R220" i="16"/>
  <c r="R219" i="16"/>
  <c r="R216" i="16"/>
  <c r="R215" i="16"/>
  <c r="R214" i="16"/>
  <c r="R213" i="16"/>
  <c r="R212" i="16"/>
  <c r="R211" i="16"/>
  <c r="R210" i="16"/>
  <c r="R209" i="16"/>
  <c r="R208" i="16"/>
  <c r="R207" i="16"/>
  <c r="R206" i="16"/>
  <c r="R205" i="16"/>
  <c r="R204" i="16"/>
  <c r="R202" i="16"/>
  <c r="R201" i="16"/>
  <c r="R200" i="16"/>
  <c r="R199" i="16"/>
  <c r="R198" i="16"/>
  <c r="R197" i="16"/>
  <c r="R196" i="16"/>
  <c r="R195" i="16"/>
  <c r="R193" i="16"/>
  <c r="R192" i="16"/>
  <c r="R191" i="16"/>
  <c r="R189" i="16"/>
  <c r="R188" i="16"/>
  <c r="R187" i="16"/>
  <c r="R186" i="16"/>
  <c r="R185" i="16"/>
  <c r="R184" i="16"/>
  <c r="R183" i="16"/>
  <c r="R182" i="16"/>
  <c r="R181" i="16"/>
  <c r="R180" i="16"/>
  <c r="R179" i="16"/>
  <c r="R178" i="16"/>
  <c r="R177" i="16"/>
  <c r="R176" i="16"/>
  <c r="R173" i="16"/>
  <c r="R172" i="16"/>
  <c r="R171" i="16"/>
  <c r="R169" i="16"/>
  <c r="R168" i="16"/>
  <c r="R167" i="16"/>
  <c r="R164" i="16"/>
  <c r="R163" i="16"/>
  <c r="R162" i="16"/>
  <c r="R159" i="16"/>
  <c r="R158" i="16"/>
  <c r="R157" i="16"/>
  <c r="R156" i="16"/>
  <c r="R155" i="16"/>
  <c r="R153" i="16"/>
  <c r="R151" i="16"/>
  <c r="R150" i="16"/>
  <c r="R148" i="16"/>
  <c r="R147" i="16"/>
  <c r="R146" i="16"/>
  <c r="R145" i="16"/>
  <c r="R144" i="16"/>
  <c r="R143" i="16"/>
  <c r="R141" i="16"/>
  <c r="R140" i="16"/>
  <c r="R139" i="16"/>
  <c r="R138" i="16"/>
  <c r="R135" i="16"/>
  <c r="R132" i="16"/>
  <c r="R131" i="16"/>
  <c r="R130" i="16"/>
  <c r="R129" i="16"/>
  <c r="R128" i="16"/>
  <c r="R127" i="16"/>
  <c r="R126" i="16"/>
  <c r="R125" i="16"/>
  <c r="R124" i="16"/>
  <c r="R122" i="16"/>
  <c r="R121" i="16"/>
  <c r="R119" i="16"/>
  <c r="R118" i="16"/>
  <c r="R115" i="16"/>
  <c r="R114" i="16"/>
  <c r="R113" i="16"/>
  <c r="R111" i="16"/>
  <c r="R110" i="16"/>
  <c r="R109" i="16"/>
  <c r="R108" i="16"/>
  <c r="R106" i="16"/>
  <c r="R104" i="16"/>
  <c r="R103" i="16"/>
  <c r="R102" i="16"/>
  <c r="R101" i="16"/>
  <c r="R100" i="16"/>
  <c r="R99" i="16"/>
  <c r="R98" i="16"/>
  <c r="R97" i="16"/>
  <c r="R96" i="16"/>
  <c r="R95" i="16"/>
  <c r="R94" i="16"/>
  <c r="R93" i="16"/>
  <c r="R91" i="16"/>
  <c r="R90" i="16"/>
  <c r="R89" i="16"/>
  <c r="R88" i="16"/>
  <c r="R86" i="16"/>
  <c r="R85" i="16"/>
  <c r="R84" i="16"/>
  <c r="R83" i="16"/>
  <c r="R82" i="16"/>
  <c r="R81" i="16"/>
  <c r="R80" i="16"/>
  <c r="R79" i="16"/>
  <c r="R78" i="16"/>
  <c r="R76" i="16"/>
  <c r="R74" i="16"/>
  <c r="R73" i="16"/>
  <c r="R71" i="16"/>
  <c r="R70" i="16"/>
  <c r="R68" i="16"/>
  <c r="R67" i="16"/>
  <c r="R65" i="16"/>
  <c r="R64" i="16"/>
  <c r="R63" i="16"/>
  <c r="R60" i="16"/>
  <c r="R58" i="16"/>
  <c r="R57" i="16"/>
  <c r="R54" i="16"/>
  <c r="R53" i="16"/>
  <c r="R52" i="16"/>
  <c r="R51" i="16"/>
  <c r="R50" i="16"/>
  <c r="R47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1" i="16"/>
  <c r="R30" i="16"/>
  <c r="R29" i="16"/>
  <c r="R28" i="16"/>
  <c r="R27" i="16"/>
  <c r="R26" i="16"/>
  <c r="R25" i="16"/>
  <c r="R24" i="16"/>
  <c r="R23" i="16"/>
  <c r="R21" i="16"/>
  <c r="R20" i="16"/>
  <c r="R18" i="16"/>
  <c r="R17" i="16"/>
  <c r="R13" i="16"/>
  <c r="O358" i="16"/>
  <c r="O354" i="16"/>
  <c r="O351" i="16"/>
  <c r="O295" i="16"/>
  <c r="O359" i="16"/>
  <c r="O293" i="16"/>
  <c r="O338" i="16"/>
  <c r="O281" i="16"/>
  <c r="R281" i="16"/>
  <c r="O278" i="16"/>
  <c r="R278" i="16"/>
  <c r="O270" i="16"/>
  <c r="R270" i="16"/>
  <c r="O262" i="16"/>
  <c r="R262" i="16"/>
  <c r="O259" i="16"/>
  <c r="R259" i="16"/>
  <c r="O255" i="16"/>
  <c r="R255" i="16"/>
  <c r="O252" i="16"/>
  <c r="R252" i="16"/>
  <c r="O248" i="16"/>
  <c r="R248" i="16"/>
  <c r="O245" i="16"/>
  <c r="R245" i="16"/>
  <c r="O243" i="16"/>
  <c r="R243" i="16"/>
  <c r="O242" i="16"/>
  <c r="R242" i="16"/>
  <c r="O241" i="16"/>
  <c r="O232" i="16"/>
  <c r="O231" i="16"/>
  <c r="O336" i="16"/>
  <c r="O218" i="16"/>
  <c r="R218" i="16"/>
  <c r="O203" i="16"/>
  <c r="R203" i="16"/>
  <c r="O194" i="16"/>
  <c r="R194" i="16"/>
  <c r="O190" i="16"/>
  <c r="R190" i="16"/>
  <c r="O175" i="16"/>
  <c r="R175" i="16"/>
  <c r="O174" i="16"/>
  <c r="R174" i="16"/>
  <c r="O170" i="16"/>
  <c r="R170" i="16"/>
  <c r="O166" i="16"/>
  <c r="R166" i="16"/>
  <c r="O161" i="16"/>
  <c r="O160" i="16"/>
  <c r="O334" i="16"/>
  <c r="O154" i="16"/>
  <c r="O152" i="16"/>
  <c r="O149" i="16"/>
  <c r="R149" i="16"/>
  <c r="O142" i="16"/>
  <c r="R142" i="16"/>
  <c r="O137" i="16"/>
  <c r="R137" i="16"/>
  <c r="O134" i="16"/>
  <c r="O133" i="16"/>
  <c r="O331" i="16"/>
  <c r="O123" i="16"/>
  <c r="R123" i="16"/>
  <c r="O120" i="16"/>
  <c r="R120" i="16"/>
  <c r="O117" i="16"/>
  <c r="O112" i="16"/>
  <c r="R112" i="16"/>
  <c r="O107" i="16"/>
  <c r="R107" i="16"/>
  <c r="O92" i="16"/>
  <c r="R92" i="16"/>
  <c r="O87" i="16"/>
  <c r="R87" i="16"/>
  <c r="O77" i="16"/>
  <c r="R77" i="16"/>
  <c r="O75" i="16"/>
  <c r="R75" i="16"/>
  <c r="O72" i="16"/>
  <c r="R72" i="16"/>
  <c r="O69" i="16"/>
  <c r="R69" i="16"/>
  <c r="O66" i="16"/>
  <c r="R66" i="16"/>
  <c r="O63" i="16"/>
  <c r="O62" i="16"/>
  <c r="O61" i="16"/>
  <c r="R61" i="16"/>
  <c r="O59" i="16"/>
  <c r="R59" i="16"/>
  <c r="O56" i="16"/>
  <c r="R56" i="16"/>
  <c r="O49" i="16"/>
  <c r="R49" i="16"/>
  <c r="R48" i="16"/>
  <c r="O22" i="16"/>
  <c r="R22" i="16"/>
  <c r="O19" i="16"/>
  <c r="R19" i="16"/>
  <c r="O16" i="16"/>
  <c r="O15" i="16"/>
  <c r="R15" i="16"/>
  <c r="O116" i="16"/>
  <c r="O330" i="16"/>
  <c r="O217" i="16"/>
  <c r="R217" i="16"/>
  <c r="O105" i="16"/>
  <c r="O329" i="16"/>
  <c r="R295" i="16"/>
  <c r="R161" i="16"/>
  <c r="O339" i="16"/>
  <c r="R133" i="16"/>
  <c r="R231" i="16"/>
  <c r="O240" i="16"/>
  <c r="R240" i="16"/>
  <c r="O261" i="16"/>
  <c r="R261" i="16"/>
  <c r="R134" i="16"/>
  <c r="R232" i="16"/>
  <c r="O333" i="16"/>
  <c r="R152" i="16"/>
  <c r="R105" i="16"/>
  <c r="R16" i="16"/>
  <c r="R241" i="16"/>
  <c r="R293" i="16"/>
  <c r="R117" i="16"/>
  <c r="O136" i="16"/>
  <c r="R154" i="16"/>
  <c r="O33" i="16"/>
  <c r="R33" i="16"/>
  <c r="R46" i="16"/>
  <c r="R62" i="16"/>
  <c r="R160" i="16"/>
  <c r="R116" i="16"/>
  <c r="O55" i="16"/>
  <c r="O165" i="16"/>
  <c r="O14" i="16"/>
  <c r="R14" i="16"/>
  <c r="O238" i="16"/>
  <c r="O239" i="16"/>
  <c r="R239" i="16"/>
  <c r="O32" i="16"/>
  <c r="R32" i="16"/>
  <c r="O337" i="16"/>
  <c r="R238" i="16"/>
  <c r="O332" i="16"/>
  <c r="R136" i="16"/>
  <c r="O335" i="16"/>
  <c r="R165" i="16"/>
  <c r="O328" i="16"/>
  <c r="R55" i="16"/>
  <c r="O6" i="16"/>
  <c r="R6" i="16"/>
  <c r="O327" i="16"/>
  <c r="O326" i="16"/>
  <c r="F13" i="12"/>
  <c r="F12" i="12"/>
  <c r="F11" i="12"/>
  <c r="F10" i="12"/>
  <c r="I10" i="12" s="1"/>
  <c r="C10" i="12"/>
  <c r="E12" i="4"/>
  <c r="E11" i="4"/>
  <c r="E10" i="4"/>
  <c r="E8" i="4"/>
  <c r="J8" i="4" s="1"/>
  <c r="E7" i="4"/>
  <c r="C9" i="4"/>
  <c r="E9" i="4" s="1"/>
  <c r="C6" i="4"/>
  <c r="E6" i="4" s="1"/>
  <c r="H35" i="8"/>
  <c r="W35" i="8" s="1"/>
  <c r="H34" i="8"/>
  <c r="W34" i="8" s="1"/>
  <c r="H16" i="8"/>
  <c r="V16" i="8"/>
  <c r="W16" i="8"/>
  <c r="H15" i="8"/>
  <c r="V15" i="8" s="1"/>
  <c r="H14" i="8"/>
  <c r="H11" i="8"/>
  <c r="V11" i="8" s="1"/>
  <c r="H8" i="8"/>
  <c r="V8" i="8"/>
  <c r="H6" i="8"/>
  <c r="V6" i="8" s="1"/>
  <c r="H5" i="8"/>
  <c r="W5" i="8" s="1"/>
  <c r="V5" i="8"/>
  <c r="W14" i="8"/>
  <c r="V14" i="8"/>
  <c r="S152" i="16"/>
  <c r="S242" i="16"/>
  <c r="H242" i="16"/>
  <c r="S255" i="16"/>
  <c r="H255" i="16"/>
  <c r="H87" i="16"/>
  <c r="S75" i="16"/>
  <c r="S64" i="16"/>
  <c r="H64" i="16"/>
  <c r="T306" i="16"/>
  <c r="A158" i="16"/>
  <c r="B158" i="16"/>
  <c r="A159" i="16"/>
  <c r="A113" i="16"/>
  <c r="A103" i="16"/>
  <c r="H235" i="16"/>
  <c r="H258" i="16"/>
  <c r="B38" i="44"/>
  <c r="B37" i="44"/>
  <c r="B36" i="44"/>
  <c r="B35" i="44"/>
  <c r="B34" i="44"/>
  <c r="B33" i="44"/>
  <c r="B32" i="44"/>
  <c r="B31" i="44"/>
  <c r="B30" i="44"/>
  <c r="G29" i="44"/>
  <c r="F29" i="44"/>
  <c r="E29" i="44"/>
  <c r="D29" i="44"/>
  <c r="C29" i="44"/>
  <c r="B29" i="44"/>
  <c r="G26" i="44"/>
  <c r="F26" i="44"/>
  <c r="E26" i="44"/>
  <c r="D26" i="44"/>
  <c r="C26" i="44"/>
  <c r="B26" i="44"/>
  <c r="G24" i="44"/>
  <c r="F24" i="44"/>
  <c r="E24" i="44"/>
  <c r="D24" i="44"/>
  <c r="C24" i="44"/>
  <c r="B24" i="44"/>
  <c r="B22" i="44"/>
  <c r="B23" i="44"/>
  <c r="G22" i="44"/>
  <c r="F22" i="44"/>
  <c r="E22" i="44"/>
  <c r="D22" i="44"/>
  <c r="C22" i="44"/>
  <c r="I11" i="12"/>
  <c r="J11" i="12" s="1"/>
  <c r="I12" i="12"/>
  <c r="J12" i="12" s="1"/>
  <c r="I13" i="12"/>
  <c r="J13" i="12" s="1"/>
  <c r="H10" i="12"/>
  <c r="H12" i="4"/>
  <c r="H11" i="4"/>
  <c r="H10" i="4"/>
  <c r="H8" i="4"/>
  <c r="H7" i="4"/>
  <c r="G9" i="4"/>
  <c r="H9" i="4" s="1"/>
  <c r="G6" i="4"/>
  <c r="J12" i="4"/>
  <c r="I12" i="4"/>
  <c r="I11" i="4"/>
  <c r="J11" i="4" s="1"/>
  <c r="I10" i="4"/>
  <c r="J10" i="4"/>
  <c r="I8" i="4"/>
  <c r="I7" i="4"/>
  <c r="J7" i="4"/>
  <c r="G5" i="4"/>
  <c r="C44" i="5"/>
  <c r="B6" i="5"/>
  <c r="B62" i="5"/>
  <c r="B69" i="5"/>
  <c r="E56" i="6"/>
  <c r="G56" i="6"/>
  <c r="C22" i="5" s="1"/>
  <c r="C28" i="5"/>
  <c r="H46" i="16"/>
  <c r="F28" i="6"/>
  <c r="H346" i="16"/>
  <c r="S358" i="16"/>
  <c r="R358" i="16"/>
  <c r="S354" i="16"/>
  <c r="R354" i="16"/>
  <c r="S351" i="16"/>
  <c r="R351" i="16"/>
  <c r="S262" i="16"/>
  <c r="S261" i="16"/>
  <c r="A149" i="16"/>
  <c r="R331" i="16"/>
  <c r="A218" i="16"/>
  <c r="R334" i="16"/>
  <c r="R339" i="16"/>
  <c r="R359" i="16"/>
  <c r="R338" i="16"/>
  <c r="H39" i="16"/>
  <c r="R332" i="16"/>
  <c r="R335" i="16"/>
  <c r="R333" i="16"/>
  <c r="R328" i="16"/>
  <c r="R329" i="16"/>
  <c r="R336" i="16"/>
  <c r="R330" i="16"/>
  <c r="R327" i="16"/>
  <c r="R337" i="16"/>
  <c r="R326" i="16"/>
  <c r="S258" i="16"/>
  <c r="S77" i="16"/>
  <c r="H77" i="16"/>
  <c r="S203" i="16"/>
  <c r="S89" i="16"/>
  <c r="H44" i="16"/>
  <c r="H40" i="16"/>
  <c r="S34" i="16"/>
  <c r="S44" i="16"/>
  <c r="S40" i="16"/>
  <c r="S39" i="16"/>
  <c r="S112" i="16"/>
  <c r="H112" i="16"/>
  <c r="S111" i="16"/>
  <c r="D29" i="13"/>
  <c r="B113" i="16"/>
  <c r="B103" i="16"/>
  <c r="B159" i="16"/>
  <c r="D46" i="5"/>
  <c r="D56" i="5"/>
  <c r="S85" i="16"/>
  <c r="H76" i="16"/>
  <c r="S68" i="16"/>
  <c r="S67" i="16"/>
  <c r="S149" i="16"/>
  <c r="H149" i="16"/>
  <c r="H141" i="16"/>
  <c r="S141" i="16"/>
  <c r="H58" i="16"/>
  <c r="H57" i="16"/>
  <c r="S58" i="16"/>
  <c r="S57" i="16"/>
  <c r="M13" i="8"/>
  <c r="P13" i="8" s="1"/>
  <c r="R7" i="8"/>
  <c r="Q7" i="8"/>
  <c r="M7" i="8"/>
  <c r="P7" i="8" s="1"/>
  <c r="S7" i="8" s="1"/>
  <c r="U7" i="8" s="1"/>
  <c r="G10" i="12"/>
  <c r="R11" i="8" s="1"/>
  <c r="B10" i="12"/>
  <c r="F6" i="4"/>
  <c r="H6" i="4"/>
  <c r="B6" i="4"/>
  <c r="F9" i="4"/>
  <c r="H294" i="16"/>
  <c r="H292" i="16"/>
  <c r="H291" i="16"/>
  <c r="H290" i="16"/>
  <c r="S281" i="16"/>
  <c r="H281" i="16"/>
  <c r="S275" i="16"/>
  <c r="H275" i="16"/>
  <c r="H262" i="16"/>
  <c r="S252" i="16"/>
  <c r="H252" i="16"/>
  <c r="S248" i="16"/>
  <c r="S245" i="16"/>
  <c r="H245" i="16"/>
  <c r="S243" i="16"/>
  <c r="H243" i="16"/>
  <c r="S241" i="16"/>
  <c r="S236" i="16"/>
  <c r="H232" i="16"/>
  <c r="O356" i="16"/>
  <c r="S231" i="16"/>
  <c r="S218" i="16"/>
  <c r="H218" i="16"/>
  <c r="C7" i="17"/>
  <c r="S217" i="16"/>
  <c r="H217" i="16"/>
  <c r="S201" i="16"/>
  <c r="S194" i="16"/>
  <c r="H194" i="16"/>
  <c r="S190" i="16"/>
  <c r="H190" i="16"/>
  <c r="S174" i="16"/>
  <c r="H174" i="16"/>
  <c r="S170" i="16"/>
  <c r="H170" i="16"/>
  <c r="S166" i="16"/>
  <c r="H166" i="16"/>
  <c r="S161" i="16"/>
  <c r="H161" i="16"/>
  <c r="H159" i="16"/>
  <c r="H154" i="16"/>
  <c r="H144" i="16"/>
  <c r="S142" i="16"/>
  <c r="H142" i="16"/>
  <c r="S123" i="16"/>
  <c r="H121" i="16"/>
  <c r="S120" i="16"/>
  <c r="H118" i="16"/>
  <c r="S117" i="16"/>
  <c r="S101" i="16"/>
  <c r="S92" i="16"/>
  <c r="H53" i="6"/>
  <c r="H53" i="16"/>
  <c r="S54" i="16"/>
  <c r="S17" i="16"/>
  <c r="H17" i="16"/>
  <c r="H48" i="16"/>
  <c r="B5" i="13"/>
  <c r="B33" i="13"/>
  <c r="B20" i="13"/>
  <c r="B12" i="13"/>
  <c r="B45" i="13"/>
  <c r="C81" i="5"/>
  <c r="D81" i="5"/>
  <c r="C82" i="5"/>
  <c r="D82" i="5"/>
  <c r="C83" i="5"/>
  <c r="D83" i="5"/>
  <c r="B82" i="5"/>
  <c r="B83" i="5"/>
  <c r="B81" i="5"/>
  <c r="B89" i="5"/>
  <c r="B88" i="5"/>
  <c r="C85" i="5"/>
  <c r="D85" i="5"/>
  <c r="B86" i="5"/>
  <c r="B85" i="5"/>
  <c r="D79" i="5"/>
  <c r="D78" i="5" s="1"/>
  <c r="D80" i="5"/>
  <c r="B80" i="5"/>
  <c r="B79" i="5"/>
  <c r="I9" i="8"/>
  <c r="I7" i="8"/>
  <c r="J9" i="8"/>
  <c r="J7" i="8"/>
  <c r="B9" i="4"/>
  <c r="B5" i="4" s="1"/>
  <c r="D5" i="11"/>
  <c r="D63" i="5"/>
  <c r="D13" i="11"/>
  <c r="D11" i="11"/>
  <c r="D65" i="5"/>
  <c r="D8" i="11"/>
  <c r="D64" i="5"/>
  <c r="H39" i="6"/>
  <c r="D14" i="5" s="1"/>
  <c r="H40" i="6"/>
  <c r="D15" i="5" s="1"/>
  <c r="D47" i="5" s="1"/>
  <c r="D48" i="5" s="1"/>
  <c r="D69" i="5" s="1"/>
  <c r="H41" i="6"/>
  <c r="D16" i="5" s="1"/>
  <c r="H45" i="6"/>
  <c r="D56" i="6"/>
  <c r="C52" i="6"/>
  <c r="B52" i="6"/>
  <c r="B17" i="6"/>
  <c r="D17" i="6"/>
  <c r="D57" i="6"/>
  <c r="D51" i="6"/>
  <c r="D49" i="6"/>
  <c r="D47" i="6"/>
  <c r="D42" i="6"/>
  <c r="D37" i="6"/>
  <c r="D34" i="6"/>
  <c r="D18" i="6"/>
  <c r="D12" i="6"/>
  <c r="D8" i="6"/>
  <c r="C22" i="6"/>
  <c r="D22" i="6"/>
  <c r="C23" i="6"/>
  <c r="D23" i="6"/>
  <c r="C24" i="6"/>
  <c r="D26" i="6"/>
  <c r="C27" i="6"/>
  <c r="D27" i="6"/>
  <c r="C31" i="6"/>
  <c r="C29" i="6"/>
  <c r="C46" i="6"/>
  <c r="D46" i="6" s="1"/>
  <c r="B10" i="6"/>
  <c r="D10" i="6" s="1"/>
  <c r="B11" i="6"/>
  <c r="D11" i="6" s="1"/>
  <c r="B14" i="6"/>
  <c r="D14" i="6" s="1"/>
  <c r="B15" i="6"/>
  <c r="D15" i="6" s="1"/>
  <c r="B16" i="6"/>
  <c r="D16" i="6" s="1"/>
  <c r="B19" i="6"/>
  <c r="D19" i="6" s="1"/>
  <c r="B24" i="6"/>
  <c r="D25" i="6" s="1"/>
  <c r="B30" i="6"/>
  <c r="D30" i="6" s="1"/>
  <c r="B31" i="6"/>
  <c r="B36" i="6"/>
  <c r="D36" i="6" s="1"/>
  <c r="B39" i="6"/>
  <c r="D39" i="6" s="1"/>
  <c r="B40" i="6"/>
  <c r="D40" i="6" s="1"/>
  <c r="B41" i="6"/>
  <c r="D41" i="6" s="1"/>
  <c r="B44" i="6"/>
  <c r="B43" i="6" s="1"/>
  <c r="B45" i="6"/>
  <c r="D45" i="6" s="1"/>
  <c r="B48" i="6"/>
  <c r="D48" i="6" s="1"/>
  <c r="D53" i="6"/>
  <c r="D54" i="6"/>
  <c r="D55" i="6"/>
  <c r="H30" i="6"/>
  <c r="H19" i="6"/>
  <c r="D10" i="5" s="1"/>
  <c r="D31" i="6"/>
  <c r="D32" i="6"/>
  <c r="H25" i="6"/>
  <c r="H18" i="6" s="1"/>
  <c r="D52" i="6"/>
  <c r="H16" i="6"/>
  <c r="H15" i="6"/>
  <c r="H14" i="6"/>
  <c r="H48" i="6"/>
  <c r="D18" i="5" s="1"/>
  <c r="H10" i="6"/>
  <c r="H36" i="6"/>
  <c r="H35" i="6" s="1"/>
  <c r="D13" i="5" s="1"/>
  <c r="H44" i="6"/>
  <c r="H295" i="16"/>
  <c r="S295" i="16"/>
  <c r="S293" i="16"/>
  <c r="S133" i="16"/>
  <c r="H133" i="16"/>
  <c r="S107" i="16"/>
  <c r="H107" i="16"/>
  <c r="H105" i="16"/>
  <c r="O349" i="16"/>
  <c r="S69" i="16"/>
  <c r="H69" i="16"/>
  <c r="H66" i="16"/>
  <c r="H63" i="16"/>
  <c r="H62" i="16"/>
  <c r="S22" i="16"/>
  <c r="H22" i="16"/>
  <c r="S19" i="16"/>
  <c r="H19" i="16"/>
  <c r="F13" i="8"/>
  <c r="F7" i="8"/>
  <c r="F12" i="8"/>
  <c r="F9" i="8" s="1"/>
  <c r="C12" i="17"/>
  <c r="C13" i="17"/>
  <c r="C18" i="17"/>
  <c r="C21" i="17"/>
  <c r="C22" i="17"/>
  <c r="D13" i="8"/>
  <c r="B31" i="17"/>
  <c r="D31" i="17" s="1"/>
  <c r="B29" i="17"/>
  <c r="D29" i="17" s="1"/>
  <c r="B27" i="17"/>
  <c r="D27" i="17"/>
  <c r="B26" i="17"/>
  <c r="D26" i="17" s="1"/>
  <c r="B24" i="17"/>
  <c r="D24" i="17" s="1"/>
  <c r="B25" i="17"/>
  <c r="D25" i="17" s="1"/>
  <c r="C10" i="17"/>
  <c r="C51" i="5"/>
  <c r="C56" i="5"/>
  <c r="C19" i="17"/>
  <c r="D7" i="8"/>
  <c r="C4" i="17"/>
  <c r="C20" i="17"/>
  <c r="C17" i="17"/>
  <c r="C14" i="17"/>
  <c r="C11" i="17"/>
  <c r="C16" i="17"/>
  <c r="C15" i="17"/>
  <c r="C6" i="17"/>
  <c r="C23" i="17"/>
  <c r="C30" i="17"/>
  <c r="C32" i="17"/>
  <c r="C5" i="17"/>
  <c r="C80" i="5"/>
  <c r="C13" i="11"/>
  <c r="C11" i="11"/>
  <c r="C8" i="11"/>
  <c r="C5" i="11"/>
  <c r="C63" i="5"/>
  <c r="C64" i="5"/>
  <c r="E30" i="6"/>
  <c r="E28" i="6" s="1"/>
  <c r="E19" i="6"/>
  <c r="G19" i="6" s="1"/>
  <c r="C10" i="5" s="1"/>
  <c r="E16" i="6"/>
  <c r="G16" i="6" s="1"/>
  <c r="E15" i="6"/>
  <c r="G15" i="6" s="1"/>
  <c r="E14" i="6"/>
  <c r="G14" i="6" s="1"/>
  <c r="E11" i="6"/>
  <c r="G11" i="6" s="1"/>
  <c r="E10" i="6"/>
  <c r="G10" i="6" s="1"/>
  <c r="E39" i="6"/>
  <c r="G39" i="6" s="1"/>
  <c r="C14" i="5" s="1"/>
  <c r="E40" i="6"/>
  <c r="G40" i="6" s="1"/>
  <c r="C15" i="5" s="1"/>
  <c r="C47" i="5" s="1"/>
  <c r="E41" i="6"/>
  <c r="G41" i="6" s="1"/>
  <c r="C16" i="5" s="1"/>
  <c r="E45" i="6"/>
  <c r="G45" i="6" s="1"/>
  <c r="C35" i="13"/>
  <c r="E36" i="6"/>
  <c r="G36" i="6" s="1"/>
  <c r="F5" i="4"/>
  <c r="H7" i="8"/>
  <c r="V7" i="8" s="1"/>
  <c r="H13" i="8"/>
  <c r="S165" i="16"/>
  <c r="H152" i="16"/>
  <c r="O353" i="16"/>
  <c r="S116" i="16"/>
  <c r="S105" i="16"/>
  <c r="S87" i="16"/>
  <c r="H75" i="16"/>
  <c r="H16" i="16"/>
  <c r="S66" i="16"/>
  <c r="S49" i="16"/>
  <c r="H201" i="16"/>
  <c r="H49" i="16"/>
  <c r="S259" i="16"/>
  <c r="S336" i="16"/>
  <c r="H331" i="16"/>
  <c r="K34" i="8"/>
  <c r="S34" i="8"/>
  <c r="U34" i="8" s="1"/>
  <c r="S16" i="8"/>
  <c r="U16" i="8" s="1"/>
  <c r="S8" i="8"/>
  <c r="U8" i="8" s="1"/>
  <c r="S15" i="8"/>
  <c r="U15" i="8" s="1"/>
  <c r="K6" i="8"/>
  <c r="S6" i="8" s="1"/>
  <c r="U6" i="8" s="1"/>
  <c r="K35" i="8"/>
  <c r="S35" i="8" s="1"/>
  <c r="U35" i="8" s="1"/>
  <c r="S14" i="8"/>
  <c r="U14" i="8" s="1"/>
  <c r="K5" i="8"/>
  <c r="S5" i="8" s="1"/>
  <c r="U5" i="8" s="1"/>
  <c r="E44" i="6"/>
  <c r="G44" i="6" s="1"/>
  <c r="H11" i="6"/>
  <c r="E48" i="6"/>
  <c r="G48" i="6" s="1"/>
  <c r="C18" i="5" s="1"/>
  <c r="C21" i="6"/>
  <c r="B28" i="17"/>
  <c r="D28" i="17" s="1"/>
  <c r="S33" i="16"/>
  <c r="E24" i="6"/>
  <c r="E31" i="6"/>
  <c r="G32" i="6" s="1"/>
  <c r="H32" i="6"/>
  <c r="H13" i="6"/>
  <c r="D9" i="5" s="1"/>
  <c r="D33" i="6"/>
  <c r="E13" i="6"/>
  <c r="G13" i="6" s="1"/>
  <c r="C9" i="5" s="1"/>
  <c r="E43" i="6"/>
  <c r="D36" i="13"/>
  <c r="D35" i="13"/>
  <c r="D62" i="5"/>
  <c r="C65" i="5"/>
  <c r="C62" i="5"/>
  <c r="C36" i="13"/>
  <c r="S339" i="16"/>
  <c r="S359" i="16"/>
  <c r="H33" i="16"/>
  <c r="B46" i="13"/>
  <c r="B18" i="13"/>
  <c r="C33" i="13"/>
  <c r="C41" i="13"/>
  <c r="H61" i="16"/>
  <c r="S16" i="16"/>
  <c r="H137" i="16"/>
  <c r="H339" i="16"/>
  <c r="D33" i="13"/>
  <c r="H56" i="16"/>
  <c r="S333" i="16"/>
  <c r="B149" i="16"/>
  <c r="H117" i="16"/>
  <c r="H160" i="16"/>
  <c r="C8" i="17"/>
  <c r="S56" i="16"/>
  <c r="S237" i="16"/>
  <c r="S137" i="16"/>
  <c r="C89" i="5"/>
  <c r="E54" i="6"/>
  <c r="C86" i="5"/>
  <c r="C84" i="5"/>
  <c r="E55" i="6"/>
  <c r="H54" i="6"/>
  <c r="D89" i="5"/>
  <c r="B78" i="5"/>
  <c r="B87" i="5"/>
  <c r="B84" i="5"/>
  <c r="D86" i="5"/>
  <c r="D84" i="5" s="1"/>
  <c r="H120" i="16"/>
  <c r="H231" i="16"/>
  <c r="S160" i="16"/>
  <c r="H241" i="16"/>
  <c r="H248" i="16"/>
  <c r="H123" i="16"/>
  <c r="H92" i="16"/>
  <c r="B218" i="16"/>
  <c r="H293" i="16"/>
  <c r="S219" i="16"/>
  <c r="S331" i="16"/>
  <c r="H34" i="16"/>
  <c r="H203" i="16"/>
  <c r="S338" i="16"/>
  <c r="S240" i="16"/>
  <c r="M12" i="8"/>
  <c r="C93" i="5"/>
  <c r="P12" i="8"/>
  <c r="V13" i="8"/>
  <c r="W13" i="8" s="1"/>
  <c r="H5" i="4"/>
  <c r="Q10" i="8"/>
  <c r="Q9" i="8" s="1"/>
  <c r="M9" i="8"/>
  <c r="P9" i="8" s="1"/>
  <c r="H165" i="16"/>
  <c r="O355" i="16"/>
  <c r="S55" i="16"/>
  <c r="H55" i="16"/>
  <c r="O348" i="16"/>
  <c r="H15" i="16"/>
  <c r="H116" i="16"/>
  <c r="O350" i="16"/>
  <c r="S329" i="16"/>
  <c r="S136" i="16"/>
  <c r="S332" i="16"/>
  <c r="S15" i="16"/>
  <c r="D9" i="13"/>
  <c r="D88" i="5"/>
  <c r="D87" i="5" s="1"/>
  <c r="G25" i="6"/>
  <c r="E21" i="6"/>
  <c r="G55" i="6"/>
  <c r="C21" i="5" s="1"/>
  <c r="S353" i="16"/>
  <c r="R353" i="16"/>
  <c r="S349" i="16"/>
  <c r="R349" i="16"/>
  <c r="D20" i="5"/>
  <c r="D41" i="13"/>
  <c r="C42" i="13"/>
  <c r="D42" i="13"/>
  <c r="B31" i="13"/>
  <c r="C9" i="17"/>
  <c r="A6" i="16"/>
  <c r="H136" i="16"/>
  <c r="H138" i="16"/>
  <c r="O352" i="16"/>
  <c r="H261" i="16"/>
  <c r="S239" i="16"/>
  <c r="S138" i="16"/>
  <c r="B6" i="16"/>
  <c r="D25" i="13"/>
  <c r="H333" i="16"/>
  <c r="H329" i="16"/>
  <c r="D26" i="5"/>
  <c r="S32" i="16"/>
  <c r="H240" i="16"/>
  <c r="S334" i="16"/>
  <c r="S335" i="16"/>
  <c r="H334" i="16"/>
  <c r="C88" i="5"/>
  <c r="C87" i="5"/>
  <c r="F54" i="6"/>
  <c r="F52" i="6" s="1"/>
  <c r="C20" i="13"/>
  <c r="H55" i="6"/>
  <c r="D24" i="13"/>
  <c r="H336" i="16"/>
  <c r="H32" i="16"/>
  <c r="H338" i="16"/>
  <c r="S330" i="16"/>
  <c r="S238" i="16"/>
  <c r="E17" i="15"/>
  <c r="G9" i="15"/>
  <c r="F6" i="15"/>
  <c r="F3" i="15"/>
  <c r="E14" i="15"/>
  <c r="F16" i="15"/>
  <c r="F4" i="15"/>
  <c r="F12" i="15"/>
  <c r="S13" i="8"/>
  <c r="H14" i="16"/>
  <c r="O347" i="16"/>
  <c r="S14" i="16"/>
  <c r="S328" i="16"/>
  <c r="H332" i="16"/>
  <c r="G54" i="6"/>
  <c r="C20" i="5" s="1"/>
  <c r="R356" i="16"/>
  <c r="S356" i="16"/>
  <c r="S350" i="16"/>
  <c r="R350" i="16"/>
  <c r="R352" i="16"/>
  <c r="S355" i="16"/>
  <c r="R355" i="16"/>
  <c r="S352" i="16"/>
  <c r="S348" i="16"/>
  <c r="R348" i="16"/>
  <c r="S347" i="16"/>
  <c r="R347" i="16"/>
  <c r="B38" i="13"/>
  <c r="H330" i="16"/>
  <c r="H239" i="16"/>
  <c r="H328" i="16"/>
  <c r="H238" i="16"/>
  <c r="D21" i="5"/>
  <c r="H335" i="16"/>
  <c r="S327" i="16"/>
  <c r="S6" i="16"/>
  <c r="H327" i="16"/>
  <c r="S337" i="16"/>
  <c r="D16" i="13"/>
  <c r="C12" i="13"/>
  <c r="E18" i="15"/>
  <c r="G10" i="15"/>
  <c r="E4" i="15"/>
  <c r="G8" i="15"/>
  <c r="F8" i="15"/>
  <c r="G12" i="15"/>
  <c r="E13" i="15"/>
  <c r="F7" i="15"/>
  <c r="E8" i="15"/>
  <c r="G3" i="15"/>
  <c r="G17" i="15"/>
  <c r="F17" i="15"/>
  <c r="E6" i="15"/>
  <c r="E7" i="15"/>
  <c r="G7" i="15"/>
  <c r="F5" i="15"/>
  <c r="F13" i="15"/>
  <c r="G13" i="15"/>
  <c r="E5" i="15"/>
  <c r="E9" i="15"/>
  <c r="G15" i="15"/>
  <c r="G5" i="15"/>
  <c r="G11" i="15"/>
  <c r="E11" i="15"/>
  <c r="G14" i="15"/>
  <c r="F11" i="15"/>
  <c r="G6" i="15"/>
  <c r="F14" i="15"/>
  <c r="F18" i="15"/>
  <c r="G16" i="15"/>
  <c r="E16" i="15"/>
  <c r="F15" i="15"/>
  <c r="E10" i="15"/>
  <c r="E12" i="15"/>
  <c r="F9" i="15"/>
  <c r="G18" i="15"/>
  <c r="E3" i="15"/>
  <c r="G4" i="15"/>
  <c r="E15" i="15"/>
  <c r="F10" i="15"/>
  <c r="O357" i="16"/>
  <c r="U13" i="8"/>
  <c r="P11" i="16"/>
  <c r="P12" i="16"/>
  <c r="P9" i="16"/>
  <c r="P8" i="16"/>
  <c r="P10" i="16"/>
  <c r="O12" i="16"/>
  <c r="O11" i="16"/>
  <c r="O9" i="16"/>
  <c r="O10" i="16"/>
  <c r="R10" i="16" s="1"/>
  <c r="O8" i="16"/>
  <c r="D31" i="5"/>
  <c r="D45" i="5"/>
  <c r="D44" i="5"/>
  <c r="S357" i="16"/>
  <c r="R357" i="16"/>
  <c r="S10" i="16"/>
  <c r="S12" i="16"/>
  <c r="B43" i="13"/>
  <c r="S8" i="16"/>
  <c r="H9" i="16"/>
  <c r="S11" i="16"/>
  <c r="H11" i="16"/>
  <c r="H6" i="16"/>
  <c r="H337" i="16"/>
  <c r="H10" i="16"/>
  <c r="H12" i="16"/>
  <c r="H8" i="16"/>
  <c r="S9" i="16"/>
  <c r="S326" i="16"/>
  <c r="C49" i="13"/>
  <c r="E2" i="15"/>
  <c r="G2" i="15"/>
  <c r="F2" i="15"/>
  <c r="F19" i="15" s="1"/>
  <c r="F20" i="15" s="1"/>
  <c r="H326" i="16"/>
  <c r="D23" i="13"/>
  <c r="E19" i="15"/>
  <c r="E20" i="15"/>
  <c r="G19" i="15"/>
  <c r="G20" i="15" s="1"/>
  <c r="D27" i="5"/>
  <c r="D25" i="5"/>
  <c r="D24" i="5"/>
  <c r="D12" i="13"/>
  <c r="D30" i="5"/>
  <c r="D49" i="13"/>
  <c r="D15" i="13"/>
  <c r="D73" i="5"/>
  <c r="R12" i="16" l="1"/>
  <c r="B35" i="6"/>
  <c r="D35" i="6" s="1"/>
  <c r="E9" i="6"/>
  <c r="G9" i="6" s="1"/>
  <c r="C8" i="5" s="1"/>
  <c r="C7" i="13" s="1"/>
  <c r="D28" i="13"/>
  <c r="D24" i="6"/>
  <c r="D44" i="6"/>
  <c r="D28" i="6"/>
  <c r="C43" i="6"/>
  <c r="B21" i="6"/>
  <c r="D21" i="6" s="1"/>
  <c r="D20" i="6" s="1"/>
  <c r="B38" i="6"/>
  <c r="D38" i="6" s="1"/>
  <c r="E38" i="6"/>
  <c r="G38" i="6" s="1"/>
  <c r="C50" i="6"/>
  <c r="C58" i="6" s="1"/>
  <c r="B29" i="6"/>
  <c r="D29" i="6" s="1"/>
  <c r="H9" i="6"/>
  <c r="H7" i="6" s="1"/>
  <c r="D22" i="13"/>
  <c r="D20" i="13" s="1"/>
  <c r="E35" i="6"/>
  <c r="G35" i="6" s="1"/>
  <c r="C13" i="5" s="1"/>
  <c r="H28" i="6"/>
  <c r="D43" i="6"/>
  <c r="V28" i="8"/>
  <c r="W28" i="8" s="1"/>
  <c r="W32" i="8"/>
  <c r="W7" i="8"/>
  <c r="C29" i="5"/>
  <c r="W6" i="8"/>
  <c r="V35" i="8"/>
  <c r="V34" i="8"/>
  <c r="W8" i="8"/>
  <c r="W15" i="8"/>
  <c r="W11" i="8"/>
  <c r="V31" i="8"/>
  <c r="S31" i="8"/>
  <c r="U31" i="8" s="1"/>
  <c r="W31" i="8"/>
  <c r="V20" i="8"/>
  <c r="W20" i="8" s="1"/>
  <c r="S20" i="8"/>
  <c r="U20" i="8" s="1"/>
  <c r="W23" i="8"/>
  <c r="S23" i="8"/>
  <c r="U23" i="8" s="1"/>
  <c r="S29" i="8"/>
  <c r="U29" i="8" s="1"/>
  <c r="V29" i="8"/>
  <c r="V24" i="8"/>
  <c r="W24" i="8" s="1"/>
  <c r="S24" i="8"/>
  <c r="U24" i="8" s="1"/>
  <c r="V22" i="8"/>
  <c r="D19" i="5"/>
  <c r="H52" i="6"/>
  <c r="R9" i="8"/>
  <c r="S11" i="8"/>
  <c r="C79" i="5"/>
  <c r="C78" i="5" s="1"/>
  <c r="E53" i="6"/>
  <c r="J10" i="12"/>
  <c r="J6" i="4"/>
  <c r="I6" i="4"/>
  <c r="I9" i="4"/>
  <c r="J9" i="4" s="1"/>
  <c r="C5" i="4"/>
  <c r="E5" i="4" s="1"/>
  <c r="H43" i="6"/>
  <c r="D17" i="5" s="1"/>
  <c r="E29" i="6"/>
  <c r="B9" i="6"/>
  <c r="H38" i="6"/>
  <c r="G30" i="6"/>
  <c r="G28" i="6" s="1"/>
  <c r="B13" i="6"/>
  <c r="D13" i="6" s="1"/>
  <c r="S346" i="16"/>
  <c r="S345" i="16" s="1"/>
  <c r="R11" i="16"/>
  <c r="O346" i="16"/>
  <c r="O345" i="16" s="1"/>
  <c r="S7" i="16"/>
  <c r="H7" i="16"/>
  <c r="R9" i="16"/>
  <c r="R8" i="16"/>
  <c r="P7" i="16"/>
  <c r="R346" i="16"/>
  <c r="O7" i="16"/>
  <c r="E7" i="6" l="1"/>
  <c r="G7" i="6" s="1"/>
  <c r="D8" i="5"/>
  <c r="D7" i="13" s="1"/>
  <c r="U11" i="8"/>
  <c r="E52" i="6"/>
  <c r="G52" i="6" s="1"/>
  <c r="G53" i="6"/>
  <c r="C19" i="5" s="1"/>
  <c r="I5" i="4"/>
  <c r="J5" i="4"/>
  <c r="B7" i="6"/>
  <c r="D9" i="6"/>
  <c r="R7" i="16"/>
  <c r="R345" i="16"/>
  <c r="E50" i="6" l="1"/>
  <c r="E58" i="6"/>
  <c r="H10" i="8"/>
  <c r="D12" i="8"/>
  <c r="D9" i="8" s="1"/>
  <c r="D7" i="6"/>
  <c r="B50" i="6"/>
  <c r="H9" i="8" l="1"/>
  <c r="S9" i="8" s="1"/>
  <c r="U9" i="8" s="1"/>
  <c r="H12" i="8"/>
  <c r="S10" i="8"/>
  <c r="U10" i="8" s="1"/>
  <c r="V10" i="8"/>
  <c r="W10" i="8" s="1"/>
  <c r="H59" i="6"/>
  <c r="B58" i="6"/>
  <c r="D58" i="6" s="1"/>
  <c r="D50" i="6"/>
  <c r="D7" i="5"/>
  <c r="V9" i="8" l="1"/>
  <c r="W9" i="8" s="1"/>
  <c r="V12" i="8"/>
  <c r="W12" i="8" s="1"/>
  <c r="C12" i="15"/>
  <c r="C3" i="15"/>
  <c r="C13" i="15"/>
  <c r="F31" i="6" s="1"/>
  <c r="C7" i="5"/>
  <c r="D6" i="5"/>
  <c r="D72" i="5"/>
  <c r="D33" i="5"/>
  <c r="D37" i="5" s="1"/>
  <c r="S12" i="8" l="1"/>
  <c r="C4" i="15"/>
  <c r="C15" i="15"/>
  <c r="F24" i="6" s="1"/>
  <c r="C16" i="15"/>
  <c r="F23" i="6" s="1"/>
  <c r="G23" i="6" s="1"/>
  <c r="D11" i="15"/>
  <c r="D18" i="15"/>
  <c r="H46" i="6" s="1"/>
  <c r="D16" i="15"/>
  <c r="H23" i="6" s="1"/>
  <c r="D7" i="15"/>
  <c r="C6" i="15"/>
  <c r="C11" i="15"/>
  <c r="C9" i="15"/>
  <c r="D9" i="15"/>
  <c r="D17" i="15"/>
  <c r="D6" i="15"/>
  <c r="D8" i="15"/>
  <c r="C17" i="15"/>
  <c r="C8" i="15"/>
  <c r="C5" i="15"/>
  <c r="D12" i="15"/>
  <c r="D3" i="15"/>
  <c r="D14" i="15"/>
  <c r="H27" i="6" s="1"/>
  <c r="D13" i="15"/>
  <c r="H33" i="6" s="1"/>
  <c r="H31" i="6" s="1"/>
  <c r="H29" i="6" s="1"/>
  <c r="D12" i="5" s="1"/>
  <c r="D10" i="13" s="1"/>
  <c r="C14" i="15"/>
  <c r="F27" i="6" s="1"/>
  <c r="G27" i="6" s="1"/>
  <c r="C7" i="15"/>
  <c r="C10" i="15"/>
  <c r="C18" i="15"/>
  <c r="F46" i="6" s="1"/>
  <c r="D15" i="15"/>
  <c r="H26" i="6" s="1"/>
  <c r="H24" i="6" s="1"/>
  <c r="D4" i="15"/>
  <c r="D10" i="15"/>
  <c r="D5" i="15"/>
  <c r="G33" i="6"/>
  <c r="G31" i="6"/>
  <c r="F29" i="6"/>
  <c r="G29" i="6" s="1"/>
  <c r="C12" i="5" s="1"/>
  <c r="C72" i="5"/>
  <c r="C6" i="5"/>
  <c r="C2" i="15" l="1"/>
  <c r="C19" i="15" s="1"/>
  <c r="U12" i="8"/>
  <c r="G26" i="6"/>
  <c r="G24" i="6"/>
  <c r="G46" i="6"/>
  <c r="F43" i="6"/>
  <c r="G43" i="6" s="1"/>
  <c r="C17" i="5" s="1"/>
  <c r="C10" i="13" s="1"/>
  <c r="C27" i="5"/>
  <c r="C35" i="5"/>
  <c r="C46" i="5" s="1"/>
  <c r="C48" i="5" s="1"/>
  <c r="C69" i="5" s="1"/>
  <c r="B4" i="17"/>
  <c r="D4" i="17" s="1"/>
  <c r="B11" i="17"/>
  <c r="D11" i="17" s="1"/>
  <c r="B20" i="17"/>
  <c r="D20" i="17" s="1"/>
  <c r="B12" i="17"/>
  <c r="D12" i="17" s="1"/>
  <c r="B18" i="17"/>
  <c r="D18" i="17" s="1"/>
  <c r="B6" i="17"/>
  <c r="D6" i="17" s="1"/>
  <c r="B7" i="17"/>
  <c r="D7" i="17" s="1"/>
  <c r="B17" i="17"/>
  <c r="D17" i="17" s="1"/>
  <c r="B8" i="17"/>
  <c r="D8" i="17" s="1"/>
  <c r="B5" i="17"/>
  <c r="D5" i="17" s="1"/>
  <c r="B9" i="17"/>
  <c r="D9" i="17" s="1"/>
  <c r="D2" i="15"/>
  <c r="F22" i="6" l="1"/>
  <c r="F21" i="6" s="1"/>
  <c r="B15" i="17"/>
  <c r="D15" i="17" s="1"/>
  <c r="B10" i="17"/>
  <c r="D10" i="17" s="1"/>
  <c r="B21" i="17"/>
  <c r="D21" i="17" s="1"/>
  <c r="B13" i="17"/>
  <c r="D13" i="17" s="1"/>
  <c r="D19" i="15"/>
  <c r="D20" i="15" s="1"/>
  <c r="H22" i="6"/>
  <c r="G59" i="6"/>
  <c r="C20" i="15"/>
  <c r="B3" i="17"/>
  <c r="D3" i="17" s="1"/>
  <c r="B22" i="17"/>
  <c r="D22" i="17" s="1"/>
  <c r="B16" i="17"/>
  <c r="D16" i="17" s="1"/>
  <c r="B14" i="17"/>
  <c r="D14" i="17" s="1"/>
  <c r="B19" i="17"/>
  <c r="D19" i="17" s="1"/>
  <c r="G22" i="6" l="1"/>
  <c r="C30" i="5"/>
  <c r="C6" i="47"/>
  <c r="C26" i="5"/>
  <c r="C25" i="5" s="1"/>
  <c r="C24" i="5" s="1"/>
  <c r="G21" i="6"/>
  <c r="F50" i="6"/>
  <c r="F58" i="6" s="1"/>
  <c r="H20" i="6"/>
  <c r="H21" i="6"/>
  <c r="H50" i="6" l="1"/>
  <c r="H58" i="6" s="1"/>
  <c r="H61" i="6" s="1"/>
  <c r="D11" i="5"/>
  <c r="D8" i="13" s="1"/>
  <c r="D5" i="13" s="1"/>
  <c r="D18" i="13" s="1"/>
  <c r="D31" i="13" s="1"/>
  <c r="D38" i="13" s="1"/>
  <c r="D43" i="13" s="1"/>
  <c r="C73" i="5"/>
  <c r="C33" i="5"/>
  <c r="C37" i="5" s="1"/>
  <c r="C11" i="5"/>
  <c r="C8" i="13" s="1"/>
  <c r="C5" i="13" s="1"/>
  <c r="G50" i="6"/>
  <c r="G58" i="6" s="1"/>
  <c r="B23" i="17"/>
  <c r="D23" i="17" s="1"/>
  <c r="D48" i="13" l="1"/>
  <c r="C18" i="13"/>
  <c r="C31" i="13" s="1"/>
  <c r="C38" i="13" s="1"/>
  <c r="C43" i="13" s="1"/>
  <c r="C44" i="13" s="1"/>
  <c r="C45" i="13" s="1"/>
  <c r="C46" i="13" s="1"/>
  <c r="C48" i="13"/>
  <c r="C8" i="47"/>
  <c r="G60" i="6"/>
  <c r="G61" i="6"/>
  <c r="C74" i="5"/>
  <c r="D74" i="5"/>
  <c r="C75" i="5"/>
  <c r="B30" i="17"/>
  <c r="D30" i="17" s="1"/>
  <c r="D44" i="13" l="1"/>
  <c r="D45" i="13" s="1"/>
  <c r="D46" i="13" s="1"/>
  <c r="B32" i="17"/>
  <c r="D32" i="17" s="1"/>
</calcChain>
</file>

<file path=xl/comments1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Maarja Valler</author>
  </authors>
  <commentList>
    <comment ref="T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4.xml><?xml version="1.0" encoding="utf-8"?>
<comments xmlns="http://schemas.openxmlformats.org/spreadsheetml/2006/main">
  <authors>
    <author>Anne Altermann</author>
    <author>Robert Kriesenthal</author>
    <author>Maarja Valler</author>
  </authors>
  <commentList>
    <comment ref="S17" authorId="0" shapeId="0">
      <text>
        <r>
          <rPr>
            <sz val="9"/>
            <color indexed="81"/>
            <rFont val="Segoe UI"/>
            <family val="2"/>
            <charset val="186"/>
          </rPr>
          <t>Tervikrenoveerimine läheb eeldatavalt kallimaks, kui algselt 2013 kavandati. Vahe ca 600 000 €  tuleks katta linna eelarvest</t>
        </r>
      </text>
    </comment>
    <comment ref="H144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</t>
        </r>
      </text>
    </comment>
    <comment ref="H292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
</t>
        </r>
      </text>
    </comment>
    <comment ref="H294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</t>
        </r>
      </text>
    </comment>
    <comment ref="S296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55 arhiivile</t>
        </r>
      </text>
    </comment>
    <comment ref="H349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Sõle SK ja Kalevi SH</t>
        </r>
      </text>
    </comment>
    <comment ref="H352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Valmisid Uuslinna 3a, Valdeku 13</t>
        </r>
      </text>
    </comment>
    <comment ref="H353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Bussid, trammid, retrotrammid, 2017. aastal TLTle 50 uut ja 17 kasutatud bussi ning 7 renoveeritud trammi ja 3 retrotrammideks ümberehitatud trammi. </t>
        </r>
      </text>
    </comment>
  </commentList>
</comments>
</file>

<file path=xl/comments5.xml><?xml version="1.0" encoding="utf-8"?>
<comments xmlns="http://schemas.openxmlformats.org/spreadsheetml/2006/main">
  <authors>
    <author>Maarja Valler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bilansist kontogrupid 208 ja 258</t>
        </r>
      </text>
    </comment>
  </commentList>
</comments>
</file>

<file path=xl/comments6.xml><?xml version="1.0" encoding="utf-8"?>
<comments xmlns="http://schemas.openxmlformats.org/spreadsheetml/2006/main">
  <authors>
    <author>Robert Kriesenthal</author>
    <author>Maarja Valler</author>
  </authors>
  <commentList>
    <comment ref="B22" authorId="0" shape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2019. a taotlusega investeeringute koondis (vorm 6a)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<sst xmlns="http://schemas.openxmlformats.org/spreadsheetml/2006/main" count="1428" uniqueCount="749">
  <si>
    <t>toetused riigilt ja muudelt institutsioonidelt</t>
  </si>
  <si>
    <t>TOETUSED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</si>
  <si>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</si>
  <si>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</si>
  <si>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</si>
  <si>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</si>
  <si>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</si>
  <si>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</si>
  <si>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</si>
  <si>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</si>
  <si>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</si>
  <si>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</si>
  <si>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</si>
  <si>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</si>
  <si>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</si>
  <si>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</si>
  <si>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</si>
  <si>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</si>
  <si>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</si>
  <si>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</si>
  <si>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</si>
  <si>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</si>
  <si>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</si>
  <si>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</si>
  <si>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</si>
  <si>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Müüdud vara jääkmaksumus</t>
  </si>
  <si>
    <t>LE</t>
  </si>
  <si>
    <t>RE</t>
  </si>
  <si>
    <t>RAHAKÄIBE PROGNOOS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</si>
  <si>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</si>
  <si>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</si>
  <si>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</si>
  <si>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</si>
  <si>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</si>
  <si>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</si>
  <si>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</si>
  <si>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</si>
  <si>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</si>
  <si>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</si>
  <si>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</si>
  <si>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</si>
  <si>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</si>
  <si>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FINANTSEERIMISTEGEVUSE EELARVE</t>
  </si>
  <si>
    <t>Laenukohustuse suurenemine</t>
  </si>
  <si>
    <t>Laenukohustuse vähenemine</t>
  </si>
  <si>
    <t>Tulud majandustegevusest</t>
  </si>
  <si>
    <t>Võlalt arvestatud intressitulu</t>
  </si>
  <si>
    <t>KOKKU</t>
  </si>
  <si>
    <t>€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</si>
  <si>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</si>
  <si>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</si>
  <si>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</si>
  <si>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</si>
  <si>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</si>
  <si>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</si>
  <si>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</si>
  <si>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</si>
  <si>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</si>
  <si>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</si>
  <si>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</si>
  <si>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</si>
  <si>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</si>
  <si>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</si>
  <si>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</si>
  <si>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</si>
  <si>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</si>
  <si>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</si>
  <si>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</si>
  <si>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</si>
  <si>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</si>
  <si>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</si>
  <si>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</si>
  <si>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</si>
  <si>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</si>
  <si>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</si>
  <si>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</si>
  <si>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</si>
  <si>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</si>
  <si>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</si>
  <si>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</si>
  <si>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</si>
  <si>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</si>
  <si>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 xml:space="preserve">Kapitaliliisingu maksed 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</si>
  <si>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</si>
  <si>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</si>
  <si>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</si>
  <si>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</si>
  <si>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</si>
  <si>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</si>
  <si>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</si>
  <si>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</si>
  <si>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</si>
  <si>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</si>
  <si>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</si>
  <si>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</si>
  <si>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</si>
  <si>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</si>
  <si>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</si>
  <si>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</si>
  <si>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</si>
  <si>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</si>
  <si>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</si>
  <si>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</si>
  <si>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Tulu vara müügist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</si>
  <si>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</si>
  <si>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</si>
  <si>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</si>
  <si>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</si>
  <si>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</si>
  <si>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</si>
  <si>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Reservid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</si>
  <si>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</si>
  <si>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</si>
  <si>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</si>
  <si>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</si>
  <si>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</si>
  <si>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</si>
  <si>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</si>
  <si>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</si>
  <si>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</si>
  <si>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</si>
  <si>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</si>
  <si>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</si>
  <si>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</si>
  <si>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</si>
  <si>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</si>
  <si>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</si>
  <si>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</si>
  <si>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</si>
  <si>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</si>
  <si>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</si>
  <si>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</si>
  <si>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EELARVE KOHALIKU OMAVALITSUSE ÜKSUSE FINANTSJUHTIMISE SEADUSE JÄRGI</t>
  </si>
  <si>
    <t>Toetus välisprojektide kaasfinantseerimiseks</t>
  </si>
  <si>
    <t>välisprojektide kaasfinantseerimine</t>
  </si>
  <si>
    <t>SE</t>
  </si>
  <si>
    <t>Kasum/kahjum varude müügist</t>
  </si>
  <si>
    <t>Teenuste kontsessioonilepingu raames renoveeritud koolid</t>
  </si>
  <si>
    <t>sh teede ja tänavate korrashoid</t>
  </si>
  <si>
    <t>OT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</si>
  <si>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</si>
  <si>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</si>
  <si>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</si>
  <si>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</si>
  <si>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</si>
  <si>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</si>
  <si>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</si>
  <si>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</si>
  <si>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</si>
  <si>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</si>
  <si>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</si>
  <si>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</si>
  <si>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</si>
  <si>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</si>
  <si>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</si>
  <si>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 xml:space="preserve">      kapitalirendi põhiosa maksed</t>
  </si>
  <si>
    <t>MUUTUSED VARADES</t>
  </si>
  <si>
    <t>MUUTUSED KOHUSTUSTES</t>
  </si>
  <si>
    <t>äriruumide üüritulu</t>
  </si>
  <si>
    <t>kommunaalteenused</t>
  </si>
  <si>
    <t>teenused</t>
  </si>
  <si>
    <t>4. Perekonnaseisuamet</t>
  </si>
  <si>
    <t>Kulud kokku</t>
  </si>
  <si>
    <t>Perekonnaseisuamet</t>
  </si>
  <si>
    <t>Toode:</t>
  </si>
  <si>
    <t>Sotsiaalhoolekanne</t>
  </si>
  <si>
    <t>Tervishoid</t>
  </si>
  <si>
    <t>Eelarvepositsioon</t>
  </si>
  <si>
    <t>ruumide kasutamine üritusteks</t>
  </si>
  <si>
    <t>Järveotsa tee 33 hoone rekonstrueerimine lasteaiaks</t>
  </si>
  <si>
    <t>Tallinna Keskraamatukogule teavikute soetamine</t>
  </si>
  <si>
    <t xml:space="preserve">Paljassaare põik 5 ja Mustjõe tn 40 jäätmejaama ehitamine ja multiliftkonteinerite soetamine </t>
  </si>
  <si>
    <t>Reidi tee ehitus Tallinnas</t>
  </si>
  <si>
    <t>Viru keskuse bussiterminali remont</t>
  </si>
  <si>
    <t>Pelguranna tn 31 tugikodu rajamine</t>
  </si>
  <si>
    <t>Gonsiori tänava rekonstrueerimine Tallinnas</t>
  </si>
  <si>
    <t>Filtri teed Kadrioruga ja Ülemiste ühisterminaliga ühendav kergliiklustee</t>
  </si>
  <si>
    <t>Ülemiste järve liikumisrada (Tartu mnt lõigus Lennujaama tee – Vana-Tartu mnt)</t>
  </si>
  <si>
    <t>Vana-Kalamaja tänava rekonstrueerimine</t>
  </si>
  <si>
    <t>Heakord</t>
  </si>
  <si>
    <t>MUUTUS MUUDES KOHUSTUSTES KOKKU</t>
  </si>
  <si>
    <t>MUUTUS NÕUETES KOKKU</t>
  </si>
  <si>
    <t>MUUTUS RAHAS</t>
  </si>
  <si>
    <t>Hoiuste muutus</t>
  </si>
  <si>
    <t>MUUTUS FINANTSVARADES KOKKU</t>
  </si>
  <si>
    <t>Koolieelsed lasteasutused</t>
  </si>
  <si>
    <t>asenduspindade ettevalmistamine (lasteaedade tervikrenoveerimiste ettevalmistav etapp)</t>
  </si>
  <si>
    <t>spordisaalide ja staadionite arendamine</t>
  </si>
  <si>
    <t>Huvikoolid</t>
  </si>
  <si>
    <t>huvikoolide remonttööd, soetused ja tuleohutusnõuete täitmine</t>
  </si>
  <si>
    <t>sh kultuurikeskuse hoovi ehitustööd</t>
  </si>
  <si>
    <t>suure saali valgustus- ja helitehnika uuendamine</t>
  </si>
  <si>
    <t>Mustpeade Maja restaureerimine</t>
  </si>
  <si>
    <t>Tallinna Filharmoonia pillifond</t>
  </si>
  <si>
    <t>palmimaja remonttööd</t>
  </si>
  <si>
    <t>Muinsuskaitsealased investeeringud</t>
  </si>
  <si>
    <t>linnamüüri korrastamine ja kujundamine</t>
  </si>
  <si>
    <t>Pirita kloostrivaremete korrastamine</t>
  </si>
  <si>
    <t>Rahumäe, Kivimäe ja Hiiu jaamahoonete remonttööd</t>
  </si>
  <si>
    <t>Salme Kultuurikeskuse remonttööd ja soetused</t>
  </si>
  <si>
    <t>sh tänavavalgustuse ehitamine ja renoveerimine</t>
  </si>
  <si>
    <t>Fooriobjektide rajamine</t>
  </si>
  <si>
    <t>Narva mnt TLÜ foorid</t>
  </si>
  <si>
    <t>Maade ja asjaõiguste omandamine</t>
  </si>
  <si>
    <t>Tallinna linna hooldus-, heakorra- ja haljastustööde infosüsteemi loomine</t>
  </si>
  <si>
    <t>Tammsaare pargi rekonstrueerimine</t>
  </si>
  <si>
    <t>Muud pargid ja rohealad</t>
  </si>
  <si>
    <t>Piiskopi aia korrastamine</t>
  </si>
  <si>
    <t>Koguperemänguväljakute rajamine ja rekonstrueerimine</t>
  </si>
  <si>
    <t>Mänguväljakud ja treeningelemendid</t>
  </si>
  <si>
    <t>Harku järve rannaalale mänguväljaku rajamine</t>
  </si>
  <si>
    <t>Ehitajate tee 74a mänguväljaku rekonstrueerimine</t>
  </si>
  <si>
    <t>Sõpruse pst 234a mänguväljaku rajamine</t>
  </si>
  <si>
    <t>Randla tn 16a mänguväljaku rekonstrueerimine</t>
  </si>
  <si>
    <t>Snelli tiigi puhastamine</t>
  </si>
  <si>
    <t>Kalmistute investeeringud</t>
  </si>
  <si>
    <t>kalmistute kastmisveetrasside projekteerimine ja ehitamine</t>
  </si>
  <si>
    <t>Linnamööbli soetamine (prügikastid, pingid jm)</t>
  </si>
  <si>
    <t>sh Paljassaare põik 5 jäätmejaam</t>
  </si>
  <si>
    <t>Mustjõe tn 40 jäätmejaam</t>
  </si>
  <si>
    <t>Ühiselamu tüüpi hoonete renoveerimine</t>
  </si>
  <si>
    <t>sh Paagi tn 10</t>
  </si>
  <si>
    <t>Tallinna Linnahalli rekonstrueerimine</t>
  </si>
  <si>
    <t>Geoinfosüsteemide arendamine ja soetused</t>
  </si>
  <si>
    <t>LINNA TUGITEENUSED</t>
  </si>
  <si>
    <t>Nunne tn 18 fassaadide renoveerimine</t>
  </si>
  <si>
    <t>Tootegrupp: perekonnaseisuteenused</t>
  </si>
  <si>
    <t>Palga korrektsiooni reserv</t>
  </si>
  <si>
    <t>INVESTEERIMISTEGEVUS KOKKU</t>
  </si>
  <si>
    <t>Tehnovõrgud</t>
  </si>
  <si>
    <t xml:space="preserve">  sh eelarvelaenu tagastamine/võlakirjade tagasiostmine</t>
  </si>
  <si>
    <t>Laevastiku tn 1c mänguväljaku rekonstrueerimine</t>
  </si>
  <si>
    <t>sellest Pärnu mnt 9 hoovipoolse fassaadi renoveerimine</t>
  </si>
  <si>
    <t>peale selle amortisatsioon</t>
  </si>
  <si>
    <r>
      <t>NATTOURS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– jätkusuutlikud rajad linnades, kasutades uusi
IT-lahendusi</t>
    </r>
  </si>
  <si>
    <t>Esialgne eelarve</t>
  </si>
  <si>
    <t>Täpsustatud eelarve</t>
  </si>
  <si>
    <t>Linna juhtimine</t>
  </si>
  <si>
    <t>Linna tugiteenused</t>
  </si>
  <si>
    <t>Haridus</t>
  </si>
  <si>
    <t>Kultuur</t>
  </si>
  <si>
    <t>Sport ja vaba aeg</t>
  </si>
  <si>
    <t>Noorsootöö</t>
  </si>
  <si>
    <t>Linnamajandus</t>
  </si>
  <si>
    <t>Muu majandus</t>
  </si>
  <si>
    <t>Ettevõtluskeskkond</t>
  </si>
  <si>
    <t>Linnatransport</t>
  </si>
  <si>
    <t>Teed ja tänavad</t>
  </si>
  <si>
    <t>Muud kommunaalkulud</t>
  </si>
  <si>
    <t>Keskkonnakaitse</t>
  </si>
  <si>
    <t>Linnaplaneerimine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</si>
  <si>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</si>
  <si>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</si>
  <si>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</si>
  <si>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</si>
  <si>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</si>
  <si>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</si>
  <si>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</si>
  <si>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</si>
  <si>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</si>
  <si>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</si>
  <si>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>töötasu</t>
  </si>
  <si>
    <t>Kulud</t>
  </si>
  <si>
    <t>Investeeringud</t>
  </si>
  <si>
    <t>Palga korrektsiooni reservi jaotus</t>
  </si>
  <si>
    <t>Esiaglne eelarve</t>
  </si>
  <si>
    <t>2019 prognoos</t>
  </si>
  <si>
    <t>2017 tegelik</t>
  </si>
  <si>
    <t>LK</t>
  </si>
  <si>
    <t>sh VR ja VR KF arvelt</t>
  </si>
  <si>
    <t>OT arvelt</t>
  </si>
  <si>
    <t>LK arvelt</t>
  </si>
  <si>
    <t>PPP muudatus</t>
  </si>
  <si>
    <r>
      <t xml:space="preserve">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</si>
  <si>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</si>
  <si>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LK arvelt muudatus kokku</t>
  </si>
  <si>
    <t>OT arvelt (kogusumma)</t>
  </si>
  <si>
    <t>VR arvelt (kogusumma)</t>
  </si>
  <si>
    <t>2018 eelarve</t>
  </si>
  <si>
    <t>Valdkond</t>
  </si>
  <si>
    <t>Investeerimisobjekti nimetus</t>
  </si>
  <si>
    <t>Linnaosa</t>
  </si>
  <si>
    <t>Katte-alli-kas*</t>
  </si>
  <si>
    <t>2019
€</t>
  </si>
  <si>
    <t>sh Tallinna Prantsuse Lütseumi võimlahoone ehitus</t>
  </si>
  <si>
    <t>KL</t>
  </si>
  <si>
    <t>Tallinna Pääsküla Gümnaasiumi tervikrenoveerimine</t>
  </si>
  <si>
    <t>N</t>
  </si>
  <si>
    <t>Vanalinna Hariduskolleegiumi Pühavaimu 8 hoone remont</t>
  </si>
  <si>
    <t>Tallinna Pae Gümnaasiumi laiendus</t>
  </si>
  <si>
    <t>LM</t>
  </si>
  <si>
    <t>MM</t>
  </si>
  <si>
    <t>Tallinna Tondi Põhikooli tervikrenoveerimine</t>
  </si>
  <si>
    <t>KR</t>
  </si>
  <si>
    <t>Tallinna Arte Gümnaasiumi tervikrenoveerimine</t>
  </si>
  <si>
    <t>H</t>
  </si>
  <si>
    <t>XXX</t>
  </si>
  <si>
    <t xml:space="preserve">Tallinna Männikäbi Lasteaia renoveerimine ja energiasääst </t>
  </si>
  <si>
    <t>Sitsi Lasteaia renoveerimine ja energiasääst</t>
  </si>
  <si>
    <t>PT</t>
  </si>
  <si>
    <t>Pirita-Kose Lasteaia juurdeehitus</t>
  </si>
  <si>
    <t>P</t>
  </si>
  <si>
    <t>Lasteaedade 100  mänguväljaku projekt EV100</t>
  </si>
  <si>
    <t>Tallinna Padriku Lasteaia laiendamine ja parkla valgustuse välja ehitamine</t>
  </si>
  <si>
    <t>koolieelsete lasteasutuste remontööd, soetused ja tuleohutusnõuete täitmine</t>
  </si>
  <si>
    <t>sh Tallinna Huvikeskus "Kullo" renoveerimine ja Kristiine kontserdisaali  ehitus</t>
  </si>
  <si>
    <t>Kultuur ja muinsuskaitse</t>
  </si>
  <si>
    <t>Loomaaia liigikaitse labori naaritsaaedikute kompleksi ehitus ja DNA labori sisustus</t>
  </si>
  <si>
    <t>Tallinna Loomaaia investeeringud</t>
  </si>
  <si>
    <t xml:space="preserve">puhkeala rajamine ja vanade hoonete lammutamine </t>
  </si>
  <si>
    <t>Keskraamatukogu teavikute soetamine</t>
  </si>
  <si>
    <t>Tallinna Keskraamatukogu investeeringud</t>
  </si>
  <si>
    <t xml:space="preserve">sh filiaalide remonttööd </t>
  </si>
  <si>
    <t xml:space="preserve"> uue filiaali sisseseadmine Lasnamäele </t>
  </si>
  <si>
    <t>Vene Kultuurikeskuse renoveerimine</t>
  </si>
  <si>
    <t>Muuseumide investeeringud</t>
  </si>
  <si>
    <t xml:space="preserve">sh Tallinna Linnamuuseumi Vene tn 17 katuse remonttööd ja ekspositsiooni uuendamine </t>
  </si>
  <si>
    <t>(KL)</t>
  </si>
  <si>
    <t>Sõjakooli memoriaali rajamine</t>
  </si>
  <si>
    <t>Esimese eestlasest linnapea V.Lenderi mälestusmärgi rajamine</t>
  </si>
  <si>
    <t>G. Otsa mälestusmärgi rajamine</t>
  </si>
  <si>
    <t>?</t>
  </si>
  <si>
    <t>vetesüsteemi rekonstrueerimine</t>
  </si>
  <si>
    <t>väliekspositsiooni rekonstrueerimine (alpinaarium, rosaarium, salikaarium)</t>
  </si>
  <si>
    <t>Mustamäe Kultuurikeskus Kaja ja linnaosa haldushoone ehitamine</t>
  </si>
  <si>
    <t>Nõmme Muuseumi (Jaama 18) remonttööd ja soetused</t>
  </si>
  <si>
    <t>Kultuuriasutuste muud remonttööd ja soetused</t>
  </si>
  <si>
    <t>M. Härma 14 spordiväljakute rajamise lõpetamine</t>
  </si>
  <si>
    <t>Spordirajatiste rajamine linnaosadesse</t>
  </si>
  <si>
    <t>Muud</t>
  </si>
  <si>
    <t>Põhja-Tallinna Sotsiaalkeskuse ehitus Sõle tn 61a</t>
  </si>
  <si>
    <t>Kesklinna Sotsiaalkeskuse filiaali loomine Tondi asumisse</t>
  </si>
  <si>
    <t>Tallinna Kiirabi meditsiinivarustuse soetamine jm investeeringud</t>
  </si>
  <si>
    <t>(KR)</t>
  </si>
  <si>
    <t>Turgude arendamine</t>
  </si>
  <si>
    <t>Linnaasutuste ligipääsetavuse parendamine</t>
  </si>
  <si>
    <t xml:space="preserve">Munitsipaalelamute projekteerimine, ehitamine ja sisustamine, sh: </t>
  </si>
  <si>
    <t xml:space="preserve">   sh  Maleva tn 18</t>
  </si>
  <si>
    <t>Muud linnavara valdkonna remonttööd ja soetused</t>
  </si>
  <si>
    <t>sh Erika tn 13 fassaadi osaline renoveerimine</t>
  </si>
  <si>
    <t>Tehnoloogilise lahenduse prototüübi loomine maa-aluste rajatiste 3D andmeseireks</t>
  </si>
  <si>
    <t>Lasnamäe mänguväljakute rekonstrueerimine (Punane tn 43c; Ümera tn 9a; Loitsu tn 2 ja 4 hoov; Läänemere tee 3)</t>
  </si>
  <si>
    <t>Kadrioru koerte jalutusväljak</t>
  </si>
  <si>
    <t>LM/PT</t>
  </si>
  <si>
    <t>sh Metsakalmistu abihoone/kaupluse kapitaalremont</t>
  </si>
  <si>
    <t>Siselinna  uue kalmistuhoone  (kolumbaarium/kontorihoone)  ehitamine</t>
  </si>
  <si>
    <t>Pärnamäe kalmistu peasissepääsu kujundamine</t>
  </si>
  <si>
    <t>Siselinna kalmistu piirdemüüri renoveerimine</t>
  </si>
  <si>
    <t>Mustjõe asumi külaplats</t>
  </si>
  <si>
    <t>Õismäe tiigi amfiteatri rajamine</t>
  </si>
  <si>
    <t>Löwenruh pargi rekonstrueerimine (eelarvestrateegias 2 objekti: Löwenruh pargi vabaõhulava ja külaplats ning Löwenruh pargi tiigi puhastamine)</t>
  </si>
  <si>
    <t>Kakumäe asumi külaplats</t>
  </si>
  <si>
    <t>hoovialade korrastamine Mustamäel</t>
  </si>
  <si>
    <t>Pelgurand/Stroomi rannapargi rekonstrueerimine</t>
  </si>
  <si>
    <t>Kase pargi korrastamine</t>
  </si>
  <si>
    <t>Süsta pargi korrastamine</t>
  </si>
  <si>
    <t>Jäätmemajandus</t>
  </si>
  <si>
    <t>Jäätmejaamadesse konteinerite soetamine</t>
  </si>
  <si>
    <t>Punase tn äärde jäätmejaama ehitamine</t>
  </si>
  <si>
    <t>Suletud ohtlike jäätmete kogumispunktide asendamiseks mobiilse kogumispunkti soetamine</t>
  </si>
  <si>
    <t>Avalikus ruumis (parkides, tänavatel, jalgratta- ja jalgteede ääres ning ühissõidukipeatustes) paiknevate  prügikastide asendamine jäätmeid liigiti kogumist võimaldavate prügiurnidega</t>
  </si>
  <si>
    <t>Linna asutustesse (sh koolidesse ja lasteaedadesse) liigiti kogumist võimaldavate prügiurnide soetamine</t>
  </si>
  <si>
    <t>Lasteaedadesse kompostrite soetamine</t>
  </si>
  <si>
    <t>Elanikele soodsa hinnaga sobiva prügiurni pakkumine teavitava lävekampaania käigus</t>
  </si>
  <si>
    <t>Välisrahastusega teede projekteerimine ja maade omandamine</t>
  </si>
  <si>
    <t>Haabersti ristmiku rekonstrueerimine, sh ühistranspordirada kesklinna</t>
  </si>
  <si>
    <t>Vanasadama ja kesklinna vahelise liikuvuskeskkonna arendamine, sh Peatänav</t>
  </si>
  <si>
    <t>Viljandi mnt kergliiklustee (Pärnu mnt -Valdeku tn)</t>
  </si>
  <si>
    <t>KL/LM</t>
  </si>
  <si>
    <t>Sadamaala kergliiklustee lõigus Kalaranna tn - Reidi tee</t>
  </si>
  <si>
    <t>KL/PT</t>
  </si>
  <si>
    <t>laudtee rajamine läbi roostiku Tabasalu panga alt Kakumäe randa</t>
  </si>
  <si>
    <t>Vabaõhukooli tee rekonstrueerimine lõigul Rahvakooli teest kuni Hunditubaka teeni</t>
  </si>
  <si>
    <t>terviseraja ehitamine Õismäe rabasse</t>
  </si>
  <si>
    <t>programm "Turvaline ülekäigurada"</t>
  </si>
  <si>
    <t>sh Rannamõisa/Kakumäe/Pikaliiva ristmik</t>
  </si>
  <si>
    <t>Kopli/Tööstuse/Paljassaare ristmik</t>
  </si>
  <si>
    <t xml:space="preserve">    Kadaka – Mäepealse</t>
  </si>
  <si>
    <t>Kadaka – Kassi</t>
  </si>
  <si>
    <t>Kandurite uuendamine</t>
  </si>
  <si>
    <t>KL ?</t>
  </si>
  <si>
    <t>Tallinna Linnaarhiivi Tolli tn 8 hoone keldriruumide ümberehitamine arhiivihoidlaks (projekt)</t>
  </si>
  <si>
    <t>Perekonnaseisuameti peahoone ja abihoone renoveerimine, Pärnu mnt 67, sh:</t>
  </si>
  <si>
    <t>peahoone küttesüsteemi, elektri- ja nõrkvoolupaigaldise renoveerimine</t>
  </si>
  <si>
    <t>abihoone küttesüsteemi, elektri- ja nõrkvoolupaigaldise renoveerimine</t>
  </si>
  <si>
    <t>trepivaiba soetus</t>
  </si>
  <si>
    <t>Selgitused</t>
  </si>
  <si>
    <t>annetuste arvelt</t>
  </si>
  <si>
    <t>Aktsiakapitali suurendamine (-)</t>
  </si>
  <si>
    <t>Müügimaks</t>
  </si>
  <si>
    <t>Annetused</t>
  </si>
  <si>
    <t>MUUTUS FINANTSVARADES (V.A RAHAS)</t>
  </si>
  <si>
    <t>Sissemakse osakapitali</t>
  </si>
  <si>
    <t>annetused</t>
  </si>
  <si>
    <t>x</t>
  </si>
  <si>
    <t>Lisapositsioonid KOFS kasti jaoks</t>
  </si>
  <si>
    <t>Tegevuskuludeks</t>
  </si>
  <si>
    <t>Investeeringuteks</t>
  </si>
  <si>
    <t>Võlakohustused aasta lõpuks €</t>
  </si>
  <si>
    <t>sh laenukohustused</t>
  </si>
  <si>
    <t>Likviidsete varade muutus €</t>
  </si>
  <si>
    <t>Likviideste varade jääk €</t>
  </si>
  <si>
    <t>Netovõlakoormus €</t>
  </si>
  <si>
    <t>Netovõlakoormus %</t>
  </si>
  <si>
    <t>Põhitegevuse tulude kasv</t>
  </si>
  <si>
    <t>Põhitegevuse kulude kasv</t>
  </si>
  <si>
    <t>Tallinn konsolideerimata</t>
  </si>
  <si>
    <t>2.</t>
  </si>
  <si>
    <t>3.</t>
  </si>
  <si>
    <t>4.</t>
  </si>
  <si>
    <t>5.</t>
  </si>
  <si>
    <t>9.</t>
  </si>
  <si>
    <t>10.</t>
  </si>
  <si>
    <t>11.</t>
  </si>
  <si>
    <t>12.</t>
  </si>
  <si>
    <t>14.</t>
  </si>
  <si>
    <t>Katteallikad:</t>
  </si>
  <si>
    <t>HEAWATER – Läänemere valgala väikeste jõgede tervendamine toite- ning ohtlike ainete sissevoolu ärahoidmise kaudu</t>
  </si>
  <si>
    <t>Põhitänavate välisvalgustuse rekonstrueerimise I etapp (sh Mustamäe)</t>
  </si>
  <si>
    <t>Salme kultuurikeskus</t>
  </si>
  <si>
    <t>toetusfondist (endine haldusleping)</t>
  </si>
  <si>
    <t>SM leping (rahvastiku register)</t>
  </si>
  <si>
    <t>SM leping (rahvastiku register rahvaloenduseks)</t>
  </si>
  <si>
    <t>Antav sihtfinantseering</t>
  </si>
  <si>
    <t>Tänavavalgustuse ehitamine ja renoveerimine, sh lasteaedade territooriumide valgustamine</t>
  </si>
  <si>
    <t>Linna uue haldushoone projekteerimine, ehitamine ja sisustamine</t>
  </si>
  <si>
    <r>
      <t>LE</t>
    </r>
    <r>
      <rPr>
        <sz val="8"/>
        <color theme="0"/>
        <rFont val="Arial"/>
        <family val="2"/>
        <charset val="186"/>
      </rPr>
      <t>'</t>
    </r>
  </si>
  <si>
    <r>
      <t>RE</t>
    </r>
    <r>
      <rPr>
        <sz val="8"/>
        <color theme="0"/>
        <rFont val="Arial"/>
        <family val="2"/>
        <charset val="186"/>
      </rPr>
      <t>'</t>
    </r>
  </si>
  <si>
    <t>sh IX kvartal riigieelarvest</t>
  </si>
  <si>
    <t>IX kvartal linnaeelarvest</t>
  </si>
  <si>
    <t>Salme Kultuurikeskuse renoveerimine, ümberehitustööd ja sisustus</t>
  </si>
  <si>
    <t>lasteaedade territooriumide korrastamine (välisvalgustus, krundisisesed teed ja parkimisplatsid)</t>
  </si>
  <si>
    <t>Sotsiaalasutuste remonttööd ja soetused (STA ja linnaosad)</t>
  </si>
  <si>
    <t>määrus</t>
  </si>
  <si>
    <t>Ootekodade soetamine ja paigaldamine</t>
  </si>
  <si>
    <t>TOETUSED KOKKU</t>
  </si>
  <si>
    <t>Tähtsamad objektid</t>
  </si>
  <si>
    <t>Teede kapitaalremont ja rekonstrueerimine</t>
  </si>
  <si>
    <t>Muud objektid</t>
  </si>
  <si>
    <t>Kergliiklusteede ja terviseradade rajamine</t>
  </si>
  <si>
    <t>Tallinna Saksa Gümnaasiumi tervikrenoveerimine</t>
  </si>
  <si>
    <t>Tallinna Nõmme Gümnaasiumi spordihoone ehitamine</t>
  </si>
  <si>
    <t xml:space="preserve">Tallinna Mustamäe Humanitaargümnaasiumi staadioni (Tammsaare tee 147) rajamine  </t>
  </si>
  <si>
    <t>Lasteaedade renoveerimine, remonttööd, soetused ja tuleohutusnõuete täitmine</t>
  </si>
  <si>
    <t>Tallinna Loomaaia projekt "Pilvemets"</t>
  </si>
  <si>
    <t>Tallinna Loomaaia tiigriorg</t>
  </si>
  <si>
    <t>Põhikoolid ja gümnaasiumid</t>
  </si>
  <si>
    <t>Tallinna Linnateatri arendusprojekt</t>
  </si>
  <si>
    <t>Tallinna Botaanikaaia investeeringud</t>
  </si>
  <si>
    <t>majandushoone ehitamine</t>
  </si>
  <si>
    <t>jalgpalli, korvpalli ja võrkpalli väliväljakute rajamine linnaosadesse</t>
  </si>
  <si>
    <t>spordiparkide rajamine Lastestaadionile ja linnaosadesse</t>
  </si>
  <si>
    <t>Hallatavate spordiasutuste remonttööd ja soetused</t>
  </si>
  <si>
    <t>Mustamäe Päevakeskuse (Ehitajate tee 82) hoone renoveerimine ja õueala korrastamine</t>
  </si>
  <si>
    <t>Iru Hooldekodu õenduskodu projekteerimine ja ehitamine</t>
  </si>
  <si>
    <t>Tallinna Haigla uue hoone projekteerimine</t>
  </si>
  <si>
    <t>Sõpruse pst 5 (sh Kristiine Tegevuskeskus)</t>
  </si>
  <si>
    <t>sh Vabaduse park (Vabaduse pst 96)</t>
  </si>
  <si>
    <t>Lillepi park (Pirita tee 110)</t>
  </si>
  <si>
    <t>Männipark (Keskuse tn1/Sõpruse pst 252)</t>
  </si>
  <si>
    <t>Tanuma tn mänguväljaku rajamine (Haabersti)</t>
  </si>
  <si>
    <t>Vabaõhumuuseumi tee 4c mänguväljaku rajamine (Haabersti)</t>
  </si>
  <si>
    <t>Mustamäe linnaosas 4 mänguväljaku rekonstrueerimine</t>
  </si>
  <si>
    <r>
      <t xml:space="preserve">Stroomi ranna </t>
    </r>
    <r>
      <rPr>
        <b/>
        <sz val="8"/>
        <rFont val="Arial"/>
        <family val="2"/>
        <charset val="186"/>
      </rPr>
      <t>peremänguväljaku</t>
    </r>
    <r>
      <rPr>
        <sz val="8"/>
        <rFont val="Arial"/>
        <family val="2"/>
        <charset val="186"/>
      </rPr>
      <t xml:space="preserve"> rekonstrueerimine</t>
    </r>
  </si>
  <si>
    <t>Kakumäele harrastussportlastele treeninguväljaku rajamine (Haabersti)</t>
  </si>
  <si>
    <t>Koerte jalutus- ja treeningväljakute rajamine ja rekonstrueerimine</t>
  </si>
  <si>
    <t>Punane tn 17 haljasalale koerte jalutusväljaku projekteerimine ja ehitus</t>
  </si>
  <si>
    <t>Vormsi tn 5 ja Ehte tn 14 koerte väljakute rekonstrueerimine</t>
  </si>
  <si>
    <t>sh Russalka ranna puhkeala</t>
  </si>
  <si>
    <t>Haabersti metsa puhkeala</t>
  </si>
  <si>
    <t>Priisle pargi arendamine</t>
  </si>
  <si>
    <t xml:space="preserve">Mustamäe parkide (Männipark, Lepistiku, Parditiigi park, Sütiste parkmets) uuendamine </t>
  </si>
  <si>
    <t>Haabersti linnaossa  jäätmejaama projekteerimine ja ehitamine</t>
  </si>
  <si>
    <t>Kuuli tn - Narva mnt</t>
  </si>
  <si>
    <t>Kose tee - Narva mnt</t>
  </si>
  <si>
    <t>Paldiski mnt – Astangu tn</t>
  </si>
  <si>
    <t>Linnaasutuste hoonete renoveerimistööd ja projekteerimine</t>
  </si>
  <si>
    <t>Lasnamäe Sotsiaalkeskuse juurdeehitus</t>
  </si>
  <si>
    <t>Mustamäe Laste Loomingu Maja tervikrenoveerimine ja sisustus</t>
  </si>
  <si>
    <t>sh Toompea tugimüüri korrastamine</t>
  </si>
  <si>
    <t>koolide remonttööd, soetused ja tuleohutusnõuete täitmine</t>
  </si>
  <si>
    <t>jalgrattaparklate rajamine koolide juurde</t>
  </si>
  <si>
    <t>Tallinna Muusikakooli hoone (Narva mnt 28) renoveerimine ja sisustus</t>
  </si>
  <si>
    <t>Põhja-Tallinna linnaosa põlvkondade maja (Kari tn 13) ehitamine, sh Tallinna Kopli Noortemaja uued ruumid</t>
  </si>
  <si>
    <t>Pae keskuse hoone</t>
  </si>
  <si>
    <t>sh Maleva keskuse hoone</t>
  </si>
  <si>
    <t>sh Pelguranna tn 31 hoone</t>
  </si>
  <si>
    <t xml:space="preserve"> Peterburi mnt 11 hoone</t>
  </si>
  <si>
    <t>Tallinna Vaimse Tervise Keskuse renoveerimine</t>
  </si>
  <si>
    <t>Käo Tugikeskuse renoveerimine</t>
  </si>
  <si>
    <t xml:space="preserve">Nõmme jaamaülema pronkskuju  püstitamine </t>
  </si>
  <si>
    <t>Dominiiklaste kloostrikompleksi renoveerimine</t>
  </si>
  <si>
    <t>Ühistranspordipeatustesse reaalajainfotabloode paigaldamine</t>
  </si>
  <si>
    <t>spordiväljaku rajamine (Katleri tn 2a)</t>
  </si>
  <si>
    <t>Kloostrimetsa tee kergliiklus- ja kõnnitee rajamine kuni Pirita keskuseni</t>
  </si>
  <si>
    <t>Liikluskorraldusvahendite (elektroonilised liiklusmärgid, foorikontrollerid, fooripead, liiklusjärelvalve seadmed) uuendamine</t>
  </si>
  <si>
    <t>Tallinna kinnisvararegistri arendamine</t>
  </si>
  <si>
    <t>Jäätmejaamade ehitamine ja multiliftkonteinerite soetamine (MTÜ Keskkonnateenused)</t>
  </si>
  <si>
    <t>Tallinna Lauluväljaku investeeringud (SA Tallinna Lauluväljak)</t>
  </si>
  <si>
    <t>Kalevi staadioni investeeringud (MTÜ Eesti Spordiselts Kalev)</t>
  </si>
  <si>
    <t>Uute trammide soetamine (Tallinna Linnatranspordi AS)</t>
  </si>
  <si>
    <t>Kadaka tee 62a värvimishalli ehitus (Tallinna Linnatranspordi AS)</t>
  </si>
  <si>
    <t>KOKKU - LE</t>
  </si>
  <si>
    <t>2017 täitmine</t>
  </si>
  <si>
    <t>välisprojektide kaasfinantseerimise arvelt</t>
  </si>
  <si>
    <t>€ ilma komakohata</t>
  </si>
  <si>
    <t>%</t>
  </si>
  <si>
    <t>2019 projekt</t>
  </si>
  <si>
    <t>2019/2018 muutus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</si>
  <si>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</si>
  <si>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 xml:space="preserve">2019
projekti 
ettepanek </t>
  </si>
  <si>
    <t>2019 projekt - projekti ettepanek</t>
  </si>
  <si>
    <t>VORM 3</t>
  </si>
  <si>
    <t>2019 projekti ettepanek</t>
  </si>
  <si>
    <t>VORM 4</t>
  </si>
  <si>
    <t>VORM 5</t>
  </si>
  <si>
    <t>sellest Perekonnaseisuamet</t>
  </si>
  <si>
    <t>projekti
ettepanek</t>
  </si>
  <si>
    <t>projekt</t>
  </si>
  <si>
    <t>Lisataotlus</t>
  </si>
  <si>
    <t>Lühiselgitused lisataotluse kohta</t>
  </si>
  <si>
    <t>VORM 1</t>
  </si>
  <si>
    <t>Ameti või linnaosa valitsuse haldusala nimi:</t>
  </si>
  <si>
    <t>Põhitaotlus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</si>
  <si>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</si>
  <si>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</si>
  <si>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</si>
  <si>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</si>
  <si>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</si>
  <si>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</si>
  <si>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</si>
  <si>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</si>
  <si>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</si>
  <si>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</si>
  <si>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</si>
  <si>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</si>
  <si>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</si>
  <si>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</si>
  <si>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</si>
  <si>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</si>
  <si>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</si>
  <si>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</si>
  <si>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</si>
  <si>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</si>
  <si>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Vormi täitnud isiku ees- ja perekonnanimi ning telefoninumber:</t>
  </si>
  <si>
    <t>Ametiasutuse haldusala 2019. aasta eelarve projekti koond asutuste lõikes</t>
  </si>
  <si>
    <t>Investeeringuobjekti infokaart *</t>
  </si>
  <si>
    <t>VORM 6 b</t>
  </si>
  <si>
    <t>Ametiasutus: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</si>
  <si>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</si>
  <si>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</si>
  <si>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</si>
  <si>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</si>
  <si>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</si>
  <si>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</si>
  <si>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</si>
  <si>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</si>
  <si>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</si>
  <si>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</si>
  <si>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</si>
  <si>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 xml:space="preserve">10. Kas kasutajad on käibemaksukohustuslased 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</si>
  <si>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</si>
  <si>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</si>
  <si>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</si>
  <si>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</si>
  <si>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</si>
  <si>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</si>
  <si>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</si>
  <si>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</si>
  <si>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</si>
  <si>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</si>
  <si>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</si>
  <si>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</si>
  <si>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</si>
  <si>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</si>
  <si>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</si>
  <si>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</si>
  <si>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</si>
  <si>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</si>
  <si>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</si>
  <si>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muud kulud (nimetada):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</si>
  <si>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</si>
  <si>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</si>
  <si>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</si>
  <si>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</si>
  <si>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</si>
  <si>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</si>
  <si>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</si>
  <si>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</si>
  <si>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</si>
  <si>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</si>
  <si>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</si>
  <si>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</si>
  <si>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</si>
  <si>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</si>
  <si>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</si>
  <si>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</si>
  <si>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</si>
  <si>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</si>
  <si>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</si>
  <si>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</si>
  <si>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</si>
  <si>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Välisrahastusega projektid ja -programmid</t>
  </si>
  <si>
    <t>VORM 7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</si>
  <si>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</si>
  <si>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</si>
  <si>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</si>
  <si>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</si>
  <si>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</si>
  <si>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</si>
  <si>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</si>
  <si>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</si>
  <si>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</si>
  <si>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</si>
  <si>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</si>
  <si>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</si>
  <si>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</si>
  <si>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</si>
  <si>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</si>
  <si>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</si>
  <si>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</si>
  <si>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</si>
  <si>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</si>
  <si>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</si>
  <si>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</si>
  <si>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1.</t>
  </si>
  <si>
    <t>sh kuni 2017</t>
  </si>
  <si>
    <t>2017.a-st 2018.a-sse ülekantavad</t>
  </si>
  <si>
    <t>2020 ja järgmised aastad kokku</t>
  </si>
  <si>
    <t>sh  2019. aastal</t>
  </si>
  <si>
    <t xml:space="preserve"> kuni 31.12.17</t>
  </si>
  <si>
    <t>2017.a. 2018.a-se üle-kantud</t>
  </si>
  <si>
    <t xml:space="preserve"> 2018 täps.
eelarve</t>
  </si>
  <si>
    <t>2022 ja järgmised aastad kokku</t>
  </si>
  <si>
    <t>2019 eeltäidetud vorm</t>
  </si>
  <si>
    <t>Muutus</t>
  </si>
  <si>
    <t>Jrk.</t>
  </si>
  <si>
    <t>Ametiasutuse haldusala</t>
  </si>
  <si>
    <t>sellest</t>
  </si>
  <si>
    <t>nr.</t>
  </si>
  <si>
    <t>omatulude 
arvelt</t>
  </si>
  <si>
    <t>linnakassa arvelt</t>
  </si>
  <si>
    <t>toetuste arvelt</t>
  </si>
  <si>
    <t>6.</t>
  </si>
  <si>
    <t>7.</t>
  </si>
  <si>
    <t>8.</t>
  </si>
  <si>
    <t>13.</t>
  </si>
  <si>
    <t>15.</t>
  </si>
  <si>
    <t>16.</t>
  </si>
  <si>
    <t>2019. aasta tegevuskulude piirsummad ametiasutuste haldusalade lõikes</t>
  </si>
  <si>
    <t>2019 piirsumma</t>
  </si>
  <si>
    <t>Eeltäidetud kogu-
maksumus</t>
  </si>
  <si>
    <t>Suur-Sõjamäe tn 44d tootmiskompleksi rajamine linnaeelarvest</t>
  </si>
  <si>
    <t>Haabersti Sotsiaalkeskuse inventari soetamine</t>
  </si>
  <si>
    <t>Mirta tänav 35a virgestuselementide soetamine</t>
  </si>
  <si>
    <t>Taludevahe tänav 43a mänguväljaku rajamine ja virgestuselementide soetamine</t>
  </si>
  <si>
    <t>Järveotsa tee 15 mänguväljaku virgestuselementide soetamine</t>
  </si>
  <si>
    <t>VORM 6 a</t>
  </si>
  <si>
    <t>Lisaeelarve eelnõu</t>
  </si>
  <si>
    <t xml:space="preserve">Lühiselgitused </t>
  </si>
  <si>
    <t>Projekteerimine</t>
  </si>
  <si>
    <t>Sisustus</t>
  </si>
  <si>
    <t>Ehitus</t>
  </si>
  <si>
    <t>Projektijuhtimine ja järelevalve</t>
  </si>
  <si>
    <t>Objekti valmimisaeg</t>
  </si>
  <si>
    <t>*    investeerimisobjekti infokaart täidetakse üle 60 000 € objektide osas (hooned, spordi-, kultuuri-, sotsiaalhoolekande ja tähtsamad teeobjektid). Ei täideta tänavavalgustuse, fooriobjektide ja teiste sarnaste objektide osas.)</t>
  </si>
  <si>
    <t>2018 esialgne eelarve</t>
  </si>
  <si>
    <t>2018 lisaeelarve eelnõu</t>
  </si>
  <si>
    <t>2018 täpsustatud eelarve</t>
  </si>
  <si>
    <t>2018 esilagne eelarve</t>
  </si>
  <si>
    <t>RR I</t>
  </si>
  <si>
    <t>RR 1</t>
  </si>
  <si>
    <t>täpsustatud eelarve</t>
  </si>
  <si>
    <t>lisaeelarve eelnõu</t>
  </si>
  <si>
    <t>esialgne eelarve</t>
  </si>
  <si>
    <t>Ametiasutuse haldusala: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</si>
  <si>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</si>
  <si>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</si>
  <si>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</si>
  <si>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</si>
  <si>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</si>
  <si>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</si>
  <si>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</si>
  <si>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t>Kehtiv üürimäär seisuga 01.09.2018</t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</si>
  <si>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</si>
  <si>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</si>
  <si>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</si>
  <si>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</si>
  <si>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</si>
  <si>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</si>
  <si>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r>
      <t xml:space="preserve">2019 </t>
    </r>
    <r>
      <rPr>
        <vertAlign val="superscript"/>
        <sz val="11"/>
        <color indexed="8"/>
        <rFont val="Calibri"/>
        <family val="2"/>
        <charset val="186"/>
      </rPr>
      <t>2</t>
    </r>
  </si>
  <si>
    <t>summa €</t>
  </si>
  <si>
    <t>lõpptähtaeg (kuupäev)</t>
  </si>
  <si>
    <t>Kui on tähtajatu üürileping, siis lõpukuupäeva mitte märkida.</t>
  </si>
  <si>
    <t>2019. aasta koondsumma peab vastama asutuse 2019. aasta eelarve  projektis esitatud äriruumide üüritulule.</t>
  </si>
  <si>
    <t>Vormil tuleb kajastada ka tühjad äriruumid.</t>
  </si>
  <si>
    <t>VORM 3a</t>
  </si>
  <si>
    <t>ÄRIRUUMIDE ÜÜRITULU</t>
  </si>
  <si>
    <t>Koostaja ees- ja perekonnanimi ning telefoninumber:</t>
  </si>
  <si>
    <t>Kogumaksumus</t>
  </si>
  <si>
    <t>Objekti taotleja</t>
  </si>
  <si>
    <t>Objekt 1</t>
  </si>
  <si>
    <t>Objekt 2</t>
  </si>
  <si>
    <t>Objekt 3</t>
  </si>
  <si>
    <t>2019 taotlus</t>
  </si>
  <si>
    <t>Perekonnaseisutoimingud</t>
  </si>
  <si>
    <t>Rahvastikuregistri toimingud</t>
  </si>
  <si>
    <t>Perekonnaseisuteenuste haldus</t>
  </si>
  <si>
    <t>Pidulikud kombetalitused</t>
  </si>
  <si>
    <t>Mälestusesemed vastsündinud linnakodanikele</t>
  </si>
  <si>
    <t>Haldusalade-vahelised ümberpaigutused</t>
  </si>
  <si>
    <t>Objekti eest vastutav ametiasutus</t>
  </si>
  <si>
    <t>INVESTEERINGUD STRATEEGIAS</t>
  </si>
  <si>
    <t>MUUD INVESTEERINGUD</t>
  </si>
  <si>
    <t>Märkused</t>
  </si>
  <si>
    <t>NB! Vormile uusi objekte ja ridu ei lisata. Kõik täiendavad objektid kajastada eraldi vormil 6a lisa.</t>
  </si>
  <si>
    <t>Linnaosa (kus objekt asub)</t>
  </si>
  <si>
    <t>HA</t>
  </si>
  <si>
    <t>X</t>
  </si>
  <si>
    <t>LVA</t>
  </si>
  <si>
    <t>LVA lasteaedade renoveerimise osas + HA</t>
  </si>
  <si>
    <t>KA, nõuandjana LVA</t>
  </si>
  <si>
    <t>KA</t>
  </si>
  <si>
    <t>KMA</t>
  </si>
  <si>
    <t>KKA</t>
  </si>
  <si>
    <t>LPA</t>
  </si>
  <si>
    <t>SNA</t>
  </si>
  <si>
    <t>KMA, nõuandjana LVA</t>
  </si>
  <si>
    <t>STA</t>
  </si>
  <si>
    <t>EVA</t>
  </si>
  <si>
    <t>TA</t>
  </si>
  <si>
    <t>LK haldusteenistus, Linnaarhiiv</t>
  </si>
  <si>
    <t>LK haldusteenistus</t>
  </si>
  <si>
    <t>Objekti eest vastutav ametiasutus*</t>
  </si>
  <si>
    <t>HA - Haridusamet</t>
  </si>
  <si>
    <t>KA - Kultuuriamet</t>
  </si>
  <si>
    <t>SNA - Spordi- ja Noorsooamet</t>
  </si>
  <si>
    <t>STA - Sotsiaal- ja Tervishoiuamet</t>
  </si>
  <si>
    <t>KKA - Keskkonnaamet</t>
  </si>
  <si>
    <t>KMA - Kommunaalamet</t>
  </si>
  <si>
    <t>LVA - Linnavaraamet</t>
  </si>
  <si>
    <t>LPA - Linnaplaneerimise Amet</t>
  </si>
  <si>
    <t>EVA - Ettevõtlusamet</t>
  </si>
  <si>
    <t>TA - Transpordiamet</t>
  </si>
  <si>
    <t>LK - Linnakantselei</t>
  </si>
  <si>
    <t>VORM 6 a - lisa</t>
  </si>
  <si>
    <t>Kogumaksumus - vastutava ametiasutuse ettapanek</t>
  </si>
  <si>
    <t>2019 vastutava ametiasutuse ettepanek</t>
  </si>
  <si>
    <t>Tallinna Perekonnaseisuamet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</si>
</sst>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0"/>
    <numFmt numFmtId="167" formatCode="#,##0.0"/>
    <numFmt numFmtId="168" formatCode="_-* #,##0.00\ _k_r_-;\-* #,##0.00\ _k_r_-;_-* \-??\ _k_r_-;_-@_-"/>
    <numFmt numFmtId="169" formatCode="0.0%"/>
    <numFmt numFmtId="170" formatCode="#,##0;\-#,##0"/>
  </numFmts>
  <fonts count="13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name val="Times New Roman"/>
      <family val="1"/>
      <charset val="186"/>
    </font>
    <font>
      <sz val="9"/>
      <name val="Arial"/>
      <family val="2"/>
    </font>
    <font>
      <sz val="8"/>
      <color theme="0"/>
      <name val="Arial"/>
      <family val="2"/>
      <charset val="186"/>
    </font>
    <font>
      <sz val="8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rgb="FF0070C0"/>
      <name val="Arial"/>
      <family val="2"/>
      <charset val="186"/>
    </font>
    <font>
      <i/>
      <sz val="10"/>
      <color rgb="FF00B0F0"/>
      <name val="Arial"/>
      <family val="2"/>
      <charset val="186"/>
    </font>
    <font>
      <sz val="10"/>
      <color rgb="FF00B0F0"/>
      <name val="Arial"/>
      <family val="2"/>
      <charset val="186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9"/>
      <color indexed="81"/>
      <name val="Segoe UI"/>
      <family val="2"/>
      <charset val="186"/>
    </font>
    <font>
      <b/>
      <sz val="11"/>
      <color rgb="FFC00000"/>
      <name val="Arial"/>
      <family val="2"/>
      <charset val="186"/>
    </font>
    <font>
      <sz val="11"/>
      <name val="Arial"/>
      <family val="2"/>
      <charset val="186"/>
    </font>
    <font>
      <i/>
      <sz val="10"/>
      <color rgb="FF00B050"/>
      <name val="Arial"/>
      <family val="2"/>
      <charset val="186"/>
    </font>
    <font>
      <i/>
      <sz val="10"/>
      <color rgb="FFFF000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3" tint="0.39997558519241921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70C0"/>
      <name val="Times New Roman"/>
      <family val="1"/>
      <charset val="186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sz val="9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sz val="11"/>
      <color rgb="FF0070C0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indexed="8"/>
      <name val="Calibri"/>
      <family val="2"/>
      <charset val="186"/>
    </font>
    <font>
      <sz val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i/>
      <sz val="8"/>
      <color theme="3" tint="0.39997558519241921"/>
      <name val="Arial"/>
      <family val="2"/>
      <charset val="186"/>
    </font>
    <font>
      <b/>
      <sz val="10"/>
      <color theme="3" tint="0.39997558519241921"/>
      <name val="Arial"/>
      <family val="2"/>
      <charset val="186"/>
    </font>
    <font>
      <i/>
      <sz val="9"/>
      <color theme="3" tint="0.39997558519241921"/>
      <name val="Arial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2" fillId="0" borderId="0"/>
    <xf numFmtId="0" fontId="42" fillId="0" borderId="0"/>
    <xf numFmtId="0" fontId="43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50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6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25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7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0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23" borderId="7" applyNumberFormat="0" applyFont="0" applyAlignment="0" applyProtection="0"/>
    <xf numFmtId="0" fontId="65" fillId="20" borderId="8" applyNumberFormat="0" applyAlignment="0" applyProtection="0"/>
    <xf numFmtId="9" fontId="7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52" fillId="0" borderId="0"/>
    <xf numFmtId="0" fontId="6" fillId="0" borderId="0"/>
    <xf numFmtId="0" fontId="7" fillId="0" borderId="0"/>
    <xf numFmtId="0" fontId="7" fillId="0" borderId="0"/>
    <xf numFmtId="9" fontId="7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42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/>
  </cellStyleXfs>
  <cellXfs count="814">
    <xf numFmtId="0" fontId="0" fillId="0" borderId="0" xfId="0"/>
    <xf numFmtId="0" fontId="27" fillId="0" borderId="0" xfId="0" applyFont="1" applyFill="1" applyBorder="1"/>
    <xf numFmtId="0" fontId="21" fillId="0" borderId="0" xfId="0" applyFont="1" applyFill="1" applyBorder="1"/>
    <xf numFmtId="0" fontId="28" fillId="0" borderId="0" xfId="0" applyFont="1" applyFill="1"/>
    <xf numFmtId="0" fontId="7" fillId="0" borderId="0" xfId="0" applyFont="1" applyFill="1" applyBorder="1" applyAlignment="1">
      <alignment horizontal="left" vertical="top"/>
    </xf>
    <xf numFmtId="3" fontId="29" fillId="0" borderId="0" xfId="0" applyNumberFormat="1" applyFont="1" applyFill="1" applyAlignment="1">
      <alignment vertical="top"/>
    </xf>
    <xf numFmtId="0" fontId="7" fillId="0" borderId="0" xfId="0" applyFont="1" applyFill="1"/>
    <xf numFmtId="3" fontId="28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/>
    <xf numFmtId="3" fontId="7" fillId="0" borderId="0" xfId="0" applyNumberFormat="1" applyFont="1" applyFill="1" applyAlignment="1"/>
    <xf numFmtId="3" fontId="28" fillId="0" borderId="0" xfId="0" applyNumberFormat="1" applyFont="1" applyFill="1" applyAlignment="1"/>
    <xf numFmtId="0" fontId="33" fillId="0" borderId="0" xfId="0" applyFont="1" applyFill="1"/>
    <xf numFmtId="14" fontId="28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21" fillId="0" borderId="0" xfId="0" applyFont="1"/>
    <xf numFmtId="0" fontId="34" fillId="0" borderId="0" xfId="0" applyFont="1" applyFill="1" applyAlignment="1">
      <alignment horizontal="left" indent="2"/>
    </xf>
    <xf numFmtId="3" fontId="34" fillId="0" borderId="0" xfId="0" applyNumberFormat="1" applyFont="1" applyFill="1"/>
    <xf numFmtId="3" fontId="0" fillId="0" borderId="0" xfId="0" applyNumberFormat="1"/>
    <xf numFmtId="0" fontId="29" fillId="0" borderId="0" xfId="0" applyFont="1" applyFill="1" applyAlignment="1">
      <alignment horizontal="left" indent="4"/>
    </xf>
    <xf numFmtId="3" fontId="29" fillId="0" borderId="0" xfId="0" applyNumberFormat="1" applyFont="1" applyFill="1"/>
    <xf numFmtId="0" fontId="29" fillId="0" borderId="0" xfId="0" applyFont="1" applyFill="1" applyAlignment="1">
      <alignment horizontal="left" wrapText="1" indent="4"/>
    </xf>
    <xf numFmtId="0" fontId="29" fillId="0" borderId="0" xfId="35" applyNumberFormat="1" applyFont="1" applyFill="1" applyBorder="1" applyAlignment="1" applyProtection="1">
      <alignment horizontal="left" indent="6"/>
    </xf>
    <xf numFmtId="0" fontId="28" fillId="0" borderId="0" xfId="0" applyFont="1" applyFill="1" applyAlignment="1">
      <alignment horizontal="left" indent="1"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indent="4"/>
    </xf>
    <xf numFmtId="0" fontId="36" fillId="0" borderId="1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34" fillId="0" borderId="0" xfId="0" applyFont="1" applyFill="1" applyAlignment="1">
      <alignment horizontal="left" indent="1"/>
    </xf>
    <xf numFmtId="9" fontId="7" fillId="0" borderId="0" xfId="0" applyNumberFormat="1" applyFont="1"/>
    <xf numFmtId="167" fontId="7" fillId="0" borderId="0" xfId="0" applyNumberFormat="1" applyFont="1"/>
    <xf numFmtId="0" fontId="7" fillId="0" borderId="0" xfId="0" applyFont="1"/>
    <xf numFmtId="9" fontId="31" fillId="0" borderId="0" xfId="0" applyNumberFormat="1" applyFont="1"/>
    <xf numFmtId="0" fontId="33" fillId="0" borderId="0" xfId="0" applyFont="1"/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/>
    <xf numFmtId="3" fontId="21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0" fontId="21" fillId="0" borderId="0" xfId="0" quotePrefix="1" applyFont="1" applyFill="1" applyBorder="1"/>
    <xf numFmtId="3" fontId="21" fillId="0" borderId="0" xfId="0" quotePrefix="1" applyNumberFormat="1" applyFont="1" applyFill="1" applyBorder="1"/>
    <xf numFmtId="2" fontId="29" fillId="0" borderId="0" xfId="0" applyNumberFormat="1" applyFont="1" applyFill="1" applyBorder="1" applyAlignment="1">
      <alignment horizontal="left" indent="2"/>
    </xf>
    <xf numFmtId="3" fontId="29" fillId="0" borderId="0" xfId="0" applyNumberFormat="1" applyFont="1" applyFill="1" applyBorder="1" applyAlignment="1">
      <alignment horizontal="left" indent="2"/>
    </xf>
    <xf numFmtId="3" fontId="28" fillId="0" borderId="0" xfId="0" applyNumberFormat="1" applyFont="1" applyFill="1"/>
    <xf numFmtId="0" fontId="28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7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21" fillId="0" borderId="0" xfId="0" applyFont="1" applyFill="1" applyBorder="1" applyAlignment="1">
      <alignment horizontal="left" indent="2"/>
    </xf>
    <xf numFmtId="167" fontId="33" fillId="0" borderId="0" xfId="36" applyNumberFormat="1" applyFont="1" applyFill="1" applyBorder="1" applyAlignment="1">
      <alignment horizontal="left" wrapText="1"/>
    </xf>
    <xf numFmtId="3" fontId="28" fillId="0" borderId="0" xfId="0" applyNumberFormat="1" applyFont="1"/>
    <xf numFmtId="0" fontId="46" fillId="0" borderId="0" xfId="0" applyFont="1" applyBorder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39" fillId="0" borderId="0" xfId="0" applyFont="1" applyBorder="1"/>
    <xf numFmtId="0" fontId="26" fillId="0" borderId="0" xfId="0" applyFont="1" applyBorder="1"/>
    <xf numFmtId="0" fontId="28" fillId="0" borderId="0" xfId="0" applyFont="1"/>
    <xf numFmtId="167" fontId="0" fillId="0" borderId="0" xfId="0" applyNumberFormat="1"/>
    <xf numFmtId="0" fontId="31" fillId="0" borderId="0" xfId="0" applyFont="1"/>
    <xf numFmtId="0" fontId="7" fillId="0" borderId="0" xfId="0" applyFont="1" applyAlignment="1">
      <alignment horizontal="left" indent="3"/>
    </xf>
    <xf numFmtId="3" fontId="7" fillId="0" borderId="0" xfId="0" applyNumberFormat="1" applyFont="1"/>
    <xf numFmtId="0" fontId="7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167" fontId="39" fillId="0" borderId="0" xfId="0" applyNumberFormat="1" applyFont="1"/>
    <xf numFmtId="0" fontId="47" fillId="0" borderId="0" xfId="0" applyFont="1" applyFill="1" applyBorder="1"/>
    <xf numFmtId="3" fontId="28" fillId="0" borderId="0" xfId="0" applyNumberFormat="1" applyFont="1" applyBorder="1" applyAlignment="1"/>
    <xf numFmtId="0" fontId="28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3"/>
    </xf>
    <xf numFmtId="3" fontId="35" fillId="0" borderId="0" xfId="0" applyNumberFormat="1" applyFont="1" applyFill="1"/>
    <xf numFmtId="3" fontId="36" fillId="0" borderId="10" xfId="0" applyNumberFormat="1" applyFont="1" applyFill="1" applyBorder="1"/>
    <xf numFmtId="3" fontId="36" fillId="0" borderId="0" xfId="0" applyNumberFormat="1" applyFont="1" applyFill="1" applyBorder="1"/>
    <xf numFmtId="0" fontId="27" fillId="0" borderId="0" xfId="0" applyFont="1" applyBorder="1" applyAlignment="1">
      <alignment horizontal="left" wrapText="1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27" fillId="0" borderId="0" xfId="0" applyFont="1" applyBorder="1" applyAlignment="1">
      <alignment horizontal="left"/>
    </xf>
    <xf numFmtId="0" fontId="40" fillId="0" borderId="0" xfId="0" applyFont="1"/>
    <xf numFmtId="0" fontId="40" fillId="0" borderId="0" xfId="0" applyFont="1" applyFill="1" applyBorder="1" applyAlignment="1">
      <alignment horizontal="right"/>
    </xf>
    <xf numFmtId="0" fontId="40" fillId="0" borderId="0" xfId="0" applyFont="1" applyFill="1"/>
    <xf numFmtId="0" fontId="40" fillId="0" borderId="0" xfId="0" applyFont="1" applyBorder="1"/>
    <xf numFmtId="3" fontId="0" fillId="0" borderId="0" xfId="0" applyNumberFormat="1" applyFill="1"/>
    <xf numFmtId="3" fontId="7" fillId="0" borderId="0" xfId="0" applyNumberFormat="1" applyFont="1" applyFill="1"/>
    <xf numFmtId="3" fontId="0" fillId="0" borderId="0" xfId="0" applyNumberForma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 vertical="top"/>
    </xf>
    <xf numFmtId="3" fontId="7" fillId="0" borderId="0" xfId="0" applyNumberFormat="1" applyFont="1" applyBorder="1" applyAlignment="1"/>
    <xf numFmtId="0" fontId="49" fillId="0" borderId="0" xfId="0" applyFont="1"/>
    <xf numFmtId="0" fontId="7" fillId="0" borderId="0" xfId="0" applyFont="1" applyFill="1" applyBorder="1" applyAlignment="1">
      <alignment horizontal="left" indent="3"/>
    </xf>
    <xf numFmtId="0" fontId="39" fillId="0" borderId="0" xfId="0" applyFont="1" applyFill="1"/>
    <xf numFmtId="3" fontId="40" fillId="0" borderId="0" xfId="0" applyNumberFormat="1" applyFont="1" applyFill="1"/>
    <xf numFmtId="3" fontId="40" fillId="0" borderId="0" xfId="0" applyNumberFormat="1" applyFont="1" applyFill="1" applyBorder="1" applyAlignment="1"/>
    <xf numFmtId="3" fontId="28" fillId="0" borderId="0" xfId="0" applyNumberFormat="1" applyFont="1" applyFill="1" applyBorder="1" applyAlignment="1"/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29" fillId="0" borderId="0" xfId="0" applyNumberFormat="1" applyFont="1" applyFill="1" applyAlignment="1">
      <alignment horizontal="left" vertical="top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wrapText="1"/>
    </xf>
    <xf numFmtId="3" fontId="69" fillId="0" borderId="0" xfId="0" applyNumberFormat="1" applyFont="1"/>
    <xf numFmtId="0" fontId="28" fillId="0" borderId="0" xfId="0" applyFont="1" applyBorder="1"/>
    <xf numFmtId="0" fontId="29" fillId="0" borderId="0" xfId="0" applyFont="1" applyFill="1" applyAlignment="1">
      <alignment horizontal="left" wrapText="1" indent="6"/>
    </xf>
    <xf numFmtId="3" fontId="29" fillId="0" borderId="0" xfId="0" applyNumberFormat="1" applyFont="1" applyFill="1" applyAlignment="1"/>
    <xf numFmtId="3" fontId="71" fillId="0" borderId="0" xfId="0" applyNumberFormat="1" applyFont="1"/>
    <xf numFmtId="0" fontId="40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indent="3"/>
    </xf>
    <xf numFmtId="0" fontId="39" fillId="0" borderId="0" xfId="43" applyFont="1" applyFill="1" applyBorder="1" applyAlignment="1">
      <alignment horizontal="left" vertical="top"/>
    </xf>
    <xf numFmtId="3" fontId="39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/>
    </xf>
    <xf numFmtId="3" fontId="41" fillId="0" borderId="0" xfId="43" applyNumberFormat="1" applyFont="1" applyFill="1" applyBorder="1" applyAlignment="1">
      <alignment vertical="top"/>
    </xf>
    <xf numFmtId="0" fontId="29" fillId="0" borderId="0" xfId="36" applyNumberFormat="1" applyFont="1" applyFill="1" applyBorder="1" applyAlignment="1" applyProtection="1">
      <alignment horizontal="left" vertical="top" indent="2"/>
    </xf>
    <xf numFmtId="3" fontId="28" fillId="0" borderId="0" xfId="148" applyNumberFormat="1" applyFont="1"/>
    <xf numFmtId="3" fontId="7" fillId="0" borderId="0" xfId="148" applyNumberFormat="1" applyFont="1"/>
    <xf numFmtId="0" fontId="35" fillId="0" borderId="0" xfId="0" applyNumberFormat="1" applyFont="1" applyFill="1" applyAlignment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indent="2"/>
    </xf>
    <xf numFmtId="0" fontId="28" fillId="0" borderId="0" xfId="36" applyNumberFormat="1" applyFont="1" applyFill="1" applyBorder="1" applyAlignment="1" applyProtection="1">
      <alignment horizontal="left" vertical="top"/>
    </xf>
    <xf numFmtId="0" fontId="29" fillId="0" borderId="0" xfId="36" applyFont="1" applyFill="1" applyBorder="1" applyAlignment="1" applyProtection="1">
      <alignment horizontal="left" vertical="top" indent="1"/>
    </xf>
    <xf numFmtId="0" fontId="29" fillId="0" borderId="0" xfId="36" applyNumberFormat="1" applyFont="1" applyFill="1" applyBorder="1" applyAlignment="1" applyProtection="1">
      <alignment horizontal="left" vertical="top" indent="1"/>
    </xf>
    <xf numFmtId="0" fontId="28" fillId="0" borderId="0" xfId="36" applyNumberFormat="1" applyFont="1" applyFill="1" applyBorder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3" fontId="7" fillId="0" borderId="0" xfId="0" applyNumberFormat="1" applyFont="1" applyFill="1" applyAlignment="1">
      <alignment vertical="top"/>
    </xf>
    <xf numFmtId="0" fontId="36" fillId="0" borderId="0" xfId="36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3" fontId="28" fillId="0" borderId="0" xfId="36" applyNumberFormat="1" applyFont="1" applyFill="1" applyBorder="1" applyAlignment="1" applyProtection="1">
      <alignment vertical="top"/>
    </xf>
    <xf numFmtId="3" fontId="29" fillId="0" borderId="0" xfId="36" applyNumberFormat="1" applyFont="1" applyFill="1" applyBorder="1" applyAlignment="1" applyProtection="1">
      <alignment vertical="top"/>
    </xf>
    <xf numFmtId="3" fontId="28" fillId="0" borderId="0" xfId="36" applyNumberFormat="1" applyFont="1" applyFill="1" applyBorder="1" applyAlignment="1">
      <alignment vertical="top"/>
    </xf>
    <xf numFmtId="3" fontId="44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>
      <alignment vertical="top"/>
    </xf>
    <xf numFmtId="3" fontId="28" fillId="0" borderId="0" xfId="0" applyNumberFormat="1" applyFont="1" applyFill="1" applyAlignment="1">
      <alignment vertical="top"/>
    </xf>
    <xf numFmtId="3" fontId="72" fillId="0" borderId="0" xfId="0" applyNumberFormat="1" applyFont="1" applyFill="1" applyAlignment="1">
      <alignment vertical="top"/>
    </xf>
    <xf numFmtId="3" fontId="26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37" fillId="0" borderId="0" xfId="0" applyFont="1" applyFill="1" applyAlignment="1">
      <alignment horizontal="left" indent="6"/>
    </xf>
    <xf numFmtId="0" fontId="29" fillId="0" borderId="0" xfId="0" applyFont="1" applyAlignment="1">
      <alignment horizontal="left" indent="7"/>
    </xf>
    <xf numFmtId="0" fontId="34" fillId="0" borderId="0" xfId="0" applyFont="1" applyFill="1" applyAlignment="1">
      <alignment horizontal="left" indent="4"/>
    </xf>
    <xf numFmtId="0" fontId="29" fillId="0" borderId="0" xfId="0" applyFont="1" applyFill="1" applyAlignment="1">
      <alignment horizontal="left" indent="7"/>
    </xf>
    <xf numFmtId="0" fontId="39" fillId="0" borderId="0" xfId="0" applyFont="1"/>
    <xf numFmtId="3" fontId="28" fillId="0" borderId="0" xfId="0" applyNumberFormat="1" applyFont="1" applyFill="1" applyBorder="1" applyAlignment="1">
      <alignment vertical="top" wrapText="1"/>
    </xf>
    <xf numFmtId="0" fontId="28" fillId="24" borderId="13" xfId="153" applyFont="1" applyFill="1" applyBorder="1" applyAlignment="1" applyProtection="1">
      <alignment horizontal="left" vertical="top" wrapText="1"/>
      <protection locked="0"/>
    </xf>
    <xf numFmtId="0" fontId="28" fillId="24" borderId="13" xfId="153" applyFont="1" applyFill="1" applyBorder="1" applyAlignment="1" applyProtection="1">
      <alignment horizontal="left" vertical="top"/>
      <protection locked="0"/>
    </xf>
    <xf numFmtId="0" fontId="7" fillId="0" borderId="13" xfId="153" applyFont="1" applyFill="1" applyBorder="1" applyAlignment="1" applyProtection="1">
      <alignment horizontal="left" vertical="top"/>
      <protection locked="0"/>
    </xf>
    <xf numFmtId="0" fontId="7" fillId="0" borderId="16" xfId="153" applyFont="1" applyFill="1" applyBorder="1" applyAlignment="1" applyProtection="1">
      <alignment horizontal="right"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/>
      <protection locked="0"/>
    </xf>
    <xf numFmtId="0" fontId="7" fillId="0" borderId="15" xfId="153" applyFont="1" applyFill="1" applyBorder="1" applyAlignment="1" applyProtection="1">
      <alignment horizontal="left" vertical="top" wrapText="1"/>
      <protection locked="0"/>
    </xf>
    <xf numFmtId="3" fontId="7" fillId="0" borderId="13" xfId="49" applyNumberFormat="1" applyFont="1" applyFill="1" applyBorder="1" applyAlignment="1" applyProtection="1">
      <alignment vertical="top"/>
      <protection locked="0"/>
    </xf>
    <xf numFmtId="3" fontId="7" fillId="0" borderId="13" xfId="153" applyNumberFormat="1" applyFont="1" applyFill="1" applyBorder="1" applyAlignment="1" applyProtection="1">
      <alignment vertical="top"/>
      <protection locked="0"/>
    </xf>
    <xf numFmtId="3" fontId="28" fillId="24" borderId="13" xfId="153" applyNumberFormat="1" applyFont="1" applyFill="1" applyBorder="1" applyAlignment="1" applyProtection="1">
      <alignment vertical="top"/>
      <protection locked="0"/>
    </xf>
    <xf numFmtId="3" fontId="7" fillId="0" borderId="13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wrapText="1"/>
    </xf>
    <xf numFmtId="0" fontId="26" fillId="0" borderId="0" xfId="0" applyFont="1" applyFill="1" applyBorder="1"/>
    <xf numFmtId="3" fontId="44" fillId="0" borderId="0" xfId="0" applyNumberFormat="1" applyFont="1" applyFill="1" applyAlignment="1">
      <alignment vertical="top"/>
    </xf>
    <xf numFmtId="0" fontId="26" fillId="0" borderId="13" xfId="153" applyFont="1" applyFill="1" applyBorder="1" applyAlignment="1" applyProtection="1">
      <alignment horizontal="left" vertical="top" wrapText="1" indent="2"/>
      <protection locked="0"/>
    </xf>
    <xf numFmtId="0" fontId="26" fillId="0" borderId="13" xfId="153" applyFont="1" applyFill="1" applyBorder="1" applyAlignment="1" applyProtection="1">
      <alignment horizontal="left" vertical="top"/>
      <protection locked="0"/>
    </xf>
    <xf numFmtId="3" fontId="26" fillId="0" borderId="18" xfId="153" applyNumberFormat="1" applyFont="1" applyFill="1" applyBorder="1" applyAlignment="1" applyProtection="1">
      <alignment vertical="top"/>
      <protection locked="0"/>
    </xf>
    <xf numFmtId="0" fontId="26" fillId="0" borderId="13" xfId="153" applyFont="1" applyFill="1" applyBorder="1" applyAlignment="1" applyProtection="1">
      <alignment horizontal="left" vertical="top" wrapText="1" indent="4"/>
      <protection locked="0"/>
    </xf>
    <xf numFmtId="0" fontId="26" fillId="0" borderId="13" xfId="153" applyFont="1" applyFill="1" applyBorder="1" applyAlignment="1" applyProtection="1">
      <alignment horizontal="left" vertical="top" wrapText="1" indent="1"/>
      <protection locked="0"/>
    </xf>
    <xf numFmtId="0" fontId="26" fillId="0" borderId="13" xfId="0" applyFont="1" applyFill="1" applyBorder="1" applyAlignment="1" applyProtection="1">
      <alignment horizontal="left" vertical="top"/>
      <protection locked="0"/>
    </xf>
    <xf numFmtId="3" fontId="26" fillId="0" borderId="13" xfId="153" applyNumberFormat="1" applyFont="1" applyFill="1" applyBorder="1" applyAlignment="1" applyProtection="1">
      <alignment vertical="top"/>
      <protection locked="0"/>
    </xf>
    <xf numFmtId="0" fontId="26" fillId="0" borderId="13" xfId="0" applyFont="1" applyFill="1" applyBorder="1" applyAlignment="1">
      <alignment horizontal="left" indent="1"/>
    </xf>
    <xf numFmtId="3" fontId="26" fillId="0" borderId="13" xfId="0" applyNumberFormat="1" applyFont="1" applyFill="1" applyBorder="1" applyAlignment="1">
      <alignment vertical="top"/>
    </xf>
    <xf numFmtId="3" fontId="44" fillId="0" borderId="0" xfId="0" applyNumberFormat="1" applyFont="1" applyFill="1" applyBorder="1"/>
    <xf numFmtId="10" fontId="7" fillId="0" borderId="0" xfId="150" applyNumberFormat="1" applyFont="1"/>
    <xf numFmtId="169" fontId="0" fillId="0" borderId="0" xfId="150" applyNumberFormat="1" applyFont="1"/>
    <xf numFmtId="3" fontId="26" fillId="0" borderId="13" xfId="49" applyNumberFormat="1" applyFont="1" applyFill="1" applyBorder="1" applyAlignment="1" applyProtection="1">
      <alignment vertical="top"/>
      <protection locked="0"/>
    </xf>
    <xf numFmtId="3" fontId="26" fillId="0" borderId="13" xfId="49" applyNumberFormat="1" applyFont="1" applyFill="1" applyBorder="1" applyAlignment="1" applyProtection="1">
      <alignment horizontal="right" vertical="top"/>
      <protection locked="0"/>
    </xf>
    <xf numFmtId="0" fontId="26" fillId="0" borderId="19" xfId="153" applyFont="1" applyFill="1" applyBorder="1" applyAlignment="1" applyProtection="1">
      <alignment horizontal="left" vertical="top" wrapText="1" indent="1"/>
      <protection locked="0"/>
    </xf>
    <xf numFmtId="0" fontId="79" fillId="0" borderId="0" xfId="0" applyFont="1" applyFill="1" applyAlignment="1">
      <alignment horizontal="left" indent="1"/>
    </xf>
    <xf numFmtId="3" fontId="79" fillId="0" borderId="0" xfId="0" applyNumberFormat="1" applyFont="1" applyFill="1" applyAlignment="1"/>
    <xf numFmtId="3" fontId="79" fillId="0" borderId="0" xfId="36" applyNumberFormat="1" applyFont="1" applyFill="1" applyBorder="1" applyAlignment="1" applyProtection="1">
      <alignment vertical="top"/>
    </xf>
    <xf numFmtId="164" fontId="81" fillId="0" borderId="20" xfId="87" applyFont="1" applyFill="1" applyBorder="1" applyAlignment="1">
      <alignment horizontal="right" vertical="top" wrapText="1"/>
    </xf>
    <xf numFmtId="0" fontId="28" fillId="0" borderId="0" xfId="43" applyFont="1" applyFill="1" applyBorder="1" applyAlignment="1">
      <alignment horizontal="left" vertical="top"/>
    </xf>
    <xf numFmtId="0" fontId="7" fillId="0" borderId="0" xfId="36" applyFont="1" applyFill="1" applyBorder="1" applyAlignment="1" applyProtection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7" fillId="0" borderId="0" xfId="156" applyNumberFormat="1" applyFont="1" applyFill="1" applyBorder="1" applyAlignment="1">
      <alignment horizontal="left" vertical="top"/>
    </xf>
    <xf numFmtId="0" fontId="38" fillId="0" borderId="0" xfId="0" applyFont="1" applyFill="1"/>
    <xf numFmtId="0" fontId="38" fillId="29" borderId="0" xfId="36" applyFont="1" applyFill="1" applyBorder="1" applyAlignment="1" applyProtection="1">
      <alignment horizontal="right" vertical="top"/>
    </xf>
    <xf numFmtId="3" fontId="38" fillId="29" borderId="0" xfId="0" applyNumberFormat="1" applyFont="1" applyFill="1" applyAlignment="1">
      <alignment horizontal="right" vertical="top"/>
    </xf>
    <xf numFmtId="0" fontId="7" fillId="0" borderId="0" xfId="43"/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/>
    <xf numFmtId="0" fontId="81" fillId="0" borderId="20" xfId="155" applyNumberFormat="1" applyFont="1" applyFill="1" applyBorder="1" applyAlignment="1">
      <alignment horizontal="right" vertical="top" wrapText="1"/>
    </xf>
    <xf numFmtId="0" fontId="81" fillId="30" borderId="20" xfId="155" applyNumberFormat="1" applyFont="1" applyFill="1" applyBorder="1" applyAlignment="1">
      <alignment horizontal="right" vertical="top" wrapText="1"/>
    </xf>
    <xf numFmtId="3" fontId="49" fillId="0" borderId="0" xfId="0" applyNumberFormat="1" applyFont="1"/>
    <xf numFmtId="0" fontId="49" fillId="0" borderId="0" xfId="0" applyFont="1" applyFill="1" applyBorder="1" applyAlignment="1">
      <alignment horizontal="right" indent="1"/>
    </xf>
    <xf numFmtId="164" fontId="86" fillId="0" borderId="20" xfId="87" applyFont="1" applyFill="1" applyBorder="1" applyAlignment="1">
      <alignment horizontal="right" vertical="top" wrapText="1"/>
    </xf>
    <xf numFmtId="0" fontId="7" fillId="0" borderId="13" xfId="152" applyFont="1" applyFill="1" applyBorder="1" applyAlignment="1" applyProtection="1">
      <alignment horizontal="left" vertical="top"/>
      <protection locked="0"/>
    </xf>
    <xf numFmtId="0" fontId="7" fillId="0" borderId="13" xfId="152" applyFont="1" applyFill="1" applyBorder="1" applyAlignment="1" applyProtection="1">
      <alignment horizontal="left" vertical="top" wrapText="1"/>
      <protection locked="0"/>
    </xf>
    <xf numFmtId="0" fontId="7" fillId="0" borderId="16" xfId="152" applyFont="1" applyFill="1" applyBorder="1" applyAlignment="1" applyProtection="1">
      <alignment horizontal="right" vertical="top" wrapText="1"/>
      <protection locked="0"/>
    </xf>
    <xf numFmtId="0" fontId="7" fillId="0" borderId="0" xfId="157" applyFont="1" applyAlignment="1">
      <alignment horizontal="left"/>
    </xf>
    <xf numFmtId="3" fontId="26" fillId="0" borderId="0" xfId="0" applyNumberFormat="1" applyFont="1"/>
    <xf numFmtId="0" fontId="7" fillId="0" borderId="0" xfId="151"/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3" fontId="89" fillId="0" borderId="0" xfId="0" applyNumberFormat="1" applyFont="1"/>
    <xf numFmtId="3" fontId="28" fillId="0" borderId="0" xfId="0" applyNumberFormat="1" applyFont="1" applyAlignment="1">
      <alignment horizontal="right"/>
    </xf>
    <xf numFmtId="0" fontId="28" fillId="0" borderId="19" xfId="153" applyFont="1" applyFill="1" applyBorder="1" applyAlignment="1" applyProtection="1">
      <alignment horizontal="center" vertical="top" wrapText="1"/>
    </xf>
    <xf numFmtId="0" fontId="33" fillId="0" borderId="13" xfId="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vertical="top" wrapText="1"/>
      <protection locked="0"/>
    </xf>
    <xf numFmtId="3" fontId="33" fillId="0" borderId="13" xfId="0" applyNumberFormat="1" applyFont="1" applyFill="1" applyBorder="1" applyAlignment="1" applyProtection="1">
      <alignment vertical="top"/>
      <protection locked="0"/>
    </xf>
    <xf numFmtId="0" fontId="28" fillId="24" borderId="13" xfId="153" applyFont="1" applyFill="1" applyBorder="1" applyAlignment="1" applyProtection="1">
      <alignment vertical="top" wrapText="1"/>
      <protection locked="0"/>
    </xf>
    <xf numFmtId="0" fontId="80" fillId="24" borderId="13" xfId="153" applyFont="1" applyFill="1" applyBorder="1" applyAlignment="1" applyProtection="1">
      <alignment horizontal="left" vertical="top"/>
      <protection locked="0"/>
    </xf>
    <xf numFmtId="0" fontId="28" fillId="0" borderId="13" xfId="153" applyFont="1" applyFill="1" applyBorder="1" applyAlignment="1" applyProtection="1">
      <alignment horizontal="left" vertical="top" wrapText="1"/>
      <protection locked="0"/>
    </xf>
    <xf numFmtId="0" fontId="28" fillId="0" borderId="13" xfId="153" applyFont="1" applyFill="1" applyBorder="1" applyAlignment="1" applyProtection="1">
      <alignment vertical="top" wrapText="1"/>
      <protection locked="0"/>
    </xf>
    <xf numFmtId="0" fontId="80" fillId="0" borderId="13" xfId="153" applyFont="1" applyFill="1" applyBorder="1" applyAlignment="1" applyProtection="1">
      <alignment horizontal="left" vertical="top"/>
      <protection locked="0"/>
    </xf>
    <xf numFmtId="3" fontId="28" fillId="0" borderId="13" xfId="153" applyNumberFormat="1" applyFont="1" applyFill="1" applyBorder="1" applyAlignment="1" applyProtection="1">
      <alignment vertical="top"/>
      <protection locked="0"/>
    </xf>
    <xf numFmtId="0" fontId="26" fillId="0" borderId="13" xfId="153" applyFont="1" applyFill="1" applyBorder="1" applyAlignment="1" applyProtection="1">
      <alignment vertical="top" wrapText="1"/>
      <protection locked="0"/>
    </xf>
    <xf numFmtId="0" fontId="26" fillId="0" borderId="13" xfId="153" applyFont="1" applyFill="1" applyBorder="1" applyAlignment="1" applyProtection="1">
      <alignment horizontal="left" vertical="top" wrapText="1" indent="3"/>
      <protection locked="0"/>
    </xf>
    <xf numFmtId="0" fontId="7" fillId="0" borderId="13" xfId="153" applyFont="1" applyFill="1" applyBorder="1" applyAlignment="1" applyProtection="1">
      <alignment vertical="top" wrapText="1"/>
      <protection locked="0"/>
    </xf>
    <xf numFmtId="0" fontId="7" fillId="0" borderId="13" xfId="153" applyFont="1" applyFill="1" applyBorder="1" applyAlignment="1" applyProtection="1">
      <alignment horizontal="right" vertical="top" wrapText="1"/>
      <protection locked="0"/>
    </xf>
    <xf numFmtId="0" fontId="26" fillId="0" borderId="13" xfId="148" applyFont="1" applyFill="1" applyBorder="1" applyAlignment="1" applyProtection="1">
      <alignment horizontal="left" wrapText="1" indent="1"/>
      <protection locked="0"/>
    </xf>
    <xf numFmtId="0" fontId="26" fillId="0" borderId="13" xfId="148" applyFont="1" applyFill="1" applyBorder="1" applyAlignment="1" applyProtection="1">
      <alignment wrapText="1"/>
      <protection locked="0"/>
    </xf>
    <xf numFmtId="3" fontId="26" fillId="0" borderId="13" xfId="148" applyNumberFormat="1" applyFont="1" applyFill="1" applyBorder="1" applyAlignment="1" applyProtection="1">
      <alignment horizontal="right"/>
      <protection locked="0"/>
    </xf>
    <xf numFmtId="3" fontId="46" fillId="0" borderId="13" xfId="148" applyNumberFormat="1" applyFont="1" applyFill="1" applyBorder="1" applyAlignment="1" applyProtection="1">
      <alignment horizontal="right"/>
      <protection locked="0"/>
    </xf>
    <xf numFmtId="3" fontId="46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vertical="top" wrapText="1"/>
      <protection locked="0"/>
    </xf>
    <xf numFmtId="3" fontId="26" fillId="0" borderId="13" xfId="148" applyNumberFormat="1" applyFont="1" applyFill="1" applyBorder="1" applyAlignment="1" applyProtection="1">
      <alignment horizontal="right" vertical="top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3" fontId="7" fillId="0" borderId="13" xfId="0" applyNumberFormat="1" applyFont="1" applyFill="1" applyBorder="1" applyAlignment="1" applyProtection="1">
      <alignment vertical="top"/>
      <protection locked="0"/>
    </xf>
    <xf numFmtId="3" fontId="26" fillId="0" borderId="13" xfId="0" applyNumberFormat="1" applyFont="1" applyFill="1" applyBorder="1" applyAlignment="1" applyProtection="1">
      <alignment vertical="top"/>
      <protection locked="0"/>
    </xf>
    <xf numFmtId="0" fontId="26" fillId="0" borderId="13" xfId="0" applyFont="1" applyFill="1" applyBorder="1" applyAlignment="1" applyProtection="1">
      <alignment horizontal="left" vertical="top" wrapText="1" indent="1"/>
      <protection locked="0"/>
    </xf>
    <xf numFmtId="0" fontId="7" fillId="0" borderId="13" xfId="148" applyFont="1" applyFill="1" applyBorder="1" applyAlignment="1" applyProtection="1">
      <alignment horizontal="left" wrapText="1"/>
      <protection locked="0"/>
    </xf>
    <xf numFmtId="0" fontId="7" fillId="0" borderId="13" xfId="148" applyFont="1" applyFill="1" applyBorder="1" applyAlignment="1" applyProtection="1">
      <alignment wrapText="1"/>
      <protection locked="0"/>
    </xf>
    <xf numFmtId="0" fontId="7" fillId="0" borderId="13" xfId="148" applyFont="1" applyFill="1" applyBorder="1" applyAlignment="1" applyProtection="1">
      <alignment horizontal="left" vertical="top" wrapText="1"/>
      <protection locked="0"/>
    </xf>
    <xf numFmtId="0" fontId="7" fillId="0" borderId="13" xfId="148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>
      <alignment vertical="top"/>
    </xf>
    <xf numFmtId="0" fontId="46" fillId="0" borderId="13" xfId="0" applyFont="1" applyFill="1" applyBorder="1" applyAlignment="1" applyProtection="1">
      <alignment horizontal="left" vertical="top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 indent="2"/>
      <protection locked="0"/>
    </xf>
    <xf numFmtId="0" fontId="29" fillId="0" borderId="13" xfId="153" applyFont="1" applyFill="1" applyBorder="1" applyAlignment="1" applyProtection="1">
      <alignment horizontal="left" vertical="top" wrapText="1" indent="2"/>
      <protection locked="0"/>
    </xf>
    <xf numFmtId="0" fontId="28" fillId="24" borderId="13" xfId="153" applyFont="1" applyFill="1" applyBorder="1" applyAlignment="1" applyProtection="1">
      <alignment vertical="top"/>
      <protection locked="0"/>
    </xf>
    <xf numFmtId="0" fontId="7" fillId="0" borderId="13" xfId="153" applyFont="1" applyFill="1" applyBorder="1" applyAlignment="1" applyProtection="1">
      <alignment horizontal="left" wrapText="1"/>
      <protection locked="0"/>
    </xf>
    <xf numFmtId="0" fontId="7" fillId="0" borderId="13" xfId="153" applyFont="1" applyFill="1" applyBorder="1" applyAlignment="1" applyProtection="1">
      <alignment wrapText="1"/>
      <protection locked="0"/>
    </xf>
    <xf numFmtId="0" fontId="26" fillId="0" borderId="13" xfId="153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0" fontId="7" fillId="0" borderId="13" xfId="49" applyFont="1" applyFill="1" applyBorder="1" applyAlignment="1" applyProtection="1">
      <alignment horizontal="left" vertical="top" wrapText="1"/>
      <protection locked="0"/>
    </xf>
    <xf numFmtId="0" fontId="7" fillId="0" borderId="13" xfId="49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 indent="2"/>
      <protection locked="0"/>
    </xf>
    <xf numFmtId="0" fontId="26" fillId="0" borderId="13" xfId="0" applyFont="1" applyFill="1" applyBorder="1" applyAlignment="1">
      <alignment horizontal="left" vertical="top" wrapText="1" indent="2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 applyProtection="1">
      <alignment horizontal="left" vertical="top" wrapText="1" indent="3"/>
      <protection locked="0"/>
    </xf>
    <xf numFmtId="0" fontId="28" fillId="0" borderId="13" xfId="153" applyFont="1" applyFill="1" applyBorder="1" applyAlignment="1" applyProtection="1">
      <alignment horizontal="left" vertical="top"/>
      <protection locked="0"/>
    </xf>
    <xf numFmtId="0" fontId="26" fillId="0" borderId="13" xfId="153" applyFont="1" applyFill="1" applyBorder="1" applyAlignment="1" applyProtection="1">
      <alignment horizontal="left"/>
      <protection locked="0"/>
    </xf>
    <xf numFmtId="3" fontId="7" fillId="0" borderId="13" xfId="0" applyNumberFormat="1" applyFont="1" applyFill="1" applyBorder="1" applyAlignment="1"/>
    <xf numFmtId="0" fontId="26" fillId="0" borderId="13" xfId="0" applyFont="1" applyFill="1" applyBorder="1" applyAlignment="1"/>
    <xf numFmtId="0" fontId="26" fillId="0" borderId="13" xfId="158" applyFont="1" applyFill="1" applyBorder="1" applyAlignment="1" applyProtection="1">
      <alignment horizontal="left" vertical="top" wrapText="1" indent="2"/>
      <protection locked="0"/>
    </xf>
    <xf numFmtId="0" fontId="26" fillId="0" borderId="13" xfId="158" applyFont="1" applyFill="1" applyBorder="1" applyAlignment="1" applyProtection="1">
      <alignment vertical="top" wrapText="1"/>
      <protection locked="0"/>
    </xf>
    <xf numFmtId="0" fontId="37" fillId="0" borderId="13" xfId="153" applyFont="1" applyFill="1" applyBorder="1" applyAlignment="1" applyProtection="1">
      <alignment horizontal="left" vertical="top" wrapText="1"/>
      <protection locked="0"/>
    </xf>
    <xf numFmtId="0" fontId="37" fillId="0" borderId="13" xfId="153" applyFont="1" applyFill="1" applyBorder="1" applyAlignment="1" applyProtection="1">
      <alignment vertical="top" wrapText="1"/>
      <protection locked="0"/>
    </xf>
    <xf numFmtId="0" fontId="90" fillId="0" borderId="13" xfId="153" applyFont="1" applyFill="1" applyBorder="1" applyAlignment="1" applyProtection="1">
      <alignment horizontal="left" vertical="top"/>
      <protection locked="0"/>
    </xf>
    <xf numFmtId="3" fontId="37" fillId="0" borderId="13" xfId="49" applyNumberFormat="1" applyFont="1" applyFill="1" applyBorder="1" applyAlignment="1" applyProtection="1">
      <alignment vertical="top"/>
      <protection locked="0"/>
    </xf>
    <xf numFmtId="3" fontId="37" fillId="0" borderId="13" xfId="153" applyNumberFormat="1" applyFont="1" applyFill="1" applyBorder="1" applyAlignment="1" applyProtection="1">
      <alignment vertical="top"/>
      <protection locked="0"/>
    </xf>
    <xf numFmtId="0" fontId="29" fillId="0" borderId="13" xfId="153" applyFont="1" applyFill="1" applyBorder="1" applyAlignment="1" applyProtection="1">
      <alignment vertical="top" wrapText="1"/>
      <protection locked="0"/>
    </xf>
    <xf numFmtId="0" fontId="38" fillId="0" borderId="13" xfId="153" applyFont="1" applyFill="1" applyBorder="1" applyAlignment="1" applyProtection="1">
      <alignment horizontal="left" vertical="top" wrapText="1" indent="1"/>
      <protection locked="0"/>
    </xf>
    <xf numFmtId="0" fontId="38" fillId="0" borderId="13" xfId="153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horizontal="left" vertical="top" indent="1"/>
      <protection locked="0"/>
    </xf>
    <xf numFmtId="0" fontId="26" fillId="0" borderId="13" xfId="0" applyFont="1" applyFill="1" applyBorder="1" applyAlignment="1" applyProtection="1">
      <alignment vertical="top"/>
      <protection locked="0"/>
    </xf>
    <xf numFmtId="0" fontId="0" fillId="0" borderId="0" xfId="0" applyAlignment="1"/>
    <xf numFmtId="0" fontId="7" fillId="0" borderId="0" xfId="148"/>
    <xf numFmtId="0" fontId="7" fillId="0" borderId="0" xfId="148" applyAlignment="1">
      <alignment wrapText="1"/>
    </xf>
    <xf numFmtId="0" fontId="7" fillId="0" borderId="0" xfId="148" applyFont="1" applyBorder="1"/>
    <xf numFmtId="0" fontId="7" fillId="0" borderId="0" xfId="148" applyFill="1"/>
    <xf numFmtId="4" fontId="0" fillId="0" borderId="0" xfId="0" applyNumberFormat="1"/>
    <xf numFmtId="3" fontId="34" fillId="0" borderId="0" xfId="0" applyNumberFormat="1" applyFont="1" applyFill="1" applyAlignment="1"/>
    <xf numFmtId="3" fontId="35" fillId="0" borderId="0" xfId="0" applyNumberFormat="1" applyFont="1" applyFill="1" applyAlignment="1"/>
    <xf numFmtId="0" fontId="81" fillId="30" borderId="0" xfId="155" applyNumberFormat="1" applyFont="1" applyFill="1" applyBorder="1" applyAlignment="1">
      <alignment horizontal="right" vertical="top" wrapText="1"/>
    </xf>
    <xf numFmtId="3" fontId="29" fillId="0" borderId="0" xfId="0" applyNumberFormat="1" applyFont="1" applyFill="1" applyAlignment="1">
      <alignment horizontal="right"/>
    </xf>
    <xf numFmtId="3" fontId="94" fillId="0" borderId="0" xfId="0" applyNumberFormat="1" applyFont="1" applyFill="1"/>
    <xf numFmtId="3" fontId="95" fillId="31" borderId="0" xfId="0" applyNumberFormat="1" applyFont="1" applyFill="1"/>
    <xf numFmtId="3" fontId="49" fillId="31" borderId="0" xfId="0" applyNumberFormat="1" applyFont="1" applyFill="1"/>
    <xf numFmtId="0" fontId="29" fillId="0" borderId="0" xfId="0" applyFont="1" applyFill="1" applyAlignment="1">
      <alignment horizontal="right" wrapText="1" indent="4"/>
    </xf>
    <xf numFmtId="0" fontId="26" fillId="0" borderId="0" xfId="0" applyFont="1" applyBorder="1" applyAlignment="1">
      <alignment horizontal="left" indent="25"/>
    </xf>
    <xf numFmtId="0" fontId="96" fillId="0" borderId="0" xfId="0" applyFont="1" applyBorder="1"/>
    <xf numFmtId="0" fontId="87" fillId="0" borderId="0" xfId="0" applyFont="1" applyBorder="1" applyAlignment="1">
      <alignment horizontal="left" indent="1"/>
    </xf>
    <xf numFmtId="0" fontId="87" fillId="0" borderId="0" xfId="0" applyFont="1" applyBorder="1" applyAlignment="1"/>
    <xf numFmtId="0" fontId="96" fillId="0" borderId="0" xfId="0" applyFont="1" applyFill="1" applyBorder="1"/>
    <xf numFmtId="169" fontId="7" fillId="0" borderId="0" xfId="150" applyNumberFormat="1" applyFont="1"/>
    <xf numFmtId="0" fontId="92" fillId="0" borderId="0" xfId="0" applyFont="1"/>
    <xf numFmtId="0" fontId="26" fillId="0" borderId="0" xfId="0" applyFont="1"/>
    <xf numFmtId="0" fontId="97" fillId="0" borderId="0" xfId="0" applyFont="1" applyBorder="1" applyAlignment="1">
      <alignment horizontal="left" wrapText="1"/>
    </xf>
    <xf numFmtId="3" fontId="40" fillId="0" borderId="0" xfId="0" applyNumberFormat="1" applyFont="1" applyFill="1" applyAlignment="1">
      <alignment vertical="top"/>
    </xf>
    <xf numFmtId="0" fontId="102" fillId="28" borderId="13" xfId="0" applyFont="1" applyFill="1" applyBorder="1" applyAlignment="1" applyProtection="1">
      <alignment horizontal="left" vertical="center" wrapText="1"/>
      <protection locked="0"/>
    </xf>
    <xf numFmtId="0" fontId="102" fillId="28" borderId="13" xfId="0" applyFont="1" applyFill="1" applyBorder="1" applyAlignment="1" applyProtection="1">
      <alignment vertical="center" wrapText="1"/>
      <protection locked="0"/>
    </xf>
    <xf numFmtId="3" fontId="102" fillId="28" borderId="13" xfId="0" applyNumberFormat="1" applyFont="1" applyFill="1" applyBorder="1" applyAlignment="1" applyProtection="1">
      <alignment vertical="center"/>
      <protection locked="0"/>
    </xf>
    <xf numFmtId="0" fontId="33" fillId="28" borderId="13" xfId="0" applyFont="1" applyFill="1" applyBorder="1" applyAlignment="1" applyProtection="1">
      <alignment vertical="top" wrapText="1"/>
      <protection locked="0"/>
    </xf>
    <xf numFmtId="3" fontId="33" fillId="28" borderId="13" xfId="0" applyNumberFormat="1" applyFont="1" applyFill="1" applyBorder="1" applyAlignment="1" applyProtection="1">
      <alignment vertical="top"/>
      <protection locked="0"/>
    </xf>
    <xf numFmtId="0" fontId="103" fillId="0" borderId="13" xfId="153" applyFont="1" applyFill="1" applyBorder="1" applyAlignment="1" applyProtection="1">
      <alignment horizontal="right" vertical="top" wrapText="1"/>
      <protection locked="0"/>
    </xf>
    <xf numFmtId="0" fontId="103" fillId="0" borderId="13" xfId="153" applyFont="1" applyFill="1" applyBorder="1" applyAlignment="1" applyProtection="1">
      <alignment vertical="top" wrapText="1"/>
      <protection locked="0"/>
    </xf>
    <xf numFmtId="0" fontId="103" fillId="0" borderId="13" xfId="153" applyFont="1" applyFill="1" applyBorder="1" applyAlignment="1" applyProtection="1">
      <alignment horizontal="left" vertical="top"/>
      <protection locked="0"/>
    </xf>
    <xf numFmtId="3" fontId="103" fillId="0" borderId="13" xfId="153" applyNumberFormat="1" applyFont="1" applyFill="1" applyBorder="1" applyAlignment="1" applyProtection="1">
      <alignment vertical="top"/>
      <protection locked="0"/>
    </xf>
    <xf numFmtId="0" fontId="103" fillId="0" borderId="13" xfId="153" applyFont="1" applyFill="1" applyBorder="1" applyAlignment="1" applyProtection="1">
      <alignment horizontal="left" vertical="top" wrapText="1"/>
      <protection locked="0"/>
    </xf>
    <xf numFmtId="3" fontId="7" fillId="0" borderId="13" xfId="153" applyNumberFormat="1" applyFont="1" applyFill="1" applyBorder="1" applyAlignment="1" applyProtection="1">
      <alignment horizontal="right" vertical="top"/>
      <protection locked="0"/>
    </xf>
    <xf numFmtId="0" fontId="33" fillId="28" borderId="13" xfId="0" applyFont="1" applyFill="1" applyBorder="1" applyAlignment="1" applyProtection="1">
      <alignment vertical="top"/>
      <protection locked="0"/>
    </xf>
    <xf numFmtId="0" fontId="26" fillId="0" borderId="30" xfId="152" applyFont="1" applyFill="1" applyBorder="1" applyAlignment="1" applyProtection="1">
      <alignment horizontal="right" vertical="top" wrapText="1" indent="1"/>
      <protection locked="0"/>
    </xf>
    <xf numFmtId="0" fontId="7" fillId="0" borderId="30" xfId="152" applyFont="1" applyFill="1" applyBorder="1" applyAlignment="1" applyProtection="1">
      <alignment horizontal="left" vertical="top" wrapText="1"/>
      <protection locked="0"/>
    </xf>
    <xf numFmtId="3" fontId="0" fillId="0" borderId="13" xfId="0" applyNumberFormat="1" applyFill="1" applyBorder="1"/>
    <xf numFmtId="3" fontId="72" fillId="0" borderId="0" xfId="0" applyNumberFormat="1" applyFont="1" applyFill="1" applyBorder="1" applyAlignment="1"/>
    <xf numFmtId="3" fontId="93" fillId="0" borderId="0" xfId="0" applyNumberFormat="1" applyFont="1" applyFill="1" applyBorder="1" applyAlignment="1"/>
    <xf numFmtId="3" fontId="93" fillId="0" borderId="0" xfId="0" applyNumberFormat="1" applyFont="1" applyFill="1" applyBorder="1" applyAlignment="1">
      <alignment vertical="top"/>
    </xf>
    <xf numFmtId="3" fontId="7" fillId="0" borderId="13" xfId="153" applyNumberFormat="1" applyFont="1" applyFill="1" applyBorder="1" applyAlignment="1" applyProtection="1">
      <alignment vertical="top" wrapText="1"/>
      <protection locked="0"/>
    </xf>
    <xf numFmtId="3" fontId="26" fillId="0" borderId="0" xfId="0" applyNumberFormat="1" applyFont="1" applyFill="1" applyBorder="1"/>
    <xf numFmtId="3" fontId="29" fillId="31" borderId="0" xfId="0" applyNumberFormat="1" applyFont="1" applyFill="1"/>
    <xf numFmtId="0" fontId="7" fillId="0" borderId="31" xfId="153" applyFont="1" applyFill="1" applyBorder="1" applyAlignment="1" applyProtection="1">
      <alignment horizontal="left" vertical="top" wrapText="1"/>
      <protection locked="0"/>
    </xf>
    <xf numFmtId="0" fontId="7" fillId="0" borderId="31" xfId="153" applyFont="1" applyFill="1" applyBorder="1" applyAlignment="1" applyProtection="1">
      <alignment vertical="top" wrapText="1"/>
      <protection locked="0"/>
    </xf>
    <xf numFmtId="3" fontId="7" fillId="0" borderId="31" xfId="153" applyNumberFormat="1" applyFont="1" applyFill="1" applyBorder="1" applyAlignment="1" applyProtection="1">
      <alignment vertical="top"/>
      <protection locked="0"/>
    </xf>
    <xf numFmtId="0" fontId="26" fillId="0" borderId="31" xfId="153" applyFont="1" applyFill="1" applyBorder="1" applyAlignment="1" applyProtection="1">
      <alignment horizontal="left" vertical="top"/>
      <protection locked="0"/>
    </xf>
    <xf numFmtId="3" fontId="26" fillId="0" borderId="13" xfId="153" applyNumberFormat="1" applyFont="1" applyFill="1" applyBorder="1" applyAlignment="1" applyProtection="1">
      <alignment horizontal="right" vertical="top"/>
      <protection locked="0"/>
    </xf>
    <xf numFmtId="3" fontId="7" fillId="0" borderId="13" xfId="0" applyNumberFormat="1" applyFont="1" applyFill="1" applyBorder="1" applyAlignment="1" applyProtection="1">
      <alignment horizontal="right" vertical="top"/>
      <protection locked="0"/>
    </xf>
    <xf numFmtId="3" fontId="26" fillId="0" borderId="31" xfId="153" applyNumberFormat="1" applyFont="1" applyFill="1" applyBorder="1" applyAlignment="1" applyProtection="1">
      <alignment vertical="top"/>
      <protection locked="0"/>
    </xf>
    <xf numFmtId="0" fontId="28" fillId="0" borderId="31" xfId="153" applyFont="1" applyFill="1" applyBorder="1" applyAlignment="1" applyProtection="1">
      <alignment vertical="top" wrapText="1"/>
      <protection locked="0"/>
    </xf>
    <xf numFmtId="0" fontId="28" fillId="0" borderId="31" xfId="153" applyFont="1" applyFill="1" applyBorder="1" applyAlignment="1" applyProtection="1">
      <alignment horizontal="left" vertical="top" wrapText="1"/>
      <protection locked="0"/>
    </xf>
    <xf numFmtId="3" fontId="104" fillId="0" borderId="0" xfId="0" applyNumberFormat="1" applyFont="1" applyFill="1"/>
    <xf numFmtId="3" fontId="105" fillId="0" borderId="0" xfId="0" applyNumberFormat="1" applyFont="1" applyFill="1"/>
    <xf numFmtId="0" fontId="7" fillId="0" borderId="31" xfId="0" applyFont="1" applyFill="1" applyBorder="1" applyAlignment="1" applyProtection="1">
      <alignment horizontal="left" vertical="top"/>
      <protection locked="0"/>
    </xf>
    <xf numFmtId="0" fontId="26" fillId="0" borderId="31" xfId="153" applyFont="1" applyFill="1" applyBorder="1" applyAlignment="1" applyProtection="1">
      <alignment horizontal="left" vertical="top" wrapText="1" indent="2"/>
      <protection locked="0"/>
    </xf>
    <xf numFmtId="0" fontId="26" fillId="0" borderId="31" xfId="153" applyFont="1" applyFill="1" applyBorder="1" applyAlignment="1" applyProtection="1">
      <alignment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 indent="3"/>
      <protection locked="0"/>
    </xf>
    <xf numFmtId="3" fontId="26" fillId="0" borderId="31" xfId="152" applyNumberFormat="1" applyFont="1" applyFill="1" applyBorder="1" applyAlignment="1" applyProtection="1">
      <alignment vertical="top"/>
      <protection locked="0"/>
    </xf>
    <xf numFmtId="0" fontId="107" fillId="0" borderId="0" xfId="0" applyFont="1"/>
    <xf numFmtId="3" fontId="26" fillId="0" borderId="31" xfId="49" applyNumberFormat="1" applyFont="1" applyFill="1" applyBorder="1" applyAlignment="1" applyProtection="1">
      <alignment vertical="top"/>
      <protection locked="0"/>
    </xf>
    <xf numFmtId="0" fontId="26" fillId="0" borderId="31" xfId="135" applyFont="1" applyFill="1" applyBorder="1" applyAlignment="1" applyProtection="1">
      <alignment horizontal="left" vertical="top"/>
      <protection locked="0"/>
    </xf>
    <xf numFmtId="3" fontId="26" fillId="0" borderId="31" xfId="135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Border="1" applyAlignment="1" applyProtection="1">
      <alignment vertical="top"/>
      <protection locked="0"/>
    </xf>
    <xf numFmtId="0" fontId="28" fillId="0" borderId="16" xfId="153" applyFont="1" applyFill="1" applyBorder="1" applyAlignment="1" applyProtection="1">
      <alignment horizontal="center" vertical="top" wrapText="1"/>
    </xf>
    <xf numFmtId="0" fontId="29" fillId="0" borderId="31" xfId="153" applyFont="1" applyFill="1" applyBorder="1" applyAlignment="1" applyProtection="1">
      <alignment vertical="top" wrapText="1"/>
      <protection locked="0"/>
    </xf>
    <xf numFmtId="3" fontId="37" fillId="0" borderId="31" xfId="153" applyNumberFormat="1" applyFont="1" applyFill="1" applyBorder="1" applyAlignment="1" applyProtection="1">
      <alignment vertical="top"/>
      <protection locked="0"/>
    </xf>
    <xf numFmtId="0" fontId="91" fillId="0" borderId="0" xfId="153" applyFont="1" applyFill="1" applyBorder="1" applyAlignment="1" applyProtection="1">
      <alignment horizontal="left" vertical="top" wrapText="1" indent="2"/>
      <protection locked="0"/>
    </xf>
    <xf numFmtId="169" fontId="7" fillId="0" borderId="0" xfId="150" applyNumberFormat="1" applyFont="1" applyFill="1"/>
    <xf numFmtId="0" fontId="7" fillId="0" borderId="13" xfId="153" applyFont="1" applyFill="1" applyBorder="1" applyAlignment="1" applyProtection="1">
      <alignment horizontal="left" vertical="top" wrapText="1" indent="1"/>
      <protection locked="0"/>
    </xf>
    <xf numFmtId="0" fontId="37" fillId="0" borderId="13" xfId="153" applyFont="1" applyFill="1" applyBorder="1" applyAlignment="1" applyProtection="1">
      <alignment horizontal="left" vertical="top" wrapText="1" indent="2"/>
      <protection locked="0"/>
    </xf>
    <xf numFmtId="3" fontId="108" fillId="0" borderId="0" xfId="0" applyNumberFormat="1" applyFont="1" applyAlignment="1">
      <alignment horizontal="right" vertical="center"/>
    </xf>
    <xf numFmtId="3" fontId="81" fillId="0" borderId="0" xfId="0" applyNumberFormat="1" applyFont="1" applyFill="1"/>
    <xf numFmtId="0" fontId="92" fillId="0" borderId="0" xfId="0" applyFont="1" applyFill="1"/>
    <xf numFmtId="3" fontId="92" fillId="0" borderId="0" xfId="0" applyNumberFormat="1" applyFont="1" applyFill="1"/>
    <xf numFmtId="3" fontId="92" fillId="31" borderId="0" xfId="0" applyNumberFormat="1" applyFont="1" applyFill="1"/>
    <xf numFmtId="3" fontId="92" fillId="0" borderId="0" xfId="0" applyNumberFormat="1" applyFont="1"/>
    <xf numFmtId="3" fontId="98" fillId="0" borderId="0" xfId="0" applyNumberFormat="1" applyFont="1"/>
    <xf numFmtId="3" fontId="98" fillId="0" borderId="0" xfId="0" applyNumberFormat="1" applyFont="1" applyFill="1"/>
    <xf numFmtId="0" fontId="81" fillId="0" borderId="0" xfId="0" applyFont="1"/>
    <xf numFmtId="3" fontId="83" fillId="0" borderId="0" xfId="0" applyNumberFormat="1" applyFont="1" applyBorder="1"/>
    <xf numFmtId="3" fontId="81" fillId="0" borderId="0" xfId="0" applyNumberFormat="1" applyFont="1" applyBorder="1"/>
    <xf numFmtId="3" fontId="92" fillId="0" borderId="0" xfId="0" applyNumberFormat="1" applyFont="1" applyBorder="1"/>
    <xf numFmtId="167" fontId="81" fillId="0" borderId="0" xfId="0" applyNumberFormat="1" applyFont="1" applyBorder="1"/>
    <xf numFmtId="9" fontId="70" fillId="0" borderId="0" xfId="150" applyNumberFormat="1" applyFont="1"/>
    <xf numFmtId="0" fontId="26" fillId="0" borderId="0" xfId="0" applyFont="1" applyAlignment="1">
      <alignment horizontal="center"/>
    </xf>
    <xf numFmtId="164" fontId="81" fillId="0" borderId="31" xfId="87" applyFont="1" applyFill="1" applyBorder="1" applyAlignment="1">
      <alignment horizontal="right" vertical="top" wrapText="1"/>
    </xf>
    <xf numFmtId="164" fontId="81" fillId="0" borderId="31" xfId="87" applyFont="1" applyFill="1" applyBorder="1" applyAlignment="1">
      <alignment horizontal="center" vertical="top" wrapText="1"/>
    </xf>
    <xf numFmtId="9" fontId="40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vertical="top"/>
    </xf>
    <xf numFmtId="0" fontId="39" fillId="0" borderId="0" xfId="0" applyFont="1" applyAlignment="1">
      <alignment horizontal="right"/>
    </xf>
    <xf numFmtId="9" fontId="40" fillId="0" borderId="0" xfId="150" applyFont="1" applyFill="1"/>
    <xf numFmtId="9" fontId="7" fillId="0" borderId="0" xfId="150" applyFont="1" applyBorder="1" applyAlignment="1">
      <alignment horizontal="right"/>
    </xf>
    <xf numFmtId="9" fontId="81" fillId="0" borderId="31" xfId="150" applyFont="1" applyFill="1" applyBorder="1" applyAlignment="1">
      <alignment horizontal="right" vertical="top" wrapText="1"/>
    </xf>
    <xf numFmtId="9" fontId="39" fillId="0" borderId="0" xfId="150" applyFont="1" applyFill="1" applyBorder="1" applyAlignment="1">
      <alignment vertical="top"/>
    </xf>
    <xf numFmtId="9" fontId="39" fillId="0" borderId="0" xfId="150" applyFont="1" applyFill="1"/>
    <xf numFmtId="9" fontId="29" fillId="0" borderId="0" xfId="150" applyFont="1" applyFill="1" applyAlignment="1">
      <alignment vertical="top"/>
    </xf>
    <xf numFmtId="3" fontId="39" fillId="0" borderId="0" xfId="0" applyNumberFormat="1" applyFont="1" applyFill="1"/>
    <xf numFmtId="0" fontId="72" fillId="0" borderId="0" xfId="148" applyFont="1" applyBorder="1" applyAlignment="1">
      <alignment horizontal="right"/>
    </xf>
    <xf numFmtId="0" fontId="7" fillId="0" borderId="0" xfId="148" applyFont="1" applyBorder="1" applyAlignment="1">
      <alignment horizontal="right"/>
    </xf>
    <xf numFmtId="0" fontId="39" fillId="0" borderId="0" xfId="148" applyFont="1" applyAlignment="1">
      <alignment horizontal="right"/>
    </xf>
    <xf numFmtId="3" fontId="72" fillId="0" borderId="0" xfId="0" applyNumberFormat="1" applyFont="1" applyFill="1" applyBorder="1"/>
    <xf numFmtId="0" fontId="110" fillId="0" borderId="0" xfId="0" applyFont="1" applyFill="1"/>
    <xf numFmtId="3" fontId="111" fillId="0" borderId="0" xfId="148" applyNumberFormat="1" applyFont="1" applyFill="1" applyBorder="1" applyAlignment="1"/>
    <xf numFmtId="3" fontId="112" fillId="0" borderId="0" xfId="43" applyNumberFormat="1" applyFont="1" applyFill="1" applyBorder="1" applyAlignment="1">
      <alignment vertical="top"/>
    </xf>
    <xf numFmtId="3" fontId="110" fillId="0" borderId="0" xfId="43" applyNumberFormat="1" applyFont="1" applyFill="1" applyBorder="1" applyAlignment="1">
      <alignment vertical="top"/>
    </xf>
    <xf numFmtId="3" fontId="113" fillId="0" borderId="0" xfId="43" applyNumberFormat="1" applyFont="1" applyFill="1" applyBorder="1" applyAlignment="1">
      <alignment vertical="top"/>
    </xf>
    <xf numFmtId="3" fontId="112" fillId="0" borderId="0" xfId="0" applyNumberFormat="1" applyFont="1" applyFill="1"/>
    <xf numFmtId="3" fontId="79" fillId="0" borderId="0" xfId="0" applyNumberFormat="1" applyFont="1" applyFill="1" applyAlignment="1">
      <alignment vertical="top"/>
    </xf>
    <xf numFmtId="3" fontId="73" fillId="0" borderId="0" xfId="0" applyNumberFormat="1" applyFont="1" applyBorder="1" applyAlignment="1"/>
    <xf numFmtId="3" fontId="72" fillId="0" borderId="0" xfId="0" applyNumberFormat="1" applyFont="1" applyAlignment="1">
      <alignment horizontal="right"/>
    </xf>
    <xf numFmtId="3" fontId="73" fillId="0" borderId="0" xfId="0" applyNumberFormat="1" applyFont="1" applyFill="1" applyBorder="1" applyAlignment="1"/>
    <xf numFmtId="3" fontId="72" fillId="0" borderId="0" xfId="0" applyNumberFormat="1" applyFont="1" applyBorder="1" applyAlignment="1"/>
    <xf numFmtId="3" fontId="26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 indent="4"/>
    </xf>
    <xf numFmtId="0" fontId="26" fillId="0" borderId="0" xfId="0" applyFont="1" applyFill="1" applyBorder="1" applyAlignment="1">
      <alignment horizontal="left" vertical="top" indent="7"/>
    </xf>
    <xf numFmtId="3" fontId="7" fillId="0" borderId="0" xfId="0" applyNumberFormat="1" applyFont="1" applyAlignment="1">
      <alignment horizontal="right"/>
    </xf>
    <xf numFmtId="9" fontId="28" fillId="0" borderId="0" xfId="150" applyFont="1" applyBorder="1" applyAlignment="1"/>
    <xf numFmtId="9" fontId="7" fillId="0" borderId="0" xfId="150" applyFont="1" applyAlignment="1">
      <alignment horizontal="right"/>
    </xf>
    <xf numFmtId="9" fontId="28" fillId="0" borderId="0" xfId="150" applyFont="1" applyFill="1" applyBorder="1" applyAlignment="1"/>
    <xf numFmtId="9" fontId="7" fillId="0" borderId="0" xfId="150" applyFont="1" applyBorder="1" applyAlignment="1"/>
    <xf numFmtId="9" fontId="7" fillId="0" borderId="0" xfId="150" applyFont="1" applyFill="1" applyBorder="1" applyAlignment="1"/>
    <xf numFmtId="9" fontId="26" fillId="0" borderId="0" xfId="150" applyFont="1" applyFill="1" applyBorder="1" applyAlignment="1"/>
    <xf numFmtId="9" fontId="26" fillId="0" borderId="0" xfId="150" applyFont="1" applyFill="1" applyBorder="1" applyAlignment="1">
      <alignment vertical="top"/>
    </xf>
    <xf numFmtId="0" fontId="72" fillId="0" borderId="0" xfId="0" applyFont="1" applyFill="1"/>
    <xf numFmtId="3" fontId="73" fillId="0" borderId="0" xfId="36" applyNumberFormat="1" applyFont="1" applyFill="1" applyBorder="1" applyAlignment="1" applyProtection="1">
      <alignment vertical="top"/>
    </xf>
    <xf numFmtId="3" fontId="73" fillId="0" borderId="0" xfId="36" applyNumberFormat="1" applyFont="1" applyFill="1" applyBorder="1" applyAlignment="1">
      <alignment vertical="top"/>
    </xf>
    <xf numFmtId="3" fontId="76" fillId="29" borderId="0" xfId="0" applyNumberFormat="1" applyFont="1" applyFill="1" applyAlignment="1">
      <alignment horizontal="right" vertical="top"/>
    </xf>
    <xf numFmtId="3" fontId="115" fillId="0" borderId="0" xfId="36" applyNumberFormat="1" applyFont="1" applyFill="1" applyBorder="1" applyAlignment="1">
      <alignment vertical="top"/>
    </xf>
    <xf numFmtId="3" fontId="75" fillId="0" borderId="0" xfId="0" applyNumberFormat="1" applyFont="1" applyFill="1" applyAlignment="1">
      <alignment vertical="top"/>
    </xf>
    <xf numFmtId="3" fontId="73" fillId="0" borderId="0" xfId="0" applyNumberFormat="1" applyFont="1" applyFill="1" applyAlignment="1">
      <alignment vertical="top"/>
    </xf>
    <xf numFmtId="0" fontId="81" fillId="0" borderId="31" xfId="0" applyFont="1" applyFill="1" applyBorder="1" applyAlignment="1">
      <alignment horizontal="center" vertical="top" wrapText="1"/>
    </xf>
    <xf numFmtId="0" fontId="109" fillId="0" borderId="31" xfId="0" applyFont="1" applyFill="1" applyBorder="1" applyAlignment="1">
      <alignment horizontal="center" vertical="top" wrapText="1"/>
    </xf>
    <xf numFmtId="164" fontId="81" fillId="31" borderId="31" xfId="87" applyFont="1" applyFill="1" applyBorder="1" applyAlignment="1">
      <alignment horizontal="center" vertical="top" wrapText="1"/>
    </xf>
    <xf numFmtId="9" fontId="7" fillId="0" borderId="0" xfId="150" applyFont="1" applyFill="1"/>
    <xf numFmtId="9" fontId="81" fillId="0" borderId="31" xfId="150" applyFont="1" applyFill="1" applyBorder="1" applyAlignment="1">
      <alignment horizontal="center" vertical="top" wrapText="1"/>
    </xf>
    <xf numFmtId="9" fontId="28" fillId="0" borderId="0" xfId="150" applyFont="1" applyFill="1" applyBorder="1" applyAlignment="1" applyProtection="1">
      <alignment vertical="top"/>
    </xf>
    <xf numFmtId="9" fontId="29" fillId="0" borderId="0" xfId="150" applyFont="1" applyFill="1" applyBorder="1" applyAlignment="1" applyProtection="1">
      <alignment vertical="top"/>
    </xf>
    <xf numFmtId="9" fontId="28" fillId="0" borderId="0" xfId="150" applyFont="1" applyFill="1" applyBorder="1" applyAlignment="1">
      <alignment vertical="top"/>
    </xf>
    <xf numFmtId="9" fontId="38" fillId="29" borderId="0" xfId="150" applyFont="1" applyFill="1" applyAlignment="1">
      <alignment horizontal="right" vertical="top"/>
    </xf>
    <xf numFmtId="9" fontId="36" fillId="0" borderId="0" xfId="150" applyFont="1" applyFill="1" applyBorder="1" applyAlignment="1">
      <alignment vertical="top"/>
    </xf>
    <xf numFmtId="9" fontId="7" fillId="0" borderId="0" xfId="150" applyFont="1" applyFill="1" applyAlignment="1">
      <alignment vertical="top"/>
    </xf>
    <xf numFmtId="9" fontId="44" fillId="0" borderId="0" xfId="150" applyFont="1" applyFill="1" applyAlignment="1">
      <alignment vertical="top"/>
    </xf>
    <xf numFmtId="9" fontId="28" fillId="0" borderId="0" xfId="150" applyFont="1" applyFill="1" applyAlignment="1">
      <alignment vertical="top"/>
    </xf>
    <xf numFmtId="9" fontId="29" fillId="0" borderId="0" xfId="150" applyFont="1" applyFill="1" applyAlignment="1"/>
    <xf numFmtId="0" fontId="28" fillId="0" borderId="0" xfId="0" applyFont="1" applyFill="1" applyBorder="1" applyAlignment="1">
      <alignment horizontal="right"/>
    </xf>
    <xf numFmtId="0" fontId="28" fillId="0" borderId="16" xfId="153" applyFont="1" applyFill="1" applyBorder="1" applyAlignment="1" applyProtection="1">
      <alignment horizontal="center" vertical="top" wrapText="1"/>
    </xf>
    <xf numFmtId="0" fontId="39" fillId="0" borderId="0" xfId="156" applyFont="1" applyAlignment="1">
      <alignment horizontal="left" wrapText="1"/>
    </xf>
    <xf numFmtId="0" fontId="7" fillId="0" borderId="0" xfId="157" applyFont="1" applyFill="1"/>
    <xf numFmtId="0" fontId="28" fillId="0" borderId="0" xfId="157" applyFont="1" applyBorder="1" applyAlignment="1">
      <alignment horizontal="right"/>
    </xf>
    <xf numFmtId="0" fontId="39" fillId="0" borderId="0" xfId="156" applyFont="1" applyFill="1" applyAlignment="1"/>
    <xf numFmtId="0" fontId="7" fillId="0" borderId="0" xfId="156" applyFont="1" applyFill="1"/>
    <xf numFmtId="0" fontId="39" fillId="0" borderId="0" xfId="156" applyFont="1" applyFill="1" applyAlignment="1">
      <alignment horizontal="center"/>
    </xf>
    <xf numFmtId="0" fontId="40" fillId="0" borderId="0" xfId="156" applyFont="1" applyBorder="1" applyAlignment="1">
      <alignment horizontal="right"/>
    </xf>
    <xf numFmtId="0" fontId="35" fillId="0" borderId="31" xfId="148" applyFont="1" applyBorder="1" applyAlignment="1">
      <alignment vertical="top"/>
    </xf>
    <xf numFmtId="0" fontId="77" fillId="0" borderId="31" xfId="148" applyFont="1" applyFill="1" applyBorder="1" applyAlignment="1">
      <alignment horizontal="center" vertical="top" wrapText="1"/>
    </xf>
    <xf numFmtId="0" fontId="7" fillId="0" borderId="31" xfId="148" applyFont="1" applyBorder="1"/>
    <xf numFmtId="3" fontId="7" fillId="0" borderId="31" xfId="157" applyNumberFormat="1" applyFont="1" applyBorder="1" applyAlignment="1">
      <alignment horizontal="right" vertical="top" wrapText="1"/>
    </xf>
    <xf numFmtId="0" fontId="7" fillId="0" borderId="31" xfId="148" applyBorder="1"/>
    <xf numFmtId="0" fontId="7" fillId="0" borderId="31" xfId="148" applyBorder="1" applyAlignment="1">
      <alignment horizontal="left" wrapText="1" indent="2"/>
    </xf>
    <xf numFmtId="0" fontId="7" fillId="0" borderId="31" xfId="148" applyBorder="1" applyAlignment="1">
      <alignment horizontal="left" wrapText="1" indent="4"/>
    </xf>
    <xf numFmtId="0" fontId="7" fillId="0" borderId="31" xfId="148" applyBorder="1" applyAlignment="1">
      <alignment horizontal="left" indent="4"/>
    </xf>
    <xf numFmtId="0" fontId="7" fillId="0" borderId="31" xfId="148" applyBorder="1" applyAlignment="1">
      <alignment horizontal="left" indent="1"/>
    </xf>
    <xf numFmtId="0" fontId="28" fillId="0" borderId="0" xfId="157" applyFont="1" applyBorder="1" applyAlignment="1">
      <alignment horizontal="center" vertical="top" wrapText="1"/>
    </xf>
    <xf numFmtId="0" fontId="28" fillId="0" borderId="0" xfId="156" applyFont="1" applyBorder="1" applyAlignment="1">
      <alignment horizontal="left"/>
    </xf>
    <xf numFmtId="0" fontId="7" fillId="0" borderId="0" xfId="157" applyFont="1" applyBorder="1"/>
    <xf numFmtId="0" fontId="7" fillId="0" borderId="0" xfId="157" applyFont="1"/>
    <xf numFmtId="0" fontId="26" fillId="0" borderId="0" xfId="157" applyFont="1" applyAlignment="1">
      <alignment vertical="top" wrapText="1"/>
    </xf>
    <xf numFmtId="0" fontId="7" fillId="0" borderId="0" xfId="156" applyFont="1"/>
    <xf numFmtId="0" fontId="28" fillId="0" borderId="0" xfId="43" applyFont="1"/>
    <xf numFmtId="0" fontId="28" fillId="0" borderId="0" xfId="43" applyFont="1" applyAlignment="1">
      <alignment horizontal="right"/>
    </xf>
    <xf numFmtId="0" fontId="48" fillId="0" borderId="24" xfId="43" applyFont="1" applyFill="1" applyBorder="1" applyAlignment="1" applyProtection="1">
      <alignment horizontal="center" vertical="top" wrapText="1"/>
      <protection locked="0"/>
    </xf>
    <xf numFmtId="3" fontId="28" fillId="0" borderId="31" xfId="43" applyNumberFormat="1" applyFont="1" applyFill="1" applyBorder="1"/>
    <xf numFmtId="3" fontId="29" fillId="0" borderId="31" xfId="43" applyNumberFormat="1" applyFont="1" applyFill="1" applyBorder="1"/>
    <xf numFmtId="3" fontId="29" fillId="0" borderId="31" xfId="43" applyNumberFormat="1" applyFont="1" applyFill="1" applyBorder="1" applyAlignment="1">
      <alignment horizontal="center"/>
    </xf>
    <xf numFmtId="9" fontId="29" fillId="0" borderId="31" xfId="43" applyNumberFormat="1" applyFont="1" applyFill="1" applyBorder="1"/>
    <xf numFmtId="3" fontId="46" fillId="0" borderId="31" xfId="43" applyNumberFormat="1" applyFont="1" applyFill="1" applyBorder="1"/>
    <xf numFmtId="3" fontId="7" fillId="0" borderId="31" xfId="43" applyNumberFormat="1" applyFont="1" applyBorder="1"/>
    <xf numFmtId="9" fontId="7" fillId="0" borderId="31" xfId="43" applyNumberFormat="1" applyFont="1" applyBorder="1"/>
    <xf numFmtId="0" fontId="26" fillId="0" borderId="0" xfId="43" applyFont="1" applyBorder="1" applyAlignment="1">
      <alignment horizontal="left"/>
    </xf>
    <xf numFmtId="0" fontId="33" fillId="0" borderId="0" xfId="43" applyFont="1" applyAlignment="1">
      <alignment horizontal="left"/>
    </xf>
    <xf numFmtId="0" fontId="28" fillId="0" borderId="0" xfId="43" applyFont="1" applyAlignment="1">
      <alignment horizontal="left"/>
    </xf>
    <xf numFmtId="0" fontId="7" fillId="0" borderId="0" xfId="43" applyAlignment="1"/>
    <xf numFmtId="0" fontId="26" fillId="0" borderId="0" xfId="43" applyFont="1"/>
    <xf numFmtId="0" fontId="7" fillId="0" borderId="0" xfId="43" applyFont="1" applyAlignment="1">
      <alignment horizontal="left"/>
    </xf>
    <xf numFmtId="3" fontId="7" fillId="0" borderId="33" xfId="43" applyNumberFormat="1" applyFont="1" applyFill="1" applyBorder="1" applyAlignment="1" applyProtection="1">
      <alignment horizontal="center" vertical="top" wrapText="1"/>
    </xf>
    <xf numFmtId="3" fontId="26" fillId="0" borderId="33" xfId="43" applyNumberFormat="1" applyFont="1" applyFill="1" applyBorder="1" applyAlignment="1" applyProtection="1">
      <alignment horizontal="center" vertical="top" wrapText="1"/>
    </xf>
    <xf numFmtId="3" fontId="26" fillId="0" borderId="31" xfId="43" applyNumberFormat="1" applyFont="1" applyFill="1" applyBorder="1" applyAlignment="1" applyProtection="1">
      <alignment horizontal="center" vertical="top" wrapText="1"/>
    </xf>
    <xf numFmtId="0" fontId="26" fillId="0" borderId="15" xfId="43" applyFont="1" applyBorder="1"/>
    <xf numFmtId="0" fontId="26" fillId="0" borderId="0" xfId="43" applyFont="1" applyBorder="1"/>
    <xf numFmtId="0" fontId="7" fillId="0" borderId="0" xfId="43" applyFont="1" applyBorder="1"/>
    <xf numFmtId="0" fontId="7" fillId="0" borderId="15" xfId="43" applyFont="1" applyBorder="1"/>
    <xf numFmtId="0" fontId="26" fillId="0" borderId="38" xfId="43" applyFont="1" applyBorder="1"/>
    <xf numFmtId="3" fontId="7" fillId="0" borderId="0" xfId="43" applyNumberFormat="1" applyFont="1" applyBorder="1"/>
    <xf numFmtId="0" fontId="26" fillId="0" borderId="30" xfId="43" applyFont="1" applyBorder="1"/>
    <xf numFmtId="0" fontId="26" fillId="0" borderId="35" xfId="43" applyFont="1" applyBorder="1"/>
    <xf numFmtId="0" fontId="7" fillId="0" borderId="35" xfId="43" applyFont="1" applyBorder="1"/>
    <xf numFmtId="0" fontId="7" fillId="0" borderId="30" xfId="43" applyFont="1" applyBorder="1"/>
    <xf numFmtId="0" fontId="26" fillId="0" borderId="17" xfId="43" applyFont="1" applyBorder="1"/>
    <xf numFmtId="0" fontId="7" fillId="0" borderId="0" xfId="166" applyFont="1" applyAlignment="1">
      <alignment horizontal="left"/>
    </xf>
    <xf numFmtId="0" fontId="27" fillId="0" borderId="0" xfId="43" applyFont="1" applyAlignment="1">
      <alignment horizontal="left"/>
    </xf>
    <xf numFmtId="0" fontId="39" fillId="0" borderId="0" xfId="43" applyFont="1" applyAlignment="1">
      <alignment horizontal="left"/>
    </xf>
    <xf numFmtId="0" fontId="40" fillId="0" borderId="0" xfId="43" applyFont="1"/>
    <xf numFmtId="0" fontId="7" fillId="0" borderId="0" xfId="43" applyAlignment="1">
      <alignment horizontal="right"/>
    </xf>
    <xf numFmtId="0" fontId="39" fillId="0" borderId="0" xfId="43" applyFont="1" applyAlignment="1">
      <alignment horizontal="right"/>
    </xf>
    <xf numFmtId="0" fontId="40" fillId="0" borderId="0" xfId="43" applyFont="1" applyAlignment="1"/>
    <xf numFmtId="0" fontId="119" fillId="0" borderId="0" xfId="43" applyFont="1" applyAlignment="1"/>
    <xf numFmtId="0" fontId="39" fillId="0" borderId="0" xfId="43" applyFont="1" applyAlignment="1"/>
    <xf numFmtId="0" fontId="40" fillId="0" borderId="0" xfId="43" applyFont="1" applyBorder="1"/>
    <xf numFmtId="0" fontId="40" fillId="0" borderId="0" xfId="43" applyFont="1" applyBorder="1" applyAlignment="1"/>
    <xf numFmtId="0" fontId="39" fillId="0" borderId="0" xfId="43" applyFont="1" applyBorder="1" applyAlignment="1">
      <alignment horizontal="right"/>
    </xf>
    <xf numFmtId="0" fontId="7" fillId="0" borderId="0" xfId="43" applyBorder="1" applyAlignment="1">
      <alignment horizontal="right"/>
    </xf>
    <xf numFmtId="0" fontId="120" fillId="0" borderId="39" xfId="43" applyFont="1" applyBorder="1" applyAlignment="1">
      <alignment horizontal="center" vertical="top" wrapText="1"/>
    </xf>
    <xf numFmtId="0" fontId="120" fillId="0" borderId="25" xfId="43" applyFont="1" applyBorder="1" applyAlignment="1">
      <alignment horizontal="center" vertical="top" wrapText="1"/>
    </xf>
    <xf numFmtId="0" fontId="120" fillId="0" borderId="26" xfId="43" applyFont="1" applyBorder="1" applyAlignment="1">
      <alignment horizontal="center" vertical="top" wrapText="1"/>
    </xf>
    <xf numFmtId="0" fontId="96" fillId="0" borderId="40" xfId="43" applyFont="1" applyBorder="1" applyAlignment="1">
      <alignment horizontal="center" vertical="top" wrapText="1"/>
    </xf>
    <xf numFmtId="0" fontId="80" fillId="0" borderId="43" xfId="43" applyFont="1" applyBorder="1" applyAlignment="1">
      <alignment horizontal="center" wrapText="1"/>
    </xf>
    <xf numFmtId="0" fontId="45" fillId="0" borderId="0" xfId="43" applyFont="1"/>
    <xf numFmtId="0" fontId="45" fillId="0" borderId="44" xfId="43" applyFont="1" applyBorder="1" applyAlignment="1"/>
    <xf numFmtId="0" fontId="45" fillId="0" borderId="27" xfId="43" applyFont="1" applyBorder="1" applyAlignment="1">
      <alignment wrapText="1"/>
    </xf>
    <xf numFmtId="0" fontId="45" fillId="0" borderId="27" xfId="43" applyFont="1" applyBorder="1" applyAlignment="1">
      <alignment horizontal="center" vertical="top" wrapText="1"/>
    </xf>
    <xf numFmtId="0" fontId="45" fillId="0" borderId="27" xfId="43" applyFont="1" applyBorder="1" applyAlignment="1"/>
    <xf numFmtId="0" fontId="45" fillId="0" borderId="28" xfId="43" applyFont="1" applyBorder="1" applyAlignment="1">
      <alignment vertical="top"/>
    </xf>
    <xf numFmtId="0" fontId="96" fillId="0" borderId="27" xfId="43" applyFont="1" applyBorder="1" applyAlignment="1">
      <alignment horizontal="center" vertical="top"/>
    </xf>
    <xf numFmtId="0" fontId="120" fillId="0" borderId="37" xfId="43" applyFont="1" applyBorder="1" applyAlignment="1">
      <alignment horizontal="center" vertical="top" wrapText="1"/>
    </xf>
    <xf numFmtId="0" fontId="120" fillId="0" borderId="28" xfId="43" applyFont="1" applyBorder="1" applyAlignment="1">
      <alignment horizontal="center" vertical="top" wrapText="1"/>
    </xf>
    <xf numFmtId="0" fontId="120" fillId="0" borderId="21" xfId="43" applyFont="1" applyBorder="1" applyAlignment="1">
      <alignment horizontal="center" vertical="top" wrapText="1"/>
    </xf>
    <xf numFmtId="0" fontId="96" fillId="0" borderId="21" xfId="43" applyFont="1" applyBorder="1" applyAlignment="1">
      <alignment horizontal="center" vertical="top"/>
    </xf>
    <xf numFmtId="0" fontId="96" fillId="0" borderId="22" xfId="43" applyFont="1" applyBorder="1" applyAlignment="1">
      <alignment horizontal="center" vertical="top"/>
    </xf>
    <xf numFmtId="0" fontId="96" fillId="0" borderId="22" xfId="43" applyFont="1" applyBorder="1" applyAlignment="1">
      <alignment horizontal="center" vertical="top" wrapText="1"/>
    </xf>
    <xf numFmtId="0" fontId="120" fillId="0" borderId="45" xfId="43" applyFont="1" applyBorder="1" applyAlignment="1">
      <alignment horizontal="center"/>
    </xf>
    <xf numFmtId="0" fontId="40" fillId="0" borderId="46" xfId="43" applyFont="1" applyBorder="1" applyAlignment="1">
      <alignment horizontal="center" vertical="top" wrapText="1"/>
    </xf>
    <xf numFmtId="0" fontId="40" fillId="0" borderId="30" xfId="43" applyFont="1" applyBorder="1" applyAlignment="1">
      <alignment horizontal="center" wrapText="1"/>
    </xf>
    <xf numFmtId="0" fontId="40" fillId="0" borderId="30" xfId="43" applyFont="1" applyBorder="1" applyAlignment="1">
      <alignment horizontal="center" vertical="top" wrapText="1"/>
    </xf>
    <xf numFmtId="0" fontId="40" fillId="0" borderId="14" xfId="43" applyFont="1" applyBorder="1" applyAlignment="1">
      <alignment horizontal="center" wrapText="1"/>
    </xf>
    <xf numFmtId="0" fontId="40" fillId="0" borderId="47" xfId="43" applyFont="1" applyBorder="1" applyAlignment="1">
      <alignment horizontal="center" wrapText="1"/>
    </xf>
    <xf numFmtId="0" fontId="40" fillId="0" borderId="30" xfId="43" applyFont="1" applyBorder="1" applyAlignment="1">
      <alignment wrapText="1"/>
    </xf>
    <xf numFmtId="0" fontId="40" fillId="0" borderId="17" xfId="43" applyFont="1" applyBorder="1"/>
    <xf numFmtId="0" fontId="40" fillId="0" borderId="30" xfId="43" applyFont="1" applyBorder="1"/>
    <xf numFmtId="0" fontId="40" fillId="0" borderId="14" xfId="43" applyFont="1" applyBorder="1"/>
    <xf numFmtId="0" fontId="40" fillId="0" borderId="47" xfId="43" applyFont="1" applyBorder="1"/>
    <xf numFmtId="0" fontId="40" fillId="0" borderId="27" xfId="43" applyFont="1" applyBorder="1" applyAlignment="1">
      <alignment wrapText="1"/>
    </xf>
    <xf numFmtId="0" fontId="40" fillId="0" borderId="51" xfId="43" applyFont="1" applyBorder="1"/>
    <xf numFmtId="0" fontId="40" fillId="0" borderId="27" xfId="43" applyFont="1" applyBorder="1"/>
    <xf numFmtId="0" fontId="40" fillId="0" borderId="28" xfId="43" applyFont="1" applyBorder="1"/>
    <xf numFmtId="0" fontId="40" fillId="0" borderId="29" xfId="43" applyFont="1" applyBorder="1"/>
    <xf numFmtId="0" fontId="41" fillId="0" borderId="0" xfId="43" applyFont="1" applyBorder="1" applyAlignment="1">
      <alignment wrapText="1"/>
    </xf>
    <xf numFmtId="0" fontId="28" fillId="0" borderId="26" xfId="43" applyFont="1" applyFill="1" applyBorder="1" applyAlignment="1">
      <alignment horizontal="left" vertical="top" wrapText="1"/>
    </xf>
    <xf numFmtId="0" fontId="7" fillId="0" borderId="33" xfId="43" applyFont="1" applyFill="1" applyBorder="1" applyAlignment="1">
      <alignment vertical="top" wrapText="1"/>
    </xf>
    <xf numFmtId="0" fontId="29" fillId="0" borderId="33" xfId="43" applyFont="1" applyFill="1" applyBorder="1" applyAlignment="1">
      <alignment horizontal="left" vertical="top" indent="3"/>
    </xf>
    <xf numFmtId="0" fontId="29" fillId="0" borderId="33" xfId="43" applyFont="1" applyFill="1" applyBorder="1" applyAlignment="1">
      <alignment horizontal="left" vertical="top" indent="4"/>
    </xf>
    <xf numFmtId="0" fontId="7" fillId="0" borderId="33" xfId="43" applyFont="1" applyFill="1" applyBorder="1" applyAlignment="1">
      <alignment vertical="top"/>
    </xf>
    <xf numFmtId="0" fontId="46" fillId="0" borderId="33" xfId="43" applyFont="1" applyFill="1" applyBorder="1" applyAlignment="1">
      <alignment horizontal="left" vertical="top" indent="3"/>
    </xf>
    <xf numFmtId="0" fontId="46" fillId="0" borderId="33" xfId="43" applyFont="1" applyBorder="1" applyAlignment="1">
      <alignment horizontal="left" vertical="top" indent="3"/>
    </xf>
    <xf numFmtId="3" fontId="102" fillId="28" borderId="31" xfId="0" applyNumberFormat="1" applyFont="1" applyFill="1" applyBorder="1" applyAlignment="1" applyProtection="1">
      <alignment vertical="center"/>
      <protection locked="0"/>
    </xf>
    <xf numFmtId="3" fontId="33" fillId="28" borderId="31" xfId="0" applyNumberFormat="1" applyFont="1" applyFill="1" applyBorder="1" applyAlignment="1" applyProtection="1">
      <alignment vertical="top"/>
      <protection locked="0"/>
    </xf>
    <xf numFmtId="3" fontId="103" fillId="0" borderId="31" xfId="153" applyNumberFormat="1" applyFont="1" applyFill="1" applyBorder="1" applyAlignment="1" applyProtection="1">
      <alignment vertical="top"/>
      <protection locked="0"/>
    </xf>
    <xf numFmtId="3" fontId="33" fillId="0" borderId="31" xfId="0" applyNumberFormat="1" applyFont="1" applyFill="1" applyBorder="1" applyAlignment="1" applyProtection="1">
      <alignment vertical="top"/>
      <protection locked="0"/>
    </xf>
    <xf numFmtId="3" fontId="28" fillId="24" borderId="31" xfId="153" applyNumberFormat="1" applyFont="1" applyFill="1" applyBorder="1" applyAlignment="1" applyProtection="1">
      <alignment vertical="top"/>
      <protection locked="0"/>
    </xf>
    <xf numFmtId="3" fontId="28" fillId="0" borderId="31" xfId="153" applyNumberFormat="1" applyFont="1" applyFill="1" applyBorder="1" applyAlignment="1" applyProtection="1">
      <alignment vertical="top"/>
      <protection locked="0"/>
    </xf>
    <xf numFmtId="3" fontId="26" fillId="0" borderId="31" xfId="148" applyNumberFormat="1" applyFont="1" applyFill="1" applyBorder="1" applyAlignment="1" applyProtection="1">
      <alignment horizontal="right"/>
      <protection locked="0"/>
    </xf>
    <xf numFmtId="3" fontId="7" fillId="0" borderId="31" xfId="153" applyNumberFormat="1" applyFont="1" applyFill="1" applyBorder="1" applyAlignment="1" applyProtection="1">
      <alignment vertical="top" wrapText="1"/>
      <protection locked="0"/>
    </xf>
    <xf numFmtId="3" fontId="26" fillId="0" borderId="31" xfId="148" applyNumberFormat="1" applyFont="1" applyFill="1" applyBorder="1" applyAlignment="1" applyProtection="1">
      <alignment horizontal="right" vertical="top"/>
      <protection locked="0"/>
    </xf>
    <xf numFmtId="3" fontId="26" fillId="0" borderId="31" xfId="0" applyNumberFormat="1" applyFont="1" applyFill="1" applyBorder="1" applyAlignment="1" applyProtection="1">
      <alignment horizontal="right" vertical="top"/>
      <protection locked="0"/>
    </xf>
    <xf numFmtId="3" fontId="7" fillId="0" borderId="31" xfId="49" applyNumberFormat="1" applyFont="1" applyFill="1" applyBorder="1" applyAlignment="1" applyProtection="1">
      <alignment vertical="top"/>
      <protection locked="0"/>
    </xf>
    <xf numFmtId="3" fontId="7" fillId="0" borderId="31" xfId="0" applyNumberFormat="1" applyFont="1" applyFill="1" applyBorder="1" applyAlignment="1" applyProtection="1">
      <alignment vertical="top"/>
      <protection locked="0"/>
    </xf>
    <xf numFmtId="3" fontId="7" fillId="0" borderId="31" xfId="153" applyNumberFormat="1" applyFont="1" applyFill="1" applyBorder="1" applyAlignment="1" applyProtection="1">
      <alignment horizontal="right" vertical="top"/>
      <protection locked="0"/>
    </xf>
    <xf numFmtId="3" fontId="26" fillId="0" borderId="31" xfId="153" applyNumberFormat="1" applyFont="1" applyFill="1" applyBorder="1" applyAlignment="1" applyProtection="1">
      <alignment horizontal="right" vertical="top"/>
      <protection locked="0"/>
    </xf>
    <xf numFmtId="3" fontId="7" fillId="0" borderId="31" xfId="0" applyNumberFormat="1" applyFont="1" applyFill="1" applyBorder="1" applyAlignment="1">
      <alignment vertical="top"/>
    </xf>
    <xf numFmtId="3" fontId="26" fillId="0" borderId="31" xfId="0" applyNumberFormat="1" applyFont="1" applyFill="1" applyBorder="1" applyAlignment="1">
      <alignment vertical="top"/>
    </xf>
    <xf numFmtId="3" fontId="0" fillId="0" borderId="31" xfId="0" applyNumberFormat="1" applyFill="1" applyBorder="1"/>
    <xf numFmtId="3" fontId="37" fillId="0" borderId="31" xfId="49" applyNumberFormat="1" applyFont="1" applyFill="1" applyBorder="1" applyAlignment="1" applyProtection="1">
      <alignment vertical="top"/>
      <protection locked="0"/>
    </xf>
    <xf numFmtId="3" fontId="26" fillId="0" borderId="31" xfId="49" applyNumberFormat="1" applyFont="1" applyFill="1" applyBorder="1" applyAlignment="1" applyProtection="1">
      <alignment horizontal="right" vertical="top"/>
      <protection locked="0"/>
    </xf>
    <xf numFmtId="3" fontId="26" fillId="0" borderId="31" xfId="0" applyNumberFormat="1" applyFont="1" applyFill="1" applyBorder="1" applyAlignment="1" applyProtection="1">
      <alignment vertical="top"/>
      <protection locked="0"/>
    </xf>
    <xf numFmtId="3" fontId="72" fillId="0" borderId="0" xfId="0" applyNumberFormat="1" applyFont="1" applyFill="1" applyBorder="1" applyAlignment="1" applyProtection="1">
      <alignment vertical="top"/>
      <protection locked="0"/>
    </xf>
    <xf numFmtId="3" fontId="93" fillId="0" borderId="0" xfId="0" applyNumberFormat="1" applyFont="1"/>
    <xf numFmtId="3" fontId="73" fillId="0" borderId="0" xfId="0" applyNumberFormat="1" applyFont="1" applyAlignment="1">
      <alignment horizontal="right"/>
    </xf>
    <xf numFmtId="3" fontId="116" fillId="28" borderId="13" xfId="0" applyNumberFormat="1" applyFont="1" applyFill="1" applyBorder="1" applyAlignment="1" applyProtection="1">
      <alignment vertical="center"/>
      <protection locked="0"/>
    </xf>
    <xf numFmtId="3" fontId="116" fillId="28" borderId="13" xfId="0" applyNumberFormat="1" applyFont="1" applyFill="1" applyBorder="1" applyAlignment="1" applyProtection="1">
      <alignment vertical="top"/>
      <protection locked="0"/>
    </xf>
    <xf numFmtId="3" fontId="121" fillId="0" borderId="13" xfId="153" applyNumberFormat="1" applyFont="1" applyFill="1" applyBorder="1" applyAlignment="1" applyProtection="1">
      <alignment vertical="top"/>
      <protection locked="0"/>
    </xf>
    <xf numFmtId="3" fontId="116" fillId="0" borderId="13" xfId="0" applyNumberFormat="1" applyFont="1" applyFill="1" applyBorder="1" applyAlignment="1" applyProtection="1">
      <alignment vertical="top"/>
      <protection locked="0"/>
    </xf>
    <xf numFmtId="3" fontId="73" fillId="24" borderId="13" xfId="153" applyNumberFormat="1" applyFont="1" applyFill="1" applyBorder="1" applyAlignment="1" applyProtection="1">
      <alignment vertical="top"/>
      <protection locked="0"/>
    </xf>
    <xf numFmtId="3" fontId="73" fillId="0" borderId="13" xfId="153" applyNumberFormat="1" applyFont="1" applyFill="1" applyBorder="1" applyAlignment="1" applyProtection="1">
      <alignment vertical="top"/>
      <protection locked="0"/>
    </xf>
    <xf numFmtId="3" fontId="72" fillId="0" borderId="13" xfId="153" applyNumberFormat="1" applyFont="1" applyFill="1" applyBorder="1" applyAlignment="1" applyProtection="1">
      <alignment vertical="top"/>
      <protection locked="0"/>
    </xf>
    <xf numFmtId="3" fontId="93" fillId="0" borderId="18" xfId="153" applyNumberFormat="1" applyFont="1" applyFill="1" applyBorder="1" applyAlignment="1" applyProtection="1">
      <alignment vertical="top"/>
      <protection locked="0"/>
    </xf>
    <xf numFmtId="3" fontId="93" fillId="0" borderId="13" xfId="153" applyNumberFormat="1" applyFont="1" applyFill="1" applyBorder="1" applyAlignment="1" applyProtection="1">
      <alignment vertical="top"/>
      <protection locked="0"/>
    </xf>
    <xf numFmtId="3" fontId="93" fillId="0" borderId="31" xfId="135" applyNumberFormat="1" applyFont="1" applyFill="1" applyBorder="1" applyAlignment="1" applyProtection="1">
      <alignment vertical="top"/>
      <protection locked="0"/>
    </xf>
    <xf numFmtId="3" fontId="72" fillId="0" borderId="31" xfId="153" applyNumberFormat="1" applyFont="1" applyFill="1" applyBorder="1" applyAlignment="1" applyProtection="1">
      <alignment vertical="top"/>
      <protection locked="0"/>
    </xf>
    <xf numFmtId="3" fontId="93" fillId="0" borderId="13" xfId="152" applyNumberFormat="1" applyFont="1" applyFill="1" applyBorder="1" applyAlignment="1" applyProtection="1">
      <alignment vertical="top"/>
      <protection locked="0"/>
    </xf>
    <xf numFmtId="3" fontId="93" fillId="0" borderId="31" xfId="152" applyNumberFormat="1" applyFont="1" applyFill="1" applyBorder="1" applyAlignment="1" applyProtection="1">
      <alignment vertical="top"/>
      <protection locked="0"/>
    </xf>
    <xf numFmtId="3" fontId="93" fillId="0" borderId="13" xfId="49" applyNumberFormat="1" applyFont="1" applyFill="1" applyBorder="1" applyAlignment="1" applyProtection="1">
      <alignment vertical="top"/>
      <protection locked="0"/>
    </xf>
    <xf numFmtId="3" fontId="93" fillId="0" borderId="13" xfId="148" applyNumberFormat="1" applyFont="1" applyFill="1" applyBorder="1" applyAlignment="1" applyProtection="1">
      <alignment horizontal="right"/>
      <protection locked="0"/>
    </xf>
    <xf numFmtId="3" fontId="72" fillId="0" borderId="13" xfId="153" applyNumberFormat="1" applyFont="1" applyFill="1" applyBorder="1" applyAlignment="1" applyProtection="1">
      <alignment vertical="top" wrapText="1"/>
      <protection locked="0"/>
    </xf>
    <xf numFmtId="3" fontId="93" fillId="0" borderId="13" xfId="148" applyNumberFormat="1" applyFont="1" applyFill="1" applyBorder="1" applyAlignment="1" applyProtection="1">
      <alignment horizontal="right" vertical="top"/>
      <protection locked="0"/>
    </xf>
    <xf numFmtId="3" fontId="93" fillId="0" borderId="13" xfId="0" applyNumberFormat="1" applyFont="1" applyFill="1" applyBorder="1" applyAlignment="1" applyProtection="1">
      <alignment horizontal="right" vertical="top"/>
      <protection locked="0"/>
    </xf>
    <xf numFmtId="3" fontId="72" fillId="0" borderId="13" xfId="49" applyNumberFormat="1" applyFont="1" applyFill="1" applyBorder="1" applyAlignment="1" applyProtection="1">
      <alignment vertical="top"/>
      <protection locked="0"/>
    </xf>
    <xf numFmtId="3" fontId="72" fillId="0" borderId="13" xfId="0" applyNumberFormat="1" applyFont="1" applyFill="1" applyBorder="1" applyAlignment="1" applyProtection="1">
      <alignment vertical="top"/>
      <protection locked="0"/>
    </xf>
    <xf numFmtId="3" fontId="72" fillId="0" borderId="13" xfId="153" applyNumberFormat="1" applyFont="1" applyFill="1" applyBorder="1" applyAlignment="1" applyProtection="1">
      <alignment horizontal="right" vertical="top"/>
      <protection locked="0"/>
    </xf>
    <xf numFmtId="3" fontId="93" fillId="0" borderId="13" xfId="153" applyNumberFormat="1" applyFont="1" applyFill="1" applyBorder="1" applyAlignment="1" applyProtection="1">
      <alignment horizontal="right" vertical="top"/>
      <protection locked="0"/>
    </xf>
    <xf numFmtId="3" fontId="93" fillId="0" borderId="31" xfId="153" applyNumberFormat="1" applyFont="1" applyFill="1" applyBorder="1" applyAlignment="1" applyProtection="1">
      <alignment vertical="top"/>
      <protection locked="0"/>
    </xf>
    <xf numFmtId="3" fontId="72" fillId="0" borderId="13" xfId="0" applyNumberFormat="1" applyFont="1" applyFill="1" applyBorder="1" applyAlignment="1">
      <alignment vertical="top"/>
    </xf>
    <xf numFmtId="3" fontId="93" fillId="0" borderId="13" xfId="0" applyNumberFormat="1" applyFont="1" applyFill="1" applyBorder="1" applyAlignment="1">
      <alignment vertical="top"/>
    </xf>
    <xf numFmtId="3" fontId="72" fillId="0" borderId="13" xfId="0" applyNumberFormat="1" applyFont="1" applyFill="1" applyBorder="1"/>
    <xf numFmtId="3" fontId="74" fillId="0" borderId="13" xfId="49" applyNumberFormat="1" applyFont="1" applyFill="1" applyBorder="1" applyAlignment="1" applyProtection="1">
      <alignment vertical="top"/>
      <protection locked="0"/>
    </xf>
    <xf numFmtId="3" fontId="74" fillId="0" borderId="13" xfId="153" applyNumberFormat="1" applyFont="1" applyFill="1" applyBorder="1" applyAlignment="1" applyProtection="1">
      <alignment vertical="top"/>
      <protection locked="0"/>
    </xf>
    <xf numFmtId="3" fontId="74" fillId="0" borderId="31" xfId="153" applyNumberFormat="1" applyFont="1" applyFill="1" applyBorder="1" applyAlignment="1" applyProtection="1">
      <alignment vertical="top"/>
      <protection locked="0"/>
    </xf>
    <xf numFmtId="3" fontId="93" fillId="0" borderId="13" xfId="49" applyNumberFormat="1" applyFont="1" applyFill="1" applyBorder="1" applyAlignment="1" applyProtection="1">
      <alignment horizontal="right" vertical="top"/>
      <protection locked="0"/>
    </xf>
    <xf numFmtId="3" fontId="93" fillId="0" borderId="13" xfId="0" applyNumberFormat="1" applyFont="1" applyFill="1" applyBorder="1" applyAlignment="1" applyProtection="1">
      <alignment vertical="top"/>
      <protection locked="0"/>
    </xf>
    <xf numFmtId="0" fontId="72" fillId="0" borderId="0" xfId="0" applyFont="1"/>
    <xf numFmtId="3" fontId="73" fillId="0" borderId="0" xfId="0" applyNumberFormat="1" applyFont="1"/>
    <xf numFmtId="3" fontId="72" fillId="0" borderId="0" xfId="0" applyNumberFormat="1" applyFont="1"/>
    <xf numFmtId="3" fontId="72" fillId="0" borderId="13" xfId="148" applyNumberFormat="1" applyFont="1" applyFill="1" applyBorder="1" applyAlignment="1" applyProtection="1">
      <alignment horizontal="right"/>
      <protection locked="0"/>
    </xf>
    <xf numFmtId="3" fontId="114" fillId="0" borderId="13" xfId="148" applyNumberFormat="1" applyFont="1" applyFill="1" applyBorder="1" applyAlignment="1" applyProtection="1">
      <alignment horizontal="right"/>
      <protection locked="0"/>
    </xf>
    <xf numFmtId="3" fontId="114" fillId="0" borderId="13" xfId="0" applyNumberFormat="1" applyFont="1" applyFill="1" applyBorder="1" applyAlignment="1" applyProtection="1">
      <alignment horizontal="right"/>
      <protection locked="0"/>
    </xf>
    <xf numFmtId="3" fontId="114" fillId="0" borderId="31" xfId="0" applyNumberFormat="1" applyFont="1" applyFill="1" applyBorder="1" applyAlignment="1" applyProtection="1">
      <alignment horizontal="right"/>
      <protection locked="0"/>
    </xf>
    <xf numFmtId="3" fontId="93" fillId="0" borderId="13" xfId="153" applyNumberFormat="1" applyFont="1" applyFill="1" applyBorder="1" applyAlignment="1" applyProtection="1">
      <alignment horizontal="center" vertical="top"/>
      <protection locked="0"/>
    </xf>
    <xf numFmtId="3" fontId="72" fillId="0" borderId="13" xfId="0" applyNumberFormat="1" applyFont="1" applyFill="1" applyBorder="1" applyAlignment="1" applyProtection="1">
      <alignment horizontal="right" vertical="top"/>
      <protection locked="0"/>
    </xf>
    <xf numFmtId="0" fontId="26" fillId="0" borderId="13" xfId="0" applyFont="1" applyFill="1" applyBorder="1" applyAlignment="1">
      <alignment horizontal="left" vertical="top" wrapText="1" indent="3"/>
    </xf>
    <xf numFmtId="0" fontId="26" fillId="0" borderId="13" xfId="153" applyFont="1" applyFill="1" applyBorder="1" applyAlignment="1" applyProtection="1">
      <alignment horizontal="left" vertical="top" indent="1"/>
      <protection locked="0"/>
    </xf>
    <xf numFmtId="0" fontId="26" fillId="0" borderId="31" xfId="153" applyFont="1" applyFill="1" applyBorder="1" applyAlignment="1" applyProtection="1">
      <alignment horizontal="left" vertical="top" wrapText="1" indent="1"/>
      <protection locked="0"/>
    </xf>
    <xf numFmtId="0" fontId="122" fillId="0" borderId="0" xfId="43" applyFont="1"/>
    <xf numFmtId="0" fontId="122" fillId="0" borderId="0" xfId="43" applyFont="1" applyAlignment="1">
      <alignment horizontal="justify"/>
    </xf>
    <xf numFmtId="0" fontId="122" fillId="0" borderId="0" xfId="43" applyFont="1" applyAlignment="1">
      <alignment horizontal="right"/>
    </xf>
    <xf numFmtId="0" fontId="123" fillId="0" borderId="18" xfId="43" applyFont="1" applyBorder="1" applyAlignment="1">
      <alignment horizontal="center" vertical="top"/>
    </xf>
    <xf numFmtId="0" fontId="123" fillId="0" borderId="16" xfId="43" applyFont="1" applyBorder="1" applyAlignment="1">
      <alignment horizontal="center" vertical="top"/>
    </xf>
    <xf numFmtId="0" fontId="123" fillId="0" borderId="14" xfId="43" applyFont="1" applyBorder="1" applyAlignment="1">
      <alignment horizontal="justify" vertical="top"/>
    </xf>
    <xf numFmtId="0" fontId="123" fillId="0" borderId="30" xfId="43" applyFont="1" applyBorder="1" applyAlignment="1">
      <alignment horizontal="justify"/>
    </xf>
    <xf numFmtId="0" fontId="123" fillId="0" borderId="31" xfId="43" applyFont="1" applyBorder="1" applyAlignment="1">
      <alignment horizontal="center" wrapText="1"/>
    </xf>
    <xf numFmtId="3" fontId="92" fillId="0" borderId="31" xfId="43" applyNumberFormat="1" applyFont="1" applyFill="1" applyBorder="1" applyAlignment="1">
      <alignment horizontal="right" vertical="top"/>
    </xf>
    <xf numFmtId="0" fontId="7" fillId="0" borderId="0" xfId="43" applyAlignment="1">
      <alignment vertical="top"/>
    </xf>
    <xf numFmtId="3" fontId="7" fillId="0" borderId="0" xfId="43" applyNumberFormat="1"/>
    <xf numFmtId="0" fontId="92" fillId="0" borderId="31" xfId="43" applyFont="1" applyFill="1" applyBorder="1" applyAlignment="1">
      <alignment horizontal="justify" vertical="top"/>
    </xf>
    <xf numFmtId="3" fontId="82" fillId="0" borderId="0" xfId="43" applyNumberFormat="1" applyFont="1"/>
    <xf numFmtId="3" fontId="49" fillId="0" borderId="0" xfId="43" applyNumberFormat="1" applyFont="1"/>
    <xf numFmtId="0" fontId="122" fillId="0" borderId="0" xfId="43" applyFont="1" applyAlignment="1">
      <alignment horizontal="left" vertical="top" wrapText="1"/>
    </xf>
    <xf numFmtId="0" fontId="122" fillId="0" borderId="0" xfId="43" applyFont="1" applyAlignment="1">
      <alignment horizontal="left" vertical="top"/>
    </xf>
    <xf numFmtId="0" fontId="102" fillId="28" borderId="31" xfId="0" applyFont="1" applyFill="1" applyBorder="1" applyAlignment="1" applyProtection="1">
      <alignment horizontal="left" vertical="center" wrapText="1"/>
      <protection locked="0"/>
    </xf>
    <xf numFmtId="0" fontId="103" fillId="0" borderId="31" xfId="153" applyFont="1" applyFill="1" applyBorder="1" applyAlignment="1" applyProtection="1">
      <alignment horizontal="right" vertical="top" wrapText="1"/>
      <protection locked="0"/>
    </xf>
    <xf numFmtId="0" fontId="103" fillId="0" borderId="31" xfId="153" applyFont="1" applyFill="1" applyBorder="1" applyAlignment="1" applyProtection="1">
      <alignment horizontal="left" vertical="top" wrapText="1"/>
      <protection locked="0"/>
    </xf>
    <xf numFmtId="0" fontId="33" fillId="0" borderId="31" xfId="0" applyFont="1" applyFill="1" applyBorder="1" applyAlignment="1" applyProtection="1">
      <alignment horizontal="left" vertical="top" wrapText="1"/>
      <protection locked="0"/>
    </xf>
    <xf numFmtId="0" fontId="28" fillId="24" borderId="31" xfId="153" applyFont="1" applyFill="1" applyBorder="1" applyAlignment="1" applyProtection="1">
      <alignment horizontal="left" vertical="top" wrapText="1"/>
      <protection locked="0"/>
    </xf>
    <xf numFmtId="0" fontId="26" fillId="0" borderId="31" xfId="153" applyFont="1" applyFill="1" applyBorder="1" applyAlignment="1" applyProtection="1">
      <alignment horizontal="left" vertical="top" wrapText="1" indent="3"/>
      <protection locked="0"/>
    </xf>
    <xf numFmtId="0" fontId="26" fillId="0" borderId="31" xfId="153" applyFont="1" applyFill="1" applyBorder="1" applyAlignment="1" applyProtection="1">
      <alignment horizontal="left" vertical="top" wrapText="1" indent="4"/>
      <protection locked="0"/>
    </xf>
    <xf numFmtId="0" fontId="7" fillId="0" borderId="31" xfId="153" applyFont="1" applyFill="1" applyBorder="1" applyAlignment="1" applyProtection="1">
      <alignment horizontal="right" vertical="top" wrapText="1"/>
      <protection locked="0"/>
    </xf>
    <xf numFmtId="0" fontId="26" fillId="0" borderId="31" xfId="148" applyFont="1" applyFill="1" applyBorder="1" applyAlignment="1" applyProtection="1">
      <alignment horizontal="left" wrapText="1" indent="1"/>
      <protection locked="0"/>
    </xf>
    <xf numFmtId="0" fontId="7" fillId="0" borderId="31" xfId="153" applyFont="1" applyFill="1" applyBorder="1" applyAlignment="1" applyProtection="1">
      <alignment horizontal="left" vertical="top" wrapText="1" indent="2"/>
      <protection locked="0"/>
    </xf>
    <xf numFmtId="0" fontId="7" fillId="0" borderId="31" xfId="153" applyFont="1" applyFill="1" applyBorder="1" applyAlignment="1" applyProtection="1">
      <alignment horizontal="left" vertical="top" wrapText="1" indent="3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6" fillId="0" borderId="31" xfId="0" applyFont="1" applyFill="1" applyBorder="1" applyAlignment="1" applyProtection="1">
      <alignment horizontal="left" vertical="top" wrapText="1" indent="1"/>
      <protection locked="0"/>
    </xf>
    <xf numFmtId="0" fontId="7" fillId="0" borderId="31" xfId="148" applyFont="1" applyFill="1" applyBorder="1" applyAlignment="1" applyProtection="1">
      <alignment horizontal="left" wrapText="1"/>
      <protection locked="0"/>
    </xf>
    <xf numFmtId="0" fontId="7" fillId="0" borderId="31" xfId="148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>
      <alignment vertical="top"/>
    </xf>
    <xf numFmtId="0" fontId="49" fillId="0" borderId="31" xfId="153" applyFont="1" applyFill="1" applyBorder="1" applyAlignment="1" applyProtection="1">
      <alignment horizontal="left" vertical="top" wrapText="1" indent="2"/>
      <protection locked="0"/>
    </xf>
    <xf numFmtId="0" fontId="28" fillId="24" borderId="31" xfId="153" applyFont="1" applyFill="1" applyBorder="1" applyAlignment="1" applyProtection="1">
      <alignment horizontal="left" vertical="top"/>
      <protection locked="0"/>
    </xf>
    <xf numFmtId="0" fontId="7" fillId="0" borderId="31" xfId="153" applyFont="1" applyFill="1" applyBorder="1" applyAlignment="1" applyProtection="1">
      <alignment horizontal="left" wrapText="1"/>
      <protection locked="0"/>
    </xf>
    <xf numFmtId="0" fontId="26" fillId="0" borderId="31" xfId="153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right" vertical="top" wrapText="1"/>
      <protection locked="0"/>
    </xf>
    <xf numFmtId="0" fontId="7" fillId="0" borderId="31" xfId="49" applyFont="1" applyFill="1" applyBorder="1" applyAlignment="1" applyProtection="1">
      <alignment horizontal="left" vertical="top" wrapText="1"/>
      <protection locked="0"/>
    </xf>
    <xf numFmtId="0" fontId="26" fillId="0" borderId="31" xfId="0" applyFont="1" applyFill="1" applyBorder="1" applyAlignment="1" applyProtection="1">
      <alignment horizontal="left" vertical="top" wrapText="1" indent="2"/>
      <protection locked="0"/>
    </xf>
    <xf numFmtId="0" fontId="26" fillId="0" borderId="31" xfId="0" applyFont="1" applyFill="1" applyBorder="1" applyAlignment="1">
      <alignment horizontal="left" vertical="top" wrapText="1" indent="2"/>
    </xf>
    <xf numFmtId="0" fontId="26" fillId="0" borderId="31" xfId="0" applyFont="1" applyFill="1" applyBorder="1" applyAlignment="1" applyProtection="1">
      <alignment horizontal="left" vertical="top" wrapText="1" indent="3"/>
      <protection locked="0"/>
    </xf>
    <xf numFmtId="0" fontId="26" fillId="0" borderId="31" xfId="0" applyFont="1" applyFill="1" applyBorder="1" applyAlignment="1">
      <alignment horizontal="left" vertical="top" wrapText="1" indent="3"/>
    </xf>
    <xf numFmtId="0" fontId="26" fillId="0" borderId="31" xfId="153" applyFont="1" applyFill="1" applyBorder="1" applyAlignment="1" applyProtection="1">
      <alignment horizontal="left" vertical="top" indent="1"/>
      <protection locked="0"/>
    </xf>
    <xf numFmtId="0" fontId="7" fillId="0" borderId="31" xfId="0" applyFont="1" applyFill="1" applyBorder="1" applyAlignment="1">
      <alignment wrapText="1"/>
    </xf>
    <xf numFmtId="0" fontId="26" fillId="0" borderId="31" xfId="0" applyFont="1" applyFill="1" applyBorder="1" applyAlignment="1">
      <alignment horizontal="left" indent="1"/>
    </xf>
    <xf numFmtId="0" fontId="26" fillId="0" borderId="31" xfId="158" applyFont="1" applyFill="1" applyBorder="1" applyAlignment="1" applyProtection="1">
      <alignment horizontal="left" vertical="top" wrapText="1" indent="2"/>
      <protection locked="0"/>
    </xf>
    <xf numFmtId="0" fontId="7" fillId="0" borderId="31" xfId="152" applyFont="1" applyFill="1" applyBorder="1" applyAlignment="1" applyProtection="1">
      <alignment horizontal="left" vertical="top" wrapText="1"/>
      <protection locked="0"/>
    </xf>
    <xf numFmtId="0" fontId="37" fillId="0" borderId="31" xfId="153" applyFont="1" applyFill="1" applyBorder="1" applyAlignment="1" applyProtection="1">
      <alignment horizontal="left" vertical="top" wrapText="1"/>
      <protection locked="0"/>
    </xf>
    <xf numFmtId="0" fontId="37" fillId="0" borderId="31" xfId="153" applyFont="1" applyFill="1" applyBorder="1" applyAlignment="1" applyProtection="1">
      <alignment horizontal="left" vertical="top" wrapText="1" indent="2"/>
      <protection locked="0"/>
    </xf>
    <xf numFmtId="0" fontId="29" fillId="0" borderId="31" xfId="153" applyFont="1" applyFill="1" applyBorder="1" applyAlignment="1" applyProtection="1">
      <alignment horizontal="left" vertical="top" wrapText="1" indent="2"/>
      <protection locked="0"/>
    </xf>
    <xf numFmtId="0" fontId="7" fillId="0" borderId="31" xfId="153" applyFont="1" applyFill="1" applyBorder="1" applyAlignment="1" applyProtection="1">
      <alignment horizontal="left" vertical="top" wrapText="1" indent="1"/>
      <protection locked="0"/>
    </xf>
    <xf numFmtId="0" fontId="38" fillId="0" borderId="31" xfId="153" applyFont="1" applyFill="1" applyBorder="1" applyAlignment="1" applyProtection="1">
      <alignment horizontal="left" vertical="top" wrapText="1" indent="1"/>
      <protection locked="0"/>
    </xf>
    <xf numFmtId="0" fontId="26" fillId="0" borderId="30" xfId="153" applyFont="1" applyFill="1" applyBorder="1" applyAlignment="1" applyProtection="1">
      <alignment horizontal="left" vertical="top" wrapText="1" indent="1"/>
      <protection locked="0"/>
    </xf>
    <xf numFmtId="0" fontId="26" fillId="0" borderId="31" xfId="0" applyFont="1" applyFill="1" applyBorder="1" applyAlignment="1" applyProtection="1">
      <alignment horizontal="left" vertical="top" indent="1"/>
      <protection locked="0"/>
    </xf>
    <xf numFmtId="0" fontId="0" fillId="0" borderId="31" xfId="0" applyFill="1" applyBorder="1"/>
    <xf numFmtId="0" fontId="26" fillId="0" borderId="31" xfId="153" applyFont="1" applyFill="1" applyBorder="1" applyAlignment="1" applyProtection="1">
      <alignment horizontal="left" vertical="top" indent="2"/>
      <protection locked="0"/>
    </xf>
    <xf numFmtId="0" fontId="28" fillId="0" borderId="16" xfId="153" applyFont="1" applyFill="1" applyBorder="1" applyAlignment="1" applyProtection="1">
      <alignment horizontal="center" vertical="top" wrapText="1"/>
    </xf>
    <xf numFmtId="164" fontId="81" fillId="31" borderId="20" xfId="87" applyFont="1" applyFill="1" applyBorder="1" applyAlignment="1">
      <alignment horizontal="right" vertical="top" wrapText="1"/>
    </xf>
    <xf numFmtId="9" fontId="81" fillId="31" borderId="31" xfId="150" applyFont="1" applyFill="1" applyBorder="1" applyAlignment="1">
      <alignment horizontal="center" vertical="top" wrapText="1"/>
    </xf>
    <xf numFmtId="0" fontId="26" fillId="0" borderId="18" xfId="153" applyFont="1" applyFill="1" applyBorder="1" applyAlignment="1" applyProtection="1">
      <alignment horizontal="left" vertical="top" wrapText="1" indent="2"/>
      <protection locked="0"/>
    </xf>
    <xf numFmtId="0" fontId="7" fillId="0" borderId="18" xfId="153" applyFont="1" applyFill="1" applyBorder="1" applyAlignment="1" applyProtection="1">
      <alignment horizontal="right" vertical="top" wrapText="1"/>
      <protection locked="0"/>
    </xf>
    <xf numFmtId="0" fontId="7" fillId="0" borderId="18" xfId="153" applyFont="1" applyFill="1" applyBorder="1" applyAlignment="1" applyProtection="1">
      <alignment horizontal="left" vertical="top" wrapText="1"/>
      <protection locked="0"/>
    </xf>
    <xf numFmtId="0" fontId="26" fillId="0" borderId="23" xfId="152" applyFont="1" applyFill="1" applyBorder="1" applyAlignment="1" applyProtection="1">
      <alignment horizontal="right" vertical="top" wrapText="1" indent="1"/>
      <protection locked="0"/>
    </xf>
    <xf numFmtId="0" fontId="38" fillId="31" borderId="16" xfId="153" applyFont="1" applyFill="1" applyBorder="1" applyAlignment="1" applyProtection="1">
      <alignment horizontal="center" vertical="top" wrapText="1"/>
    </xf>
    <xf numFmtId="3" fontId="28" fillId="0" borderId="0" xfId="0" applyNumberFormat="1" applyFont="1" applyBorder="1" applyAlignment="1">
      <alignment horizontal="center"/>
    </xf>
    <xf numFmtId="0" fontId="28" fillId="31" borderId="52" xfId="153" applyFont="1" applyFill="1" applyBorder="1" applyAlignment="1" applyProtection="1">
      <alignment horizontal="center" vertical="top" wrapText="1"/>
    </xf>
    <xf numFmtId="0" fontId="28" fillId="31" borderId="15" xfId="153" applyFont="1" applyFill="1" applyBorder="1" applyAlignment="1" applyProtection="1">
      <alignment horizontal="center" vertical="top" wrapText="1"/>
    </xf>
    <xf numFmtId="0" fontId="28" fillId="0" borderId="52" xfId="153" applyFont="1" applyFill="1" applyBorder="1" applyAlignment="1" applyProtection="1">
      <alignment horizontal="center" vertical="top" wrapText="1"/>
    </xf>
    <xf numFmtId="0" fontId="28" fillId="0" borderId="15" xfId="153" applyFont="1" applyFill="1" applyBorder="1" applyAlignment="1" applyProtection="1">
      <alignment horizontal="center" vertical="top" wrapText="1"/>
    </xf>
    <xf numFmtId="3" fontId="7" fillId="0" borderId="18" xfId="153" applyNumberFormat="1" applyFont="1" applyFill="1" applyBorder="1" applyAlignment="1" applyProtection="1">
      <alignment vertical="top"/>
      <protection locked="0"/>
    </xf>
    <xf numFmtId="3" fontId="46" fillId="0" borderId="31" xfId="0" applyNumberFormat="1" applyFont="1" applyFill="1" applyBorder="1" applyAlignment="1" applyProtection="1">
      <alignment horizontal="right"/>
      <protection locked="0"/>
    </xf>
    <xf numFmtId="3" fontId="46" fillId="0" borderId="31" xfId="148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/>
    <xf numFmtId="3" fontId="7" fillId="0" borderId="31" xfId="0" applyNumberFormat="1" applyFont="1" applyFill="1" applyBorder="1" applyAlignment="1" applyProtection="1">
      <alignment horizontal="right" vertical="top"/>
      <protection locked="0"/>
    </xf>
    <xf numFmtId="0" fontId="28" fillId="0" borderId="0" xfId="153" applyFont="1" applyFill="1" applyBorder="1" applyAlignment="1" applyProtection="1">
      <alignment horizontal="center" vertical="top" wrapText="1"/>
    </xf>
    <xf numFmtId="0" fontId="7" fillId="0" borderId="0" xfId="151" applyFont="1"/>
    <xf numFmtId="0" fontId="124" fillId="0" borderId="0" xfId="151" applyFont="1"/>
    <xf numFmtId="0" fontId="7" fillId="0" borderId="31" xfId="151" applyFont="1" applyBorder="1" applyAlignment="1">
      <alignment horizontal="center" vertical="top" wrapText="1"/>
    </xf>
    <xf numFmtId="0" fontId="7" fillId="0" borderId="31" xfId="151" applyFont="1" applyBorder="1" applyAlignment="1">
      <alignment horizontal="center" vertical="top"/>
    </xf>
    <xf numFmtId="0" fontId="7" fillId="0" borderId="30" xfId="151" applyFont="1" applyBorder="1" applyAlignment="1">
      <alignment horizontal="center" vertical="top" wrapText="1"/>
    </xf>
    <xf numFmtId="0" fontId="106" fillId="0" borderId="23" xfId="151" applyFont="1" applyBorder="1"/>
    <xf numFmtId="0" fontId="99" fillId="0" borderId="15" xfId="151" applyFont="1" applyFill="1" applyBorder="1" applyAlignment="1" applyProtection="1">
      <alignment horizontal="left" vertical="top" wrapText="1"/>
      <protection locked="0"/>
    </xf>
    <xf numFmtId="0" fontId="99" fillId="0" borderId="15" xfId="151" applyFont="1" applyFill="1" applyBorder="1" applyAlignment="1" applyProtection="1">
      <alignment horizontal="right" vertical="top" wrapText="1"/>
      <protection locked="0"/>
    </xf>
    <xf numFmtId="14" fontId="126" fillId="0" borderId="15" xfId="151" applyNumberFormat="1" applyFont="1" applyFill="1" applyBorder="1" applyAlignment="1" applyProtection="1">
      <alignment horizontal="right" vertical="top" wrapText="1"/>
      <protection locked="0"/>
    </xf>
    <xf numFmtId="1" fontId="99" fillId="0" borderId="15" xfId="151" applyNumberFormat="1" applyFont="1" applyFill="1" applyBorder="1" applyAlignment="1" applyProtection="1">
      <alignment horizontal="right" vertical="top" wrapText="1"/>
      <protection locked="0"/>
    </xf>
    <xf numFmtId="0" fontId="99" fillId="0" borderId="30" xfId="151" applyFont="1" applyFill="1" applyBorder="1" applyAlignment="1" applyProtection="1">
      <alignment horizontal="right" vertical="top" wrapText="1"/>
      <protection locked="0"/>
    </xf>
    <xf numFmtId="0" fontId="106" fillId="0" borderId="31" xfId="151" applyFont="1" applyBorder="1"/>
    <xf numFmtId="0" fontId="124" fillId="0" borderId="31" xfId="151" applyFont="1" applyBorder="1"/>
    <xf numFmtId="0" fontId="127" fillId="0" borderId="31" xfId="151" applyFont="1" applyBorder="1"/>
    <xf numFmtId="0" fontId="124" fillId="0" borderId="31" xfId="151" applyFont="1" applyBorder="1" applyAlignment="1">
      <alignment horizontal="center"/>
    </xf>
    <xf numFmtId="1" fontId="127" fillId="0" borderId="31" xfId="151" applyNumberFormat="1" applyFont="1" applyBorder="1"/>
    <xf numFmtId="0" fontId="128" fillId="0" borderId="0" xfId="151" applyFont="1" applyAlignment="1">
      <alignment horizontal="left"/>
    </xf>
    <xf numFmtId="0" fontId="128" fillId="0" borderId="0" xfId="151" applyFont="1"/>
    <xf numFmtId="0" fontId="124" fillId="0" borderId="0" xfId="151" applyFont="1" applyAlignment="1"/>
    <xf numFmtId="0" fontId="7" fillId="31" borderId="13" xfId="153" applyFont="1" applyFill="1" applyBorder="1" applyAlignment="1" applyProtection="1">
      <alignment vertical="top" wrapText="1"/>
      <protection locked="0"/>
    </xf>
    <xf numFmtId="0" fontId="71" fillId="0" borderId="0" xfId="0" applyFont="1"/>
    <xf numFmtId="0" fontId="7" fillId="0" borderId="31" xfId="156" applyFont="1" applyFill="1" applyBorder="1"/>
    <xf numFmtId="0" fontId="130" fillId="0" borderId="0" xfId="0" applyNumberFormat="1" applyFont="1" applyFill="1" applyAlignment="1">
      <alignment horizontal="left" vertical="top" indent="2"/>
    </xf>
    <xf numFmtId="0" fontId="107" fillId="0" borderId="0" xfId="31" applyNumberFormat="1" applyFont="1" applyFill="1" applyBorder="1" applyAlignment="1" applyProtection="1">
      <alignment horizontal="left" vertical="top" wrapText="1" indent="2"/>
    </xf>
    <xf numFmtId="0" fontId="131" fillId="0" borderId="0" xfId="36" applyNumberFormat="1" applyFont="1" applyFill="1" applyBorder="1" applyAlignment="1" applyProtection="1">
      <alignment horizontal="left" vertical="top" indent="3"/>
    </xf>
    <xf numFmtId="49" fontId="129" fillId="0" borderId="0" xfId="37" applyNumberFormat="1" applyFont="1" applyFill="1" applyBorder="1" applyAlignment="1">
      <alignment horizontal="left" wrapText="1" indent="1"/>
    </xf>
    <xf numFmtId="0" fontId="131" fillId="0" borderId="0" xfId="36" applyNumberFormat="1" applyFont="1" applyFill="1" applyBorder="1" applyAlignment="1" applyProtection="1">
      <alignment horizontal="left" vertical="top" indent="2"/>
    </xf>
    <xf numFmtId="170" fontId="114" fillId="0" borderId="0" xfId="0" applyNumberFormat="1" applyFont="1" applyFill="1" applyBorder="1"/>
    <xf numFmtId="170" fontId="76" fillId="0" borderId="0" xfId="0" applyNumberFormat="1" applyFont="1" applyFill="1" applyBorder="1"/>
    <xf numFmtId="170" fontId="0" fillId="0" borderId="0" xfId="0" applyNumberFormat="1" applyFill="1" applyBorder="1"/>
    <xf numFmtId="0" fontId="81" fillId="0" borderId="31" xfId="0" applyFont="1" applyFill="1" applyBorder="1" applyAlignment="1">
      <alignment horizontal="center" vertical="top" wrapText="1"/>
    </xf>
    <xf numFmtId="0" fontId="7" fillId="31" borderId="31" xfId="153" applyFont="1" applyFill="1" applyBorder="1" applyAlignment="1" applyProtection="1">
      <alignment horizontal="left" vertical="top" wrapText="1"/>
      <protection locked="0"/>
    </xf>
    <xf numFmtId="0" fontId="7" fillId="31" borderId="31" xfId="153" applyFont="1" applyFill="1" applyBorder="1" applyAlignment="1" applyProtection="1">
      <alignment vertical="top" wrapText="1"/>
      <protection locked="0"/>
    </xf>
    <xf numFmtId="0" fontId="26" fillId="0" borderId="31" xfId="148" applyFont="1" applyFill="1" applyBorder="1" applyAlignment="1" applyProtection="1">
      <alignment horizontal="left" wrapText="1"/>
      <protection locked="0"/>
    </xf>
    <xf numFmtId="0" fontId="7" fillId="0" borderId="31" xfId="148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28" fillId="0" borderId="31" xfId="157" applyFont="1" applyBorder="1" applyAlignment="1">
      <alignment horizontal="center"/>
    </xf>
    <xf numFmtId="0" fontId="77" fillId="0" borderId="31" xfId="157" applyFont="1" applyFill="1" applyBorder="1" applyAlignment="1">
      <alignment horizontal="center"/>
    </xf>
    <xf numFmtId="0" fontId="39" fillId="29" borderId="0" xfId="156" applyFont="1" applyFill="1" applyAlignment="1">
      <alignment horizontal="left"/>
    </xf>
    <xf numFmtId="0" fontId="7" fillId="29" borderId="0" xfId="156" applyFont="1" applyFill="1" applyAlignment="1">
      <alignment horizontal="left"/>
    </xf>
    <xf numFmtId="164" fontId="81" fillId="0" borderId="31" xfId="87" applyFont="1" applyFill="1" applyBorder="1" applyAlignment="1">
      <alignment horizontal="center" vertical="top" wrapText="1"/>
    </xf>
    <xf numFmtId="0" fontId="81" fillId="0" borderId="31" xfId="155" applyNumberFormat="1" applyFont="1" applyFill="1" applyBorder="1" applyAlignment="1">
      <alignment horizontal="center" vertical="top" wrapText="1"/>
    </xf>
    <xf numFmtId="164" fontId="109" fillId="0" borderId="31" xfId="87" applyFont="1" applyFill="1" applyBorder="1" applyAlignment="1">
      <alignment horizontal="center" vertical="top" wrapText="1"/>
    </xf>
    <xf numFmtId="164" fontId="81" fillId="31" borderId="16" xfId="87" applyFont="1" applyFill="1" applyBorder="1" applyAlignment="1">
      <alignment horizontal="center" vertical="top" wrapText="1"/>
    </xf>
    <xf numFmtId="164" fontId="81" fillId="31" borderId="30" xfId="87" applyFont="1" applyFill="1" applyBorder="1" applyAlignment="1">
      <alignment horizontal="center" vertical="top" wrapText="1"/>
    </xf>
    <xf numFmtId="164" fontId="81" fillId="0" borderId="16" xfId="87" applyFont="1" applyFill="1" applyBorder="1" applyAlignment="1">
      <alignment horizontal="center" vertical="top" wrapText="1"/>
    </xf>
    <xf numFmtId="164" fontId="81" fillId="0" borderId="30" xfId="87" applyFont="1" applyFill="1" applyBorder="1" applyAlignment="1">
      <alignment horizontal="center" vertical="top" wrapText="1"/>
    </xf>
    <xf numFmtId="0" fontId="81" fillId="31" borderId="31" xfId="155" applyNumberFormat="1" applyFont="1" applyFill="1" applyBorder="1" applyAlignment="1">
      <alignment horizontal="center" vertical="top" wrapText="1"/>
    </xf>
    <xf numFmtId="0" fontId="7" fillId="0" borderId="16" xfId="151" applyFont="1" applyBorder="1" applyAlignment="1">
      <alignment horizontal="center" vertical="top" wrapText="1"/>
    </xf>
    <xf numFmtId="0" fontId="7" fillId="0" borderId="30" xfId="151" applyFont="1" applyBorder="1" applyAlignment="1">
      <alignment horizontal="center" vertical="top" wrapText="1"/>
    </xf>
    <xf numFmtId="0" fontId="7" fillId="0" borderId="33" xfId="151" applyFont="1" applyBorder="1" applyAlignment="1">
      <alignment horizontal="center" vertical="top"/>
    </xf>
    <xf numFmtId="0" fontId="7" fillId="0" borderId="32" xfId="151" applyFont="1" applyBorder="1" applyAlignment="1">
      <alignment horizontal="center" vertical="top"/>
    </xf>
    <xf numFmtId="0" fontId="7" fillId="0" borderId="18" xfId="151" applyFont="1" applyBorder="1" applyAlignment="1">
      <alignment horizontal="center" vertical="top" wrapText="1"/>
    </xf>
    <xf numFmtId="0" fontId="124" fillId="0" borderId="36" xfId="151" applyFont="1" applyBorder="1" applyAlignment="1">
      <alignment horizontal="center" vertical="top"/>
    </xf>
    <xf numFmtId="164" fontId="109" fillId="0" borderId="16" xfId="87" applyFont="1" applyFill="1" applyBorder="1" applyAlignment="1">
      <alignment horizontal="center" vertical="top" wrapText="1"/>
    </xf>
    <xf numFmtId="164" fontId="109" fillId="0" borderId="30" xfId="87" applyFont="1" applyFill="1" applyBorder="1" applyAlignment="1">
      <alignment horizontal="center" vertical="top" wrapText="1"/>
    </xf>
    <xf numFmtId="0" fontId="92" fillId="0" borderId="31" xfId="43" applyFont="1" applyBorder="1" applyAlignment="1">
      <alignment horizontal="center"/>
    </xf>
    <xf numFmtId="0" fontId="123" fillId="0" borderId="16" xfId="43" applyFont="1" applyBorder="1" applyAlignment="1">
      <alignment horizontal="center" vertical="top" wrapText="1"/>
    </xf>
    <xf numFmtId="0" fontId="123" fillId="0" borderId="30" xfId="43" applyFont="1" applyBorder="1" applyAlignment="1">
      <alignment horizontal="center" vertical="top" wrapText="1"/>
    </xf>
    <xf numFmtId="0" fontId="123" fillId="0" borderId="33" xfId="43" applyFont="1" applyBorder="1" applyAlignment="1">
      <alignment horizontal="center" vertical="top"/>
    </xf>
    <xf numFmtId="0" fontId="123" fillId="0" borderId="20" xfId="43" applyFont="1" applyBorder="1" applyAlignment="1">
      <alignment horizontal="center" vertical="top"/>
    </xf>
    <xf numFmtId="0" fontId="123" fillId="0" borderId="32" xfId="43" applyFont="1" applyBorder="1" applyAlignment="1">
      <alignment horizontal="center" vertical="top"/>
    </xf>
    <xf numFmtId="0" fontId="92" fillId="0" borderId="16" xfId="43" applyFont="1" applyBorder="1" applyAlignment="1">
      <alignment horizontal="center" vertical="top" wrapText="1"/>
    </xf>
    <xf numFmtId="0" fontId="92" fillId="0" borderId="30" xfId="43" applyFont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vertical="top" wrapText="1"/>
    </xf>
    <xf numFmtId="0" fontId="81" fillId="0" borderId="20" xfId="0" applyFont="1" applyFill="1" applyBorder="1" applyAlignment="1">
      <alignment horizontal="center" vertical="top" wrapText="1"/>
    </xf>
    <xf numFmtId="0" fontId="81" fillId="0" borderId="33" xfId="43" applyFont="1" applyFill="1" applyBorder="1" applyAlignment="1">
      <alignment horizontal="center" vertical="top" wrapText="1"/>
    </xf>
    <xf numFmtId="0" fontId="81" fillId="0" borderId="32" xfId="43" applyFont="1" applyFill="1" applyBorder="1" applyAlignment="1">
      <alignment horizontal="center" vertical="top" wrapText="1"/>
    </xf>
    <xf numFmtId="0" fontId="81" fillId="0" borderId="31" xfId="0" applyFont="1" applyFill="1" applyBorder="1" applyAlignment="1">
      <alignment horizontal="center" vertical="top" wrapText="1"/>
    </xf>
    <xf numFmtId="164" fontId="81" fillId="0" borderId="33" xfId="87" applyFont="1" applyFill="1" applyBorder="1" applyAlignment="1">
      <alignment horizontal="center" vertical="top" wrapText="1"/>
    </xf>
    <xf numFmtId="164" fontId="81" fillId="0" borderId="20" xfId="87" applyFont="1" applyFill="1" applyBorder="1" applyAlignment="1">
      <alignment horizontal="center" vertical="top" wrapText="1"/>
    </xf>
    <xf numFmtId="164" fontId="81" fillId="0" borderId="32" xfId="87" applyFont="1" applyFill="1" applyBorder="1" applyAlignment="1">
      <alignment horizontal="center" vertical="top" wrapText="1"/>
    </xf>
    <xf numFmtId="0" fontId="28" fillId="31" borderId="16" xfId="153" applyFont="1" applyFill="1" applyBorder="1" applyAlignment="1" applyProtection="1">
      <alignment horizontal="center" vertical="top" wrapText="1"/>
    </xf>
    <xf numFmtId="0" fontId="28" fillId="31" borderId="30" xfId="153" applyFont="1" applyFill="1" applyBorder="1" applyAlignment="1" applyProtection="1">
      <alignment horizontal="center" vertical="top" wrapText="1"/>
    </xf>
    <xf numFmtId="0" fontId="28" fillId="0" borderId="13" xfId="153" applyFont="1" applyFill="1" applyBorder="1" applyAlignment="1" applyProtection="1">
      <alignment horizontal="left" vertical="top" wrapText="1"/>
    </xf>
    <xf numFmtId="0" fontId="28" fillId="0" borderId="13" xfId="153" applyFont="1" applyFill="1" applyBorder="1" applyAlignment="1" applyProtection="1">
      <alignment vertical="top" wrapText="1"/>
    </xf>
    <xf numFmtId="0" fontId="26" fillId="0" borderId="13" xfId="153" applyFont="1" applyFill="1" applyBorder="1" applyAlignment="1" applyProtection="1">
      <alignment horizontal="center" vertical="top" wrapText="1"/>
    </xf>
    <xf numFmtId="0" fontId="73" fillId="0" borderId="13" xfId="153" applyFont="1" applyFill="1" applyBorder="1" applyAlignment="1" applyProtection="1">
      <alignment horizontal="center" vertical="top" wrapText="1"/>
    </xf>
    <xf numFmtId="0" fontId="73" fillId="0" borderId="16" xfId="153" applyFont="1" applyFill="1" applyBorder="1" applyAlignment="1" applyProtection="1">
      <alignment horizontal="center" vertical="top" wrapText="1"/>
    </xf>
    <xf numFmtId="0" fontId="73" fillId="0" borderId="30" xfId="153" applyFont="1" applyFill="1" applyBorder="1" applyAlignment="1" applyProtection="1">
      <alignment horizontal="center" vertical="top" wrapText="1"/>
    </xf>
    <xf numFmtId="3" fontId="28" fillId="0" borderId="35" xfId="0" applyNumberFormat="1" applyFont="1" applyBorder="1" applyAlignment="1">
      <alignment horizontal="center"/>
    </xf>
    <xf numFmtId="0" fontId="38" fillId="31" borderId="33" xfId="153" applyFont="1" applyFill="1" applyBorder="1" applyAlignment="1" applyProtection="1">
      <alignment horizontal="center" vertical="top" wrapText="1"/>
    </xf>
    <xf numFmtId="0" fontId="38" fillId="31" borderId="20" xfId="153" applyFont="1" applyFill="1" applyBorder="1" applyAlignment="1" applyProtection="1">
      <alignment horizontal="center" vertical="top" wrapText="1"/>
    </xf>
    <xf numFmtId="0" fontId="38" fillId="31" borderId="32" xfId="153" applyFont="1" applyFill="1" applyBorder="1" applyAlignment="1" applyProtection="1">
      <alignment horizontal="center" vertical="top" wrapText="1"/>
    </xf>
    <xf numFmtId="0" fontId="73" fillId="0" borderId="12" xfId="153" applyFont="1" applyFill="1" applyBorder="1" applyAlignment="1" applyProtection="1">
      <alignment horizontal="center" vertical="top" wrapText="1"/>
    </xf>
    <xf numFmtId="0" fontId="7" fillId="0" borderId="0" xfId="43" applyFont="1" applyBorder="1" applyAlignment="1">
      <alignment horizontal="left"/>
    </xf>
    <xf numFmtId="0" fontId="7" fillId="0" borderId="23" xfId="43" applyFont="1" applyBorder="1" applyAlignment="1">
      <alignment horizontal="left"/>
    </xf>
    <xf numFmtId="0" fontId="7" fillId="0" borderId="38" xfId="43" applyFont="1" applyBorder="1" applyAlignment="1">
      <alignment horizontal="left"/>
    </xf>
    <xf numFmtId="0" fontId="7" fillId="0" borderId="23" xfId="43" applyFont="1" applyBorder="1" applyAlignment="1">
      <alignment horizontal="left" wrapText="1"/>
    </xf>
    <xf numFmtId="0" fontId="7" fillId="0" borderId="0" xfId="43" applyFont="1" applyBorder="1" applyAlignment="1">
      <alignment horizontal="left" wrapText="1"/>
    </xf>
    <xf numFmtId="0" fontId="7" fillId="0" borderId="38" xfId="43" applyFont="1" applyBorder="1" applyAlignment="1">
      <alignment horizontal="left" wrapText="1"/>
    </xf>
    <xf numFmtId="0" fontId="7" fillId="0" borderId="23" xfId="151" applyBorder="1" applyAlignment="1">
      <alignment horizontal="left" wrapText="1"/>
    </xf>
    <xf numFmtId="0" fontId="7" fillId="0" borderId="0" xfId="151" applyBorder="1" applyAlignment="1">
      <alignment horizontal="left" wrapText="1"/>
    </xf>
    <xf numFmtId="0" fontId="7" fillId="0" borderId="38" xfId="151" applyBorder="1" applyAlignment="1">
      <alignment horizontal="left" wrapText="1"/>
    </xf>
    <xf numFmtId="0" fontId="7" fillId="0" borderId="14" xfId="151" applyBorder="1" applyAlignment="1">
      <alignment horizontal="left" wrapText="1"/>
    </xf>
    <xf numFmtId="0" fontId="7" fillId="0" borderId="35" xfId="151" applyBorder="1" applyAlignment="1">
      <alignment horizontal="left" wrapText="1"/>
    </xf>
    <xf numFmtId="0" fontId="7" fillId="0" borderId="17" xfId="151" applyBorder="1" applyAlignment="1">
      <alignment horizontal="left" wrapText="1"/>
    </xf>
    <xf numFmtId="0" fontId="7" fillId="0" borderId="18" xfId="43" applyFont="1" applyBorder="1" applyAlignment="1">
      <alignment horizontal="left"/>
    </xf>
    <xf numFmtId="0" fontId="7" fillId="0" borderId="36" xfId="43" applyFont="1" applyBorder="1" applyAlignment="1">
      <alignment horizontal="left"/>
    </xf>
    <xf numFmtId="0" fontId="7" fillId="0" borderId="52" xfId="43" applyFont="1" applyBorder="1" applyAlignment="1">
      <alignment horizontal="left"/>
    </xf>
    <xf numFmtId="0" fontId="26" fillId="0" borderId="23" xfId="43" applyFont="1" applyBorder="1" applyAlignment="1">
      <alignment horizontal="left" wrapText="1"/>
    </xf>
    <xf numFmtId="0" fontId="26" fillId="0" borderId="0" xfId="43" applyFont="1" applyBorder="1" applyAlignment="1">
      <alignment horizontal="left" wrapText="1"/>
    </xf>
    <xf numFmtId="0" fontId="26" fillId="0" borderId="38" xfId="43" applyFont="1" applyBorder="1" applyAlignment="1">
      <alignment horizontal="left" wrapText="1"/>
    </xf>
    <xf numFmtId="0" fontId="7" fillId="0" borderId="33" xfId="43" applyFont="1" applyBorder="1" applyAlignment="1">
      <alignment horizontal="left" vertical="top" wrapText="1"/>
    </xf>
    <xf numFmtId="0" fontId="7" fillId="0" borderId="20" xfId="43" applyBorder="1" applyAlignment="1">
      <alignment horizontal="left" vertical="top" wrapText="1"/>
    </xf>
    <xf numFmtId="0" fontId="7" fillId="0" borderId="32" xfId="43" applyBorder="1" applyAlignment="1">
      <alignment horizontal="left" vertical="top" wrapText="1"/>
    </xf>
    <xf numFmtId="0" fontId="26" fillId="0" borderId="18" xfId="43" applyFont="1" applyBorder="1" applyAlignment="1">
      <alignment horizontal="left" wrapText="1"/>
    </xf>
    <xf numFmtId="0" fontId="26" fillId="0" borderId="36" xfId="43" applyFont="1" applyBorder="1" applyAlignment="1">
      <alignment horizontal="left" wrapText="1"/>
    </xf>
    <xf numFmtId="0" fontId="26" fillId="0" borderId="52" xfId="43" applyFont="1" applyBorder="1" applyAlignment="1">
      <alignment horizontal="left" wrapText="1"/>
    </xf>
    <xf numFmtId="0" fontId="26" fillId="0" borderId="28" xfId="43" applyFont="1" applyBorder="1" applyAlignment="1">
      <alignment horizontal="left"/>
    </xf>
    <xf numFmtId="0" fontId="26" fillId="0" borderId="37" xfId="43" applyFont="1" applyBorder="1" applyAlignment="1">
      <alignment horizontal="left"/>
    </xf>
    <xf numFmtId="0" fontId="26" fillId="0" borderId="51" xfId="43" applyFont="1" applyBorder="1" applyAlignment="1">
      <alignment horizontal="left"/>
    </xf>
    <xf numFmtId="0" fontId="7" fillId="0" borderId="14" xfId="43" applyFont="1" applyBorder="1" applyAlignment="1">
      <alignment horizontal="left" vertical="top"/>
    </xf>
    <xf numFmtId="0" fontId="7" fillId="0" borderId="35" xfId="43" applyFont="1" applyBorder="1" applyAlignment="1">
      <alignment horizontal="left" vertical="top"/>
    </xf>
    <xf numFmtId="0" fontId="7" fillId="0" borderId="17" xfId="43" applyFont="1" applyBorder="1" applyAlignment="1">
      <alignment horizontal="left" vertical="top"/>
    </xf>
    <xf numFmtId="0" fontId="7" fillId="0" borderId="0" xfId="43" applyAlignment="1">
      <alignment horizontal="left"/>
    </xf>
    <xf numFmtId="0" fontId="28" fillId="0" borderId="18" xfId="43" applyFont="1" applyBorder="1" applyAlignment="1">
      <alignment horizontal="left"/>
    </xf>
    <xf numFmtId="0" fontId="28" fillId="0" borderId="36" xfId="43" applyFont="1" applyBorder="1" applyAlignment="1">
      <alignment horizontal="left"/>
    </xf>
    <xf numFmtId="0" fontId="28" fillId="0" borderId="52" xfId="43" applyFont="1" applyBorder="1" applyAlignment="1">
      <alignment horizontal="left"/>
    </xf>
    <xf numFmtId="0" fontId="7" fillId="0" borderId="33" xfId="43" applyBorder="1" applyAlignment="1">
      <alignment horizontal="left" vertical="top"/>
    </xf>
    <xf numFmtId="0" fontId="7" fillId="0" borderId="20" xfId="43" applyBorder="1" applyAlignment="1">
      <alignment horizontal="left" vertical="top"/>
    </xf>
    <xf numFmtId="0" fontId="7" fillId="0" borderId="32" xfId="43" applyBorder="1" applyAlignment="1">
      <alignment horizontal="left" vertical="top"/>
    </xf>
    <xf numFmtId="0" fontId="7" fillId="0" borderId="33" xfId="43" applyFont="1" applyBorder="1" applyAlignment="1">
      <alignment horizontal="left" vertical="top"/>
    </xf>
    <xf numFmtId="0" fontId="7" fillId="0" borderId="20" xfId="43" applyFont="1" applyBorder="1" applyAlignment="1">
      <alignment horizontal="left" vertical="top"/>
    </xf>
    <xf numFmtId="0" fontId="7" fillId="0" borderId="32" xfId="43" applyFont="1" applyBorder="1" applyAlignment="1">
      <alignment horizontal="left" vertical="top"/>
    </xf>
    <xf numFmtId="0" fontId="7" fillId="0" borderId="33" xfId="43" applyFont="1" applyFill="1" applyBorder="1" applyAlignment="1">
      <alignment horizontal="left" vertical="top" wrapText="1"/>
    </xf>
    <xf numFmtId="0" fontId="7" fillId="0" borderId="20" xfId="43" applyFont="1" applyFill="1" applyBorder="1" applyAlignment="1">
      <alignment horizontal="left" vertical="top" wrapText="1"/>
    </xf>
    <xf numFmtId="0" fontId="7" fillId="0" borderId="32" xfId="43" applyFont="1" applyFill="1" applyBorder="1" applyAlignment="1">
      <alignment horizontal="left" vertical="top" wrapText="1"/>
    </xf>
    <xf numFmtId="0" fontId="87" fillId="0" borderId="16" xfId="43" applyFont="1" applyFill="1" applyBorder="1" applyAlignment="1" applyProtection="1">
      <alignment horizontal="center" vertical="top" wrapText="1"/>
    </xf>
    <xf numFmtId="0" fontId="87" fillId="0" borderId="30" xfId="43" applyFont="1" applyFill="1" applyBorder="1" applyAlignment="1" applyProtection="1">
      <alignment horizontal="center" vertical="top" wrapText="1"/>
    </xf>
    <xf numFmtId="0" fontId="40" fillId="0" borderId="16" xfId="43" applyFont="1" applyBorder="1" applyAlignment="1">
      <alignment horizontal="center" wrapText="1"/>
    </xf>
    <xf numFmtId="0" fontId="40" fillId="0" borderId="15" xfId="43" applyFont="1" applyBorder="1" applyAlignment="1">
      <alignment horizontal="center" wrapText="1"/>
    </xf>
    <xf numFmtId="0" fontId="40" fillId="0" borderId="27" xfId="43" applyFont="1" applyBorder="1" applyAlignment="1">
      <alignment horizontal="center" wrapText="1"/>
    </xf>
    <xf numFmtId="0" fontId="40" fillId="0" borderId="16" xfId="43" applyFont="1" applyBorder="1" applyAlignment="1">
      <alignment horizontal="center"/>
    </xf>
    <xf numFmtId="0" fontId="40" fillId="0" borderId="15" xfId="43" applyFont="1" applyBorder="1" applyAlignment="1">
      <alignment horizontal="center"/>
    </xf>
    <xf numFmtId="0" fontId="40" fillId="0" borderId="30" xfId="43" applyFont="1" applyBorder="1" applyAlignment="1">
      <alignment horizontal="center"/>
    </xf>
    <xf numFmtId="0" fontId="40" fillId="0" borderId="30" xfId="43" applyFont="1" applyBorder="1" applyAlignment="1">
      <alignment horizontal="center" wrapText="1"/>
    </xf>
    <xf numFmtId="0" fontId="34" fillId="0" borderId="34" xfId="43" applyFont="1" applyBorder="1" applyAlignment="1">
      <alignment vertical="top" wrapText="1"/>
    </xf>
    <xf numFmtId="0" fontId="34" fillId="0" borderId="20" xfId="43" applyFont="1" applyBorder="1" applyAlignment="1">
      <alignment vertical="top" wrapText="1"/>
    </xf>
    <xf numFmtId="0" fontId="34" fillId="0" borderId="48" xfId="43" applyFont="1" applyBorder="1" applyAlignment="1">
      <alignment vertical="top" wrapText="1"/>
    </xf>
    <xf numFmtId="0" fontId="40" fillId="0" borderId="49" xfId="43" applyFont="1" applyBorder="1" applyAlignment="1">
      <alignment horizontal="center"/>
    </xf>
    <xf numFmtId="0" fontId="40" fillId="0" borderId="50" xfId="43" applyFont="1" applyBorder="1" applyAlignment="1">
      <alignment horizontal="center"/>
    </xf>
    <xf numFmtId="0" fontId="40" fillId="0" borderId="44" xfId="43" applyFont="1" applyBorder="1" applyAlignment="1">
      <alignment horizontal="center"/>
    </xf>
    <xf numFmtId="0" fontId="40" fillId="0" borderId="27" xfId="43" applyFont="1" applyBorder="1" applyAlignment="1">
      <alignment horizontal="center"/>
    </xf>
    <xf numFmtId="0" fontId="28" fillId="0" borderId="0" xfId="43" applyFont="1" applyAlignment="1">
      <alignment horizontal="center"/>
    </xf>
    <xf numFmtId="0" fontId="96" fillId="0" borderId="40" xfId="43" applyFont="1" applyBorder="1" applyAlignment="1">
      <alignment horizontal="center" vertical="top" wrapText="1"/>
    </xf>
    <xf numFmtId="0" fontId="96" fillId="0" borderId="41" xfId="43" applyFont="1" applyBorder="1" applyAlignment="1">
      <alignment horizontal="center" vertical="top" wrapText="1"/>
    </xf>
    <xf numFmtId="0" fontId="96" fillId="0" borderId="42" xfId="43" applyFont="1" applyBorder="1" applyAlignment="1">
      <alignment horizontal="center" vertical="top" wrapText="1"/>
    </xf>
    <xf numFmtId="0" fontId="40" fillId="0" borderId="46" xfId="43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67">
    <cellStyle name="20% - Accent1" xfId="1" builtinId="30" customBuiltin="1"/>
    <cellStyle name="20% - Accent1 2" xfId="52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1" xfId="147"/>
    <cellStyle name="Normal 12" xfId="151"/>
    <cellStyle name="Normal 12 2" xfId="159"/>
    <cellStyle name="Normal 13 2" xfId="148"/>
    <cellStyle name="Normal 13 2 2" xfId="162"/>
    <cellStyle name="Normal 15" xfId="161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5" xfId="103"/>
    <cellStyle name="Normal 2 6" xfId="104"/>
    <cellStyle name="Normal 3" xfId="50"/>
    <cellStyle name="Normal 3 10" xfId="105"/>
    <cellStyle name="Normal 3 10 2" xfId="106"/>
    <cellStyle name="Normal 3 11" xfId="107"/>
    <cellStyle name="Normal 3 11 2" xfId="108"/>
    <cellStyle name="Normal 3 12" xfId="109"/>
    <cellStyle name="Normal 3 13" xfId="110"/>
    <cellStyle name="Normal 3 14" xfId="164"/>
    <cellStyle name="Normal 3 2" xfId="111"/>
    <cellStyle name="Normal 3 2 2" xfId="112"/>
    <cellStyle name="Normal 3 2 3" xfId="113"/>
    <cellStyle name="Normal 3 3" xfId="114"/>
    <cellStyle name="Normal 3 3 2" xfId="115"/>
    <cellStyle name="Normal 3 4" xfId="116"/>
    <cellStyle name="Normal 3 4 2" xfId="117"/>
    <cellStyle name="Normal 3 5" xfId="118"/>
    <cellStyle name="Normal 3 5 2" xfId="119"/>
    <cellStyle name="Normal 3 6" xfId="120"/>
    <cellStyle name="Normal 3 7" xfId="121"/>
    <cellStyle name="Normal 3 8" xfId="122"/>
    <cellStyle name="Normal 3 8 2" xfId="123"/>
    <cellStyle name="Normal 3 9" xfId="124"/>
    <cellStyle name="Normal 3 9 2" xfId="125"/>
    <cellStyle name="Normal 4" xfId="126"/>
    <cellStyle name="Normal 4 2" xfId="127"/>
    <cellStyle name="Normal 5" xfId="128"/>
    <cellStyle name="Normal 5 2" xfId="129"/>
    <cellStyle name="Normal 5 2 2" xfId="130"/>
    <cellStyle name="Normal 5 3" xfId="131"/>
    <cellStyle name="Normal 6" xfId="132"/>
    <cellStyle name="Normal 7" xfId="133"/>
    <cellStyle name="Normal 7 2" xfId="134"/>
    <cellStyle name="Normal 8" xfId="135"/>
    <cellStyle name="Normal 8 6" xfId="152"/>
    <cellStyle name="Normal 8 6 2" xfId="154"/>
    <cellStyle name="Normal 8 6 2 2" xfId="158"/>
    <cellStyle name="Normal 8 6 2 2 4" xfId="165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166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" xfId="150" builtinId="5"/>
    <cellStyle name="Percent 2" xfId="46"/>
    <cellStyle name="Percent 3" xfId="139"/>
    <cellStyle name="Percent 4" xfId="160"/>
    <cellStyle name="Percent 5 2 4" xfId="163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colors>
    <mruColors>
      <color rgb="FFFFFF99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165"/>
  <sheetViews>
    <sheetView showZeros="0" tabSelected="1" zoomScaleNormal="100" workbookViewId="0"/>
  </sheetViews>
  <sheetFormatPr defaultColWidth="11.42578125" defaultRowHeight="12.75"/>
  <cols>
    <col min="1" max="1" width="49.140625" style="434" customWidth="1"/>
    <col min="2" max="2" width="23.85546875" style="416" customWidth="1"/>
    <col min="3" max="3" width="3.85546875" style="416" customWidth="1"/>
    <col min="4" max="4" width="20.5703125" style="416" customWidth="1"/>
    <col min="5" max="5" width="3.85546875" style="416" customWidth="1"/>
    <col min="6" max="16384" width="11.42578125" style="416"/>
  </cols>
  <sheetData>
    <row r="1" spans="1:4" ht="25.5">
      <c r="A1" s="415" t="s">
        <v>545</v>
      </c>
      <c r="B1" s="368" t="s">
        <v>521</v>
      </c>
    </row>
    <row r="2" spans="1:4" ht="7.5" customHeight="1">
      <c r="A2" s="268"/>
    </row>
    <row r="3" spans="1:4">
      <c r="A3" s="268"/>
      <c r="B3" s="417" t="s">
        <v>505</v>
      </c>
    </row>
    <row r="4" spans="1:4" s="419" customFormat="1">
      <c r="A4" s="418" t="s">
        <v>522</v>
      </c>
      <c r="B4" s="701" t="s">
        <v>748</v>
      </c>
      <c r="C4" s="702"/>
      <c r="D4" s="702"/>
    </row>
    <row r="5" spans="1:4" s="419" customFormat="1">
      <c r="A5" s="418"/>
      <c r="B5" s="420"/>
    </row>
    <row r="6" spans="1:4" s="419" customFormat="1" ht="12.75" customHeight="1">
      <c r="A6" s="421"/>
      <c r="B6" s="699" t="s">
        <v>523</v>
      </c>
      <c r="D6" s="700" t="s">
        <v>519</v>
      </c>
    </row>
    <row r="7" spans="1:4" s="419" customFormat="1">
      <c r="A7" s="422" t="s">
        <v>524</v>
      </c>
      <c r="B7" s="423" t="s">
        <v>163</v>
      </c>
      <c r="D7" s="423" t="s">
        <v>163</v>
      </c>
    </row>
    <row r="8" spans="1:4" s="419" customFormat="1" ht="12.75" customHeight="1">
      <c r="A8" s="424" t="s">
        <v>525</v>
      </c>
      <c r="B8" s="425"/>
    </row>
    <row r="9" spans="1:4" s="419" customFormat="1" ht="12.75" customHeight="1">
      <c r="A9" s="426"/>
      <c r="B9" s="425"/>
    </row>
    <row r="10" spans="1:4" s="419" customFormat="1" ht="12.75" customHeight="1">
      <c r="A10" s="424" t="s">
        <v>526</v>
      </c>
      <c r="B10" s="425"/>
      <c r="D10" s="425"/>
    </row>
    <row r="11" spans="1:4" s="419" customFormat="1" ht="12.75" customHeight="1">
      <c r="A11" s="426"/>
      <c r="B11" s="425"/>
      <c r="D11" s="416"/>
    </row>
    <row r="12" spans="1:4" s="419" customFormat="1" ht="12.75" customHeight="1">
      <c r="A12" s="424" t="s">
        <v>527</v>
      </c>
      <c r="B12" s="425"/>
      <c r="D12" s="425"/>
    </row>
    <row r="13" spans="1:4" s="419" customFormat="1" ht="12.75" customHeight="1">
      <c r="A13" s="427" t="s">
        <v>528</v>
      </c>
      <c r="B13" s="425"/>
      <c r="D13" s="425"/>
    </row>
    <row r="14" spans="1:4" s="419" customFormat="1" ht="12.75" customHeight="1">
      <c r="A14" s="428" t="s">
        <v>529</v>
      </c>
      <c r="B14" s="425"/>
      <c r="D14" s="425"/>
    </row>
    <row r="15" spans="1:4" s="419" customFormat="1" ht="12.75" customHeight="1">
      <c r="A15" s="428" t="s">
        <v>530</v>
      </c>
      <c r="B15" s="425"/>
      <c r="D15" s="425"/>
    </row>
    <row r="16" spans="1:4" s="419" customFormat="1" ht="25.5">
      <c r="A16" s="428" t="s">
        <v>531</v>
      </c>
      <c r="B16" s="425"/>
      <c r="D16" s="425"/>
    </row>
    <row r="17" spans="1:4" s="419" customFormat="1" ht="25.5">
      <c r="A17" s="428" t="s">
        <v>532</v>
      </c>
      <c r="B17" s="425"/>
      <c r="D17" s="425"/>
    </row>
    <row r="18" spans="1:4" s="419" customFormat="1" ht="12.75" customHeight="1">
      <c r="A18" s="429" t="s">
        <v>533</v>
      </c>
      <c r="B18" s="425"/>
      <c r="D18" s="425"/>
    </row>
    <row r="19" spans="1:4" s="419" customFormat="1" ht="12.75" customHeight="1">
      <c r="A19" s="429" t="s">
        <v>534</v>
      </c>
      <c r="B19" s="425"/>
      <c r="D19" s="425"/>
    </row>
    <row r="20" spans="1:4" s="419" customFormat="1" ht="12.75" customHeight="1">
      <c r="A20" s="429"/>
      <c r="B20" s="425"/>
    </row>
    <row r="21" spans="1:4" s="419" customFormat="1" ht="12.75" customHeight="1">
      <c r="A21" s="424" t="s">
        <v>162</v>
      </c>
      <c r="B21" s="425"/>
      <c r="D21" s="425"/>
    </row>
    <row r="22" spans="1:4" s="419" customFormat="1" ht="12.75" customHeight="1">
      <c r="A22" s="430" t="s">
        <v>535</v>
      </c>
      <c r="B22" s="425"/>
      <c r="D22" s="425"/>
    </row>
    <row r="23" spans="1:4" s="419" customFormat="1" ht="25.5">
      <c r="A23" s="428" t="s">
        <v>536</v>
      </c>
      <c r="B23" s="425"/>
      <c r="D23" s="425"/>
    </row>
    <row r="24" spans="1:4" s="419" customFormat="1" ht="12.75" customHeight="1">
      <c r="A24" s="426"/>
      <c r="B24" s="425"/>
    </row>
    <row r="25" spans="1:4" s="419" customFormat="1" ht="12.75" customHeight="1">
      <c r="A25" s="424" t="s">
        <v>537</v>
      </c>
      <c r="B25" s="425"/>
      <c r="D25" s="684"/>
    </row>
    <row r="26" spans="1:4" s="419" customFormat="1" ht="12.75" customHeight="1">
      <c r="A26" s="426"/>
      <c r="B26" s="425"/>
    </row>
    <row r="27" spans="1:4" s="419" customFormat="1" ht="12.75" customHeight="1">
      <c r="A27" s="424" t="s">
        <v>538</v>
      </c>
      <c r="B27" s="425"/>
    </row>
    <row r="28" spans="1:4" s="419" customFormat="1" ht="24.75" customHeight="1">
      <c r="A28" s="428" t="s">
        <v>539</v>
      </c>
      <c r="B28" s="425"/>
    </row>
    <row r="29" spans="1:4" s="419" customFormat="1" ht="12.75" customHeight="1">
      <c r="A29" s="426"/>
      <c r="B29" s="425"/>
    </row>
    <row r="30" spans="1:4" s="419" customFormat="1" ht="12.75" customHeight="1">
      <c r="A30" s="424" t="s">
        <v>540</v>
      </c>
      <c r="B30" s="425"/>
    </row>
    <row r="31" spans="1:4" s="419" customFormat="1" ht="12.75" customHeight="1">
      <c r="A31" s="269"/>
      <c r="B31" s="431"/>
    </row>
    <row r="32" spans="1:4" s="419" customFormat="1" ht="12.75" customHeight="1">
      <c r="A32" s="269"/>
      <c r="B32" s="431"/>
    </row>
    <row r="33" spans="1:2" s="419" customFormat="1" ht="12.75" customHeight="1">
      <c r="A33" s="269"/>
      <c r="B33" s="431"/>
    </row>
    <row r="34" spans="1:2" s="419" customFormat="1" ht="12.75" customHeight="1">
      <c r="A34" s="432" t="s">
        <v>541</v>
      </c>
    </row>
    <row r="35" spans="1:2" ht="14.25" customHeight="1">
      <c r="A35" s="433" t="s">
        <v>542</v>
      </c>
      <c r="B35" s="433"/>
    </row>
    <row r="36" spans="1:2" ht="15" customHeight="1">
      <c r="A36" s="196" t="s">
        <v>543</v>
      </c>
      <c r="B36" s="434"/>
    </row>
    <row r="37" spans="1:2" ht="15" customHeight="1">
      <c r="A37" s="196"/>
      <c r="B37" s="434"/>
    </row>
    <row r="38" spans="1:2" ht="15" customHeight="1">
      <c r="A38" s="196" t="s">
        <v>698</v>
      </c>
      <c r="B38" s="434"/>
    </row>
    <row r="39" spans="1:2">
      <c r="A39" s="435"/>
      <c r="B39" s="267"/>
    </row>
    <row r="40" spans="1:2">
      <c r="A40" s="435"/>
      <c r="B40" s="267"/>
    </row>
    <row r="41" spans="1:2">
      <c r="B41" s="434"/>
    </row>
    <row r="42" spans="1:2" s="270" customFormat="1">
      <c r="A42" s="434"/>
      <c r="B42" s="267"/>
    </row>
    <row r="43" spans="1:2" s="270" customFormat="1">
      <c r="A43" s="436"/>
      <c r="B43" s="267"/>
    </row>
    <row r="44" spans="1:2">
      <c r="A44" s="436"/>
      <c r="B44" s="434"/>
    </row>
    <row r="45" spans="1:2">
      <c r="B45" s="434"/>
    </row>
    <row r="46" spans="1:2">
      <c r="B46" s="434"/>
    </row>
    <row r="47" spans="1:2">
      <c r="B47" s="434"/>
    </row>
    <row r="48" spans="1:2">
      <c r="B48" s="434"/>
    </row>
    <row r="49" spans="2:2">
      <c r="B49" s="434"/>
    </row>
    <row r="50" spans="2:2">
      <c r="B50" s="434"/>
    </row>
    <row r="51" spans="2:2">
      <c r="B51" s="434"/>
    </row>
    <row r="52" spans="2:2">
      <c r="B52" s="434"/>
    </row>
    <row r="53" spans="2:2">
      <c r="B53" s="434"/>
    </row>
    <row r="54" spans="2:2">
      <c r="B54" s="434"/>
    </row>
    <row r="55" spans="2:2">
      <c r="B55" s="434"/>
    </row>
    <row r="56" spans="2:2">
      <c r="B56" s="434"/>
    </row>
    <row r="57" spans="2:2">
      <c r="B57" s="434"/>
    </row>
    <row r="58" spans="2:2">
      <c r="B58" s="434"/>
    </row>
    <row r="59" spans="2:2">
      <c r="B59" s="434"/>
    </row>
    <row r="60" spans="2:2">
      <c r="B60" s="434"/>
    </row>
    <row r="61" spans="2:2">
      <c r="B61" s="434"/>
    </row>
    <row r="62" spans="2:2">
      <c r="B62" s="434"/>
    </row>
    <row r="63" spans="2:2">
      <c r="B63" s="434"/>
    </row>
    <row r="64" spans="2:2">
      <c r="B64" s="434"/>
    </row>
    <row r="65" spans="2:2">
      <c r="B65" s="434"/>
    </row>
    <row r="66" spans="2:2">
      <c r="B66" s="434"/>
    </row>
    <row r="67" spans="2:2">
      <c r="B67" s="434"/>
    </row>
    <row r="68" spans="2:2">
      <c r="B68" s="434"/>
    </row>
    <row r="69" spans="2:2">
      <c r="B69" s="434"/>
    </row>
    <row r="70" spans="2:2">
      <c r="B70" s="434"/>
    </row>
    <row r="71" spans="2:2">
      <c r="B71" s="434"/>
    </row>
    <row r="72" spans="2:2">
      <c r="B72" s="434"/>
    </row>
    <row r="73" spans="2:2">
      <c r="B73" s="434"/>
    </row>
    <row r="74" spans="2:2">
      <c r="B74" s="434"/>
    </row>
    <row r="75" spans="2:2">
      <c r="B75" s="434"/>
    </row>
    <row r="76" spans="2:2">
      <c r="B76" s="434"/>
    </row>
    <row r="77" spans="2:2">
      <c r="B77" s="434"/>
    </row>
    <row r="78" spans="2:2">
      <c r="B78" s="434"/>
    </row>
    <row r="79" spans="2:2">
      <c r="B79" s="434"/>
    </row>
    <row r="80" spans="2:2">
      <c r="B80" s="434"/>
    </row>
    <row r="81" spans="2:2">
      <c r="B81" s="434"/>
    </row>
    <row r="82" spans="2:2">
      <c r="B82" s="434"/>
    </row>
    <row r="83" spans="2:2">
      <c r="B83" s="434"/>
    </row>
    <row r="84" spans="2:2">
      <c r="B84" s="434"/>
    </row>
    <row r="85" spans="2:2">
      <c r="B85" s="434"/>
    </row>
    <row r="86" spans="2:2">
      <c r="B86" s="434"/>
    </row>
    <row r="87" spans="2:2">
      <c r="B87" s="434"/>
    </row>
    <row r="88" spans="2:2">
      <c r="B88" s="434"/>
    </row>
    <row r="89" spans="2:2">
      <c r="B89" s="434"/>
    </row>
    <row r="90" spans="2:2">
      <c r="B90" s="434"/>
    </row>
    <row r="91" spans="2:2">
      <c r="B91" s="434"/>
    </row>
    <row r="92" spans="2:2">
      <c r="B92" s="434"/>
    </row>
    <row r="93" spans="2:2">
      <c r="B93" s="434"/>
    </row>
    <row r="94" spans="2:2">
      <c r="B94" s="434"/>
    </row>
    <row r="95" spans="2:2">
      <c r="B95" s="434"/>
    </row>
    <row r="96" spans="2:2">
      <c r="B96" s="434"/>
    </row>
    <row r="97" spans="2:2">
      <c r="B97" s="434"/>
    </row>
    <row r="98" spans="2:2">
      <c r="B98" s="434"/>
    </row>
    <row r="99" spans="2:2">
      <c r="B99" s="434"/>
    </row>
    <row r="100" spans="2:2">
      <c r="B100" s="434"/>
    </row>
    <row r="101" spans="2:2">
      <c r="B101" s="434"/>
    </row>
    <row r="102" spans="2:2">
      <c r="B102" s="434"/>
    </row>
    <row r="103" spans="2:2">
      <c r="B103" s="434"/>
    </row>
    <row r="104" spans="2:2">
      <c r="B104" s="434"/>
    </row>
    <row r="105" spans="2:2">
      <c r="B105" s="434"/>
    </row>
    <row r="106" spans="2:2">
      <c r="B106" s="434"/>
    </row>
    <row r="107" spans="2:2">
      <c r="B107" s="434"/>
    </row>
    <row r="108" spans="2:2">
      <c r="B108" s="434"/>
    </row>
    <row r="109" spans="2:2">
      <c r="B109" s="434"/>
    </row>
    <row r="110" spans="2:2">
      <c r="B110" s="434"/>
    </row>
    <row r="111" spans="2:2">
      <c r="B111" s="434"/>
    </row>
    <row r="112" spans="2:2">
      <c r="B112" s="434"/>
    </row>
    <row r="113" spans="2:2">
      <c r="B113" s="434"/>
    </row>
    <row r="114" spans="2:2">
      <c r="B114" s="434"/>
    </row>
    <row r="115" spans="2:2">
      <c r="B115" s="434"/>
    </row>
    <row r="116" spans="2:2">
      <c r="B116" s="434"/>
    </row>
    <row r="117" spans="2:2">
      <c r="B117" s="434"/>
    </row>
    <row r="118" spans="2:2">
      <c r="B118" s="434"/>
    </row>
    <row r="119" spans="2:2">
      <c r="B119" s="434"/>
    </row>
    <row r="120" spans="2:2">
      <c r="B120" s="434"/>
    </row>
    <row r="121" spans="2:2">
      <c r="B121" s="434"/>
    </row>
    <row r="122" spans="2:2">
      <c r="B122" s="434"/>
    </row>
    <row r="123" spans="2:2">
      <c r="B123" s="434"/>
    </row>
    <row r="124" spans="2:2">
      <c r="B124" s="434"/>
    </row>
    <row r="125" spans="2:2">
      <c r="B125" s="434"/>
    </row>
    <row r="126" spans="2:2">
      <c r="B126" s="434"/>
    </row>
    <row r="127" spans="2:2">
      <c r="B127" s="434"/>
    </row>
    <row r="128" spans="2:2">
      <c r="B128" s="434"/>
    </row>
    <row r="129" spans="2:2">
      <c r="B129" s="434"/>
    </row>
    <row r="130" spans="2:2">
      <c r="B130" s="434"/>
    </row>
    <row r="131" spans="2:2">
      <c r="B131" s="434"/>
    </row>
    <row r="132" spans="2:2">
      <c r="B132" s="434"/>
    </row>
    <row r="133" spans="2:2">
      <c r="B133" s="434"/>
    </row>
    <row r="134" spans="2:2">
      <c r="B134" s="434"/>
    </row>
    <row r="135" spans="2:2">
      <c r="B135" s="434"/>
    </row>
    <row r="136" spans="2:2">
      <c r="B136" s="434"/>
    </row>
    <row r="137" spans="2:2">
      <c r="B137" s="434"/>
    </row>
    <row r="138" spans="2:2">
      <c r="B138" s="434"/>
    </row>
    <row r="139" spans="2:2">
      <c r="B139" s="434"/>
    </row>
    <row r="140" spans="2:2">
      <c r="B140" s="434"/>
    </row>
    <row r="141" spans="2:2">
      <c r="B141" s="434"/>
    </row>
    <row r="142" spans="2:2">
      <c r="B142" s="434"/>
    </row>
    <row r="143" spans="2:2">
      <c r="B143" s="434"/>
    </row>
    <row r="144" spans="2:2">
      <c r="B144" s="434"/>
    </row>
    <row r="145" spans="2:2">
      <c r="B145" s="434"/>
    </row>
    <row r="146" spans="2:2">
      <c r="B146" s="434"/>
    </row>
    <row r="147" spans="2:2">
      <c r="B147" s="434"/>
    </row>
    <row r="148" spans="2:2">
      <c r="B148" s="434"/>
    </row>
    <row r="149" spans="2:2">
      <c r="B149" s="434"/>
    </row>
    <row r="150" spans="2:2">
      <c r="B150" s="434"/>
    </row>
    <row r="151" spans="2:2">
      <c r="B151" s="434"/>
    </row>
    <row r="152" spans="2:2">
      <c r="B152" s="434"/>
    </row>
    <row r="153" spans="2:2">
      <c r="B153" s="434"/>
    </row>
    <row r="154" spans="2:2">
      <c r="B154" s="434"/>
    </row>
    <row r="155" spans="2:2">
      <c r="B155" s="434"/>
    </row>
    <row r="156" spans="2:2">
      <c r="B156" s="434"/>
    </row>
    <row r="157" spans="2:2">
      <c r="B157" s="434"/>
    </row>
    <row r="158" spans="2:2">
      <c r="B158" s="434"/>
    </row>
    <row r="159" spans="2:2">
      <c r="B159" s="434"/>
    </row>
    <row r="160" spans="2:2">
      <c r="B160" s="434"/>
    </row>
    <row r="161" spans="2:2">
      <c r="B161" s="434"/>
    </row>
    <row r="162" spans="2:2">
      <c r="B162" s="434"/>
    </row>
    <row r="163" spans="2:2">
      <c r="B163" s="434"/>
    </row>
    <row r="164" spans="2:2">
      <c r="B164" s="434"/>
    </row>
    <row r="165" spans="2:2">
      <c r="B165" s="434"/>
    </row>
  </sheetData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Z35"/>
  <sheetViews>
    <sheetView showZeros="0" zoomScaleNormal="100" zoomScaleSheetLayoutView="85" workbookViewId="0">
      <pane xSplit="3" ySplit="4" topLeftCell="D5" activePane="bottomRight" state="frozen"/>
      <selection activeCell="J31" sqref="J31"/>
      <selection pane="topRight" activeCell="J31" sqref="J31"/>
      <selection pane="bottomLeft" activeCell="J31" sqref="J31"/>
      <selection pane="bottomRight" activeCell="C1" sqref="C1"/>
    </sheetView>
  </sheetViews>
  <sheetFormatPr defaultColWidth="9.140625" defaultRowHeight="12.75"/>
  <cols>
    <col min="1" max="1" width="12.85546875" style="52" hidden="1" customWidth="1"/>
    <col min="2" max="2" width="9.140625" style="6" hidden="1" customWidth="1"/>
    <col min="3" max="3" width="42.140625" style="52" customWidth="1"/>
    <col min="4" max="4" width="14.140625" style="168" bestFit="1" customWidth="1"/>
    <col min="5" max="5" width="12.7109375" style="168" hidden="1" customWidth="1"/>
    <col min="6" max="6" width="12" style="168" hidden="1" customWidth="1"/>
    <col min="7" max="7" width="10.42578125" style="168" bestFit="1" customWidth="1"/>
    <col min="8" max="8" width="14.140625" style="168" bestFit="1" customWidth="1"/>
    <col min="9" max="10" width="12.7109375" style="6" hidden="1" customWidth="1"/>
    <col min="11" max="11" width="14.140625" style="6" hidden="1" customWidth="1"/>
    <col min="12" max="12" width="17.42578125" style="6" hidden="1" customWidth="1"/>
    <col min="13" max="13" width="17" style="6" hidden="1" customWidth="1"/>
    <col min="14" max="14" width="14.5703125" style="6" hidden="1" customWidth="1"/>
    <col min="15" max="15" width="17" style="6" hidden="1" customWidth="1"/>
    <col min="16" max="16" width="13.140625" style="6" hidden="1" customWidth="1"/>
    <col min="17" max="18" width="16.28515625" style="6" hidden="1" customWidth="1"/>
    <col min="19" max="19" width="17.140625" style="392" bestFit="1" customWidth="1"/>
    <col min="20" max="20" width="14.140625" style="6" bestFit="1" customWidth="1"/>
    <col min="21" max="21" width="12.7109375" style="6" customWidth="1"/>
    <col min="22" max="22" width="12.7109375" style="6" bestFit="1" customWidth="1"/>
    <col min="23" max="23" width="7.7109375" style="402" bestFit="1" customWidth="1"/>
    <col min="24" max="24" width="24.7109375" style="402" customWidth="1"/>
    <col min="25" max="25" width="12.140625" style="6" customWidth="1"/>
    <col min="26" max="26" width="29.85546875" style="6" customWidth="1"/>
    <col min="27" max="16384" width="9.140625" style="6"/>
  </cols>
  <sheetData>
    <row r="1" spans="1:26" ht="15">
      <c r="A1" s="56"/>
      <c r="C1" s="56" t="s">
        <v>104</v>
      </c>
      <c r="Z1" s="413" t="s">
        <v>515</v>
      </c>
    </row>
    <row r="2" spans="1:26" ht="10.5" customHeight="1">
      <c r="D2" s="145"/>
      <c r="E2" s="145"/>
      <c r="F2" s="145"/>
      <c r="G2" s="145"/>
      <c r="H2" s="145"/>
    </row>
    <row r="3" spans="1:26" ht="12.75" customHeight="1">
      <c r="A3" s="4"/>
      <c r="C3" s="4"/>
      <c r="D3" s="727">
        <v>2018</v>
      </c>
      <c r="E3" s="728"/>
      <c r="F3" s="728"/>
      <c r="G3" s="728"/>
      <c r="H3" s="728"/>
      <c r="I3" s="728"/>
      <c r="J3" s="728"/>
      <c r="K3" s="728"/>
      <c r="L3" s="731">
        <v>2019</v>
      </c>
      <c r="M3" s="731"/>
      <c r="N3" s="731"/>
      <c r="O3" s="731"/>
      <c r="P3" s="731"/>
      <c r="Q3" s="731"/>
      <c r="R3" s="731"/>
      <c r="S3" s="731"/>
      <c r="T3" s="731"/>
      <c r="U3" s="731"/>
      <c r="V3" s="732" t="s">
        <v>508</v>
      </c>
      <c r="W3" s="733"/>
      <c r="X3" s="734"/>
      <c r="Y3" s="729">
        <v>2019</v>
      </c>
      <c r="Z3" s="730"/>
    </row>
    <row r="4" spans="1:26" ht="47.45" customHeight="1">
      <c r="A4" s="178"/>
      <c r="C4" s="114"/>
      <c r="D4" s="177" t="s">
        <v>235</v>
      </c>
      <c r="E4" s="177" t="s">
        <v>671</v>
      </c>
      <c r="F4" s="177" t="s">
        <v>264</v>
      </c>
      <c r="G4" s="645" t="s">
        <v>658</v>
      </c>
      <c r="H4" s="177" t="s">
        <v>236</v>
      </c>
      <c r="I4" s="192" t="s">
        <v>269</v>
      </c>
      <c r="J4" s="192" t="s">
        <v>270</v>
      </c>
      <c r="K4" s="192" t="s">
        <v>271</v>
      </c>
      <c r="L4" s="399" t="s">
        <v>273</v>
      </c>
      <c r="M4" s="399" t="s">
        <v>274</v>
      </c>
      <c r="N4" s="693" t="s">
        <v>710</v>
      </c>
      <c r="O4" s="399" t="s">
        <v>272</v>
      </c>
      <c r="P4" s="399" t="s">
        <v>275</v>
      </c>
      <c r="Q4" s="399" t="s">
        <v>276</v>
      </c>
      <c r="R4" s="399" t="s">
        <v>277</v>
      </c>
      <c r="S4" s="400" t="s">
        <v>517</v>
      </c>
      <c r="T4" s="401" t="s">
        <v>518</v>
      </c>
      <c r="U4" s="399" t="s">
        <v>511</v>
      </c>
      <c r="V4" s="355" t="s">
        <v>48</v>
      </c>
      <c r="W4" s="403" t="s">
        <v>506</v>
      </c>
      <c r="X4" s="646" t="s">
        <v>659</v>
      </c>
      <c r="Y4" s="401" t="s">
        <v>519</v>
      </c>
      <c r="Z4" s="401" t="s">
        <v>520</v>
      </c>
    </row>
    <row r="5" spans="1:26" ht="15.75">
      <c r="A5" s="179"/>
      <c r="C5" s="129" t="s">
        <v>163</v>
      </c>
      <c r="D5" s="135"/>
      <c r="E5" s="135"/>
      <c r="F5" s="135"/>
      <c r="G5" s="135"/>
      <c r="H5" s="135">
        <f t="shared" ref="H5:H35" si="0">SUM(D5:G5)</f>
        <v>0</v>
      </c>
      <c r="I5" s="135"/>
      <c r="J5" s="135"/>
      <c r="K5" s="135">
        <f t="shared" ref="K5:K35" si="1">H5-SUM(I5:J5)</f>
        <v>0</v>
      </c>
      <c r="L5" s="135"/>
      <c r="M5" s="135"/>
      <c r="N5" s="135"/>
      <c r="O5" s="135"/>
      <c r="P5" s="135">
        <f t="shared" ref="P5:P35" si="2">SUM(L5:O5)</f>
        <v>0</v>
      </c>
      <c r="Q5" s="135"/>
      <c r="R5" s="135"/>
      <c r="S5" s="396">
        <f t="shared" ref="S5:S35" si="3">K5+P5+Q5+R5</f>
        <v>0</v>
      </c>
      <c r="T5" s="135">
        <v>0</v>
      </c>
      <c r="U5" s="135">
        <f t="shared" ref="U5:U35" si="4">T5-S5</f>
        <v>0</v>
      </c>
      <c r="V5" s="135">
        <f t="shared" ref="V5:V35" si="5">T5-H5</f>
        <v>0</v>
      </c>
      <c r="W5" s="408" t="str">
        <f t="shared" ref="W5:W35" si="6">IF(H5=0,"",V5/H5)</f>
        <v/>
      </c>
      <c r="X5" s="408"/>
      <c r="Y5" s="135"/>
    </row>
    <row r="6" spans="1:26">
      <c r="A6" s="179"/>
      <c r="C6" s="127"/>
      <c r="D6" s="128"/>
      <c r="E6" s="128"/>
      <c r="F6" s="128"/>
      <c r="G6" s="128"/>
      <c r="H6" s="128">
        <f t="shared" si="0"/>
        <v>0</v>
      </c>
      <c r="I6" s="128"/>
      <c r="J6" s="128"/>
      <c r="K6" s="128">
        <f t="shared" si="1"/>
        <v>0</v>
      </c>
      <c r="L6" s="128"/>
      <c r="M6" s="128"/>
      <c r="N6" s="128"/>
      <c r="O6" s="128"/>
      <c r="P6" s="128">
        <f t="shared" si="2"/>
        <v>0</v>
      </c>
      <c r="Q6" s="128"/>
      <c r="R6" s="128"/>
      <c r="S6" s="137">
        <f t="shared" si="3"/>
        <v>0</v>
      </c>
      <c r="T6" s="128">
        <v>0</v>
      </c>
      <c r="U6" s="128">
        <f t="shared" si="4"/>
        <v>0</v>
      </c>
      <c r="V6" s="128">
        <f t="shared" si="5"/>
        <v>0</v>
      </c>
      <c r="W6" s="409" t="str">
        <f t="shared" si="6"/>
        <v/>
      </c>
      <c r="X6" s="409"/>
      <c r="Y6" s="128"/>
    </row>
    <row r="7" spans="1:26">
      <c r="A7" s="179"/>
      <c r="C7" s="123" t="s">
        <v>162</v>
      </c>
      <c r="D7" s="131">
        <f>D15</f>
        <v>1107820</v>
      </c>
      <c r="E7" s="131"/>
      <c r="F7" s="131">
        <f t="shared" ref="F7" si="7">F15</f>
        <v>32394</v>
      </c>
      <c r="G7" s="131"/>
      <c r="H7" s="131">
        <f t="shared" si="0"/>
        <v>1140214</v>
      </c>
      <c r="I7" s="131">
        <f>I15</f>
        <v>654602</v>
      </c>
      <c r="J7" s="131">
        <f>J15</f>
        <v>210938</v>
      </c>
      <c r="K7" s="131">
        <f>H7-SUM(I7:J7)-G7</f>
        <v>274674</v>
      </c>
      <c r="L7" s="131"/>
      <c r="M7" s="131">
        <f>M15</f>
        <v>0</v>
      </c>
      <c r="N7" s="131"/>
      <c r="O7" s="131"/>
      <c r="P7" s="131">
        <f t="shared" si="2"/>
        <v>0</v>
      </c>
      <c r="Q7" s="131">
        <f>Q15</f>
        <v>210776</v>
      </c>
      <c r="R7" s="131">
        <f>R15</f>
        <v>654602</v>
      </c>
      <c r="S7" s="393">
        <f t="shared" si="3"/>
        <v>1140052</v>
      </c>
      <c r="T7" s="131">
        <f>T15</f>
        <v>1140052</v>
      </c>
      <c r="U7" s="131">
        <f t="shared" si="4"/>
        <v>0</v>
      </c>
      <c r="V7" s="131">
        <f t="shared" si="5"/>
        <v>-162</v>
      </c>
      <c r="W7" s="404">
        <f t="shared" si="6"/>
        <v>-1.4207859226425917E-4</v>
      </c>
      <c r="X7" s="404"/>
      <c r="Y7" s="131"/>
    </row>
    <row r="8" spans="1:26">
      <c r="A8" s="179"/>
      <c r="C8" s="124" t="s">
        <v>233</v>
      </c>
      <c r="D8" s="132">
        <v>62000</v>
      </c>
      <c r="E8" s="132"/>
      <c r="F8" s="132"/>
      <c r="G8" s="132"/>
      <c r="H8" s="132">
        <f t="shared" si="0"/>
        <v>62000</v>
      </c>
      <c r="I8" s="132"/>
      <c r="J8" s="132"/>
      <c r="K8" s="132">
        <f t="shared" ref="K8:K33" si="8">H8-SUM(I8:J8)-G8</f>
        <v>62000</v>
      </c>
      <c r="L8" s="132"/>
      <c r="M8" s="132"/>
      <c r="N8" s="132"/>
      <c r="O8" s="132"/>
      <c r="P8" s="132">
        <f t="shared" si="2"/>
        <v>0</v>
      </c>
      <c r="Q8" s="132"/>
      <c r="R8" s="132"/>
      <c r="S8" s="176">
        <f t="shared" si="3"/>
        <v>62000</v>
      </c>
      <c r="T8" s="132">
        <v>62000</v>
      </c>
      <c r="U8" s="132">
        <f t="shared" si="4"/>
        <v>0</v>
      </c>
      <c r="V8" s="132">
        <f t="shared" si="5"/>
        <v>0</v>
      </c>
      <c r="W8" s="405">
        <f t="shared" si="6"/>
        <v>0</v>
      </c>
      <c r="X8" s="405"/>
      <c r="Y8" s="132"/>
    </row>
    <row r="9" spans="1:26">
      <c r="A9" s="179"/>
      <c r="C9" s="126" t="s">
        <v>105</v>
      </c>
      <c r="D9" s="133">
        <f>D10+D11+D12</f>
        <v>1107820</v>
      </c>
      <c r="E9" s="133"/>
      <c r="F9" s="133">
        <f t="shared" ref="F9" si="9">F10+F11+F12</f>
        <v>32394</v>
      </c>
      <c r="G9" s="133"/>
      <c r="H9" s="133">
        <f t="shared" si="0"/>
        <v>1140214</v>
      </c>
      <c r="I9" s="133">
        <f>I10+I11+I12</f>
        <v>654602</v>
      </c>
      <c r="J9" s="133">
        <f>J10+J11+J12</f>
        <v>210938</v>
      </c>
      <c r="K9" s="133">
        <f t="shared" si="8"/>
        <v>274674</v>
      </c>
      <c r="L9" s="133"/>
      <c r="M9" s="133">
        <f>M10+M11+M12</f>
        <v>0</v>
      </c>
      <c r="N9" s="133"/>
      <c r="O9" s="133"/>
      <c r="P9" s="133">
        <f t="shared" si="2"/>
        <v>0</v>
      </c>
      <c r="Q9" s="133">
        <f>Q10</f>
        <v>210776</v>
      </c>
      <c r="R9" s="133">
        <f>R11</f>
        <v>654602</v>
      </c>
      <c r="S9" s="394">
        <f t="shared" si="3"/>
        <v>1140052</v>
      </c>
      <c r="T9" s="133">
        <f>T10+T11+T12</f>
        <v>1140052</v>
      </c>
      <c r="U9" s="133">
        <f t="shared" si="4"/>
        <v>0</v>
      </c>
      <c r="V9" s="133">
        <f t="shared" si="5"/>
        <v>-162</v>
      </c>
      <c r="W9" s="406">
        <f t="shared" si="6"/>
        <v>-1.4207859226425917E-4</v>
      </c>
      <c r="X9" s="406"/>
      <c r="Y9" s="133"/>
    </row>
    <row r="10" spans="1:26">
      <c r="A10" s="179"/>
      <c r="C10" s="125" t="s">
        <v>106</v>
      </c>
      <c r="D10" s="132">
        <f>'Omatulud (3)'!C5</f>
        <v>210938</v>
      </c>
      <c r="E10" s="132"/>
      <c r="F10" s="132"/>
      <c r="G10" s="132"/>
      <c r="H10" s="132">
        <f t="shared" si="0"/>
        <v>210938</v>
      </c>
      <c r="I10" s="132"/>
      <c r="J10" s="132">
        <v>210938</v>
      </c>
      <c r="K10" s="132">
        <f t="shared" si="8"/>
        <v>0</v>
      </c>
      <c r="L10" s="132"/>
      <c r="M10" s="132"/>
      <c r="N10" s="132"/>
      <c r="O10" s="132"/>
      <c r="P10" s="132">
        <f t="shared" si="2"/>
        <v>0</v>
      </c>
      <c r="Q10" s="134">
        <f>'Omatulud (3)'!F5</f>
        <v>210776</v>
      </c>
      <c r="R10" s="132"/>
      <c r="S10" s="176">
        <f t="shared" si="3"/>
        <v>210776</v>
      </c>
      <c r="T10" s="132">
        <v>210776</v>
      </c>
      <c r="U10" s="132">
        <f t="shared" si="4"/>
        <v>0</v>
      </c>
      <c r="V10" s="132">
        <f t="shared" si="5"/>
        <v>-162</v>
      </c>
      <c r="W10" s="405">
        <f t="shared" si="6"/>
        <v>-7.6799817955987065E-4</v>
      </c>
      <c r="X10" s="405"/>
      <c r="Y10" s="132"/>
    </row>
    <row r="11" spans="1:26">
      <c r="A11" s="179"/>
      <c r="C11" s="118" t="s">
        <v>0</v>
      </c>
      <c r="D11" s="132">
        <v>654602</v>
      </c>
      <c r="E11" s="132"/>
      <c r="F11" s="132"/>
      <c r="G11" s="132"/>
      <c r="H11" s="132">
        <f t="shared" si="0"/>
        <v>654602</v>
      </c>
      <c r="I11" s="132">
        <v>654602</v>
      </c>
      <c r="J11" s="132"/>
      <c r="K11" s="132">
        <f t="shared" si="8"/>
        <v>0</v>
      </c>
      <c r="L11" s="132"/>
      <c r="M11" s="132"/>
      <c r="N11" s="132"/>
      <c r="O11" s="132"/>
      <c r="P11" s="132">
        <f t="shared" si="2"/>
        <v>0</v>
      </c>
      <c r="Q11" s="134"/>
      <c r="R11" s="132">
        <f>'Toetused (4)'!G10</f>
        <v>654602</v>
      </c>
      <c r="S11" s="176">
        <f t="shared" si="3"/>
        <v>654602</v>
      </c>
      <c r="T11" s="132">
        <v>654602</v>
      </c>
      <c r="U11" s="132">
        <f t="shared" si="4"/>
        <v>0</v>
      </c>
      <c r="V11" s="132">
        <f t="shared" si="5"/>
        <v>0</v>
      </c>
      <c r="W11" s="405">
        <f t="shared" si="6"/>
        <v>0</v>
      </c>
      <c r="X11" s="405"/>
      <c r="Y11" s="132"/>
    </row>
    <row r="12" spans="1:26">
      <c r="A12" s="179"/>
      <c r="C12" s="118" t="s">
        <v>107</v>
      </c>
      <c r="D12" s="132">
        <f>D7-D10-D11</f>
        <v>242280</v>
      </c>
      <c r="E12" s="132"/>
      <c r="F12" s="132">
        <f t="shared" ref="F12" si="10">F7-F10-F11</f>
        <v>32394</v>
      </c>
      <c r="G12" s="132"/>
      <c r="H12" s="132">
        <f t="shared" si="0"/>
        <v>274674</v>
      </c>
      <c r="I12" s="132"/>
      <c r="J12" s="132"/>
      <c r="K12" s="132">
        <f t="shared" si="8"/>
        <v>274674</v>
      </c>
      <c r="L12" s="132"/>
      <c r="M12" s="132">
        <f>M7-M10-M11</f>
        <v>0</v>
      </c>
      <c r="N12" s="132"/>
      <c r="O12" s="132"/>
      <c r="P12" s="132">
        <f t="shared" si="2"/>
        <v>0</v>
      </c>
      <c r="Q12" s="134"/>
      <c r="R12" s="132"/>
      <c r="S12" s="176">
        <f t="shared" si="3"/>
        <v>274674</v>
      </c>
      <c r="T12" s="132">
        <f>T7-T10-T11</f>
        <v>274674</v>
      </c>
      <c r="U12" s="132">
        <f t="shared" si="4"/>
        <v>0</v>
      </c>
      <c r="V12" s="132">
        <f t="shared" si="5"/>
        <v>0</v>
      </c>
      <c r="W12" s="405">
        <f t="shared" si="6"/>
        <v>0</v>
      </c>
      <c r="X12" s="405"/>
      <c r="Y12" s="132"/>
    </row>
    <row r="13" spans="1:26" s="182" customFormat="1" ht="11.25">
      <c r="C13" s="183" t="s">
        <v>261</v>
      </c>
      <c r="D13" s="184">
        <f>D16</f>
        <v>692072</v>
      </c>
      <c r="E13" s="184"/>
      <c r="F13" s="184">
        <f t="shared" ref="F13" si="11">F16</f>
        <v>24211</v>
      </c>
      <c r="G13" s="184"/>
      <c r="H13" s="184">
        <f t="shared" si="0"/>
        <v>716283</v>
      </c>
      <c r="I13" s="184"/>
      <c r="J13" s="184"/>
      <c r="K13" s="184">
        <f t="shared" si="8"/>
        <v>716283</v>
      </c>
      <c r="L13" s="184"/>
      <c r="M13" s="184">
        <f>M16</f>
        <v>0</v>
      </c>
      <c r="N13" s="184"/>
      <c r="O13" s="184"/>
      <c r="P13" s="184">
        <f t="shared" si="2"/>
        <v>0</v>
      </c>
      <c r="Q13" s="184"/>
      <c r="R13" s="184"/>
      <c r="S13" s="395">
        <f t="shared" si="3"/>
        <v>716283</v>
      </c>
      <c r="T13" s="184">
        <f t="shared" ref="T13" si="12">T16</f>
        <v>716283</v>
      </c>
      <c r="U13" s="184">
        <f t="shared" si="4"/>
        <v>0</v>
      </c>
      <c r="V13" s="184">
        <f t="shared" si="5"/>
        <v>0</v>
      </c>
      <c r="W13" s="407">
        <f t="shared" si="6"/>
        <v>0</v>
      </c>
      <c r="X13" s="407"/>
      <c r="Y13" s="184"/>
    </row>
    <row r="14" spans="1:26">
      <c r="A14" s="179"/>
      <c r="C14" s="127"/>
      <c r="D14" s="128"/>
      <c r="E14" s="128"/>
      <c r="F14" s="128"/>
      <c r="G14" s="128"/>
      <c r="H14" s="128">
        <f t="shared" si="0"/>
        <v>0</v>
      </c>
      <c r="I14" s="128"/>
      <c r="J14" s="128"/>
      <c r="K14" s="128">
        <f t="shared" si="8"/>
        <v>0</v>
      </c>
      <c r="L14" s="128"/>
      <c r="M14" s="128"/>
      <c r="N14" s="128"/>
      <c r="O14" s="128"/>
      <c r="P14" s="128">
        <f t="shared" si="2"/>
        <v>0</v>
      </c>
      <c r="Q14" s="128"/>
      <c r="R14" s="128"/>
      <c r="S14" s="137">
        <f t="shared" si="3"/>
        <v>0</v>
      </c>
      <c r="T14" s="128">
        <v>0</v>
      </c>
      <c r="U14" s="128">
        <f t="shared" si="4"/>
        <v>0</v>
      </c>
      <c r="V14" s="128">
        <f t="shared" si="5"/>
        <v>0</v>
      </c>
      <c r="W14" s="409" t="str">
        <f t="shared" si="6"/>
        <v/>
      </c>
      <c r="X14" s="409"/>
      <c r="Y14" s="128"/>
    </row>
    <row r="15" spans="1:26">
      <c r="A15" s="179" t="s">
        <v>224</v>
      </c>
      <c r="B15" s="6" t="s">
        <v>163</v>
      </c>
      <c r="C15" s="121" t="s">
        <v>226</v>
      </c>
      <c r="D15" s="136">
        <v>1107820</v>
      </c>
      <c r="E15" s="136"/>
      <c r="F15" s="136">
        <v>32394</v>
      </c>
      <c r="G15" s="136"/>
      <c r="H15" s="136">
        <f t="shared" si="0"/>
        <v>1140214</v>
      </c>
      <c r="I15" s="136">
        <v>654602</v>
      </c>
      <c r="J15" s="115">
        <v>210938</v>
      </c>
      <c r="K15" s="136">
        <f t="shared" si="8"/>
        <v>274674</v>
      </c>
      <c r="L15" s="136"/>
      <c r="M15" s="136"/>
      <c r="N15" s="136"/>
      <c r="O15" s="136"/>
      <c r="P15" s="136">
        <f t="shared" si="2"/>
        <v>0</v>
      </c>
      <c r="Q15" s="136">
        <v>210776</v>
      </c>
      <c r="R15" s="136">
        <v>654602</v>
      </c>
      <c r="S15" s="398">
        <f t="shared" si="3"/>
        <v>1140052</v>
      </c>
      <c r="T15" s="136">
        <v>1140052</v>
      </c>
      <c r="U15" s="136">
        <f t="shared" si="4"/>
        <v>0</v>
      </c>
      <c r="V15" s="136">
        <f t="shared" si="5"/>
        <v>-162</v>
      </c>
      <c r="W15" s="411">
        <f t="shared" si="6"/>
        <v>-1.4207859226425917E-4</v>
      </c>
      <c r="X15" s="411"/>
      <c r="Y15" s="136"/>
    </row>
    <row r="16" spans="1:26">
      <c r="A16" s="179"/>
      <c r="C16" s="122" t="s">
        <v>108</v>
      </c>
      <c r="D16" s="158">
        <v>692072</v>
      </c>
      <c r="E16" s="158"/>
      <c r="F16" s="158">
        <v>24211</v>
      </c>
      <c r="G16" s="158"/>
      <c r="H16" s="158">
        <f t="shared" si="0"/>
        <v>716283</v>
      </c>
      <c r="I16" s="158"/>
      <c r="J16" s="158"/>
      <c r="K16" s="158">
        <f t="shared" si="8"/>
        <v>716283</v>
      </c>
      <c r="L16" s="158"/>
      <c r="M16" s="158"/>
      <c r="N16" s="158"/>
      <c r="O16" s="158"/>
      <c r="P16" s="158">
        <f t="shared" si="2"/>
        <v>0</v>
      </c>
      <c r="Q16" s="158"/>
      <c r="R16" s="158"/>
      <c r="S16" s="397">
        <f t="shared" si="3"/>
        <v>716283</v>
      </c>
      <c r="T16" s="158">
        <v>716283</v>
      </c>
      <c r="U16" s="158">
        <f t="shared" si="4"/>
        <v>0</v>
      </c>
      <c r="V16" s="136">
        <f t="shared" si="5"/>
        <v>0</v>
      </c>
      <c r="W16" s="411">
        <f t="shared" si="6"/>
        <v>0</v>
      </c>
      <c r="X16" s="410"/>
      <c r="Y16" s="158"/>
    </row>
    <row r="17" spans="1:25">
      <c r="A17" s="179"/>
      <c r="C17" s="122"/>
      <c r="D17" s="158"/>
      <c r="E17" s="158"/>
      <c r="F17" s="158"/>
      <c r="G17" s="158"/>
      <c r="H17" s="158"/>
      <c r="I17" s="158"/>
      <c r="J17" s="158"/>
      <c r="K17" s="158">
        <f t="shared" si="8"/>
        <v>0</v>
      </c>
      <c r="L17" s="158"/>
      <c r="M17" s="158"/>
      <c r="N17" s="158"/>
      <c r="O17" s="158"/>
      <c r="P17" s="158">
        <f t="shared" si="2"/>
        <v>0</v>
      </c>
      <c r="Q17" s="158"/>
      <c r="R17" s="158"/>
      <c r="S17" s="397"/>
      <c r="T17" s="158"/>
      <c r="U17" s="158">
        <f t="shared" si="4"/>
        <v>0</v>
      </c>
      <c r="V17" s="136">
        <f t="shared" si="5"/>
        <v>0</v>
      </c>
      <c r="W17" s="411" t="str">
        <f t="shared" si="6"/>
        <v/>
      </c>
      <c r="X17" s="410"/>
      <c r="Y17" s="158"/>
    </row>
    <row r="18" spans="1:25">
      <c r="A18" s="179"/>
      <c r="C18" s="685" t="s">
        <v>164</v>
      </c>
      <c r="D18" s="158"/>
      <c r="E18" s="158"/>
      <c r="F18" s="158"/>
      <c r="G18" s="158"/>
      <c r="H18" s="158"/>
      <c r="I18" s="158"/>
      <c r="J18" s="158"/>
      <c r="K18" s="158">
        <f t="shared" si="8"/>
        <v>0</v>
      </c>
      <c r="L18" s="158"/>
      <c r="M18" s="158"/>
      <c r="N18" s="158"/>
      <c r="O18" s="158"/>
      <c r="P18" s="158">
        <f t="shared" si="2"/>
        <v>0</v>
      </c>
      <c r="Q18" s="158"/>
      <c r="R18" s="158"/>
      <c r="S18" s="397"/>
      <c r="T18" s="158"/>
      <c r="U18" s="158">
        <f t="shared" si="4"/>
        <v>0</v>
      </c>
      <c r="V18" s="136">
        <f t="shared" si="5"/>
        <v>0</v>
      </c>
      <c r="W18" s="411" t="str">
        <f t="shared" si="6"/>
        <v/>
      </c>
      <c r="X18" s="410"/>
      <c r="Y18" s="158"/>
    </row>
    <row r="19" spans="1:25">
      <c r="A19" s="179"/>
      <c r="C19" s="686" t="s">
        <v>705</v>
      </c>
      <c r="D19" s="690">
        <v>373977</v>
      </c>
      <c r="E19" s="692"/>
      <c r="F19" s="690">
        <v>13373</v>
      </c>
      <c r="G19" s="158"/>
      <c r="H19" s="690">
        <f t="shared" ref="H19:H33" si="13">SUM(D19:G19)</f>
        <v>387350</v>
      </c>
      <c r="I19" s="690">
        <v>508602</v>
      </c>
      <c r="J19" s="690"/>
      <c r="K19" s="690">
        <f t="shared" si="8"/>
        <v>-121252</v>
      </c>
      <c r="L19" s="158"/>
      <c r="M19" s="158"/>
      <c r="N19" s="158"/>
      <c r="O19" s="158"/>
      <c r="P19" s="690">
        <f t="shared" si="2"/>
        <v>0</v>
      </c>
      <c r="Q19" s="158"/>
      <c r="R19" s="690">
        <v>508602</v>
      </c>
      <c r="S19" s="397">
        <f t="shared" ref="S19:S33" si="14">K19+P19+Q19+R19</f>
        <v>387350</v>
      </c>
      <c r="T19" s="397">
        <v>387350</v>
      </c>
      <c r="U19" s="158">
        <f t="shared" si="4"/>
        <v>0</v>
      </c>
      <c r="V19" s="136">
        <f t="shared" si="5"/>
        <v>0</v>
      </c>
      <c r="W19" s="411">
        <f t="shared" si="6"/>
        <v>0</v>
      </c>
      <c r="X19" s="410"/>
      <c r="Y19" s="158"/>
    </row>
    <row r="20" spans="1:25">
      <c r="A20" s="179"/>
      <c r="C20" s="687" t="s">
        <v>108</v>
      </c>
      <c r="D20" s="691">
        <v>262380</v>
      </c>
      <c r="E20" s="158"/>
      <c r="F20" s="691">
        <v>9995</v>
      </c>
      <c r="G20" s="158"/>
      <c r="H20" s="691">
        <f t="shared" si="13"/>
        <v>272375</v>
      </c>
      <c r="I20" s="691"/>
      <c r="J20" s="691"/>
      <c r="K20" s="691">
        <f t="shared" si="8"/>
        <v>272375</v>
      </c>
      <c r="L20" s="158"/>
      <c r="M20" s="158"/>
      <c r="N20" s="158"/>
      <c r="O20" s="158"/>
      <c r="P20" s="691">
        <f t="shared" si="2"/>
        <v>0</v>
      </c>
      <c r="Q20" s="158"/>
      <c r="R20" s="691"/>
      <c r="S20" s="397">
        <f t="shared" si="14"/>
        <v>272375</v>
      </c>
      <c r="T20" s="397">
        <v>272375</v>
      </c>
      <c r="U20" s="158">
        <f t="shared" si="4"/>
        <v>0</v>
      </c>
      <c r="V20" s="136">
        <f t="shared" si="5"/>
        <v>0</v>
      </c>
      <c r="W20" s="411">
        <f t="shared" si="6"/>
        <v>0</v>
      </c>
      <c r="X20" s="410"/>
      <c r="Y20" s="158"/>
    </row>
    <row r="21" spans="1:25">
      <c r="A21" s="179"/>
      <c r="C21" s="688"/>
      <c r="D21" s="158"/>
      <c r="E21" s="158"/>
      <c r="F21" s="158"/>
      <c r="G21" s="158"/>
      <c r="H21" s="158">
        <f t="shared" si="13"/>
        <v>0</v>
      </c>
      <c r="I21" s="158"/>
      <c r="J21" s="158"/>
      <c r="K21" s="158">
        <f t="shared" si="8"/>
        <v>0</v>
      </c>
      <c r="L21" s="158"/>
      <c r="M21" s="158"/>
      <c r="N21" s="158"/>
      <c r="O21" s="158"/>
      <c r="P21" s="158">
        <f t="shared" si="2"/>
        <v>0</v>
      </c>
      <c r="Q21" s="158"/>
      <c r="R21" s="158"/>
      <c r="S21" s="397">
        <f t="shared" si="14"/>
        <v>0</v>
      </c>
      <c r="T21" s="397">
        <v>0</v>
      </c>
      <c r="U21" s="158">
        <f t="shared" si="4"/>
        <v>0</v>
      </c>
      <c r="V21" s="136">
        <f t="shared" si="5"/>
        <v>0</v>
      </c>
      <c r="W21" s="411" t="str">
        <f t="shared" si="6"/>
        <v/>
      </c>
      <c r="X21" s="410"/>
      <c r="Y21" s="158"/>
    </row>
    <row r="22" spans="1:25">
      <c r="A22" s="179"/>
      <c r="C22" s="685" t="s">
        <v>164</v>
      </c>
      <c r="D22" s="158"/>
      <c r="E22" s="158"/>
      <c r="F22" s="158"/>
      <c r="G22" s="158"/>
      <c r="H22" s="158">
        <f t="shared" si="13"/>
        <v>0</v>
      </c>
      <c r="I22" s="158"/>
      <c r="J22" s="158"/>
      <c r="K22" s="158">
        <f t="shared" si="8"/>
        <v>0</v>
      </c>
      <c r="L22" s="158"/>
      <c r="M22" s="158"/>
      <c r="N22" s="158"/>
      <c r="O22" s="158"/>
      <c r="P22" s="158">
        <f t="shared" si="2"/>
        <v>0</v>
      </c>
      <c r="Q22" s="158"/>
      <c r="R22" s="158"/>
      <c r="S22" s="397">
        <f t="shared" si="14"/>
        <v>0</v>
      </c>
      <c r="T22" s="397">
        <v>0</v>
      </c>
      <c r="U22" s="158">
        <f t="shared" si="4"/>
        <v>0</v>
      </c>
      <c r="V22" s="136">
        <f t="shared" si="5"/>
        <v>0</v>
      </c>
      <c r="W22" s="411" t="str">
        <f t="shared" si="6"/>
        <v/>
      </c>
      <c r="X22" s="410"/>
      <c r="Y22" s="158"/>
    </row>
    <row r="23" spans="1:25">
      <c r="A23" s="179"/>
      <c r="C23" s="686" t="s">
        <v>706</v>
      </c>
      <c r="D23" s="690">
        <f>323628+50000</f>
        <v>373628</v>
      </c>
      <c r="E23" s="158"/>
      <c r="F23" s="690">
        <v>8063</v>
      </c>
      <c r="G23" s="158"/>
      <c r="H23" s="690">
        <f t="shared" si="13"/>
        <v>381691</v>
      </c>
      <c r="I23" s="690">
        <f>96000+50000</f>
        <v>146000</v>
      </c>
      <c r="J23" s="690"/>
      <c r="K23" s="690">
        <f t="shared" si="8"/>
        <v>235691</v>
      </c>
      <c r="L23" s="158"/>
      <c r="M23" s="158"/>
      <c r="N23" s="158"/>
      <c r="O23" s="158"/>
      <c r="P23" s="690">
        <f t="shared" si="2"/>
        <v>0</v>
      </c>
      <c r="Q23" s="158"/>
      <c r="R23" s="690">
        <v>146000</v>
      </c>
      <c r="S23" s="397">
        <f t="shared" si="14"/>
        <v>381691</v>
      </c>
      <c r="T23" s="397">
        <v>381691</v>
      </c>
      <c r="U23" s="158">
        <f t="shared" si="4"/>
        <v>0</v>
      </c>
      <c r="V23" s="136">
        <f t="shared" si="5"/>
        <v>0</v>
      </c>
      <c r="W23" s="411">
        <f t="shared" si="6"/>
        <v>0</v>
      </c>
      <c r="X23" s="410"/>
      <c r="Y23" s="158"/>
    </row>
    <row r="24" spans="1:25">
      <c r="A24" s="179"/>
      <c r="C24" s="687" t="s">
        <v>108</v>
      </c>
      <c r="D24" s="691">
        <f>217876+35906</f>
        <v>253782</v>
      </c>
      <c r="E24" s="158"/>
      <c r="F24" s="691">
        <v>6026</v>
      </c>
      <c r="G24" s="690"/>
      <c r="H24" s="691">
        <f t="shared" si="13"/>
        <v>259808</v>
      </c>
      <c r="I24" s="691"/>
      <c r="J24" s="691"/>
      <c r="K24" s="691">
        <f t="shared" si="8"/>
        <v>259808</v>
      </c>
      <c r="L24" s="158"/>
      <c r="M24" s="158"/>
      <c r="N24" s="158"/>
      <c r="O24" s="158"/>
      <c r="P24" s="691">
        <f t="shared" si="2"/>
        <v>0</v>
      </c>
      <c r="Q24" s="158"/>
      <c r="R24" s="691"/>
      <c r="S24" s="397">
        <f t="shared" si="14"/>
        <v>259808</v>
      </c>
      <c r="T24" s="397">
        <v>259808</v>
      </c>
      <c r="U24" s="158">
        <f t="shared" si="4"/>
        <v>0</v>
      </c>
      <c r="V24" s="136">
        <f t="shared" si="5"/>
        <v>0</v>
      </c>
      <c r="W24" s="411">
        <f t="shared" si="6"/>
        <v>0</v>
      </c>
      <c r="X24" s="410"/>
      <c r="Y24" s="158"/>
    </row>
    <row r="25" spans="1:25">
      <c r="A25" s="179"/>
      <c r="C25" s="689"/>
      <c r="D25" s="158"/>
      <c r="E25" s="158"/>
      <c r="F25" s="158"/>
      <c r="G25" s="691"/>
      <c r="H25" s="158">
        <f t="shared" si="13"/>
        <v>0</v>
      </c>
      <c r="I25" s="158"/>
      <c r="J25" s="158"/>
      <c r="K25" s="158">
        <f t="shared" si="8"/>
        <v>0</v>
      </c>
      <c r="L25" s="158"/>
      <c r="M25" s="158"/>
      <c r="N25" s="158"/>
      <c r="O25" s="158"/>
      <c r="P25" s="158">
        <f t="shared" si="2"/>
        <v>0</v>
      </c>
      <c r="Q25" s="158"/>
      <c r="R25" s="158"/>
      <c r="S25" s="397">
        <f t="shared" si="14"/>
        <v>0</v>
      </c>
      <c r="T25" s="397">
        <v>0</v>
      </c>
      <c r="U25" s="158">
        <f t="shared" si="4"/>
        <v>0</v>
      </c>
      <c r="V25" s="136">
        <f t="shared" si="5"/>
        <v>0</v>
      </c>
      <c r="W25" s="411" t="str">
        <f t="shared" si="6"/>
        <v/>
      </c>
      <c r="X25" s="410"/>
      <c r="Y25" s="158"/>
    </row>
    <row r="26" spans="1:25">
      <c r="A26" s="179"/>
      <c r="C26" s="685" t="s">
        <v>167</v>
      </c>
      <c r="D26" s="158"/>
      <c r="E26" s="158"/>
      <c r="F26" s="158"/>
      <c r="G26" s="158"/>
      <c r="H26" s="158">
        <f t="shared" si="13"/>
        <v>0</v>
      </c>
      <c r="I26" s="158"/>
      <c r="J26" s="158"/>
      <c r="K26" s="158">
        <f t="shared" si="8"/>
        <v>0</v>
      </c>
      <c r="L26" s="158"/>
      <c r="M26" s="158"/>
      <c r="N26" s="158"/>
      <c r="O26" s="158"/>
      <c r="P26" s="158">
        <f t="shared" si="2"/>
        <v>0</v>
      </c>
      <c r="Q26" s="158"/>
      <c r="R26" s="158"/>
      <c r="S26" s="397">
        <f t="shared" si="14"/>
        <v>0</v>
      </c>
      <c r="T26" s="397">
        <v>0</v>
      </c>
      <c r="U26" s="158">
        <f t="shared" si="4"/>
        <v>0</v>
      </c>
      <c r="V26" s="136">
        <f t="shared" si="5"/>
        <v>0</v>
      </c>
      <c r="W26" s="411" t="str">
        <f t="shared" si="6"/>
        <v/>
      </c>
      <c r="X26" s="410"/>
      <c r="Y26" s="158"/>
    </row>
    <row r="27" spans="1:25">
      <c r="A27" s="179"/>
      <c r="C27" s="686" t="s">
        <v>707</v>
      </c>
      <c r="D27" s="690">
        <v>125790</v>
      </c>
      <c r="E27" s="158"/>
      <c r="F27" s="690">
        <v>7718</v>
      </c>
      <c r="G27" s="158"/>
      <c r="H27" s="690">
        <f t="shared" si="13"/>
        <v>133508</v>
      </c>
      <c r="I27" s="690"/>
      <c r="J27" s="690">
        <v>20617</v>
      </c>
      <c r="K27" s="690">
        <f t="shared" si="8"/>
        <v>112891</v>
      </c>
      <c r="L27" s="158"/>
      <c r="M27" s="158"/>
      <c r="N27" s="158"/>
      <c r="O27" s="158"/>
      <c r="P27" s="690">
        <f t="shared" si="2"/>
        <v>0</v>
      </c>
      <c r="Q27" s="690">
        <v>20149</v>
      </c>
      <c r="R27" s="158"/>
      <c r="S27" s="397">
        <f t="shared" si="14"/>
        <v>133040</v>
      </c>
      <c r="T27" s="397">
        <v>133040</v>
      </c>
      <c r="U27" s="158">
        <f t="shared" si="4"/>
        <v>0</v>
      </c>
      <c r="V27" s="136">
        <f t="shared" si="5"/>
        <v>-468</v>
      </c>
      <c r="W27" s="411">
        <f t="shared" si="6"/>
        <v>-3.505407915630524E-3</v>
      </c>
      <c r="X27" s="410"/>
      <c r="Y27" s="158"/>
    </row>
    <row r="28" spans="1:25">
      <c r="A28" s="179"/>
      <c r="C28" s="687" t="s">
        <v>108</v>
      </c>
      <c r="D28" s="691">
        <v>69233</v>
      </c>
      <c r="E28" s="158"/>
      <c r="F28" s="691">
        <v>5768</v>
      </c>
      <c r="G28" s="690"/>
      <c r="H28" s="691">
        <f t="shared" si="13"/>
        <v>75001</v>
      </c>
      <c r="I28" s="691"/>
      <c r="J28" s="691"/>
      <c r="K28" s="691">
        <f t="shared" si="8"/>
        <v>75001</v>
      </c>
      <c r="L28" s="158"/>
      <c r="M28" s="158"/>
      <c r="N28" s="158"/>
      <c r="O28" s="158"/>
      <c r="P28" s="691">
        <f t="shared" si="2"/>
        <v>0</v>
      </c>
      <c r="Q28" s="691"/>
      <c r="R28" s="158"/>
      <c r="S28" s="397">
        <f t="shared" si="14"/>
        <v>75001</v>
      </c>
      <c r="T28" s="397">
        <v>75001</v>
      </c>
      <c r="U28" s="158">
        <f t="shared" si="4"/>
        <v>0</v>
      </c>
      <c r="V28" s="136">
        <f t="shared" si="5"/>
        <v>0</v>
      </c>
      <c r="W28" s="411">
        <f t="shared" si="6"/>
        <v>0</v>
      </c>
      <c r="X28" s="410"/>
      <c r="Y28" s="158"/>
    </row>
    <row r="29" spans="1:25">
      <c r="A29" s="179"/>
      <c r="C29" s="689"/>
      <c r="D29" s="158"/>
      <c r="E29" s="158"/>
      <c r="F29" s="158"/>
      <c r="G29" s="691"/>
      <c r="H29" s="158">
        <f t="shared" si="13"/>
        <v>0</v>
      </c>
      <c r="I29" s="158"/>
      <c r="J29" s="158"/>
      <c r="K29" s="158">
        <f t="shared" si="8"/>
        <v>0</v>
      </c>
      <c r="L29" s="158"/>
      <c r="M29" s="158"/>
      <c r="N29" s="158"/>
      <c r="O29" s="158"/>
      <c r="P29" s="158">
        <f t="shared" si="2"/>
        <v>0</v>
      </c>
      <c r="Q29" s="158"/>
      <c r="R29" s="158"/>
      <c r="S29" s="397">
        <f t="shared" si="14"/>
        <v>0</v>
      </c>
      <c r="T29" s="397">
        <v>0</v>
      </c>
      <c r="U29" s="158">
        <f t="shared" si="4"/>
        <v>0</v>
      </c>
      <c r="V29" s="136">
        <f t="shared" si="5"/>
        <v>0</v>
      </c>
      <c r="W29" s="411" t="str">
        <f t="shared" si="6"/>
        <v/>
      </c>
      <c r="X29" s="410"/>
      <c r="Y29" s="158"/>
    </row>
    <row r="30" spans="1:25">
      <c r="A30" s="179"/>
      <c r="C30" s="686" t="s">
        <v>708</v>
      </c>
      <c r="D30" s="690">
        <v>177067</v>
      </c>
      <c r="E30" s="158"/>
      <c r="F30" s="690">
        <v>3240</v>
      </c>
      <c r="G30" s="158"/>
      <c r="H30" s="690">
        <f t="shared" si="13"/>
        <v>180307</v>
      </c>
      <c r="I30" s="690"/>
      <c r="J30" s="690">
        <v>190321</v>
      </c>
      <c r="K30" s="690">
        <f t="shared" si="8"/>
        <v>-10014</v>
      </c>
      <c r="L30" s="158"/>
      <c r="M30" s="158"/>
      <c r="N30" s="158"/>
      <c r="O30" s="158"/>
      <c r="P30" s="690">
        <f t="shared" si="2"/>
        <v>0</v>
      </c>
      <c r="Q30" s="690">
        <v>190627</v>
      </c>
      <c r="R30" s="158"/>
      <c r="S30" s="397">
        <f t="shared" si="14"/>
        <v>180613</v>
      </c>
      <c r="T30" s="397">
        <v>180613</v>
      </c>
      <c r="U30" s="158">
        <f t="shared" si="4"/>
        <v>0</v>
      </c>
      <c r="V30" s="136">
        <f t="shared" si="5"/>
        <v>306</v>
      </c>
      <c r="W30" s="411">
        <f t="shared" si="6"/>
        <v>1.6971054922992452E-3</v>
      </c>
      <c r="X30" s="410"/>
      <c r="Y30" s="158"/>
    </row>
    <row r="31" spans="1:25">
      <c r="A31" s="179"/>
      <c r="C31" s="687" t="s">
        <v>108</v>
      </c>
      <c r="D31" s="691">
        <v>106677</v>
      </c>
      <c r="E31" s="158"/>
      <c r="F31" s="691">
        <v>2422</v>
      </c>
      <c r="G31" s="158"/>
      <c r="H31" s="691">
        <f t="shared" si="13"/>
        <v>109099</v>
      </c>
      <c r="I31" s="691"/>
      <c r="J31" s="691"/>
      <c r="K31" s="691">
        <f t="shared" si="8"/>
        <v>109099</v>
      </c>
      <c r="L31" s="158"/>
      <c r="M31" s="158"/>
      <c r="N31" s="158"/>
      <c r="O31" s="158"/>
      <c r="P31" s="691">
        <f t="shared" si="2"/>
        <v>0</v>
      </c>
      <c r="Q31" s="158"/>
      <c r="R31" s="158"/>
      <c r="S31" s="397">
        <f t="shared" si="14"/>
        <v>109099</v>
      </c>
      <c r="T31" s="397">
        <v>109099</v>
      </c>
      <c r="U31" s="158">
        <f t="shared" si="4"/>
        <v>0</v>
      </c>
      <c r="V31" s="136">
        <f t="shared" si="5"/>
        <v>0</v>
      </c>
      <c r="W31" s="411">
        <f t="shared" si="6"/>
        <v>0</v>
      </c>
      <c r="X31" s="410"/>
      <c r="Y31" s="158"/>
    </row>
    <row r="32" spans="1:25">
      <c r="A32" s="179"/>
      <c r="C32" s="687"/>
      <c r="D32" s="158"/>
      <c r="E32" s="158"/>
      <c r="F32" s="158"/>
      <c r="G32" s="690"/>
      <c r="H32" s="158">
        <f t="shared" si="13"/>
        <v>0</v>
      </c>
      <c r="I32" s="158"/>
      <c r="J32" s="158"/>
      <c r="K32" s="158">
        <f t="shared" si="8"/>
        <v>0</v>
      </c>
      <c r="L32" s="158"/>
      <c r="M32" s="158"/>
      <c r="N32" s="158"/>
      <c r="O32" s="158"/>
      <c r="P32" s="158">
        <f t="shared" si="2"/>
        <v>0</v>
      </c>
      <c r="Q32" s="158"/>
      <c r="R32" s="158"/>
      <c r="S32" s="397">
        <f t="shared" si="14"/>
        <v>0</v>
      </c>
      <c r="T32" s="397">
        <v>0</v>
      </c>
      <c r="U32" s="158">
        <f t="shared" si="4"/>
        <v>0</v>
      </c>
      <c r="V32" s="136">
        <f t="shared" si="5"/>
        <v>0</v>
      </c>
      <c r="W32" s="411" t="str">
        <f t="shared" si="6"/>
        <v/>
      </c>
      <c r="X32" s="410"/>
      <c r="Y32" s="158"/>
    </row>
    <row r="33" spans="1:25" ht="25.5">
      <c r="A33" s="179"/>
      <c r="C33" s="686" t="s">
        <v>709</v>
      </c>
      <c r="D33" s="690">
        <v>57358</v>
      </c>
      <c r="E33" s="158"/>
      <c r="F33" s="690"/>
      <c r="G33" s="691"/>
      <c r="H33" s="690">
        <f t="shared" si="13"/>
        <v>57358</v>
      </c>
      <c r="I33" s="690"/>
      <c r="J33" s="690"/>
      <c r="K33" s="690">
        <f t="shared" si="8"/>
        <v>57358</v>
      </c>
      <c r="L33" s="158"/>
      <c r="M33" s="158"/>
      <c r="N33" s="158"/>
      <c r="O33" s="158"/>
      <c r="P33" s="690">
        <f t="shared" si="2"/>
        <v>0</v>
      </c>
      <c r="Q33" s="158"/>
      <c r="R33" s="158"/>
      <c r="S33" s="397">
        <f t="shared" si="14"/>
        <v>57358</v>
      </c>
      <c r="T33" s="397">
        <v>57358</v>
      </c>
      <c r="U33" s="158">
        <f t="shared" si="4"/>
        <v>0</v>
      </c>
      <c r="V33" s="136">
        <f t="shared" si="5"/>
        <v>0</v>
      </c>
      <c r="W33" s="411">
        <f t="shared" si="6"/>
        <v>0</v>
      </c>
      <c r="X33" s="410"/>
      <c r="Y33" s="158"/>
    </row>
    <row r="34" spans="1:25">
      <c r="A34" s="179"/>
      <c r="C34" s="118"/>
      <c r="D34" s="5"/>
      <c r="E34" s="5"/>
      <c r="F34" s="5"/>
      <c r="G34" s="5"/>
      <c r="H34" s="5">
        <f t="shared" si="0"/>
        <v>0</v>
      </c>
      <c r="I34" s="5"/>
      <c r="J34" s="5"/>
      <c r="K34" s="5">
        <f t="shared" si="1"/>
        <v>0</v>
      </c>
      <c r="L34" s="5"/>
      <c r="M34" s="5"/>
      <c r="N34" s="5"/>
      <c r="O34" s="5"/>
      <c r="P34" s="5">
        <f t="shared" si="2"/>
        <v>0</v>
      </c>
      <c r="Q34" s="5"/>
      <c r="R34" s="5"/>
      <c r="S34" s="376">
        <f t="shared" si="3"/>
        <v>0</v>
      </c>
      <c r="T34" s="5">
        <v>0</v>
      </c>
      <c r="U34" s="5">
        <f t="shared" si="4"/>
        <v>0</v>
      </c>
      <c r="V34" s="5">
        <f t="shared" si="5"/>
        <v>0</v>
      </c>
      <c r="W34" s="364" t="str">
        <f t="shared" si="6"/>
        <v/>
      </c>
      <c r="X34" s="364"/>
      <c r="Y34" s="5"/>
    </row>
    <row r="35" spans="1:25">
      <c r="A35" s="179"/>
      <c r="C35" s="174"/>
      <c r="D35" s="175"/>
      <c r="E35" s="175"/>
      <c r="F35" s="175"/>
      <c r="G35" s="175"/>
      <c r="H35" s="175">
        <f t="shared" si="0"/>
        <v>0</v>
      </c>
      <c r="I35" s="175"/>
      <c r="J35" s="175"/>
      <c r="K35" s="175">
        <f t="shared" si="1"/>
        <v>0</v>
      </c>
      <c r="L35" s="175"/>
      <c r="M35" s="175"/>
      <c r="N35" s="175"/>
      <c r="O35" s="175"/>
      <c r="P35" s="175">
        <f t="shared" si="2"/>
        <v>0</v>
      </c>
      <c r="Q35" s="175"/>
      <c r="R35" s="175"/>
      <c r="S35" s="175">
        <f t="shared" si="3"/>
        <v>0</v>
      </c>
      <c r="T35" s="110">
        <v>0</v>
      </c>
      <c r="U35" s="110">
        <f t="shared" si="4"/>
        <v>0</v>
      </c>
      <c r="V35" s="110">
        <f t="shared" si="5"/>
        <v>0</v>
      </c>
      <c r="W35" s="412" t="str">
        <f t="shared" si="6"/>
        <v/>
      </c>
      <c r="X35" s="412"/>
      <c r="Y35" s="110"/>
    </row>
  </sheetData>
  <autoFilter ref="C4:S35"/>
  <mergeCells count="4">
    <mergeCell ref="D3:K3"/>
    <mergeCell ref="Y3:Z3"/>
    <mergeCell ref="L3:U3"/>
    <mergeCell ref="V3:X3"/>
  </mergeCells>
  <phoneticPr fontId="26" type="noConversion"/>
  <pageMargins left="1.1811023622047245" right="0.27559055118110237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A1:W437"/>
  <sheetViews>
    <sheetView showZeros="0" topLeftCell="C1" zoomScaleNormal="100" workbookViewId="0">
      <pane ySplit="5" topLeftCell="A6" activePane="bottomLeft" state="frozen"/>
      <selection activeCell="J31" sqref="J31"/>
      <selection pane="bottomLeft" activeCell="J31" sqref="J31"/>
    </sheetView>
  </sheetViews>
  <sheetFormatPr defaultColWidth="9.140625" defaultRowHeight="12.75"/>
  <cols>
    <col min="1" max="1" width="9" style="287" hidden="1" customWidth="1"/>
    <col min="2" max="2" width="7.85546875" style="287" hidden="1" customWidth="1"/>
    <col min="3" max="3" width="50" style="81" customWidth="1"/>
    <col min="4" max="4" width="4.5703125" style="81" customWidth="1"/>
    <col min="5" max="5" width="5.7109375" style="266" customWidth="1"/>
    <col min="6" max="7" width="15.28515625" style="81" customWidth="1"/>
    <col min="8" max="8" width="15.85546875" style="576" customWidth="1"/>
    <col min="9" max="9" width="15.85546875" style="81" customWidth="1"/>
    <col min="10" max="10" width="12.7109375" style="81" bestFit="1" customWidth="1"/>
    <col min="11" max="11" width="6" style="81" bestFit="1" customWidth="1"/>
    <col min="12" max="12" width="7.7109375" style="81" bestFit="1" customWidth="1"/>
    <col min="13" max="13" width="15.7109375" style="81" bestFit="1" customWidth="1"/>
    <col min="14" max="14" width="5.42578125" style="81" bestFit="1" customWidth="1"/>
    <col min="15" max="15" width="12.7109375" style="81" bestFit="1" customWidth="1"/>
    <col min="16" max="16" width="12.7109375" style="81" customWidth="1"/>
    <col min="17" max="17" width="13.140625" style="81" customWidth="1"/>
    <col min="18" max="18" width="12.7109375" style="81" bestFit="1" customWidth="1"/>
    <col min="19" max="19" width="14" style="576" customWidth="1"/>
    <col min="20" max="20" width="13.28515625" style="81" customWidth="1"/>
    <col min="21" max="21" width="19.5703125" style="81" customWidth="1"/>
    <col min="22" max="16384" width="9.140625" style="81"/>
  </cols>
  <sheetData>
    <row r="1" spans="1:23" ht="15">
      <c r="C1" s="199" t="s">
        <v>712</v>
      </c>
      <c r="D1" s="201"/>
      <c r="E1" s="200"/>
      <c r="F1" s="199"/>
      <c r="G1" s="199"/>
      <c r="H1" s="542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69"/>
      <c r="T1" s="475" t="s">
        <v>657</v>
      </c>
      <c r="U1" s="475"/>
      <c r="W1" s="33"/>
    </row>
    <row r="2" spans="1:23">
      <c r="C2" s="683" t="s">
        <v>715</v>
      </c>
      <c r="E2" s="202"/>
      <c r="F2" s="327"/>
      <c r="G2" s="327"/>
      <c r="H2" s="543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543"/>
      <c r="T2" s="202"/>
      <c r="U2" s="202"/>
      <c r="W2" s="33"/>
    </row>
    <row r="3" spans="1:23">
      <c r="C3" s="327"/>
      <c r="E3" s="202"/>
      <c r="F3" s="327"/>
      <c r="G3" s="327"/>
      <c r="H3" s="544"/>
      <c r="I3" s="203"/>
      <c r="J3" s="743"/>
      <c r="K3" s="743"/>
      <c r="L3" s="743"/>
      <c r="M3" s="743"/>
      <c r="N3" s="743"/>
      <c r="O3" s="203"/>
      <c r="P3" s="203"/>
      <c r="Q3" s="652"/>
      <c r="R3" s="203">
        <v>115690068</v>
      </c>
      <c r="S3" s="544"/>
      <c r="T3" s="203"/>
      <c r="U3" s="203"/>
      <c r="W3" s="33"/>
    </row>
    <row r="4" spans="1:23" ht="12.75" customHeight="1">
      <c r="B4" s="353" t="s">
        <v>423</v>
      </c>
      <c r="C4" s="737" t="s">
        <v>280</v>
      </c>
      <c r="D4" s="739" t="s">
        <v>282</v>
      </c>
      <c r="E4" s="738" t="s">
        <v>281</v>
      </c>
      <c r="F4" s="735" t="s">
        <v>733</v>
      </c>
      <c r="G4" s="735" t="s">
        <v>664</v>
      </c>
      <c r="H4" s="740" t="s">
        <v>651</v>
      </c>
      <c r="I4" s="735" t="s">
        <v>746</v>
      </c>
      <c r="J4" s="744" t="s">
        <v>638</v>
      </c>
      <c r="K4" s="745"/>
      <c r="L4" s="745"/>
      <c r="M4" s="745"/>
      <c r="N4" s="746"/>
      <c r="O4" s="644">
        <v>2018</v>
      </c>
      <c r="P4" s="655">
        <v>2018</v>
      </c>
      <c r="Q4" s="653">
        <v>2018</v>
      </c>
      <c r="R4" s="332">
        <v>2018</v>
      </c>
      <c r="S4" s="741" t="s">
        <v>634</v>
      </c>
      <c r="T4" s="735" t="s">
        <v>747</v>
      </c>
      <c r="U4" s="735" t="s">
        <v>714</v>
      </c>
    </row>
    <row r="5" spans="1:23" ht="42" customHeight="1">
      <c r="A5" s="287">
        <v>2018</v>
      </c>
      <c r="B5" s="287">
        <v>2019</v>
      </c>
      <c r="C5" s="737"/>
      <c r="D5" s="739"/>
      <c r="E5" s="738"/>
      <c r="F5" s="736"/>
      <c r="G5" s="736"/>
      <c r="H5" s="740"/>
      <c r="I5" s="736"/>
      <c r="J5" s="651" t="s">
        <v>660</v>
      </c>
      <c r="K5" s="651" t="s">
        <v>662</v>
      </c>
      <c r="L5" s="651" t="s">
        <v>661</v>
      </c>
      <c r="M5" s="651" t="s">
        <v>663</v>
      </c>
      <c r="N5" s="651" t="s">
        <v>329</v>
      </c>
      <c r="O5" s="204" t="s">
        <v>674</v>
      </c>
      <c r="P5" s="656" t="s">
        <v>670</v>
      </c>
      <c r="Q5" s="654" t="s">
        <v>673</v>
      </c>
      <c r="R5" s="204" t="s">
        <v>672</v>
      </c>
      <c r="S5" s="742"/>
      <c r="T5" s="736"/>
      <c r="U5" s="736"/>
    </row>
    <row r="6" spans="1:23" ht="24" customHeight="1">
      <c r="A6" s="197">
        <f>SUM(A7:A306)</f>
        <v>5843200</v>
      </c>
      <c r="B6" s="197">
        <f>SUM(B7:B306)</f>
        <v>2510850</v>
      </c>
      <c r="C6" s="290" t="s">
        <v>228</v>
      </c>
      <c r="D6" s="292"/>
      <c r="E6" s="291"/>
      <c r="F6" s="604"/>
      <c r="G6" s="604"/>
      <c r="H6" s="545">
        <f>H14+H55+H105+H116+H133+H136+H152+H160+H165+H231+H238+H293+H295</f>
        <v>584171168.11000001</v>
      </c>
      <c r="I6" s="522"/>
      <c r="J6" s="522"/>
      <c r="K6" s="522"/>
      <c r="L6" s="522"/>
      <c r="M6" s="522"/>
      <c r="N6" s="522"/>
      <c r="O6" s="292">
        <f>O14+O55+O105+O116+O133+O136+O152+O160+O165+O231+O238+O293+O295</f>
        <v>114908068</v>
      </c>
      <c r="P6" s="292">
        <f>P14+P55+P105+P116+P133+P136+P152+P160+P165+P231+P238+P293+P295</f>
        <v>782000</v>
      </c>
      <c r="Q6" s="522"/>
      <c r="R6" s="292">
        <f>SUM(O6:Q6)</f>
        <v>115690068</v>
      </c>
      <c r="S6" s="545">
        <f>S14+S55+S105+S116+S133+S136+S152+S160+S165+S231+S238+S293+S295</f>
        <v>118853746</v>
      </c>
      <c r="T6" s="292"/>
      <c r="U6" s="292"/>
    </row>
    <row r="7" spans="1:23" ht="15">
      <c r="C7" s="294" t="s">
        <v>416</v>
      </c>
      <c r="D7" s="301" t="s">
        <v>47</v>
      </c>
      <c r="E7" s="293"/>
      <c r="F7" s="523"/>
      <c r="G7" s="523"/>
      <c r="H7" s="546">
        <f t="shared" ref="H7" ca="1" si="0">SUM(H8:H12)</f>
        <v>584171168.11000001</v>
      </c>
      <c r="I7" s="523"/>
      <c r="J7" s="523"/>
      <c r="K7" s="523"/>
      <c r="L7" s="523"/>
      <c r="M7" s="523"/>
      <c r="N7" s="523"/>
      <c r="O7" s="294">
        <f t="shared" ref="O7" ca="1" si="1">SUM(O8:O12)</f>
        <v>114908068</v>
      </c>
      <c r="P7" s="294">
        <f t="shared" ref="P7" ca="1" si="2">SUM(P8:P12)</f>
        <v>782000</v>
      </c>
      <c r="Q7" s="523"/>
      <c r="R7" s="294">
        <f t="shared" ref="R7:R68" ca="1" si="3">SUM(O7:Q7)</f>
        <v>115690068</v>
      </c>
      <c r="S7" s="546">
        <f t="shared" ref="S7" ca="1" si="4">SUM(S8:S12)</f>
        <v>118853746</v>
      </c>
      <c r="T7" s="294"/>
      <c r="U7" s="294"/>
    </row>
    <row r="8" spans="1:23" ht="14.25">
      <c r="C8" s="295" t="s">
        <v>111</v>
      </c>
      <c r="D8" s="297" t="s">
        <v>26</v>
      </c>
      <c r="E8" s="296"/>
      <c r="F8" s="605"/>
      <c r="G8" s="605"/>
      <c r="H8" s="547">
        <f ca="1">SUMIF($D$14:H$306,$D8,H$14:H$306)-H241</f>
        <v>427814449</v>
      </c>
      <c r="I8" s="524"/>
      <c r="J8" s="524"/>
      <c r="K8" s="524"/>
      <c r="L8" s="524"/>
      <c r="M8" s="524"/>
      <c r="N8" s="524"/>
      <c r="O8" s="298">
        <f ca="1">SUMIF($D$14:O$306,$D8,O$14:O$306)-O241</f>
        <v>81833198</v>
      </c>
      <c r="P8" s="298">
        <f ca="1">SUMIF($D$14:P$306,$D8,P$14:P$306)-P241</f>
        <v>0</v>
      </c>
      <c r="Q8" s="524"/>
      <c r="R8" s="298">
        <f t="shared" ca="1" si="3"/>
        <v>81833198</v>
      </c>
      <c r="S8" s="547">
        <f ca="1">SUMIF($D$14:S$306,$D8,S$14:S$306)-S241</f>
        <v>85477703</v>
      </c>
      <c r="T8" s="298"/>
      <c r="U8" s="298"/>
    </row>
    <row r="9" spans="1:23" ht="14.25">
      <c r="C9" s="295"/>
      <c r="D9" s="297" t="s">
        <v>27</v>
      </c>
      <c r="E9" s="296"/>
      <c r="F9" s="605"/>
      <c r="G9" s="605"/>
      <c r="H9" s="547">
        <f ca="1">SUMIF($D$14:H$306,$D9,H$14:H$306)</f>
        <v>77492754</v>
      </c>
      <c r="I9" s="524"/>
      <c r="J9" s="524"/>
      <c r="K9" s="524"/>
      <c r="L9" s="524"/>
      <c r="M9" s="524"/>
      <c r="N9" s="524"/>
      <c r="O9" s="298">
        <f ca="1">SUMIF($D$14:O$306,$D9,O$14:O$306)</f>
        <v>4090332</v>
      </c>
      <c r="P9" s="298">
        <f ca="1">SUMIF($D$14:P$306,$D9,P$14:P$306)</f>
        <v>782000</v>
      </c>
      <c r="Q9" s="524"/>
      <c r="R9" s="298">
        <f t="shared" ca="1" si="3"/>
        <v>4872332</v>
      </c>
      <c r="S9" s="547">
        <f ca="1">SUMIF($D$14:S$306,$D9,S$14:S$306)</f>
        <v>13188223</v>
      </c>
      <c r="T9" s="298"/>
      <c r="U9" s="298"/>
    </row>
    <row r="10" spans="1:23" ht="14.25">
      <c r="C10" s="295"/>
      <c r="D10" s="297" t="s">
        <v>139</v>
      </c>
      <c r="E10" s="296"/>
      <c r="F10" s="605"/>
      <c r="G10" s="605"/>
      <c r="H10" s="547">
        <f ca="1">SUMIF($D$14:H$306,$D10,H$14:H$306)</f>
        <v>22680</v>
      </c>
      <c r="I10" s="524"/>
      <c r="J10" s="524"/>
      <c r="K10" s="524"/>
      <c r="L10" s="524"/>
      <c r="M10" s="524"/>
      <c r="N10" s="524"/>
      <c r="O10" s="298">
        <f ca="1">SUMIF($D$14:O$306,$D10,O$14:O$306)</f>
        <v>275220</v>
      </c>
      <c r="P10" s="298">
        <f ca="1">SUMIF($D$14:P$306,$D10,P$14:P$306)</f>
        <v>0</v>
      </c>
      <c r="Q10" s="524"/>
      <c r="R10" s="298">
        <f t="shared" ca="1" si="3"/>
        <v>275220</v>
      </c>
      <c r="S10" s="547">
        <f ca="1">SUMIF($D$14:S$306,$D10,S$14:S$306)</f>
        <v>377710</v>
      </c>
      <c r="T10" s="298"/>
      <c r="U10" s="298"/>
    </row>
    <row r="11" spans="1:23" ht="14.25">
      <c r="C11" s="295"/>
      <c r="D11" s="297" t="s">
        <v>135</v>
      </c>
      <c r="E11" s="296"/>
      <c r="F11" s="605"/>
      <c r="G11" s="605"/>
      <c r="H11" s="547">
        <f ca="1">SUMIF($D$14:H$306,$D11,H$14:H$306)-H242</f>
        <v>3183458</v>
      </c>
      <c r="I11" s="524"/>
      <c r="J11" s="524"/>
      <c r="K11" s="524"/>
      <c r="L11" s="524"/>
      <c r="M11" s="524"/>
      <c r="N11" s="524"/>
      <c r="O11" s="298">
        <f ca="1">SUMIF($D$14:O$306,$D11,O$14:O$306)-O242</f>
        <v>1781533</v>
      </c>
      <c r="P11" s="298">
        <f ca="1">SUMIF($D$14:P$306,$D11,P$14:P$306)-P242</f>
        <v>0</v>
      </c>
      <c r="Q11" s="524"/>
      <c r="R11" s="298">
        <f t="shared" ca="1" si="3"/>
        <v>1781533</v>
      </c>
      <c r="S11" s="547">
        <f ca="1">SUMIF($D$14:S$306,$D11,S$14:S$306)-S242</f>
        <v>819402</v>
      </c>
      <c r="T11" s="298"/>
      <c r="U11" s="298"/>
    </row>
    <row r="12" spans="1:23" ht="14.25">
      <c r="C12" s="299"/>
      <c r="D12" s="297" t="s">
        <v>112</v>
      </c>
      <c r="E12" s="296"/>
      <c r="F12" s="606"/>
      <c r="G12" s="606"/>
      <c r="H12" s="547">
        <f ca="1">SUMIF($D$14:H$306,$D12,H$14:H$306)-H243</f>
        <v>75657827.109999999</v>
      </c>
      <c r="I12" s="524"/>
      <c r="J12" s="524"/>
      <c r="K12" s="524"/>
      <c r="L12" s="524"/>
      <c r="M12" s="524"/>
      <c r="N12" s="524"/>
      <c r="O12" s="298">
        <f ca="1">SUMIF($D$14:O$306,$D12,O$14:O$306)-O243</f>
        <v>26927785</v>
      </c>
      <c r="P12" s="298">
        <f ca="1">SUMIF($D$14:P$306,$D12,P$14:P$306)-P243</f>
        <v>0</v>
      </c>
      <c r="Q12" s="524"/>
      <c r="R12" s="298">
        <f t="shared" ca="1" si="3"/>
        <v>26927785</v>
      </c>
      <c r="S12" s="547">
        <f ca="1">SUMIF($D$14:S$306,$D12,S$14:S$306)-S243</f>
        <v>18990708</v>
      </c>
      <c r="T12" s="298"/>
      <c r="U12" s="298"/>
    </row>
    <row r="13" spans="1:23" ht="15">
      <c r="C13" s="205"/>
      <c r="D13" s="207"/>
      <c r="E13" s="206"/>
      <c r="F13" s="607"/>
      <c r="G13" s="607"/>
      <c r="H13" s="548"/>
      <c r="I13" s="525"/>
      <c r="J13" s="525"/>
      <c r="K13" s="525"/>
      <c r="L13" s="525"/>
      <c r="M13" s="525"/>
      <c r="N13" s="525"/>
      <c r="O13" s="207"/>
      <c r="P13" s="207"/>
      <c r="Q13" s="525"/>
      <c r="R13" s="207">
        <f t="shared" si="3"/>
        <v>0</v>
      </c>
      <c r="S13" s="548"/>
      <c r="T13" s="207"/>
      <c r="U13" s="207"/>
    </row>
    <row r="14" spans="1:23" s="80" customFormat="1">
      <c r="A14" s="157"/>
      <c r="B14" s="157"/>
      <c r="C14" s="147" t="s">
        <v>239</v>
      </c>
      <c r="D14" s="209" t="s">
        <v>114</v>
      </c>
      <c r="E14" s="208"/>
      <c r="F14" s="608"/>
      <c r="G14" s="608"/>
      <c r="H14" s="549">
        <f>H33+H15+H49+H34</f>
        <v>98093249</v>
      </c>
      <c r="I14" s="526"/>
      <c r="J14" s="526"/>
      <c r="K14" s="526"/>
      <c r="L14" s="526"/>
      <c r="M14" s="526"/>
      <c r="N14" s="526"/>
      <c r="O14" s="154">
        <f>O33+O15+O49+O34</f>
        <v>29115786</v>
      </c>
      <c r="P14" s="154">
        <f>P33+P15+P49+P34</f>
        <v>37000</v>
      </c>
      <c r="Q14" s="526"/>
      <c r="R14" s="154">
        <f t="shared" si="3"/>
        <v>29152786</v>
      </c>
      <c r="S14" s="549">
        <f>S33+S15+S49+S34</f>
        <v>36650000</v>
      </c>
      <c r="T14" s="154"/>
      <c r="U14" s="154"/>
    </row>
    <row r="15" spans="1:23" s="80" customFormat="1">
      <c r="A15" s="157"/>
      <c r="B15" s="157"/>
      <c r="C15" s="210" t="s">
        <v>185</v>
      </c>
      <c r="D15" s="212" t="s">
        <v>114</v>
      </c>
      <c r="E15" s="211"/>
      <c r="F15" s="319"/>
      <c r="G15" s="319"/>
      <c r="H15" s="550">
        <f t="shared" ref="H15:S15" si="5">SUM(H25:H30)+H16+H19+H22+H31</f>
        <v>17979680</v>
      </c>
      <c r="I15" s="527"/>
      <c r="J15" s="527"/>
      <c r="K15" s="527"/>
      <c r="L15" s="527"/>
      <c r="M15" s="527"/>
      <c r="N15" s="527"/>
      <c r="O15" s="213">
        <f t="shared" ref="O15" si="6">SUM(O25:O30)+O16+O19+O22+O31</f>
        <v>9765786</v>
      </c>
      <c r="P15" s="527"/>
      <c r="Q15" s="527"/>
      <c r="R15" s="213">
        <f t="shared" si="3"/>
        <v>9765786</v>
      </c>
      <c r="S15" s="550">
        <f t="shared" si="5"/>
        <v>12300000</v>
      </c>
      <c r="T15" s="213"/>
      <c r="U15" s="213"/>
    </row>
    <row r="16" spans="1:23">
      <c r="C16" s="159" t="s">
        <v>169</v>
      </c>
      <c r="D16" s="160" t="s">
        <v>114</v>
      </c>
      <c r="E16" s="214" t="s">
        <v>295</v>
      </c>
      <c r="F16" s="312" t="s">
        <v>717</v>
      </c>
      <c r="G16" s="323"/>
      <c r="H16" s="551">
        <f t="shared" ref="H16:S16" si="7">H17+H18</f>
        <v>3200000</v>
      </c>
      <c r="I16" s="313"/>
      <c r="J16" s="313"/>
      <c r="K16" s="313"/>
      <c r="L16" s="313"/>
      <c r="M16" s="313"/>
      <c r="N16" s="313"/>
      <c r="O16" s="153">
        <f t="shared" ref="O16" si="8">O17+O18</f>
        <v>1000000</v>
      </c>
      <c r="P16" s="313"/>
      <c r="Q16" s="313"/>
      <c r="R16" s="153">
        <f t="shared" si="3"/>
        <v>1000000</v>
      </c>
      <c r="S16" s="551">
        <f t="shared" si="7"/>
        <v>2200000</v>
      </c>
      <c r="T16" s="153"/>
      <c r="U16" s="153"/>
    </row>
    <row r="17" spans="1:21">
      <c r="C17" s="159"/>
      <c r="D17" s="160" t="s">
        <v>26</v>
      </c>
      <c r="E17" s="214"/>
      <c r="F17" s="323"/>
      <c r="G17" s="647"/>
      <c r="H17" s="552">
        <f>390000+600000</f>
        <v>990000</v>
      </c>
      <c r="I17" s="161"/>
      <c r="J17" s="161"/>
      <c r="K17" s="161"/>
      <c r="L17" s="161"/>
      <c r="M17" s="161"/>
      <c r="N17" s="161"/>
      <c r="O17" s="165">
        <v>150000</v>
      </c>
      <c r="P17" s="161"/>
      <c r="Q17" s="161"/>
      <c r="R17" s="165">
        <f t="shared" si="3"/>
        <v>150000</v>
      </c>
      <c r="S17" s="556">
        <f>240000+600000</f>
        <v>840000</v>
      </c>
      <c r="T17" s="165"/>
      <c r="U17" s="165"/>
    </row>
    <row r="18" spans="1:21">
      <c r="C18" s="159"/>
      <c r="D18" s="160" t="s">
        <v>112</v>
      </c>
      <c r="E18" s="214"/>
      <c r="F18" s="323"/>
      <c r="G18" s="323"/>
      <c r="H18" s="551">
        <v>2210000</v>
      </c>
      <c r="I18" s="313"/>
      <c r="J18" s="313"/>
      <c r="K18" s="313"/>
      <c r="L18" s="313"/>
      <c r="M18" s="313"/>
      <c r="N18" s="313"/>
      <c r="O18" s="153">
        <v>850000</v>
      </c>
      <c r="P18" s="313"/>
      <c r="Q18" s="313"/>
      <c r="R18" s="153">
        <f t="shared" si="3"/>
        <v>850000</v>
      </c>
      <c r="S18" s="551">
        <v>1360000</v>
      </c>
      <c r="T18" s="153"/>
      <c r="U18" s="153"/>
    </row>
    <row r="19" spans="1:21">
      <c r="C19" s="159" t="s">
        <v>297</v>
      </c>
      <c r="D19" s="160" t="s">
        <v>114</v>
      </c>
      <c r="E19" s="214" t="s">
        <v>291</v>
      </c>
      <c r="F19" s="312" t="s">
        <v>718</v>
      </c>
      <c r="G19" s="323"/>
      <c r="H19" s="551">
        <f t="shared" ref="H19:S19" si="9">H20+H21</f>
        <v>1320000</v>
      </c>
      <c r="I19" s="313"/>
      <c r="J19" s="313"/>
      <c r="K19" s="313"/>
      <c r="L19" s="313"/>
      <c r="M19" s="313"/>
      <c r="N19" s="313"/>
      <c r="O19" s="153">
        <f t="shared" ref="O19" si="10">O20+O21</f>
        <v>1109175</v>
      </c>
      <c r="P19" s="313"/>
      <c r="Q19" s="313"/>
      <c r="R19" s="153">
        <f t="shared" si="3"/>
        <v>1109175</v>
      </c>
      <c r="S19" s="551">
        <f t="shared" si="9"/>
        <v>0</v>
      </c>
      <c r="T19" s="153"/>
      <c r="U19" s="153"/>
    </row>
    <row r="20" spans="1:21">
      <c r="C20" s="159"/>
      <c r="D20" s="148" t="s">
        <v>26</v>
      </c>
      <c r="E20" s="214"/>
      <c r="F20" s="323"/>
      <c r="G20" s="323"/>
      <c r="H20" s="551">
        <v>885197</v>
      </c>
      <c r="I20" s="313"/>
      <c r="J20" s="313"/>
      <c r="K20" s="313"/>
      <c r="L20" s="313"/>
      <c r="M20" s="313"/>
      <c r="N20" s="313"/>
      <c r="O20" s="153">
        <v>685197</v>
      </c>
      <c r="P20" s="313"/>
      <c r="Q20" s="313"/>
      <c r="R20" s="153">
        <f t="shared" si="3"/>
        <v>685197</v>
      </c>
      <c r="S20" s="551"/>
      <c r="T20" s="153"/>
      <c r="U20" s="153"/>
    </row>
    <row r="21" spans="1:21">
      <c r="C21" s="159"/>
      <c r="D21" s="160" t="s">
        <v>112</v>
      </c>
      <c r="E21" s="214"/>
      <c r="F21" s="323"/>
      <c r="G21" s="323"/>
      <c r="H21" s="551">
        <v>434803</v>
      </c>
      <c r="I21" s="313"/>
      <c r="J21" s="313"/>
      <c r="K21" s="313"/>
      <c r="L21" s="313"/>
      <c r="M21" s="313"/>
      <c r="N21" s="313"/>
      <c r="O21" s="153">
        <v>423978</v>
      </c>
      <c r="P21" s="313"/>
      <c r="Q21" s="313"/>
      <c r="R21" s="153">
        <f t="shared" si="3"/>
        <v>423978</v>
      </c>
      <c r="S21" s="551"/>
      <c r="T21" s="153"/>
      <c r="U21" s="153"/>
    </row>
    <row r="22" spans="1:21">
      <c r="C22" s="159" t="s">
        <v>298</v>
      </c>
      <c r="D22" s="148" t="s">
        <v>114</v>
      </c>
      <c r="E22" s="214" t="s">
        <v>299</v>
      </c>
      <c r="F22" s="312" t="s">
        <v>718</v>
      </c>
      <c r="G22" s="323"/>
      <c r="H22" s="551">
        <f t="shared" ref="H22:S22" si="11">H23+H24</f>
        <v>1000000</v>
      </c>
      <c r="I22" s="313"/>
      <c r="J22" s="313"/>
      <c r="K22" s="313"/>
      <c r="L22" s="313"/>
      <c r="M22" s="313"/>
      <c r="N22" s="313"/>
      <c r="O22" s="153">
        <f t="shared" ref="O22" si="12">O23+O24</f>
        <v>756611</v>
      </c>
      <c r="P22" s="313"/>
      <c r="Q22" s="313"/>
      <c r="R22" s="153">
        <f t="shared" si="3"/>
        <v>756611</v>
      </c>
      <c r="S22" s="551">
        <f t="shared" si="11"/>
        <v>0</v>
      </c>
      <c r="T22" s="153"/>
      <c r="U22" s="153"/>
    </row>
    <row r="23" spans="1:21">
      <c r="C23" s="159"/>
      <c r="D23" s="148" t="s">
        <v>26</v>
      </c>
      <c r="E23" s="214"/>
      <c r="F23" s="323"/>
      <c r="G23" s="323"/>
      <c r="H23" s="551">
        <v>566112</v>
      </c>
      <c r="I23" s="313"/>
      <c r="J23" s="313"/>
      <c r="K23" s="313"/>
      <c r="L23" s="313"/>
      <c r="M23" s="313"/>
      <c r="N23" s="313"/>
      <c r="O23" s="153">
        <v>366112</v>
      </c>
      <c r="P23" s="313"/>
      <c r="Q23" s="313"/>
      <c r="R23" s="153">
        <f t="shared" si="3"/>
        <v>366112</v>
      </c>
      <c r="S23" s="551"/>
      <c r="T23" s="153"/>
      <c r="U23" s="153"/>
    </row>
    <row r="24" spans="1:21">
      <c r="C24" s="159"/>
      <c r="D24" s="160" t="s">
        <v>112</v>
      </c>
      <c r="E24" s="214"/>
      <c r="F24" s="323"/>
      <c r="G24" s="323"/>
      <c r="H24" s="551">
        <v>433888</v>
      </c>
      <c r="I24" s="313"/>
      <c r="J24" s="313"/>
      <c r="K24" s="313"/>
      <c r="L24" s="313"/>
      <c r="M24" s="313"/>
      <c r="N24" s="313"/>
      <c r="O24" s="153">
        <v>390499</v>
      </c>
      <c r="P24" s="313"/>
      <c r="Q24" s="313"/>
      <c r="R24" s="153">
        <f t="shared" si="3"/>
        <v>390499</v>
      </c>
      <c r="S24" s="551"/>
      <c r="T24" s="153"/>
      <c r="U24" s="153"/>
    </row>
    <row r="25" spans="1:21" s="80" customFormat="1">
      <c r="A25" s="157"/>
      <c r="B25" s="157"/>
      <c r="C25" s="159" t="s">
        <v>300</v>
      </c>
      <c r="D25" s="160" t="s">
        <v>26</v>
      </c>
      <c r="E25" s="214" t="s">
        <v>301</v>
      </c>
      <c r="F25" s="312" t="s">
        <v>718</v>
      </c>
      <c r="G25" s="323"/>
      <c r="H25" s="553">
        <v>3559680</v>
      </c>
      <c r="I25" s="317"/>
      <c r="J25" s="317"/>
      <c r="K25" s="317"/>
      <c r="L25" s="317"/>
      <c r="M25" s="317"/>
      <c r="N25" s="317"/>
      <c r="O25" s="165">
        <v>2500000</v>
      </c>
      <c r="P25" s="317"/>
      <c r="Q25" s="317"/>
      <c r="R25" s="165">
        <f t="shared" si="3"/>
        <v>2500000</v>
      </c>
      <c r="S25" s="553"/>
      <c r="T25" s="165"/>
      <c r="U25" s="165"/>
    </row>
    <row r="26" spans="1:21" s="80" customFormat="1">
      <c r="A26" s="157"/>
      <c r="B26" s="157"/>
      <c r="C26" s="159" t="s">
        <v>302</v>
      </c>
      <c r="D26" s="160" t="s">
        <v>26</v>
      </c>
      <c r="E26" s="214" t="s">
        <v>296</v>
      </c>
      <c r="F26" s="312" t="s">
        <v>718</v>
      </c>
      <c r="G26" s="323"/>
      <c r="H26" s="553">
        <v>1200000</v>
      </c>
      <c r="I26" s="317"/>
      <c r="J26" s="317"/>
      <c r="K26" s="317"/>
      <c r="L26" s="317"/>
      <c r="M26" s="317"/>
      <c r="N26" s="317"/>
      <c r="O26" s="165">
        <v>1000000</v>
      </c>
      <c r="P26" s="317"/>
      <c r="Q26" s="317"/>
      <c r="R26" s="165">
        <f t="shared" si="3"/>
        <v>1000000</v>
      </c>
      <c r="S26" s="553"/>
      <c r="T26" s="165"/>
      <c r="U26" s="165"/>
    </row>
    <row r="27" spans="1:21" s="80" customFormat="1" ht="22.5">
      <c r="A27" s="157"/>
      <c r="B27" s="157"/>
      <c r="C27" s="323" t="s">
        <v>431</v>
      </c>
      <c r="D27" s="314" t="s">
        <v>26</v>
      </c>
      <c r="E27" s="329"/>
      <c r="F27" s="312" t="s">
        <v>718</v>
      </c>
      <c r="G27" s="323"/>
      <c r="H27" s="554">
        <v>1600000</v>
      </c>
      <c r="I27" s="330"/>
      <c r="J27" s="330"/>
      <c r="K27" s="330"/>
      <c r="L27" s="330"/>
      <c r="M27" s="330"/>
      <c r="N27" s="330"/>
      <c r="O27" s="330">
        <v>400000</v>
      </c>
      <c r="P27" s="330"/>
      <c r="Q27" s="330"/>
      <c r="R27" s="330">
        <f t="shared" si="3"/>
        <v>400000</v>
      </c>
      <c r="S27" s="567"/>
      <c r="T27" s="330"/>
      <c r="U27" s="330"/>
    </row>
    <row r="28" spans="1:21" s="80" customFormat="1" ht="22.5">
      <c r="A28" s="157"/>
      <c r="B28" s="157"/>
      <c r="C28" s="159" t="s">
        <v>303</v>
      </c>
      <c r="D28" s="165" t="s">
        <v>26</v>
      </c>
      <c r="E28" s="214" t="s">
        <v>301</v>
      </c>
      <c r="F28" s="311" t="s">
        <v>719</v>
      </c>
      <c r="G28" s="647"/>
      <c r="H28" s="552">
        <v>3100000</v>
      </c>
      <c r="I28" s="161"/>
      <c r="J28" s="161"/>
      <c r="K28" s="161"/>
      <c r="L28" s="161"/>
      <c r="M28" s="161"/>
      <c r="N28" s="161"/>
      <c r="O28" s="165"/>
      <c r="P28" s="161"/>
      <c r="Q28" s="161"/>
      <c r="R28" s="165">
        <f t="shared" si="3"/>
        <v>0</v>
      </c>
      <c r="S28" s="553">
        <v>100000</v>
      </c>
      <c r="T28" s="165"/>
      <c r="U28" s="165"/>
    </row>
    <row r="29" spans="1:21" s="80" customFormat="1" ht="22.5">
      <c r="A29" s="157"/>
      <c r="B29" s="157"/>
      <c r="C29" s="159" t="s">
        <v>186</v>
      </c>
      <c r="D29" s="160" t="s">
        <v>26</v>
      </c>
      <c r="E29" s="214" t="s">
        <v>296</v>
      </c>
      <c r="F29" s="312" t="s">
        <v>718</v>
      </c>
      <c r="G29" s="323"/>
      <c r="H29" s="553">
        <v>1000000</v>
      </c>
      <c r="I29" s="317"/>
      <c r="J29" s="317"/>
      <c r="K29" s="317"/>
      <c r="L29" s="317"/>
      <c r="M29" s="317"/>
      <c r="N29" s="317"/>
      <c r="O29" s="165">
        <v>1000000</v>
      </c>
      <c r="P29" s="317"/>
      <c r="Q29" s="317"/>
      <c r="R29" s="165">
        <f t="shared" si="3"/>
        <v>1000000</v>
      </c>
      <c r="S29" s="553"/>
      <c r="T29" s="165"/>
      <c r="U29" s="165"/>
    </row>
    <row r="30" spans="1:21" s="80" customFormat="1" ht="33.75" customHeight="1">
      <c r="A30" s="157"/>
      <c r="B30" s="157"/>
      <c r="C30" s="159" t="s">
        <v>304</v>
      </c>
      <c r="D30" s="160" t="s">
        <v>26</v>
      </c>
      <c r="E30" s="214" t="s">
        <v>296</v>
      </c>
      <c r="F30" s="312" t="s">
        <v>394</v>
      </c>
      <c r="G30" s="323"/>
      <c r="H30" s="553">
        <v>2000000</v>
      </c>
      <c r="I30" s="317"/>
      <c r="J30" s="317"/>
      <c r="K30" s="317"/>
      <c r="L30" s="317"/>
      <c r="M30" s="317"/>
      <c r="N30" s="317"/>
      <c r="O30" s="165">
        <v>2000000</v>
      </c>
      <c r="P30" s="317"/>
      <c r="Q30" s="317"/>
      <c r="R30" s="165">
        <f t="shared" si="3"/>
        <v>2000000</v>
      </c>
      <c r="S30" s="553"/>
      <c r="T30" s="165"/>
      <c r="U30" s="165"/>
    </row>
    <row r="31" spans="1:21" s="80" customFormat="1" ht="51">
      <c r="A31" s="157"/>
      <c r="B31" s="157"/>
      <c r="C31" s="159" t="s">
        <v>443</v>
      </c>
      <c r="D31" s="160" t="s">
        <v>26</v>
      </c>
      <c r="E31" s="214" t="s">
        <v>296</v>
      </c>
      <c r="F31" s="311" t="s">
        <v>720</v>
      </c>
      <c r="G31" s="323"/>
      <c r="H31" s="553"/>
      <c r="I31" s="317"/>
      <c r="J31" s="317"/>
      <c r="K31" s="317"/>
      <c r="L31" s="317"/>
      <c r="M31" s="317"/>
      <c r="N31" s="317"/>
      <c r="O31" s="165"/>
      <c r="P31" s="317"/>
      <c r="Q31" s="317"/>
      <c r="R31" s="165">
        <f t="shared" si="3"/>
        <v>0</v>
      </c>
      <c r="S31" s="553">
        <v>10000000</v>
      </c>
      <c r="T31" s="165"/>
      <c r="U31" s="165"/>
    </row>
    <row r="32" spans="1:21" s="80" customFormat="1">
      <c r="A32" s="157"/>
      <c r="B32" s="157"/>
      <c r="C32" s="210" t="s">
        <v>446</v>
      </c>
      <c r="D32" s="212" t="s">
        <v>114</v>
      </c>
      <c r="E32" s="211"/>
      <c r="F32" s="319"/>
      <c r="G32" s="319"/>
      <c r="H32" s="550">
        <f>H33+H34</f>
        <v>57863569</v>
      </c>
      <c r="I32" s="527"/>
      <c r="J32" s="527"/>
      <c r="K32" s="527"/>
      <c r="L32" s="527"/>
      <c r="M32" s="527"/>
      <c r="N32" s="527"/>
      <c r="O32" s="213">
        <f>O33+O34</f>
        <v>18000000</v>
      </c>
      <c r="P32" s="213">
        <f>P33+P34</f>
        <v>37000</v>
      </c>
      <c r="Q32" s="527"/>
      <c r="R32" s="213">
        <f t="shared" si="3"/>
        <v>18037000</v>
      </c>
      <c r="S32" s="550">
        <f t="shared" ref="S32" si="13">S33+S34</f>
        <v>19600000</v>
      </c>
      <c r="T32" s="213"/>
      <c r="U32" s="213"/>
    </row>
    <row r="33" spans="1:21" s="80" customFormat="1">
      <c r="A33" s="157"/>
      <c r="B33" s="157"/>
      <c r="C33" s="642"/>
      <c r="D33" s="314" t="s">
        <v>26</v>
      </c>
      <c r="E33" s="318"/>
      <c r="F33" s="642"/>
      <c r="G33" s="642"/>
      <c r="H33" s="555">
        <f>SUM(H35:H39)+H41+SUM(H43:H46)+H48</f>
        <v>51863569</v>
      </c>
      <c r="I33" s="313"/>
      <c r="J33" s="313"/>
      <c r="K33" s="313"/>
      <c r="L33" s="313"/>
      <c r="M33" s="313"/>
      <c r="N33" s="313"/>
      <c r="O33" s="313">
        <f>SUM(O35:O39)+O41+SUM(O43:O46)+O48</f>
        <v>18000000</v>
      </c>
      <c r="P33" s="313"/>
      <c r="Q33" s="313"/>
      <c r="R33" s="313">
        <f t="shared" si="3"/>
        <v>18000000</v>
      </c>
      <c r="S33" s="555">
        <f>SUM(S35:S39)+S41+SUM(S43:S46)+S48</f>
        <v>13600000</v>
      </c>
      <c r="T33" s="313"/>
      <c r="U33" s="313"/>
    </row>
    <row r="34" spans="1:21" s="80" customFormat="1">
      <c r="A34" s="157"/>
      <c r="B34" s="157"/>
      <c r="C34" s="319"/>
      <c r="D34" s="314" t="s">
        <v>27</v>
      </c>
      <c r="E34" s="318"/>
      <c r="F34" s="319"/>
      <c r="G34" s="319"/>
      <c r="H34" s="555">
        <f t="shared" ref="H34:S34" si="14">H42</f>
        <v>6000000</v>
      </c>
      <c r="I34" s="313"/>
      <c r="J34" s="313"/>
      <c r="K34" s="313"/>
      <c r="L34" s="313"/>
      <c r="M34" s="313"/>
      <c r="N34" s="313"/>
      <c r="O34" s="313"/>
      <c r="P34" s="313">
        <v>37000</v>
      </c>
      <c r="Q34" s="313"/>
      <c r="R34" s="313">
        <f t="shared" si="3"/>
        <v>37000</v>
      </c>
      <c r="S34" s="555">
        <f t="shared" si="14"/>
        <v>6000000</v>
      </c>
      <c r="T34" s="313"/>
      <c r="U34" s="313"/>
    </row>
    <row r="35" spans="1:21" s="80" customFormat="1">
      <c r="A35" s="157"/>
      <c r="B35" s="157"/>
      <c r="C35" s="163" t="s">
        <v>284</v>
      </c>
      <c r="D35" s="160"/>
      <c r="E35" s="214" t="s">
        <v>285</v>
      </c>
      <c r="F35" s="623" t="s">
        <v>718</v>
      </c>
      <c r="G35" s="587"/>
      <c r="H35" s="553">
        <v>3600000</v>
      </c>
      <c r="I35" s="317"/>
      <c r="J35" s="317"/>
      <c r="K35" s="317"/>
      <c r="L35" s="317"/>
      <c r="M35" s="317"/>
      <c r="N35" s="317"/>
      <c r="O35" s="165">
        <v>3350000</v>
      </c>
      <c r="P35" s="317"/>
      <c r="Q35" s="317"/>
      <c r="R35" s="165">
        <f t="shared" si="3"/>
        <v>3350000</v>
      </c>
      <c r="S35" s="553"/>
      <c r="T35" s="165"/>
      <c r="U35" s="165"/>
    </row>
    <row r="36" spans="1:21" s="80" customFormat="1">
      <c r="A36" s="157"/>
      <c r="B36" s="157"/>
      <c r="C36" s="159" t="s">
        <v>286</v>
      </c>
      <c r="D36" s="160"/>
      <c r="E36" s="214" t="s">
        <v>287</v>
      </c>
      <c r="F36" s="623" t="s">
        <v>718</v>
      </c>
      <c r="G36" s="323"/>
      <c r="H36" s="553">
        <v>9130714</v>
      </c>
      <c r="I36" s="317"/>
      <c r="J36" s="317"/>
      <c r="K36" s="317"/>
      <c r="L36" s="317"/>
      <c r="M36" s="317"/>
      <c r="N36" s="317"/>
      <c r="O36" s="165">
        <v>5500000</v>
      </c>
      <c r="P36" s="317"/>
      <c r="Q36" s="317"/>
      <c r="R36" s="165">
        <f t="shared" si="3"/>
        <v>5500000</v>
      </c>
      <c r="S36" s="553"/>
      <c r="T36" s="165"/>
      <c r="U36" s="165"/>
    </row>
    <row r="37" spans="1:21" s="80" customFormat="1">
      <c r="A37" s="157"/>
      <c r="B37" s="157"/>
      <c r="C37" s="159" t="s">
        <v>288</v>
      </c>
      <c r="D37" s="160"/>
      <c r="E37" s="214" t="s">
        <v>285</v>
      </c>
      <c r="F37" s="623" t="s">
        <v>718</v>
      </c>
      <c r="G37" s="323"/>
      <c r="H37" s="553">
        <v>1400000</v>
      </c>
      <c r="I37" s="317"/>
      <c r="J37" s="317"/>
      <c r="K37" s="317"/>
      <c r="L37" s="317"/>
      <c r="M37" s="317"/>
      <c r="N37" s="317"/>
      <c r="O37" s="165">
        <v>1200000</v>
      </c>
      <c r="P37" s="317"/>
      <c r="Q37" s="317"/>
      <c r="R37" s="165">
        <f t="shared" si="3"/>
        <v>1200000</v>
      </c>
      <c r="S37" s="553"/>
      <c r="T37" s="165"/>
      <c r="U37" s="165"/>
    </row>
    <row r="38" spans="1:21" s="80" customFormat="1">
      <c r="A38" s="157"/>
      <c r="B38" s="157"/>
      <c r="C38" s="159" t="s">
        <v>289</v>
      </c>
      <c r="D38" s="160"/>
      <c r="E38" s="214" t="s">
        <v>290</v>
      </c>
      <c r="F38" s="623" t="s">
        <v>718</v>
      </c>
      <c r="G38" s="323"/>
      <c r="H38" s="553">
        <v>1344160</v>
      </c>
      <c r="I38" s="317"/>
      <c r="J38" s="317"/>
      <c r="K38" s="317"/>
      <c r="L38" s="317"/>
      <c r="M38" s="317"/>
      <c r="N38" s="317"/>
      <c r="O38" s="165">
        <v>1300000</v>
      </c>
      <c r="P38" s="317"/>
      <c r="Q38" s="317"/>
      <c r="R38" s="165">
        <f t="shared" si="3"/>
        <v>1300000</v>
      </c>
      <c r="S38" s="553"/>
      <c r="T38" s="165"/>
      <c r="U38" s="165"/>
    </row>
    <row r="39" spans="1:21" s="80" customFormat="1">
      <c r="A39" s="157"/>
      <c r="B39" s="157"/>
      <c r="C39" s="159" t="s">
        <v>440</v>
      </c>
      <c r="D39" s="160"/>
      <c r="E39" s="214" t="s">
        <v>291</v>
      </c>
      <c r="F39" s="311" t="s">
        <v>717</v>
      </c>
      <c r="G39" s="335"/>
      <c r="H39" s="556">
        <f>6000000+2000000+138695-2750000</f>
        <v>5388695</v>
      </c>
      <c r="I39" s="326"/>
      <c r="J39" s="326"/>
      <c r="K39" s="326"/>
      <c r="L39" s="326"/>
      <c r="M39" s="326"/>
      <c r="N39" s="326"/>
      <c r="O39" s="165">
        <v>1500000</v>
      </c>
      <c r="P39" s="317"/>
      <c r="Q39" s="326"/>
      <c r="R39" s="165">
        <f t="shared" si="3"/>
        <v>1500000</v>
      </c>
      <c r="S39" s="556">
        <f>1700000+4800000-2750000</f>
        <v>3750000</v>
      </c>
      <c r="T39" s="165"/>
      <c r="U39" s="165"/>
    </row>
    <row r="40" spans="1:21" s="80" customFormat="1">
      <c r="A40" s="157"/>
      <c r="B40" s="157"/>
      <c r="C40" s="159" t="s">
        <v>292</v>
      </c>
      <c r="D40" s="160" t="s">
        <v>114</v>
      </c>
      <c r="E40" s="214"/>
      <c r="F40" s="311" t="s">
        <v>717</v>
      </c>
      <c r="G40" s="323"/>
      <c r="H40" s="556">
        <f>5500000+6300000+250000-50000-250000</f>
        <v>11750000</v>
      </c>
      <c r="I40" s="326"/>
      <c r="J40" s="326"/>
      <c r="K40" s="326"/>
      <c r="L40" s="326"/>
      <c r="M40" s="326"/>
      <c r="N40" s="326"/>
      <c r="O40" s="165">
        <v>2500000</v>
      </c>
      <c r="P40" s="317"/>
      <c r="Q40" s="326"/>
      <c r="R40" s="165">
        <f t="shared" si="3"/>
        <v>2500000</v>
      </c>
      <c r="S40" s="556">
        <f>2750000+6300000-50000</f>
        <v>9000000</v>
      </c>
      <c r="T40" s="165"/>
      <c r="U40" s="165"/>
    </row>
    <row r="41" spans="1:21" s="80" customFormat="1">
      <c r="A41" s="157"/>
      <c r="B41" s="157"/>
      <c r="C41" s="323"/>
      <c r="D41" s="314" t="s">
        <v>426</v>
      </c>
      <c r="E41" s="324"/>
      <c r="F41" s="311"/>
      <c r="G41" s="323"/>
      <c r="H41" s="557">
        <v>5750000</v>
      </c>
      <c r="I41" s="326"/>
      <c r="J41" s="326"/>
      <c r="K41" s="326"/>
      <c r="L41" s="326"/>
      <c r="M41" s="326"/>
      <c r="N41" s="326"/>
      <c r="O41" s="317">
        <v>2500000</v>
      </c>
      <c r="P41" s="317"/>
      <c r="Q41" s="326"/>
      <c r="R41" s="317">
        <f t="shared" si="3"/>
        <v>2500000</v>
      </c>
      <c r="S41" s="557">
        <v>3000000</v>
      </c>
      <c r="T41" s="317"/>
      <c r="U41" s="317"/>
    </row>
    <row r="42" spans="1:21" s="80" customFormat="1">
      <c r="A42" s="157"/>
      <c r="B42" s="157"/>
      <c r="C42" s="323"/>
      <c r="D42" s="314" t="s">
        <v>427</v>
      </c>
      <c r="E42" s="324"/>
      <c r="F42" s="311"/>
      <c r="G42" s="323"/>
      <c r="H42" s="557">
        <v>6000000</v>
      </c>
      <c r="I42" s="326"/>
      <c r="J42" s="326"/>
      <c r="K42" s="326"/>
      <c r="L42" s="326"/>
      <c r="M42" s="326"/>
      <c r="N42" s="326"/>
      <c r="O42" s="317"/>
      <c r="P42" s="317"/>
      <c r="Q42" s="326"/>
      <c r="R42" s="317">
        <f t="shared" si="3"/>
        <v>0</v>
      </c>
      <c r="S42" s="557">
        <v>6000000</v>
      </c>
      <c r="T42" s="317"/>
      <c r="U42" s="317"/>
    </row>
    <row r="43" spans="1:21" s="80" customFormat="1">
      <c r="A43" s="157"/>
      <c r="B43" s="157"/>
      <c r="C43" s="159" t="s">
        <v>441</v>
      </c>
      <c r="D43" s="160"/>
      <c r="E43" s="214" t="s">
        <v>287</v>
      </c>
      <c r="F43" s="311" t="s">
        <v>719</v>
      </c>
      <c r="G43" s="323"/>
      <c r="H43" s="553">
        <v>3690000</v>
      </c>
      <c r="I43" s="317"/>
      <c r="J43" s="317"/>
      <c r="K43" s="317"/>
      <c r="L43" s="317"/>
      <c r="M43" s="317"/>
      <c r="N43" s="317"/>
      <c r="O43" s="165">
        <v>40000</v>
      </c>
      <c r="P43" s="317"/>
      <c r="Q43" s="317"/>
      <c r="R43" s="165">
        <f t="shared" si="3"/>
        <v>40000</v>
      </c>
      <c r="S43" s="553">
        <v>150000</v>
      </c>
      <c r="T43" s="165"/>
      <c r="U43" s="165"/>
    </row>
    <row r="44" spans="1:21" s="80" customFormat="1">
      <c r="A44" s="157"/>
      <c r="B44" s="157"/>
      <c r="C44" s="159" t="s">
        <v>294</v>
      </c>
      <c r="D44" s="160"/>
      <c r="E44" s="214" t="s">
        <v>291</v>
      </c>
      <c r="F44" s="312" t="s">
        <v>719</v>
      </c>
      <c r="G44" s="323"/>
      <c r="H44" s="556">
        <f>6000000+1500000+250000-3000000</f>
        <v>4750000</v>
      </c>
      <c r="I44" s="326"/>
      <c r="J44" s="326"/>
      <c r="K44" s="326"/>
      <c r="L44" s="326"/>
      <c r="M44" s="326"/>
      <c r="N44" s="326"/>
      <c r="O44" s="165"/>
      <c r="P44" s="317"/>
      <c r="Q44" s="326"/>
      <c r="R44" s="165">
        <f t="shared" si="3"/>
        <v>0</v>
      </c>
      <c r="S44" s="556">
        <f>2250000+750000-500000</f>
        <v>2500000</v>
      </c>
      <c r="T44" s="165"/>
      <c r="U44" s="165"/>
    </row>
    <row r="45" spans="1:21" s="80" customFormat="1">
      <c r="A45" s="157"/>
      <c r="B45" s="157"/>
      <c r="C45" s="159" t="s">
        <v>481</v>
      </c>
      <c r="D45" s="160"/>
      <c r="E45" s="214" t="s">
        <v>296</v>
      </c>
      <c r="F45" s="312" t="s">
        <v>717</v>
      </c>
      <c r="G45" s="323"/>
      <c r="H45" s="553">
        <v>400000</v>
      </c>
      <c r="I45" s="317"/>
      <c r="J45" s="317"/>
      <c r="K45" s="317"/>
      <c r="L45" s="317"/>
      <c r="M45" s="317"/>
      <c r="N45" s="317"/>
      <c r="O45" s="165">
        <v>200000</v>
      </c>
      <c r="P45" s="317"/>
      <c r="Q45" s="317"/>
      <c r="R45" s="165">
        <f t="shared" si="3"/>
        <v>200000</v>
      </c>
      <c r="S45" s="553">
        <v>200000</v>
      </c>
      <c r="T45" s="165"/>
      <c r="U45" s="165"/>
    </row>
    <row r="46" spans="1:21" s="80" customFormat="1">
      <c r="A46" s="157"/>
      <c r="B46" s="157"/>
      <c r="C46" s="159" t="s">
        <v>187</v>
      </c>
      <c r="D46" s="160"/>
      <c r="E46" s="214" t="s">
        <v>296</v>
      </c>
      <c r="F46" s="312" t="s">
        <v>717</v>
      </c>
      <c r="G46" s="323"/>
      <c r="H46" s="556">
        <f>7800000+810000-2000000</f>
        <v>6610000</v>
      </c>
      <c r="I46" s="326"/>
      <c r="J46" s="326"/>
      <c r="K46" s="326"/>
      <c r="L46" s="326"/>
      <c r="M46" s="326"/>
      <c r="N46" s="326"/>
      <c r="O46" s="165">
        <f>650000-40000</f>
        <v>610000</v>
      </c>
      <c r="P46" s="317"/>
      <c r="Q46" s="326"/>
      <c r="R46" s="165">
        <f t="shared" si="3"/>
        <v>610000</v>
      </c>
      <c r="S46" s="553">
        <v>2000000</v>
      </c>
      <c r="T46" s="165"/>
      <c r="U46" s="165"/>
    </row>
    <row r="47" spans="1:21" s="80" customFormat="1" ht="22.5">
      <c r="A47" s="157"/>
      <c r="B47" s="157"/>
      <c r="C47" s="162" t="s">
        <v>442</v>
      </c>
      <c r="D47" s="160"/>
      <c r="E47" s="214" t="s">
        <v>291</v>
      </c>
      <c r="F47" s="312" t="s">
        <v>717</v>
      </c>
      <c r="G47" s="610"/>
      <c r="H47" s="553"/>
      <c r="I47" s="317"/>
      <c r="J47" s="317"/>
      <c r="K47" s="317"/>
      <c r="L47" s="317"/>
      <c r="M47" s="317"/>
      <c r="N47" s="317"/>
      <c r="O47" s="165">
        <v>10000</v>
      </c>
      <c r="P47" s="317"/>
      <c r="Q47" s="317"/>
      <c r="R47" s="165">
        <f t="shared" si="3"/>
        <v>10000</v>
      </c>
      <c r="S47" s="553">
        <v>1000000</v>
      </c>
      <c r="T47" s="165"/>
      <c r="U47" s="165"/>
    </row>
    <row r="48" spans="1:21" s="80" customFormat="1">
      <c r="A48" s="157"/>
      <c r="B48" s="157"/>
      <c r="C48" s="159" t="s">
        <v>480</v>
      </c>
      <c r="D48" s="160"/>
      <c r="E48" s="214" t="s">
        <v>296</v>
      </c>
      <c r="F48" s="312" t="s">
        <v>717</v>
      </c>
      <c r="G48" s="323"/>
      <c r="H48" s="556">
        <f>1500000+8300000</f>
        <v>9800000</v>
      </c>
      <c r="I48" s="326"/>
      <c r="J48" s="326"/>
      <c r="K48" s="326"/>
      <c r="L48" s="326"/>
      <c r="M48" s="326"/>
      <c r="N48" s="326"/>
      <c r="O48" s="165">
        <f>1500000+300000</f>
        <v>1800000</v>
      </c>
      <c r="P48" s="317"/>
      <c r="Q48" s="326"/>
      <c r="R48" s="165">
        <f t="shared" si="3"/>
        <v>1800000</v>
      </c>
      <c r="S48" s="553">
        <v>2000000</v>
      </c>
      <c r="T48" s="165"/>
      <c r="U48" s="165"/>
    </row>
    <row r="49" spans="1:21" s="80" customFormat="1">
      <c r="A49" s="157"/>
      <c r="B49" s="157"/>
      <c r="C49" s="210" t="s">
        <v>188</v>
      </c>
      <c r="D49" s="213" t="s">
        <v>26</v>
      </c>
      <c r="E49" s="211"/>
      <c r="F49" s="312"/>
      <c r="G49" s="319"/>
      <c r="H49" s="550">
        <f>SUM(H50:H54)</f>
        <v>22250000</v>
      </c>
      <c r="I49" s="527"/>
      <c r="J49" s="527"/>
      <c r="K49" s="527"/>
      <c r="L49" s="527"/>
      <c r="M49" s="527"/>
      <c r="N49" s="527"/>
      <c r="O49" s="213">
        <f>SUM(O50:O54)</f>
        <v>1350000</v>
      </c>
      <c r="P49" s="527"/>
      <c r="Q49" s="527"/>
      <c r="R49" s="213">
        <f t="shared" si="3"/>
        <v>1350000</v>
      </c>
      <c r="S49" s="550">
        <f>SUM(S50:S54)</f>
        <v>4750000</v>
      </c>
      <c r="T49" s="213"/>
      <c r="U49" s="213"/>
    </row>
    <row r="50" spans="1:21" s="80" customFormat="1" ht="22.5">
      <c r="A50" s="157"/>
      <c r="B50" s="157"/>
      <c r="C50" s="163" t="s">
        <v>305</v>
      </c>
      <c r="D50" s="160"/>
      <c r="E50" s="214" t="s">
        <v>293</v>
      </c>
      <c r="F50" s="312" t="s">
        <v>717</v>
      </c>
      <c r="G50" s="587"/>
      <c r="H50" s="553">
        <v>6500000</v>
      </c>
      <c r="I50" s="317"/>
      <c r="J50" s="317"/>
      <c r="K50" s="317"/>
      <c r="L50" s="317"/>
      <c r="M50" s="317"/>
      <c r="N50" s="317"/>
      <c r="O50" s="165">
        <v>500000</v>
      </c>
      <c r="P50" s="317"/>
      <c r="Q50" s="317"/>
      <c r="R50" s="165">
        <f t="shared" si="3"/>
        <v>500000</v>
      </c>
      <c r="S50" s="553">
        <v>1500000</v>
      </c>
      <c r="T50" s="165"/>
      <c r="U50" s="165"/>
    </row>
    <row r="51" spans="1:21" s="80" customFormat="1" ht="22.5">
      <c r="A51" s="157"/>
      <c r="B51" s="157"/>
      <c r="C51" s="159" t="s">
        <v>482</v>
      </c>
      <c r="D51" s="160"/>
      <c r="E51" s="214" t="s">
        <v>285</v>
      </c>
      <c r="F51" s="695" t="s">
        <v>719</v>
      </c>
      <c r="G51" s="323"/>
      <c r="H51" s="558">
        <v>4000000</v>
      </c>
      <c r="I51" s="328"/>
      <c r="J51" s="328"/>
      <c r="K51" s="328"/>
      <c r="L51" s="328"/>
      <c r="M51" s="328"/>
      <c r="N51" s="328"/>
      <c r="O51" s="171">
        <v>300000</v>
      </c>
      <c r="P51" s="328"/>
      <c r="Q51" s="328"/>
      <c r="R51" s="171">
        <f t="shared" si="3"/>
        <v>300000</v>
      </c>
      <c r="S51" s="558"/>
      <c r="T51" s="171"/>
      <c r="U51" s="171"/>
    </row>
    <row r="52" spans="1:21" s="80" customFormat="1" ht="22.5">
      <c r="A52" s="157"/>
      <c r="B52" s="157"/>
      <c r="C52" s="159" t="s">
        <v>483</v>
      </c>
      <c r="D52" s="160"/>
      <c r="E52" s="214" t="s">
        <v>299</v>
      </c>
      <c r="F52" s="312" t="s">
        <v>719</v>
      </c>
      <c r="G52" s="323"/>
      <c r="H52" s="558">
        <v>9000000</v>
      </c>
      <c r="I52" s="328"/>
      <c r="J52" s="328"/>
      <c r="K52" s="328"/>
      <c r="L52" s="328"/>
      <c r="M52" s="328"/>
      <c r="N52" s="328"/>
      <c r="O52" s="171">
        <v>300000</v>
      </c>
      <c r="P52" s="328"/>
      <c r="Q52" s="328"/>
      <c r="R52" s="171">
        <f t="shared" si="3"/>
        <v>300000</v>
      </c>
      <c r="S52" s="558">
        <v>2000000</v>
      </c>
      <c r="T52" s="171"/>
      <c r="U52" s="171"/>
    </row>
    <row r="53" spans="1:21" s="80" customFormat="1">
      <c r="A53" s="157"/>
      <c r="B53" s="157"/>
      <c r="C53" s="159" t="s">
        <v>478</v>
      </c>
      <c r="D53" s="160"/>
      <c r="E53" s="214" t="s">
        <v>291</v>
      </c>
      <c r="F53" s="312" t="s">
        <v>719</v>
      </c>
      <c r="G53" s="647"/>
      <c r="H53" s="552">
        <f>1000000+1500000</f>
        <v>2500000</v>
      </c>
      <c r="I53" s="161"/>
      <c r="J53" s="161"/>
      <c r="K53" s="161"/>
      <c r="L53" s="161"/>
      <c r="M53" s="161"/>
      <c r="N53" s="161"/>
      <c r="O53" s="165"/>
      <c r="P53" s="161"/>
      <c r="Q53" s="161"/>
      <c r="R53" s="165">
        <f t="shared" si="3"/>
        <v>0</v>
      </c>
      <c r="S53" s="553">
        <v>1000000</v>
      </c>
      <c r="T53" s="165"/>
      <c r="U53" s="165"/>
    </row>
    <row r="54" spans="1:21" s="80" customFormat="1">
      <c r="A54" s="157"/>
      <c r="B54" s="157"/>
      <c r="C54" s="159" t="s">
        <v>189</v>
      </c>
      <c r="D54" s="160"/>
      <c r="E54" s="214" t="s">
        <v>296</v>
      </c>
      <c r="F54" s="312" t="s">
        <v>717</v>
      </c>
      <c r="G54" s="323"/>
      <c r="H54" s="553">
        <v>250000</v>
      </c>
      <c r="I54" s="317"/>
      <c r="J54" s="317"/>
      <c r="K54" s="317"/>
      <c r="L54" s="317"/>
      <c r="M54" s="317"/>
      <c r="N54" s="317"/>
      <c r="O54" s="165">
        <v>250000</v>
      </c>
      <c r="P54" s="317"/>
      <c r="Q54" s="317"/>
      <c r="R54" s="165">
        <f t="shared" si="3"/>
        <v>250000</v>
      </c>
      <c r="S54" s="553">
        <f>100000+150000</f>
        <v>250000</v>
      </c>
      <c r="T54" s="165"/>
      <c r="U54" s="165"/>
    </row>
    <row r="55" spans="1:21" s="80" customFormat="1">
      <c r="A55" s="157"/>
      <c r="B55" s="157"/>
      <c r="C55" s="146" t="s">
        <v>306</v>
      </c>
      <c r="D55" s="209" t="s">
        <v>114</v>
      </c>
      <c r="E55" s="208"/>
      <c r="F55" s="608"/>
      <c r="G55" s="608"/>
      <c r="H55" s="549">
        <f>H56+H66+H69+H81+H75+H64+H87+H77+H72+H96+H102+H97+H83+H84+H86+H92+H103+H61+H82+H100+H98+H99+H101+H85+H59</f>
        <v>61459260</v>
      </c>
      <c r="I55" s="526"/>
      <c r="J55" s="526"/>
      <c r="K55" s="526"/>
      <c r="L55" s="526"/>
      <c r="M55" s="526"/>
      <c r="N55" s="526"/>
      <c r="O55" s="154">
        <f>O56+O66+O69+O81+O75+O64+O87+O77+O72+O96+O102+O97+O83+O84+O86+O92+O103+O61+O82+O100+O98+O99+O101+O85+O59</f>
        <v>8636234</v>
      </c>
      <c r="P55" s="154">
        <f>P56+P66+P69+P81+P75+P64+P87+P77+P72+P96+P102+P97+P83+P84+P86+P92+P103+P61+P82+P100+P98+P99+P101+P85+P59</f>
        <v>710000</v>
      </c>
      <c r="Q55" s="526"/>
      <c r="R55" s="154">
        <f t="shared" si="3"/>
        <v>9346234</v>
      </c>
      <c r="S55" s="549">
        <f>S56+S66+S69+S81+S75+S64+S87+S77+S72+S96+S102+S97+S83+S84+S86+S92+S103+S61+S82+S100+S98+S99+S101+S85+S59</f>
        <v>19595231</v>
      </c>
      <c r="T55" s="154"/>
      <c r="U55" s="154"/>
    </row>
    <row r="56" spans="1:21" ht="25.5">
      <c r="C56" s="150" t="s">
        <v>444</v>
      </c>
      <c r="D56" s="160" t="s">
        <v>114</v>
      </c>
      <c r="E56" s="216" t="s">
        <v>295</v>
      </c>
      <c r="F56" s="694" t="s">
        <v>721</v>
      </c>
      <c r="G56" s="311"/>
      <c r="H56" s="551">
        <f t="shared" ref="H56:S56" si="15">H57+H58</f>
        <v>5116396</v>
      </c>
      <c r="I56" s="313"/>
      <c r="J56" s="313"/>
      <c r="K56" s="313"/>
      <c r="L56" s="313"/>
      <c r="M56" s="313"/>
      <c r="N56" s="313"/>
      <c r="O56" s="153">
        <f t="shared" ref="O56" si="16">O57+O58</f>
        <v>125012</v>
      </c>
      <c r="P56" s="313"/>
      <c r="Q56" s="313"/>
      <c r="R56" s="153">
        <f t="shared" si="3"/>
        <v>125012</v>
      </c>
      <c r="S56" s="551">
        <f t="shared" si="15"/>
        <v>2150413</v>
      </c>
      <c r="T56" s="153"/>
      <c r="U56" s="153"/>
    </row>
    <row r="57" spans="1:21">
      <c r="C57" s="217" t="s">
        <v>111</v>
      </c>
      <c r="D57" s="160" t="s">
        <v>26</v>
      </c>
      <c r="E57" s="216"/>
      <c r="F57" s="611"/>
      <c r="G57" s="648"/>
      <c r="H57" s="552">
        <f>2621945+1601</f>
        <v>2623546</v>
      </c>
      <c r="I57" s="161"/>
      <c r="J57" s="161"/>
      <c r="K57" s="161"/>
      <c r="L57" s="161"/>
      <c r="M57" s="161"/>
      <c r="N57" s="161"/>
      <c r="O57" s="153">
        <v>32112</v>
      </c>
      <c r="P57" s="657"/>
      <c r="Q57" s="161"/>
      <c r="R57" s="153">
        <f t="shared" si="3"/>
        <v>32112</v>
      </c>
      <c r="S57" s="553">
        <f>991261+50454</f>
        <v>1041715</v>
      </c>
      <c r="T57" s="153"/>
      <c r="U57" s="153"/>
    </row>
    <row r="58" spans="1:21">
      <c r="C58" s="150"/>
      <c r="D58" s="160" t="s">
        <v>112</v>
      </c>
      <c r="E58" s="216"/>
      <c r="F58" s="311"/>
      <c r="G58" s="649"/>
      <c r="H58" s="552">
        <f>2494451-1601</f>
        <v>2492850</v>
      </c>
      <c r="I58" s="161"/>
      <c r="J58" s="161"/>
      <c r="K58" s="161"/>
      <c r="L58" s="161"/>
      <c r="M58" s="161"/>
      <c r="N58" s="161"/>
      <c r="O58" s="153">
        <v>92900</v>
      </c>
      <c r="P58" s="657"/>
      <c r="Q58" s="161"/>
      <c r="R58" s="153">
        <f t="shared" si="3"/>
        <v>92900</v>
      </c>
      <c r="S58" s="553">
        <f>1155148-46450</f>
        <v>1108698</v>
      </c>
      <c r="T58" s="153"/>
      <c r="U58" s="153"/>
    </row>
    <row r="59" spans="1:21">
      <c r="C59" s="150" t="s">
        <v>445</v>
      </c>
      <c r="D59" s="160" t="s">
        <v>114</v>
      </c>
      <c r="E59" s="216" t="s">
        <v>295</v>
      </c>
      <c r="F59" s="311" t="s">
        <v>719</v>
      </c>
      <c r="G59" s="311"/>
      <c r="H59" s="551"/>
      <c r="I59" s="313"/>
      <c r="J59" s="313"/>
      <c r="K59" s="313"/>
      <c r="L59" s="313"/>
      <c r="M59" s="313"/>
      <c r="N59" s="313"/>
      <c r="O59" s="153">
        <f>SUM(O60:O60)</f>
        <v>0</v>
      </c>
      <c r="P59" s="153">
        <f>SUM(P60:P60)</f>
        <v>10000</v>
      </c>
      <c r="Q59" s="313"/>
      <c r="R59" s="153">
        <f t="shared" si="3"/>
        <v>10000</v>
      </c>
      <c r="S59" s="579"/>
      <c r="T59" s="153"/>
      <c r="U59" s="153"/>
    </row>
    <row r="60" spans="1:21" ht="12" customHeight="1">
      <c r="C60" s="150"/>
      <c r="D60" s="160" t="s">
        <v>27</v>
      </c>
      <c r="E60" s="216"/>
      <c r="F60" s="311"/>
      <c r="G60" s="311"/>
      <c r="H60" s="551"/>
      <c r="I60" s="313"/>
      <c r="J60" s="313"/>
      <c r="K60" s="313"/>
      <c r="L60" s="313"/>
      <c r="M60" s="313"/>
      <c r="N60" s="313"/>
      <c r="O60" s="153"/>
      <c r="P60" s="313">
        <v>10000</v>
      </c>
      <c r="Q60" s="313"/>
      <c r="R60" s="153">
        <f t="shared" si="3"/>
        <v>10000</v>
      </c>
      <c r="S60" s="579"/>
      <c r="T60" s="153"/>
      <c r="U60" s="153"/>
    </row>
    <row r="61" spans="1:21" ht="25.5">
      <c r="C61" s="150" t="s">
        <v>307</v>
      </c>
      <c r="D61" s="148" t="s">
        <v>114</v>
      </c>
      <c r="E61" s="216" t="s">
        <v>295</v>
      </c>
      <c r="F61" s="311" t="s">
        <v>718</v>
      </c>
      <c r="G61" s="311"/>
      <c r="H61" s="551">
        <f>H62+H63</f>
        <v>889082</v>
      </c>
      <c r="I61" s="313"/>
      <c r="J61" s="313"/>
      <c r="K61" s="313"/>
      <c r="L61" s="313"/>
      <c r="M61" s="313"/>
      <c r="N61" s="313"/>
      <c r="O61" s="153">
        <f>O62+O63</f>
        <v>451195</v>
      </c>
      <c r="P61" s="313"/>
      <c r="Q61" s="313"/>
      <c r="R61" s="153">
        <f t="shared" si="3"/>
        <v>451195</v>
      </c>
      <c r="S61" s="579"/>
      <c r="T61" s="153"/>
      <c r="U61" s="153"/>
    </row>
    <row r="62" spans="1:21">
      <c r="C62" s="217" t="s">
        <v>111</v>
      </c>
      <c r="D62" s="160" t="s">
        <v>135</v>
      </c>
      <c r="E62" s="216"/>
      <c r="F62" s="611"/>
      <c r="G62" s="611"/>
      <c r="H62" s="551">
        <f>88362+45000</f>
        <v>133362</v>
      </c>
      <c r="I62" s="313"/>
      <c r="J62" s="313"/>
      <c r="K62" s="313"/>
      <c r="L62" s="313"/>
      <c r="M62" s="313"/>
      <c r="N62" s="313"/>
      <c r="O62" s="153">
        <f>22679+45000</f>
        <v>67679</v>
      </c>
      <c r="P62" s="313"/>
      <c r="Q62" s="313"/>
      <c r="R62" s="153">
        <f t="shared" si="3"/>
        <v>67679</v>
      </c>
      <c r="S62" s="579"/>
      <c r="T62" s="153"/>
      <c r="U62" s="153"/>
    </row>
    <row r="63" spans="1:21">
      <c r="C63" s="150"/>
      <c r="D63" s="160" t="s">
        <v>112</v>
      </c>
      <c r="E63" s="216"/>
      <c r="F63" s="311"/>
      <c r="G63" s="311"/>
      <c r="H63" s="551">
        <f>500720+255000</f>
        <v>755720</v>
      </c>
      <c r="I63" s="313"/>
      <c r="J63" s="313"/>
      <c r="K63" s="313"/>
      <c r="L63" s="313"/>
      <c r="M63" s="313"/>
      <c r="N63" s="313"/>
      <c r="O63" s="153">
        <f>128516+255000</f>
        <v>383516</v>
      </c>
      <c r="P63" s="313"/>
      <c r="Q63" s="313"/>
      <c r="R63" s="153">
        <f t="shared" si="3"/>
        <v>383516</v>
      </c>
      <c r="S63" s="579"/>
      <c r="T63" s="153"/>
      <c r="U63" s="153"/>
    </row>
    <row r="64" spans="1:21" s="80" customFormat="1">
      <c r="A64" s="157"/>
      <c r="B64" s="157"/>
      <c r="C64" s="150" t="s">
        <v>308</v>
      </c>
      <c r="D64" s="160" t="s">
        <v>26</v>
      </c>
      <c r="E64" s="216" t="s">
        <v>295</v>
      </c>
      <c r="F64" s="311" t="s">
        <v>722</v>
      </c>
      <c r="G64" s="311"/>
      <c r="H64" s="551">
        <f>+H65</f>
        <v>270000</v>
      </c>
      <c r="I64" s="313"/>
      <c r="J64" s="313"/>
      <c r="K64" s="313"/>
      <c r="L64" s="313"/>
      <c r="M64" s="313"/>
      <c r="N64" s="313"/>
      <c r="O64" s="153"/>
      <c r="P64" s="313"/>
      <c r="Q64" s="313"/>
      <c r="R64" s="153">
        <f t="shared" si="3"/>
        <v>0</v>
      </c>
      <c r="S64" s="551">
        <f>+S65</f>
        <v>270000</v>
      </c>
      <c r="T64" s="153"/>
      <c r="U64" s="153"/>
    </row>
    <row r="65" spans="1:21" s="80" customFormat="1">
      <c r="A65" s="157"/>
      <c r="B65" s="157"/>
      <c r="C65" s="218" t="s">
        <v>309</v>
      </c>
      <c r="D65" s="160"/>
      <c r="E65" s="219"/>
      <c r="F65" s="612"/>
      <c r="G65" s="612"/>
      <c r="H65" s="553">
        <v>270000</v>
      </c>
      <c r="I65" s="317"/>
      <c r="J65" s="317"/>
      <c r="K65" s="317"/>
      <c r="L65" s="317"/>
      <c r="M65" s="317"/>
      <c r="N65" s="317"/>
      <c r="O65" s="165"/>
      <c r="P65" s="317"/>
      <c r="Q65" s="317"/>
      <c r="R65" s="165">
        <f t="shared" si="3"/>
        <v>0</v>
      </c>
      <c r="S65" s="553">
        <v>270000</v>
      </c>
      <c r="T65" s="165"/>
      <c r="U65" s="165"/>
    </row>
    <row r="66" spans="1:21" s="80" customFormat="1">
      <c r="A66" s="157"/>
      <c r="B66" s="157"/>
      <c r="C66" s="150" t="s">
        <v>310</v>
      </c>
      <c r="D66" s="160" t="s">
        <v>114</v>
      </c>
      <c r="E66" s="216" t="s">
        <v>296</v>
      </c>
      <c r="F66" s="311" t="s">
        <v>722</v>
      </c>
      <c r="G66" s="311"/>
      <c r="H66" s="551">
        <f t="shared" ref="H66:S66" si="17">H67+H68</f>
        <v>640217</v>
      </c>
      <c r="I66" s="313"/>
      <c r="J66" s="313"/>
      <c r="K66" s="313"/>
      <c r="L66" s="313"/>
      <c r="M66" s="313"/>
      <c r="N66" s="313"/>
      <c r="O66" s="153">
        <f t="shared" ref="O66" si="18">O67+O68</f>
        <v>640217</v>
      </c>
      <c r="P66" s="313"/>
      <c r="Q66" s="313"/>
      <c r="R66" s="153">
        <f t="shared" si="3"/>
        <v>640217</v>
      </c>
      <c r="S66" s="551">
        <f t="shared" si="17"/>
        <v>653158</v>
      </c>
      <c r="T66" s="153"/>
      <c r="U66" s="153"/>
    </row>
    <row r="67" spans="1:21" s="80" customFormat="1">
      <c r="A67" s="157"/>
      <c r="B67" s="157"/>
      <c r="C67" s="217" t="s">
        <v>111</v>
      </c>
      <c r="D67" s="160" t="s">
        <v>26</v>
      </c>
      <c r="E67" s="216"/>
      <c r="F67" s="611"/>
      <c r="G67" s="611"/>
      <c r="H67" s="551">
        <v>275600</v>
      </c>
      <c r="I67" s="313"/>
      <c r="J67" s="313"/>
      <c r="K67" s="313"/>
      <c r="L67" s="313"/>
      <c r="M67" s="313"/>
      <c r="N67" s="313"/>
      <c r="O67" s="153">
        <v>275600</v>
      </c>
      <c r="P67" s="313"/>
      <c r="Q67" s="313"/>
      <c r="R67" s="153">
        <f t="shared" si="3"/>
        <v>275600</v>
      </c>
      <c r="S67" s="555">
        <f>200000+80000</f>
        <v>280000</v>
      </c>
      <c r="T67" s="153"/>
      <c r="U67" s="153"/>
    </row>
    <row r="68" spans="1:21" s="80" customFormat="1">
      <c r="A68" s="157"/>
      <c r="B68" s="157"/>
      <c r="C68" s="150"/>
      <c r="D68" s="160" t="s">
        <v>27</v>
      </c>
      <c r="E68" s="216"/>
      <c r="F68" s="311"/>
      <c r="G68" s="311"/>
      <c r="H68" s="551">
        <v>364617</v>
      </c>
      <c r="I68" s="313"/>
      <c r="J68" s="313"/>
      <c r="K68" s="313"/>
      <c r="L68" s="313"/>
      <c r="M68" s="313"/>
      <c r="N68" s="313"/>
      <c r="O68" s="153">
        <v>364617</v>
      </c>
      <c r="P68" s="313"/>
      <c r="Q68" s="313"/>
      <c r="R68" s="153">
        <f t="shared" si="3"/>
        <v>364617</v>
      </c>
      <c r="S68" s="555">
        <f>364617+8541</f>
        <v>373158</v>
      </c>
      <c r="T68" s="153"/>
      <c r="U68" s="153"/>
    </row>
    <row r="69" spans="1:21" s="80" customFormat="1">
      <c r="A69" s="157"/>
      <c r="B69" s="157"/>
      <c r="C69" s="150" t="s">
        <v>311</v>
      </c>
      <c r="D69" s="160" t="s">
        <v>26</v>
      </c>
      <c r="E69" s="216"/>
      <c r="F69" s="311" t="s">
        <v>718</v>
      </c>
      <c r="G69" s="311"/>
      <c r="H69" s="551">
        <f t="shared" ref="H69:S69" si="19">H70+H71</f>
        <v>1144250</v>
      </c>
      <c r="I69" s="313"/>
      <c r="J69" s="313"/>
      <c r="K69" s="313"/>
      <c r="L69" s="313"/>
      <c r="M69" s="313"/>
      <c r="N69" s="313"/>
      <c r="O69" s="153">
        <f t="shared" ref="O69" si="20">O70+O71</f>
        <v>200000</v>
      </c>
      <c r="P69" s="313"/>
      <c r="Q69" s="313"/>
      <c r="R69" s="153">
        <f t="shared" ref="R69:R132" si="21">SUM(O69:Q69)</f>
        <v>200000</v>
      </c>
      <c r="S69" s="551">
        <f t="shared" si="19"/>
        <v>0</v>
      </c>
      <c r="T69" s="153"/>
      <c r="U69" s="153"/>
    </row>
    <row r="70" spans="1:21" s="80" customFormat="1">
      <c r="A70" s="157"/>
      <c r="B70" s="157"/>
      <c r="C70" s="218" t="s">
        <v>312</v>
      </c>
      <c r="D70" s="160"/>
      <c r="E70" s="219" t="s">
        <v>296</v>
      </c>
      <c r="F70" s="696" t="s">
        <v>718</v>
      </c>
      <c r="G70" s="612"/>
      <c r="H70" s="559">
        <v>150000</v>
      </c>
      <c r="I70" s="528"/>
      <c r="J70" s="528"/>
      <c r="K70" s="528"/>
      <c r="L70" s="528"/>
      <c r="M70" s="528"/>
      <c r="N70" s="528"/>
      <c r="O70" s="220">
        <v>150000</v>
      </c>
      <c r="P70" s="528"/>
      <c r="Q70" s="528"/>
      <c r="R70" s="220">
        <f t="shared" si="21"/>
        <v>150000</v>
      </c>
      <c r="S70" s="553"/>
      <c r="T70" s="220"/>
      <c r="U70" s="220"/>
    </row>
    <row r="71" spans="1:21" s="80" customFormat="1">
      <c r="A71" s="157"/>
      <c r="B71" s="157"/>
      <c r="C71" s="218" t="s">
        <v>313</v>
      </c>
      <c r="D71" s="160"/>
      <c r="E71" s="219" t="s">
        <v>290</v>
      </c>
      <c r="F71" s="697" t="s">
        <v>718</v>
      </c>
      <c r="G71" s="612"/>
      <c r="H71" s="559">
        <v>994250</v>
      </c>
      <c r="I71" s="528"/>
      <c r="J71" s="528"/>
      <c r="K71" s="528"/>
      <c r="L71" s="528"/>
      <c r="M71" s="528"/>
      <c r="N71" s="528"/>
      <c r="O71" s="220">
        <v>50000</v>
      </c>
      <c r="P71" s="528"/>
      <c r="Q71" s="528"/>
      <c r="R71" s="220">
        <f t="shared" si="21"/>
        <v>50000</v>
      </c>
      <c r="S71" s="553"/>
      <c r="T71" s="220"/>
      <c r="U71" s="220"/>
    </row>
    <row r="72" spans="1:21" s="80" customFormat="1">
      <c r="A72" s="157"/>
      <c r="B72" s="157"/>
      <c r="C72" s="150" t="s">
        <v>314</v>
      </c>
      <c r="D72" s="160" t="s">
        <v>26</v>
      </c>
      <c r="E72" s="216" t="s">
        <v>285</v>
      </c>
      <c r="F72" s="311" t="s">
        <v>722</v>
      </c>
      <c r="G72" s="311"/>
      <c r="H72" s="555">
        <v>676115</v>
      </c>
      <c r="I72" s="313"/>
      <c r="J72" s="313"/>
      <c r="K72" s="313"/>
      <c r="L72" s="313"/>
      <c r="M72" s="313"/>
      <c r="N72" s="313"/>
      <c r="O72" s="153">
        <f>O73+O74</f>
        <v>152310</v>
      </c>
      <c r="P72" s="313"/>
      <c r="Q72" s="313"/>
      <c r="R72" s="153">
        <f t="shared" si="21"/>
        <v>152310</v>
      </c>
      <c r="S72" s="551">
        <v>225000</v>
      </c>
      <c r="T72" s="153"/>
      <c r="U72" s="153"/>
    </row>
    <row r="73" spans="1:21" s="80" customFormat="1">
      <c r="A73" s="157"/>
      <c r="B73" s="157"/>
      <c r="C73" s="163" t="s">
        <v>190</v>
      </c>
      <c r="D73" s="160"/>
      <c r="E73" s="214"/>
      <c r="F73" s="587"/>
      <c r="G73" s="587"/>
      <c r="H73" s="551"/>
      <c r="I73" s="313"/>
      <c r="J73" s="313"/>
      <c r="K73" s="313"/>
      <c r="L73" s="313"/>
      <c r="M73" s="313"/>
      <c r="N73" s="313"/>
      <c r="O73" s="220">
        <v>92310</v>
      </c>
      <c r="P73" s="528"/>
      <c r="Q73" s="313"/>
      <c r="R73" s="220">
        <f t="shared" si="21"/>
        <v>92310</v>
      </c>
      <c r="S73" s="580"/>
      <c r="T73" s="220"/>
      <c r="U73" s="220"/>
    </row>
    <row r="74" spans="1:21" s="80" customFormat="1">
      <c r="A74" s="157"/>
      <c r="B74" s="157"/>
      <c r="C74" s="159" t="s">
        <v>191</v>
      </c>
      <c r="D74" s="160"/>
      <c r="E74" s="214"/>
      <c r="F74" s="323"/>
      <c r="G74" s="323"/>
      <c r="H74" s="551"/>
      <c r="I74" s="313"/>
      <c r="J74" s="313"/>
      <c r="K74" s="313"/>
      <c r="L74" s="313"/>
      <c r="M74" s="313"/>
      <c r="N74" s="313"/>
      <c r="O74" s="220">
        <v>60000</v>
      </c>
      <c r="P74" s="528"/>
      <c r="Q74" s="313"/>
      <c r="R74" s="220">
        <f t="shared" si="21"/>
        <v>60000</v>
      </c>
      <c r="S74" s="580"/>
      <c r="T74" s="220"/>
      <c r="U74" s="220"/>
    </row>
    <row r="75" spans="1:21" s="80" customFormat="1">
      <c r="A75" s="157"/>
      <c r="B75" s="157"/>
      <c r="C75" s="150" t="s">
        <v>315</v>
      </c>
      <c r="D75" s="160" t="s">
        <v>26</v>
      </c>
      <c r="E75" s="216"/>
      <c r="F75" s="311" t="s">
        <v>722</v>
      </c>
      <c r="G75" s="311"/>
      <c r="H75" s="551">
        <f>H76</f>
        <v>275000</v>
      </c>
      <c r="I75" s="313"/>
      <c r="J75" s="313"/>
      <c r="K75" s="313"/>
      <c r="L75" s="313"/>
      <c r="M75" s="313"/>
      <c r="N75" s="313"/>
      <c r="O75" s="153">
        <f>O76</f>
        <v>200000</v>
      </c>
      <c r="P75" s="313"/>
      <c r="Q75" s="313"/>
      <c r="R75" s="153">
        <f t="shared" si="21"/>
        <v>200000</v>
      </c>
      <c r="S75" s="551">
        <f>S76</f>
        <v>75000</v>
      </c>
      <c r="T75" s="153"/>
      <c r="U75" s="153"/>
    </row>
    <row r="76" spans="1:21" s="80" customFormat="1" ht="22.5">
      <c r="A76" s="157"/>
      <c r="B76" s="157"/>
      <c r="C76" s="218" t="s">
        <v>316</v>
      </c>
      <c r="D76" s="160"/>
      <c r="E76" s="219" t="s">
        <v>285</v>
      </c>
      <c r="F76" s="612"/>
      <c r="G76" s="612"/>
      <c r="H76" s="553">
        <f>200000+75000</f>
        <v>275000</v>
      </c>
      <c r="I76" s="317"/>
      <c r="J76" s="317"/>
      <c r="K76" s="317"/>
      <c r="L76" s="317"/>
      <c r="M76" s="317"/>
      <c r="N76" s="317"/>
      <c r="O76" s="165">
        <v>200000</v>
      </c>
      <c r="P76" s="317"/>
      <c r="Q76" s="317"/>
      <c r="R76" s="165">
        <f t="shared" si="21"/>
        <v>200000</v>
      </c>
      <c r="S76" s="553">
        <v>75000</v>
      </c>
      <c r="T76" s="165"/>
      <c r="U76" s="165"/>
    </row>
    <row r="77" spans="1:21" s="80" customFormat="1">
      <c r="A77" s="157"/>
      <c r="B77" s="157"/>
      <c r="C77" s="150" t="s">
        <v>447</v>
      </c>
      <c r="D77" s="160" t="s">
        <v>114</v>
      </c>
      <c r="E77" s="216" t="s">
        <v>285</v>
      </c>
      <c r="F77" s="311" t="s">
        <v>719</v>
      </c>
      <c r="G77" s="311"/>
      <c r="H77" s="551">
        <f>H78+H79+H80</f>
        <v>27700000</v>
      </c>
      <c r="I77" s="313"/>
      <c r="J77" s="313"/>
      <c r="K77" s="313"/>
      <c r="L77" s="313"/>
      <c r="M77" s="313"/>
      <c r="N77" s="313"/>
      <c r="O77" s="153">
        <f t="shared" ref="O77:P77" si="22">O78+O79+O80</f>
        <v>700000</v>
      </c>
      <c r="P77" s="153">
        <f t="shared" si="22"/>
        <v>700000</v>
      </c>
      <c r="Q77" s="313"/>
      <c r="R77" s="153">
        <f t="shared" si="21"/>
        <v>1400000</v>
      </c>
      <c r="S77" s="551">
        <f t="shared" ref="S77" si="23">S78+S79+S80</f>
        <v>5746060</v>
      </c>
      <c r="T77" s="153"/>
      <c r="U77" s="153"/>
    </row>
    <row r="78" spans="1:21" s="80" customFormat="1">
      <c r="A78" s="157"/>
      <c r="B78" s="157"/>
      <c r="C78" s="237" t="s">
        <v>428</v>
      </c>
      <c r="D78" s="160" t="s">
        <v>27</v>
      </c>
      <c r="E78" s="216" t="s">
        <v>285</v>
      </c>
      <c r="F78" s="312"/>
      <c r="G78" s="613"/>
      <c r="H78" s="551">
        <v>12175000</v>
      </c>
      <c r="I78" s="313"/>
      <c r="J78" s="313"/>
      <c r="K78" s="313"/>
      <c r="L78" s="313"/>
      <c r="M78" s="313"/>
      <c r="N78" s="313"/>
      <c r="O78" s="153"/>
      <c r="P78" s="313">
        <v>700000</v>
      </c>
      <c r="Q78" s="313"/>
      <c r="R78" s="153">
        <f t="shared" si="21"/>
        <v>700000</v>
      </c>
      <c r="S78" s="551">
        <v>2515000</v>
      </c>
      <c r="T78" s="153"/>
      <c r="U78" s="153"/>
    </row>
    <row r="79" spans="1:21" s="80" customFormat="1">
      <c r="A79" s="157"/>
      <c r="B79" s="157"/>
      <c r="C79" s="325" t="s">
        <v>429</v>
      </c>
      <c r="D79" s="160" t="s">
        <v>26</v>
      </c>
      <c r="E79" s="216" t="s">
        <v>285</v>
      </c>
      <c r="F79" s="312"/>
      <c r="G79" s="614"/>
      <c r="H79" s="551">
        <v>12175000</v>
      </c>
      <c r="I79" s="313"/>
      <c r="J79" s="313"/>
      <c r="K79" s="313"/>
      <c r="L79" s="313"/>
      <c r="M79" s="313"/>
      <c r="N79" s="313"/>
      <c r="O79" s="153">
        <v>565000</v>
      </c>
      <c r="P79" s="313"/>
      <c r="Q79" s="313"/>
      <c r="R79" s="153">
        <f t="shared" si="21"/>
        <v>565000</v>
      </c>
      <c r="S79" s="551">
        <v>16060</v>
      </c>
      <c r="T79" s="153"/>
      <c r="U79" s="153"/>
    </row>
    <row r="80" spans="1:21" s="80" customFormat="1" ht="25.5">
      <c r="A80" s="157"/>
      <c r="B80" s="157"/>
      <c r="C80" s="325" t="s">
        <v>652</v>
      </c>
      <c r="D80" s="160" t="s">
        <v>26</v>
      </c>
      <c r="E80" s="216" t="s">
        <v>290</v>
      </c>
      <c r="F80" s="312" t="s">
        <v>719</v>
      </c>
      <c r="G80" s="614"/>
      <c r="H80" s="560">
        <v>3350000</v>
      </c>
      <c r="I80" s="529"/>
      <c r="J80" s="529"/>
      <c r="K80" s="529"/>
      <c r="L80" s="529"/>
      <c r="M80" s="529"/>
      <c r="N80" s="529"/>
      <c r="O80" s="308">
        <v>135000</v>
      </c>
      <c r="P80" s="529"/>
      <c r="Q80" s="529"/>
      <c r="R80" s="308">
        <f t="shared" si="21"/>
        <v>135000</v>
      </c>
      <c r="S80" s="551">
        <v>3215000</v>
      </c>
      <c r="T80" s="308"/>
      <c r="U80" s="308"/>
    </row>
    <row r="81" spans="1:21" s="80" customFormat="1">
      <c r="A81" s="157"/>
      <c r="B81" s="157"/>
      <c r="C81" s="150" t="s">
        <v>192</v>
      </c>
      <c r="D81" s="160" t="s">
        <v>26</v>
      </c>
      <c r="E81" s="216" t="s">
        <v>285</v>
      </c>
      <c r="F81" s="311" t="s">
        <v>719</v>
      </c>
      <c r="G81" s="311"/>
      <c r="H81" s="551">
        <v>4800000</v>
      </c>
      <c r="I81" s="313"/>
      <c r="J81" s="313"/>
      <c r="K81" s="313"/>
      <c r="L81" s="313"/>
      <c r="M81" s="313"/>
      <c r="N81" s="313"/>
      <c r="O81" s="222">
        <v>250000</v>
      </c>
      <c r="P81" s="658"/>
      <c r="Q81" s="313"/>
      <c r="R81" s="222">
        <f t="shared" si="21"/>
        <v>250000</v>
      </c>
      <c r="S81" s="581">
        <v>1000000</v>
      </c>
      <c r="T81" s="222"/>
      <c r="U81" s="222"/>
    </row>
    <row r="82" spans="1:21" s="80" customFormat="1">
      <c r="A82" s="157"/>
      <c r="B82" s="157"/>
      <c r="C82" s="150" t="s">
        <v>193</v>
      </c>
      <c r="D82" s="160" t="s">
        <v>26</v>
      </c>
      <c r="E82" s="216" t="s">
        <v>317</v>
      </c>
      <c r="F82" s="311" t="s">
        <v>722</v>
      </c>
      <c r="G82" s="311"/>
      <c r="H82" s="551">
        <v>25000</v>
      </c>
      <c r="I82" s="313"/>
      <c r="J82" s="313"/>
      <c r="K82" s="313"/>
      <c r="L82" s="313"/>
      <c r="M82" s="313"/>
      <c r="N82" s="313"/>
      <c r="O82" s="222">
        <v>25000</v>
      </c>
      <c r="P82" s="658"/>
      <c r="Q82" s="313"/>
      <c r="R82" s="222">
        <f t="shared" si="21"/>
        <v>25000</v>
      </c>
      <c r="S82" s="582">
        <v>25000</v>
      </c>
      <c r="T82" s="222"/>
      <c r="U82" s="222"/>
    </row>
    <row r="83" spans="1:21" s="80" customFormat="1">
      <c r="A83" s="157"/>
      <c r="B83" s="157"/>
      <c r="C83" s="150" t="s">
        <v>318</v>
      </c>
      <c r="D83" s="148" t="s">
        <v>26</v>
      </c>
      <c r="E83" s="216" t="s">
        <v>293</v>
      </c>
      <c r="F83" s="311" t="s">
        <v>718</v>
      </c>
      <c r="G83" s="311"/>
      <c r="H83" s="551">
        <v>350000</v>
      </c>
      <c r="I83" s="313"/>
      <c r="J83" s="313"/>
      <c r="K83" s="313"/>
      <c r="L83" s="313"/>
      <c r="M83" s="313"/>
      <c r="N83" s="313"/>
      <c r="O83" s="153">
        <v>350000</v>
      </c>
      <c r="P83" s="313"/>
      <c r="Q83" s="313"/>
      <c r="R83" s="153">
        <f t="shared" si="21"/>
        <v>350000</v>
      </c>
      <c r="S83" s="551"/>
      <c r="T83" s="153"/>
      <c r="U83" s="153"/>
    </row>
    <row r="84" spans="1:21" s="80" customFormat="1" ht="25.5">
      <c r="A84" s="157"/>
      <c r="B84" s="157"/>
      <c r="C84" s="150" t="s">
        <v>319</v>
      </c>
      <c r="D84" s="148" t="s">
        <v>26</v>
      </c>
      <c r="E84" s="216" t="s">
        <v>285</v>
      </c>
      <c r="F84" s="311" t="s">
        <v>718</v>
      </c>
      <c r="G84" s="311"/>
      <c r="H84" s="551">
        <v>250000</v>
      </c>
      <c r="I84" s="313"/>
      <c r="J84" s="313"/>
      <c r="K84" s="313"/>
      <c r="L84" s="313"/>
      <c r="M84" s="313"/>
      <c r="N84" s="313"/>
      <c r="O84" s="153">
        <v>250000</v>
      </c>
      <c r="P84" s="313"/>
      <c r="Q84" s="313"/>
      <c r="R84" s="153">
        <f t="shared" si="21"/>
        <v>250000</v>
      </c>
      <c r="S84" s="551"/>
      <c r="T84" s="153"/>
      <c r="U84" s="153"/>
    </row>
    <row r="85" spans="1:21" s="80" customFormat="1">
      <c r="A85" s="157"/>
      <c r="B85" s="157"/>
      <c r="C85" s="150" t="s">
        <v>320</v>
      </c>
      <c r="D85" s="148" t="s">
        <v>26</v>
      </c>
      <c r="E85" s="216" t="s">
        <v>321</v>
      </c>
      <c r="F85" s="311" t="s">
        <v>723</v>
      </c>
      <c r="G85" s="311"/>
      <c r="H85" s="551">
        <v>250000</v>
      </c>
      <c r="I85" s="313"/>
      <c r="J85" s="313"/>
      <c r="K85" s="313"/>
      <c r="L85" s="313"/>
      <c r="M85" s="313"/>
      <c r="N85" s="313"/>
      <c r="O85" s="153"/>
      <c r="P85" s="313"/>
      <c r="Q85" s="313"/>
      <c r="R85" s="153">
        <f t="shared" si="21"/>
        <v>0</v>
      </c>
      <c r="S85" s="555">
        <f>250000</f>
        <v>250000</v>
      </c>
      <c r="T85" s="153"/>
      <c r="U85" s="153"/>
    </row>
    <row r="86" spans="1:21" s="80" customFormat="1">
      <c r="A86" s="157"/>
      <c r="B86" s="157"/>
      <c r="C86" s="150" t="s">
        <v>490</v>
      </c>
      <c r="D86" s="148" t="s">
        <v>26</v>
      </c>
      <c r="E86" s="216" t="s">
        <v>287</v>
      </c>
      <c r="F86" s="311" t="s">
        <v>723</v>
      </c>
      <c r="G86" s="311"/>
      <c r="H86" s="551">
        <v>36000</v>
      </c>
      <c r="I86" s="313"/>
      <c r="J86" s="313"/>
      <c r="K86" s="313"/>
      <c r="L86" s="313"/>
      <c r="M86" s="313"/>
      <c r="N86" s="313"/>
      <c r="O86" s="153"/>
      <c r="P86" s="313"/>
      <c r="Q86" s="313"/>
      <c r="R86" s="153">
        <f t="shared" si="21"/>
        <v>0</v>
      </c>
      <c r="S86" s="551">
        <v>36000</v>
      </c>
      <c r="T86" s="153"/>
      <c r="U86" s="153"/>
    </row>
    <row r="87" spans="1:21" s="80" customFormat="1">
      <c r="A87" s="157"/>
      <c r="B87" s="157"/>
      <c r="C87" s="223" t="s">
        <v>448</v>
      </c>
      <c r="D87" s="164" t="s">
        <v>114</v>
      </c>
      <c r="E87" s="224" t="s">
        <v>301</v>
      </c>
      <c r="F87" s="615"/>
      <c r="G87" s="615"/>
      <c r="H87" s="551">
        <f>SUM(H88,H89,H90,H91)</f>
        <v>4000700</v>
      </c>
      <c r="I87" s="313"/>
      <c r="J87" s="313"/>
      <c r="K87" s="313"/>
      <c r="L87" s="313"/>
      <c r="M87" s="313"/>
      <c r="N87" s="313"/>
      <c r="O87" s="153">
        <f>SUM(O88,O89,O90,O91)</f>
        <v>100000</v>
      </c>
      <c r="P87" s="313"/>
      <c r="Q87" s="313"/>
      <c r="R87" s="153">
        <f t="shared" si="21"/>
        <v>100000</v>
      </c>
      <c r="S87" s="551">
        <f>SUM(S88,S89,S90,S91)</f>
        <v>2904600</v>
      </c>
      <c r="T87" s="153"/>
      <c r="U87" s="153"/>
    </row>
    <row r="88" spans="1:21" s="80" customFormat="1">
      <c r="A88" s="157"/>
      <c r="B88" s="157"/>
      <c r="C88" s="159" t="s">
        <v>194</v>
      </c>
      <c r="D88" s="164" t="s">
        <v>26</v>
      </c>
      <c r="E88" s="214"/>
      <c r="F88" s="312" t="s">
        <v>719</v>
      </c>
      <c r="G88" s="323"/>
      <c r="H88" s="561">
        <v>1083000</v>
      </c>
      <c r="I88" s="530"/>
      <c r="J88" s="530"/>
      <c r="K88" s="530"/>
      <c r="L88" s="530"/>
      <c r="M88" s="530"/>
      <c r="N88" s="530"/>
      <c r="O88" s="225">
        <v>23000</v>
      </c>
      <c r="P88" s="530"/>
      <c r="Q88" s="530"/>
      <c r="R88" s="225">
        <f t="shared" si="21"/>
        <v>23000</v>
      </c>
      <c r="S88" s="561">
        <v>1000000</v>
      </c>
      <c r="T88" s="225"/>
      <c r="U88" s="225"/>
    </row>
    <row r="89" spans="1:21" s="80" customFormat="1">
      <c r="A89" s="157"/>
      <c r="B89" s="157"/>
      <c r="C89" s="159" t="s">
        <v>449</v>
      </c>
      <c r="D89" s="164" t="s">
        <v>26</v>
      </c>
      <c r="E89" s="226"/>
      <c r="F89" s="312" t="s">
        <v>719</v>
      </c>
      <c r="G89" s="323"/>
      <c r="H89" s="562">
        <v>1640000</v>
      </c>
      <c r="I89" s="531"/>
      <c r="J89" s="531"/>
      <c r="K89" s="531"/>
      <c r="L89" s="531"/>
      <c r="M89" s="531"/>
      <c r="N89" s="531"/>
      <c r="O89" s="227"/>
      <c r="P89" s="533"/>
      <c r="Q89" s="531"/>
      <c r="R89" s="227">
        <f t="shared" si="21"/>
        <v>0</v>
      </c>
      <c r="S89" s="575">
        <f>1700000-170000</f>
        <v>1530000</v>
      </c>
      <c r="T89" s="227"/>
      <c r="U89" s="227"/>
    </row>
    <row r="90" spans="1:21" s="80" customFormat="1">
      <c r="A90" s="157"/>
      <c r="B90" s="157"/>
      <c r="C90" s="159" t="s">
        <v>322</v>
      </c>
      <c r="D90" s="164" t="s">
        <v>26</v>
      </c>
      <c r="E90" s="214"/>
      <c r="F90" s="695" t="s">
        <v>724</v>
      </c>
      <c r="G90" s="323"/>
      <c r="H90" s="561">
        <v>510000</v>
      </c>
      <c r="I90" s="530"/>
      <c r="J90" s="530"/>
      <c r="K90" s="530"/>
      <c r="L90" s="530"/>
      <c r="M90" s="530"/>
      <c r="N90" s="530"/>
      <c r="O90" s="225">
        <v>30000</v>
      </c>
      <c r="P90" s="530"/>
      <c r="Q90" s="530"/>
      <c r="R90" s="225">
        <f t="shared" si="21"/>
        <v>30000</v>
      </c>
      <c r="S90" s="561">
        <v>200000</v>
      </c>
      <c r="T90" s="225"/>
      <c r="U90" s="225"/>
    </row>
    <row r="91" spans="1:21" s="80" customFormat="1" ht="22.5">
      <c r="A91" s="157"/>
      <c r="B91" s="157"/>
      <c r="C91" s="159" t="s">
        <v>323</v>
      </c>
      <c r="D91" s="164" t="s">
        <v>26</v>
      </c>
      <c r="E91" s="214"/>
      <c r="F91" s="695" t="s">
        <v>724</v>
      </c>
      <c r="G91" s="323"/>
      <c r="H91" s="561">
        <v>767700</v>
      </c>
      <c r="I91" s="530"/>
      <c r="J91" s="530"/>
      <c r="K91" s="530"/>
      <c r="L91" s="530"/>
      <c r="M91" s="530"/>
      <c r="N91" s="530"/>
      <c r="O91" s="225">
        <v>47000</v>
      </c>
      <c r="P91" s="530"/>
      <c r="Q91" s="530"/>
      <c r="R91" s="225">
        <f t="shared" si="21"/>
        <v>47000</v>
      </c>
      <c r="S91" s="561">
        <v>174600</v>
      </c>
      <c r="T91" s="225"/>
      <c r="U91" s="225"/>
    </row>
    <row r="92" spans="1:21" s="80" customFormat="1">
      <c r="A92" s="157"/>
      <c r="B92" s="157"/>
      <c r="C92" s="150" t="s">
        <v>195</v>
      </c>
      <c r="D92" s="148" t="s">
        <v>26</v>
      </c>
      <c r="E92" s="216"/>
      <c r="F92" s="311"/>
      <c r="G92" s="311"/>
      <c r="H92" s="563">
        <f>SUM(H93:H95)</f>
        <v>800000</v>
      </c>
      <c r="I92" s="532"/>
      <c r="J92" s="532"/>
      <c r="K92" s="532"/>
      <c r="L92" s="532"/>
      <c r="M92" s="532"/>
      <c r="N92" s="532"/>
      <c r="O92" s="152">
        <f t="shared" ref="O92" si="24">SUM(O93:O95)</f>
        <v>160000</v>
      </c>
      <c r="P92" s="532"/>
      <c r="Q92" s="532"/>
      <c r="R92" s="152">
        <f t="shared" si="21"/>
        <v>160000</v>
      </c>
      <c r="S92" s="563">
        <f>SUM(S93:S95)</f>
        <v>160000</v>
      </c>
      <c r="T92" s="152"/>
      <c r="U92" s="152"/>
    </row>
    <row r="93" spans="1:21" s="80" customFormat="1">
      <c r="A93" s="157"/>
      <c r="B93" s="157"/>
      <c r="C93" s="229" t="s">
        <v>479</v>
      </c>
      <c r="D93" s="164"/>
      <c r="E93" s="226" t="s">
        <v>285</v>
      </c>
      <c r="F93" s="617" t="s">
        <v>725</v>
      </c>
      <c r="G93" s="616"/>
      <c r="H93" s="553">
        <v>350000</v>
      </c>
      <c r="I93" s="317"/>
      <c r="J93" s="317"/>
      <c r="K93" s="317"/>
      <c r="L93" s="317"/>
      <c r="M93" s="317"/>
      <c r="N93" s="317"/>
      <c r="O93" s="220">
        <v>70000</v>
      </c>
      <c r="P93" s="528"/>
      <c r="Q93" s="317"/>
      <c r="R93" s="220">
        <f t="shared" si="21"/>
        <v>70000</v>
      </c>
      <c r="S93" s="553">
        <v>70000</v>
      </c>
      <c r="T93" s="220"/>
      <c r="U93" s="220"/>
    </row>
    <row r="94" spans="1:21" s="80" customFormat="1">
      <c r="A94" s="157"/>
      <c r="B94" s="157"/>
      <c r="C94" s="229" t="s">
        <v>196</v>
      </c>
      <c r="D94" s="164"/>
      <c r="E94" s="226" t="s">
        <v>285</v>
      </c>
      <c r="F94" s="617" t="s">
        <v>725</v>
      </c>
      <c r="G94" s="616"/>
      <c r="H94" s="553">
        <v>300000</v>
      </c>
      <c r="I94" s="317"/>
      <c r="J94" s="317"/>
      <c r="K94" s="317"/>
      <c r="L94" s="317"/>
      <c r="M94" s="317"/>
      <c r="N94" s="317"/>
      <c r="O94" s="220">
        <v>60000</v>
      </c>
      <c r="P94" s="528"/>
      <c r="Q94" s="317"/>
      <c r="R94" s="220">
        <f t="shared" si="21"/>
        <v>60000</v>
      </c>
      <c r="S94" s="553">
        <v>60000</v>
      </c>
      <c r="T94" s="220"/>
      <c r="U94" s="220"/>
    </row>
    <row r="95" spans="1:21" s="80" customFormat="1">
      <c r="A95" s="157"/>
      <c r="B95" s="157"/>
      <c r="C95" s="229" t="s">
        <v>197</v>
      </c>
      <c r="D95" s="164"/>
      <c r="E95" s="226" t="s">
        <v>301</v>
      </c>
      <c r="F95" s="617" t="s">
        <v>725</v>
      </c>
      <c r="G95" s="616"/>
      <c r="H95" s="553">
        <v>150000</v>
      </c>
      <c r="I95" s="317"/>
      <c r="J95" s="317"/>
      <c r="K95" s="317"/>
      <c r="L95" s="317"/>
      <c r="M95" s="317"/>
      <c r="N95" s="317"/>
      <c r="O95" s="220">
        <v>30000</v>
      </c>
      <c r="P95" s="528"/>
      <c r="Q95" s="317"/>
      <c r="R95" s="220">
        <f t="shared" si="21"/>
        <v>30000</v>
      </c>
      <c r="S95" s="553">
        <v>30000</v>
      </c>
      <c r="T95" s="220"/>
      <c r="U95" s="220"/>
    </row>
    <row r="96" spans="1:21" s="80" customFormat="1">
      <c r="A96" s="157"/>
      <c r="B96" s="157"/>
      <c r="C96" s="230" t="s">
        <v>491</v>
      </c>
      <c r="D96" s="160" t="s">
        <v>26</v>
      </c>
      <c r="E96" s="231" t="s">
        <v>285</v>
      </c>
      <c r="F96" s="617" t="s">
        <v>719</v>
      </c>
      <c r="G96" s="617"/>
      <c r="H96" s="551">
        <v>920000</v>
      </c>
      <c r="I96" s="313"/>
      <c r="J96" s="313"/>
      <c r="K96" s="313"/>
      <c r="L96" s="313"/>
      <c r="M96" s="313"/>
      <c r="N96" s="313"/>
      <c r="O96" s="153"/>
      <c r="P96" s="313"/>
      <c r="Q96" s="313"/>
      <c r="R96" s="153">
        <f t="shared" si="21"/>
        <v>0</v>
      </c>
      <c r="S96" s="551">
        <v>20000</v>
      </c>
      <c r="T96" s="153"/>
      <c r="U96" s="153"/>
    </row>
    <row r="97" spans="1:21" s="80" customFormat="1" ht="25.5">
      <c r="A97" s="157"/>
      <c r="B97" s="157"/>
      <c r="C97" s="150" t="s">
        <v>324</v>
      </c>
      <c r="D97" s="148" t="s">
        <v>26</v>
      </c>
      <c r="E97" s="216" t="s">
        <v>291</v>
      </c>
      <c r="F97" s="694" t="s">
        <v>719</v>
      </c>
      <c r="G97" s="311"/>
      <c r="H97" s="551">
        <v>7479000</v>
      </c>
      <c r="I97" s="313"/>
      <c r="J97" s="313"/>
      <c r="K97" s="313"/>
      <c r="L97" s="313"/>
      <c r="M97" s="313"/>
      <c r="N97" s="313"/>
      <c r="O97" s="153">
        <v>4000000</v>
      </c>
      <c r="P97" s="313"/>
      <c r="Q97" s="313"/>
      <c r="R97" s="153">
        <f t="shared" si="21"/>
        <v>4000000</v>
      </c>
      <c r="S97" s="551">
        <v>3200000</v>
      </c>
      <c r="T97" s="153"/>
      <c r="U97" s="153"/>
    </row>
    <row r="98" spans="1:21" s="80" customFormat="1" ht="12.75" customHeight="1">
      <c r="A98" s="157"/>
      <c r="B98" s="157"/>
      <c r="C98" s="232" t="s">
        <v>325</v>
      </c>
      <c r="D98" s="148" t="s">
        <v>26</v>
      </c>
      <c r="E98" s="233" t="s">
        <v>287</v>
      </c>
      <c r="F98" s="618" t="s">
        <v>718</v>
      </c>
      <c r="G98" s="618"/>
      <c r="H98" s="551">
        <v>75000</v>
      </c>
      <c r="I98" s="313"/>
      <c r="J98" s="313"/>
      <c r="K98" s="313"/>
      <c r="L98" s="313"/>
      <c r="M98" s="313"/>
      <c r="N98" s="313"/>
      <c r="O98" s="153">
        <v>37500</v>
      </c>
      <c r="P98" s="313"/>
      <c r="Q98" s="313"/>
      <c r="R98" s="153">
        <f t="shared" si="21"/>
        <v>37500</v>
      </c>
      <c r="S98" s="563"/>
      <c r="T98" s="153"/>
      <c r="U98" s="153"/>
    </row>
    <row r="99" spans="1:21" s="80" customFormat="1" ht="12.75" customHeight="1">
      <c r="A99" s="157"/>
      <c r="B99" s="157"/>
      <c r="C99" s="150" t="s">
        <v>198</v>
      </c>
      <c r="D99" s="148" t="s">
        <v>26</v>
      </c>
      <c r="E99" s="216" t="s">
        <v>287</v>
      </c>
      <c r="F99" s="311" t="s">
        <v>718</v>
      </c>
      <c r="G99" s="311"/>
      <c r="H99" s="551">
        <v>99500</v>
      </c>
      <c r="I99" s="313"/>
      <c r="J99" s="313"/>
      <c r="K99" s="313"/>
      <c r="L99" s="313"/>
      <c r="M99" s="313"/>
      <c r="N99" s="313"/>
      <c r="O99" s="153">
        <v>99500</v>
      </c>
      <c r="P99" s="313"/>
      <c r="Q99" s="313"/>
      <c r="R99" s="153">
        <f t="shared" si="21"/>
        <v>99500</v>
      </c>
      <c r="S99" s="551"/>
      <c r="T99" s="153"/>
      <c r="U99" s="153"/>
    </row>
    <row r="100" spans="1:21" s="80" customFormat="1" ht="12.75" customHeight="1">
      <c r="A100" s="157"/>
      <c r="B100" s="157"/>
      <c r="C100" s="232" t="s">
        <v>199</v>
      </c>
      <c r="D100" s="160" t="s">
        <v>26</v>
      </c>
      <c r="E100" s="233" t="s">
        <v>299</v>
      </c>
      <c r="F100" s="618" t="s">
        <v>718</v>
      </c>
      <c r="G100" s="618"/>
      <c r="H100" s="551">
        <v>183000</v>
      </c>
      <c r="I100" s="313"/>
      <c r="J100" s="313"/>
      <c r="K100" s="313"/>
      <c r="L100" s="313"/>
      <c r="M100" s="313"/>
      <c r="N100" s="313"/>
      <c r="O100" s="221">
        <v>158000</v>
      </c>
      <c r="P100" s="659"/>
      <c r="Q100" s="313"/>
      <c r="R100" s="221">
        <f t="shared" si="21"/>
        <v>158000</v>
      </c>
      <c r="S100" s="580"/>
      <c r="T100" s="221"/>
      <c r="U100" s="221"/>
    </row>
    <row r="101" spans="1:21" s="80" customFormat="1">
      <c r="A101" s="157"/>
      <c r="B101" s="157"/>
      <c r="C101" s="234" t="s">
        <v>430</v>
      </c>
      <c r="D101" s="148" t="s">
        <v>26</v>
      </c>
      <c r="E101" s="234" t="s">
        <v>299</v>
      </c>
      <c r="F101" s="619" t="s">
        <v>719</v>
      </c>
      <c r="G101" s="619"/>
      <c r="H101" s="551">
        <v>3360000</v>
      </c>
      <c r="I101" s="313"/>
      <c r="J101" s="313"/>
      <c r="K101" s="313"/>
      <c r="L101" s="313"/>
      <c r="M101" s="313"/>
      <c r="N101" s="313"/>
      <c r="O101" s="153"/>
      <c r="P101" s="313"/>
      <c r="Q101" s="313"/>
      <c r="R101" s="153">
        <f t="shared" si="21"/>
        <v>0</v>
      </c>
      <c r="S101" s="551">
        <f>1380000+1000000</f>
        <v>2380000</v>
      </c>
      <c r="T101" s="153"/>
      <c r="U101" s="153"/>
    </row>
    <row r="102" spans="1:21" s="80" customFormat="1">
      <c r="A102" s="157"/>
      <c r="B102" s="157"/>
      <c r="C102" s="230" t="s">
        <v>326</v>
      </c>
      <c r="D102" s="160" t="s">
        <v>26</v>
      </c>
      <c r="E102" s="231" t="s">
        <v>296</v>
      </c>
      <c r="F102" s="617" t="s">
        <v>722</v>
      </c>
      <c r="G102" s="617"/>
      <c r="H102" s="551">
        <v>250000</v>
      </c>
      <c r="I102" s="313"/>
      <c r="J102" s="313"/>
      <c r="K102" s="313"/>
      <c r="L102" s="313"/>
      <c r="M102" s="313"/>
      <c r="N102" s="313"/>
      <c r="O102" s="153">
        <v>237500</v>
      </c>
      <c r="P102" s="313"/>
      <c r="Q102" s="313"/>
      <c r="R102" s="153">
        <f t="shared" si="21"/>
        <v>237500</v>
      </c>
      <c r="S102" s="551">
        <v>250000</v>
      </c>
      <c r="T102" s="153"/>
      <c r="U102" s="153"/>
    </row>
    <row r="103" spans="1:21" s="80" customFormat="1" ht="25.5">
      <c r="A103" s="309">
        <f>R103</f>
        <v>500000</v>
      </c>
      <c r="B103" s="309">
        <f>S103</f>
        <v>250000</v>
      </c>
      <c r="C103" s="150" t="s">
        <v>498</v>
      </c>
      <c r="D103" s="160" t="s">
        <v>26</v>
      </c>
      <c r="E103" s="216" t="s">
        <v>285</v>
      </c>
      <c r="F103" s="311" t="s">
        <v>722</v>
      </c>
      <c r="G103" s="311"/>
      <c r="H103" s="551">
        <v>1870000</v>
      </c>
      <c r="I103" s="313"/>
      <c r="J103" s="313"/>
      <c r="K103" s="313"/>
      <c r="L103" s="313"/>
      <c r="M103" s="313"/>
      <c r="N103" s="313"/>
      <c r="O103" s="153">
        <v>500000</v>
      </c>
      <c r="P103" s="313"/>
      <c r="Q103" s="313"/>
      <c r="R103" s="153">
        <f t="shared" si="21"/>
        <v>500000</v>
      </c>
      <c r="S103" s="551">
        <v>250000</v>
      </c>
      <c r="T103" s="153"/>
      <c r="U103" s="153"/>
    </row>
    <row r="104" spans="1:21" s="80" customFormat="1">
      <c r="A104" s="157"/>
      <c r="B104" s="157"/>
      <c r="C104" s="150"/>
      <c r="D104" s="148"/>
      <c r="E104" s="216"/>
      <c r="F104" s="311"/>
      <c r="G104" s="311"/>
      <c r="H104" s="563"/>
      <c r="I104" s="532"/>
      <c r="J104" s="532"/>
      <c r="K104" s="532"/>
      <c r="L104" s="532"/>
      <c r="M104" s="532"/>
      <c r="N104" s="532"/>
      <c r="O104" s="152"/>
      <c r="P104" s="532"/>
      <c r="Q104" s="532"/>
      <c r="R104" s="152">
        <f t="shared" si="21"/>
        <v>0</v>
      </c>
      <c r="S104" s="563"/>
      <c r="T104" s="152"/>
      <c r="U104" s="152"/>
    </row>
    <row r="105" spans="1:21" s="80" customFormat="1">
      <c r="A105" s="157"/>
      <c r="B105" s="157"/>
      <c r="C105" s="146" t="s">
        <v>241</v>
      </c>
      <c r="D105" s="209" t="s">
        <v>114</v>
      </c>
      <c r="E105" s="208"/>
      <c r="F105" s="608"/>
      <c r="G105" s="608"/>
      <c r="H105" s="549">
        <f>H106+H107+H111+H113+H114</f>
        <v>10116277</v>
      </c>
      <c r="I105" s="526"/>
      <c r="J105" s="526"/>
      <c r="K105" s="526"/>
      <c r="L105" s="526"/>
      <c r="M105" s="526"/>
      <c r="N105" s="526"/>
      <c r="O105" s="154">
        <f>O106+O107+O111+O113+O114</f>
        <v>3091000</v>
      </c>
      <c r="P105" s="526"/>
      <c r="Q105" s="526"/>
      <c r="R105" s="154">
        <f t="shared" si="21"/>
        <v>3091000</v>
      </c>
      <c r="S105" s="549">
        <f>S106+S107+S111+S113+S114</f>
        <v>1998700</v>
      </c>
      <c r="T105" s="154"/>
      <c r="U105" s="154"/>
    </row>
    <row r="106" spans="1:21" s="80" customFormat="1">
      <c r="A106" s="157"/>
      <c r="B106" s="157"/>
      <c r="C106" s="150" t="s">
        <v>327</v>
      </c>
      <c r="D106" s="235" t="s">
        <v>26</v>
      </c>
      <c r="E106" s="216" t="s">
        <v>290</v>
      </c>
      <c r="F106" s="311" t="s">
        <v>394</v>
      </c>
      <c r="G106" s="311"/>
      <c r="H106" s="551">
        <v>2075000</v>
      </c>
      <c r="I106" s="313"/>
      <c r="J106" s="313"/>
      <c r="K106" s="313"/>
      <c r="L106" s="313"/>
      <c r="M106" s="313"/>
      <c r="N106" s="313"/>
      <c r="O106" s="153">
        <v>400000</v>
      </c>
      <c r="P106" s="313"/>
      <c r="Q106" s="313"/>
      <c r="R106" s="153">
        <f t="shared" si="21"/>
        <v>400000</v>
      </c>
      <c r="S106" s="551"/>
      <c r="T106" s="153"/>
      <c r="U106" s="153"/>
    </row>
    <row r="107" spans="1:21" s="80" customFormat="1">
      <c r="A107" s="157"/>
      <c r="B107" s="157"/>
      <c r="C107" s="150" t="s">
        <v>328</v>
      </c>
      <c r="D107" s="236"/>
      <c r="E107" s="216"/>
      <c r="F107" s="311" t="s">
        <v>726</v>
      </c>
      <c r="G107" s="311"/>
      <c r="H107" s="551">
        <f>SUM(H108:H110)</f>
        <v>1841000</v>
      </c>
      <c r="I107" s="313"/>
      <c r="J107" s="313"/>
      <c r="K107" s="313"/>
      <c r="L107" s="313"/>
      <c r="M107" s="313"/>
      <c r="N107" s="313"/>
      <c r="O107" s="153">
        <f>SUM(O108:O110)</f>
        <v>466000</v>
      </c>
      <c r="P107" s="313"/>
      <c r="Q107" s="313"/>
      <c r="R107" s="153">
        <f t="shared" si="21"/>
        <v>466000</v>
      </c>
      <c r="S107" s="551">
        <f>SUM(S108:S110)</f>
        <v>550000</v>
      </c>
      <c r="T107" s="153"/>
      <c r="U107" s="153"/>
    </row>
    <row r="108" spans="1:21" s="80" customFormat="1" ht="25.5">
      <c r="A108" s="157"/>
      <c r="B108" s="157"/>
      <c r="C108" s="237" t="s">
        <v>451</v>
      </c>
      <c r="D108" s="235" t="s">
        <v>26</v>
      </c>
      <c r="E108" s="216" t="s">
        <v>296</v>
      </c>
      <c r="F108" s="311" t="s">
        <v>726</v>
      </c>
      <c r="G108" s="613"/>
      <c r="H108" s="551">
        <v>1275000</v>
      </c>
      <c r="I108" s="313"/>
      <c r="J108" s="313"/>
      <c r="K108" s="313"/>
      <c r="L108" s="313"/>
      <c r="M108" s="313"/>
      <c r="N108" s="313"/>
      <c r="O108" s="153">
        <v>250000</v>
      </c>
      <c r="P108" s="313"/>
      <c r="Q108" s="313"/>
      <c r="R108" s="153">
        <f t="shared" si="21"/>
        <v>250000</v>
      </c>
      <c r="S108" s="551">
        <v>400000</v>
      </c>
      <c r="T108" s="153"/>
      <c r="U108" s="153"/>
    </row>
    <row r="109" spans="1:21" s="80" customFormat="1">
      <c r="A109" s="157"/>
      <c r="B109" s="157"/>
      <c r="C109" s="237" t="s">
        <v>493</v>
      </c>
      <c r="D109" s="148" t="s">
        <v>26</v>
      </c>
      <c r="E109" s="216" t="s">
        <v>290</v>
      </c>
      <c r="F109" s="311" t="s">
        <v>726</v>
      </c>
      <c r="G109" s="620"/>
      <c r="H109" s="563">
        <v>100000</v>
      </c>
      <c r="I109" s="532"/>
      <c r="J109" s="532"/>
      <c r="K109" s="532"/>
      <c r="L109" s="532"/>
      <c r="M109" s="532"/>
      <c r="N109" s="532"/>
      <c r="O109" s="152"/>
      <c r="P109" s="532"/>
      <c r="Q109" s="532"/>
      <c r="R109" s="152">
        <f t="shared" si="21"/>
        <v>0</v>
      </c>
      <c r="S109" s="563">
        <v>100000</v>
      </c>
      <c r="T109" s="152"/>
      <c r="U109" s="152"/>
    </row>
    <row r="110" spans="1:21" s="80" customFormat="1" ht="25.5">
      <c r="A110" s="157"/>
      <c r="B110" s="157"/>
      <c r="C110" s="237" t="s">
        <v>450</v>
      </c>
      <c r="D110" s="148" t="s">
        <v>26</v>
      </c>
      <c r="E110" s="216"/>
      <c r="F110" s="311" t="s">
        <v>726</v>
      </c>
      <c r="G110" s="613"/>
      <c r="H110" s="563">
        <v>466000</v>
      </c>
      <c r="I110" s="532"/>
      <c r="J110" s="532"/>
      <c r="K110" s="532"/>
      <c r="L110" s="532"/>
      <c r="M110" s="532"/>
      <c r="N110" s="532"/>
      <c r="O110" s="152">
        <v>216000</v>
      </c>
      <c r="P110" s="532"/>
      <c r="Q110" s="532"/>
      <c r="R110" s="152">
        <f t="shared" si="21"/>
        <v>216000</v>
      </c>
      <c r="S110" s="563">
        <v>50000</v>
      </c>
      <c r="T110" s="152"/>
      <c r="U110" s="152"/>
    </row>
    <row r="111" spans="1:21" s="80" customFormat="1">
      <c r="A111" s="157"/>
      <c r="B111" s="157"/>
      <c r="C111" s="150" t="s">
        <v>452</v>
      </c>
      <c r="D111" s="101" t="s">
        <v>26</v>
      </c>
      <c r="E111" s="216" t="s">
        <v>296</v>
      </c>
      <c r="F111" s="311" t="s">
        <v>726</v>
      </c>
      <c r="G111" s="311"/>
      <c r="H111" s="551">
        <v>300000</v>
      </c>
      <c r="I111" s="313"/>
      <c r="J111" s="313"/>
      <c r="K111" s="313"/>
      <c r="L111" s="313"/>
      <c r="M111" s="313"/>
      <c r="N111" s="313"/>
      <c r="O111" s="153">
        <v>225000</v>
      </c>
      <c r="P111" s="313"/>
      <c r="Q111" s="313"/>
      <c r="R111" s="153">
        <f t="shared" si="21"/>
        <v>225000</v>
      </c>
      <c r="S111" s="551">
        <f>165000+135000</f>
        <v>300000</v>
      </c>
      <c r="T111" s="153"/>
      <c r="U111" s="153"/>
    </row>
    <row r="112" spans="1:21" s="80" customFormat="1" ht="25.5">
      <c r="A112" s="157"/>
      <c r="B112" s="157"/>
      <c r="C112" s="150" t="s">
        <v>499</v>
      </c>
      <c r="D112" s="322" t="s">
        <v>114</v>
      </c>
      <c r="E112" s="312"/>
      <c r="F112" s="311" t="s">
        <v>727</v>
      </c>
      <c r="G112" s="311"/>
      <c r="H112" s="555">
        <f>H113+H114</f>
        <v>5900277</v>
      </c>
      <c r="I112" s="313"/>
      <c r="J112" s="313"/>
      <c r="K112" s="313"/>
      <c r="L112" s="313"/>
      <c r="M112" s="313"/>
      <c r="N112" s="313"/>
      <c r="O112" s="313">
        <f t="shared" ref="O112" si="25">O113+O114</f>
        <v>2000000</v>
      </c>
      <c r="P112" s="313"/>
      <c r="Q112" s="313"/>
      <c r="R112" s="313">
        <f t="shared" si="21"/>
        <v>2000000</v>
      </c>
      <c r="S112" s="555">
        <f t="shared" ref="S112" si="26">S113+S114</f>
        <v>1148700</v>
      </c>
      <c r="T112" s="313"/>
      <c r="U112" s="313"/>
    </row>
    <row r="113" spans="1:21" s="80" customFormat="1">
      <c r="A113" s="309">
        <f>R113</f>
        <v>2000000</v>
      </c>
      <c r="B113" s="309">
        <f>S113</f>
        <v>574350</v>
      </c>
      <c r="C113" s="150"/>
      <c r="D113" s="160" t="s">
        <v>26</v>
      </c>
      <c r="E113" s="216" t="s">
        <v>285</v>
      </c>
      <c r="F113" s="311"/>
      <c r="G113" s="311"/>
      <c r="H113" s="551">
        <v>2950000</v>
      </c>
      <c r="I113" s="313"/>
      <c r="J113" s="313"/>
      <c r="K113" s="313"/>
      <c r="L113" s="313"/>
      <c r="M113" s="313"/>
      <c r="N113" s="313"/>
      <c r="O113" s="153">
        <v>2000000</v>
      </c>
      <c r="P113" s="313"/>
      <c r="Q113" s="313"/>
      <c r="R113" s="153">
        <f t="shared" si="21"/>
        <v>2000000</v>
      </c>
      <c r="S113" s="551">
        <v>574350</v>
      </c>
      <c r="T113" s="153"/>
      <c r="U113" s="153"/>
    </row>
    <row r="114" spans="1:21" s="80" customFormat="1">
      <c r="A114" s="309"/>
      <c r="B114" s="309"/>
      <c r="C114" s="311"/>
      <c r="D114" s="314" t="s">
        <v>27</v>
      </c>
      <c r="E114" s="312"/>
      <c r="F114" s="311"/>
      <c r="G114" s="311"/>
      <c r="H114" s="555">
        <v>2950277</v>
      </c>
      <c r="I114" s="313"/>
      <c r="J114" s="313"/>
      <c r="K114" s="313"/>
      <c r="L114" s="313"/>
      <c r="M114" s="313"/>
      <c r="N114" s="313"/>
      <c r="O114" s="153"/>
      <c r="P114" s="313"/>
      <c r="Q114" s="313"/>
      <c r="R114" s="153">
        <f t="shared" si="21"/>
        <v>0</v>
      </c>
      <c r="S114" s="551">
        <v>574350</v>
      </c>
      <c r="T114" s="153"/>
      <c r="U114" s="153"/>
    </row>
    <row r="115" spans="1:21" s="80" customFormat="1">
      <c r="A115" s="157"/>
      <c r="B115" s="157"/>
      <c r="C115" s="150"/>
      <c r="D115" s="101"/>
      <c r="E115" s="216"/>
      <c r="F115" s="311"/>
      <c r="G115" s="311"/>
      <c r="H115" s="551"/>
      <c r="I115" s="313"/>
      <c r="J115" s="313"/>
      <c r="K115" s="313"/>
      <c r="L115" s="313"/>
      <c r="M115" s="313"/>
      <c r="N115" s="313"/>
      <c r="O115" s="153"/>
      <c r="P115" s="313"/>
      <c r="Q115" s="313"/>
      <c r="R115" s="153">
        <f t="shared" si="21"/>
        <v>0</v>
      </c>
      <c r="S115" s="551"/>
      <c r="T115" s="153"/>
      <c r="U115" s="153"/>
    </row>
    <row r="116" spans="1:21" s="80" customFormat="1">
      <c r="A116" s="157"/>
      <c r="B116" s="157"/>
      <c r="C116" s="147" t="s">
        <v>165</v>
      </c>
      <c r="D116" s="209" t="s">
        <v>114</v>
      </c>
      <c r="E116" s="239"/>
      <c r="F116" s="621"/>
      <c r="G116" s="621"/>
      <c r="H116" s="549">
        <f>H120+H123+H127+H128+H129+H131+H117+H126+H132</f>
        <v>16623342</v>
      </c>
      <c r="I116" s="526"/>
      <c r="J116" s="526"/>
      <c r="K116" s="526"/>
      <c r="L116" s="526"/>
      <c r="M116" s="526"/>
      <c r="N116" s="526"/>
      <c r="O116" s="154">
        <f>O120+O123+O127+O128+O129+O131+O117+O126+O132+O130</f>
        <v>3609481</v>
      </c>
      <c r="P116" s="154">
        <f>P120+P123+P127+P128+P129+P131+P117+P126+P132+P130</f>
        <v>5000</v>
      </c>
      <c r="Q116" s="526"/>
      <c r="R116" s="154">
        <f t="shared" si="21"/>
        <v>3614481</v>
      </c>
      <c r="S116" s="549">
        <f>S120+S123+S127+S128+S129+S131+S117+S126+S132</f>
        <v>2439581</v>
      </c>
      <c r="T116" s="154"/>
      <c r="U116" s="154"/>
    </row>
    <row r="117" spans="1:21">
      <c r="C117" s="240" t="s">
        <v>174</v>
      </c>
      <c r="D117" s="160" t="s">
        <v>114</v>
      </c>
      <c r="E117" s="241" t="s">
        <v>299</v>
      </c>
      <c r="F117" s="622" t="s">
        <v>719</v>
      </c>
      <c r="G117" s="622"/>
      <c r="H117" s="551">
        <f t="shared" ref="H117:S117" si="27">H118+H119</f>
        <v>1695361</v>
      </c>
      <c r="I117" s="313"/>
      <c r="J117" s="313"/>
      <c r="K117" s="313"/>
      <c r="L117" s="313"/>
      <c r="M117" s="313"/>
      <c r="N117" s="313"/>
      <c r="O117" s="153">
        <f t="shared" ref="O117" si="28">O118+O119</f>
        <v>1381081</v>
      </c>
      <c r="P117" s="313"/>
      <c r="Q117" s="313"/>
      <c r="R117" s="153">
        <f t="shared" si="21"/>
        <v>1381081</v>
      </c>
      <c r="S117" s="551">
        <f t="shared" si="27"/>
        <v>0</v>
      </c>
      <c r="T117" s="153"/>
      <c r="U117" s="153"/>
    </row>
    <row r="118" spans="1:21">
      <c r="C118" s="217" t="s">
        <v>111</v>
      </c>
      <c r="D118" s="160" t="s">
        <v>26</v>
      </c>
      <c r="E118" s="216"/>
      <c r="F118" s="611"/>
      <c r="G118" s="611"/>
      <c r="H118" s="551">
        <f>453081+222280</f>
        <v>675361</v>
      </c>
      <c r="I118" s="313"/>
      <c r="J118" s="313"/>
      <c r="K118" s="313"/>
      <c r="L118" s="313"/>
      <c r="M118" s="313"/>
      <c r="N118" s="313"/>
      <c r="O118" s="153">
        <v>428940</v>
      </c>
      <c r="P118" s="313"/>
      <c r="Q118" s="313"/>
      <c r="R118" s="153">
        <f t="shared" si="21"/>
        <v>428940</v>
      </c>
      <c r="S118" s="551"/>
      <c r="T118" s="153"/>
      <c r="U118" s="153"/>
    </row>
    <row r="119" spans="1:21">
      <c r="C119" s="150"/>
      <c r="D119" s="160" t="s">
        <v>112</v>
      </c>
      <c r="E119" s="216"/>
      <c r="F119" s="311"/>
      <c r="G119" s="311"/>
      <c r="H119" s="551">
        <v>1020000</v>
      </c>
      <c r="I119" s="313"/>
      <c r="J119" s="313"/>
      <c r="K119" s="313"/>
      <c r="L119" s="313"/>
      <c r="M119" s="313"/>
      <c r="N119" s="313"/>
      <c r="O119" s="153">
        <v>952141</v>
      </c>
      <c r="P119" s="313"/>
      <c r="Q119" s="313"/>
      <c r="R119" s="153">
        <f t="shared" si="21"/>
        <v>952141</v>
      </c>
      <c r="S119" s="551"/>
      <c r="T119" s="153"/>
      <c r="U119" s="153"/>
    </row>
    <row r="120" spans="1:21" s="80" customFormat="1">
      <c r="A120" s="157"/>
      <c r="B120" s="157"/>
      <c r="C120" s="150" t="s">
        <v>488</v>
      </c>
      <c r="D120" s="160" t="s">
        <v>26</v>
      </c>
      <c r="E120" s="216"/>
      <c r="F120" s="311"/>
      <c r="G120" s="311"/>
      <c r="H120" s="551">
        <f t="shared" ref="H120" si="29">H121+H122</f>
        <v>1622981</v>
      </c>
      <c r="I120" s="313"/>
      <c r="J120" s="313"/>
      <c r="K120" s="313"/>
      <c r="L120" s="313"/>
      <c r="M120" s="313"/>
      <c r="N120" s="313"/>
      <c r="O120" s="153">
        <f t="shared" ref="O120" si="30">O121+O122</f>
        <v>983400</v>
      </c>
      <c r="P120" s="313"/>
      <c r="Q120" s="313"/>
      <c r="R120" s="153">
        <f t="shared" si="21"/>
        <v>983400</v>
      </c>
      <c r="S120" s="551">
        <f>S121+S122</f>
        <v>489581</v>
      </c>
      <c r="T120" s="153"/>
      <c r="U120" s="153"/>
    </row>
    <row r="121" spans="1:21" s="80" customFormat="1">
      <c r="A121" s="157"/>
      <c r="B121" s="157"/>
      <c r="C121" s="163" t="s">
        <v>486</v>
      </c>
      <c r="D121" s="160"/>
      <c r="E121" s="214" t="s">
        <v>299</v>
      </c>
      <c r="F121" s="312" t="s">
        <v>719</v>
      </c>
      <c r="G121" s="587"/>
      <c r="H121" s="553">
        <f>993400+S121</f>
        <v>1340000</v>
      </c>
      <c r="I121" s="317"/>
      <c r="J121" s="317"/>
      <c r="K121" s="317"/>
      <c r="L121" s="317"/>
      <c r="M121" s="317"/>
      <c r="N121" s="317"/>
      <c r="O121" s="165">
        <v>943400</v>
      </c>
      <c r="P121" s="317"/>
      <c r="Q121" s="317"/>
      <c r="R121" s="165">
        <f t="shared" si="21"/>
        <v>943400</v>
      </c>
      <c r="S121" s="553">
        <v>346600</v>
      </c>
      <c r="T121" s="165"/>
      <c r="U121" s="165"/>
    </row>
    <row r="122" spans="1:21" s="80" customFormat="1">
      <c r="A122" s="157"/>
      <c r="B122" s="157"/>
      <c r="C122" s="159" t="s">
        <v>487</v>
      </c>
      <c r="D122" s="160"/>
      <c r="E122" s="214" t="s">
        <v>290</v>
      </c>
      <c r="F122" s="312" t="s">
        <v>719</v>
      </c>
      <c r="G122" s="323"/>
      <c r="H122" s="553">
        <v>282981</v>
      </c>
      <c r="I122" s="317"/>
      <c r="J122" s="317"/>
      <c r="K122" s="317"/>
      <c r="L122" s="317"/>
      <c r="M122" s="317"/>
      <c r="N122" s="317"/>
      <c r="O122" s="165">
        <v>40000</v>
      </c>
      <c r="P122" s="317"/>
      <c r="Q122" s="317"/>
      <c r="R122" s="165">
        <f t="shared" si="21"/>
        <v>40000</v>
      </c>
      <c r="S122" s="553">
        <v>142981</v>
      </c>
      <c r="T122" s="165"/>
      <c r="U122" s="165"/>
    </row>
    <row r="123" spans="1:21" s="80" customFormat="1">
      <c r="A123" s="157"/>
      <c r="B123" s="157"/>
      <c r="C123" s="150" t="s">
        <v>489</v>
      </c>
      <c r="D123" s="160" t="s">
        <v>26</v>
      </c>
      <c r="E123" s="216"/>
      <c r="F123" s="312"/>
      <c r="G123" s="311"/>
      <c r="H123" s="551">
        <f t="shared" ref="H123:S123" si="31">H124+H125</f>
        <v>1910000</v>
      </c>
      <c r="I123" s="313"/>
      <c r="J123" s="313"/>
      <c r="K123" s="313"/>
      <c r="L123" s="313"/>
      <c r="M123" s="313"/>
      <c r="N123" s="313"/>
      <c r="O123" s="153">
        <f t="shared" ref="O123" si="32">O124+O125</f>
        <v>150000</v>
      </c>
      <c r="P123" s="313"/>
      <c r="Q123" s="313"/>
      <c r="R123" s="153">
        <f t="shared" si="21"/>
        <v>150000</v>
      </c>
      <c r="S123" s="551">
        <f t="shared" si="31"/>
        <v>1250000</v>
      </c>
      <c r="T123" s="153"/>
      <c r="U123" s="153"/>
    </row>
    <row r="124" spans="1:21" s="80" customFormat="1">
      <c r="A124" s="157"/>
      <c r="B124" s="157"/>
      <c r="C124" s="159" t="s">
        <v>485</v>
      </c>
      <c r="D124" s="160"/>
      <c r="E124" s="214" t="s">
        <v>299</v>
      </c>
      <c r="F124" s="312" t="s">
        <v>719</v>
      </c>
      <c r="G124" s="323"/>
      <c r="H124" s="553">
        <v>1720000</v>
      </c>
      <c r="I124" s="317"/>
      <c r="J124" s="317"/>
      <c r="K124" s="317"/>
      <c r="L124" s="317"/>
      <c r="M124" s="317"/>
      <c r="N124" s="317"/>
      <c r="O124" s="165">
        <v>150000</v>
      </c>
      <c r="P124" s="317"/>
      <c r="Q124" s="317"/>
      <c r="R124" s="165">
        <f t="shared" si="21"/>
        <v>150000</v>
      </c>
      <c r="S124" s="553">
        <v>1200000</v>
      </c>
      <c r="T124" s="165"/>
      <c r="U124" s="165"/>
    </row>
    <row r="125" spans="1:21" s="80" customFormat="1">
      <c r="A125" s="157"/>
      <c r="B125" s="157"/>
      <c r="C125" s="159" t="s">
        <v>484</v>
      </c>
      <c r="D125" s="160"/>
      <c r="E125" s="214" t="s">
        <v>290</v>
      </c>
      <c r="F125" s="312" t="s">
        <v>719</v>
      </c>
      <c r="G125" s="323"/>
      <c r="H125" s="553">
        <v>190000</v>
      </c>
      <c r="I125" s="317"/>
      <c r="J125" s="317"/>
      <c r="K125" s="317"/>
      <c r="L125" s="317"/>
      <c r="M125" s="317"/>
      <c r="N125" s="317"/>
      <c r="O125" s="165"/>
      <c r="P125" s="317"/>
      <c r="Q125" s="317"/>
      <c r="R125" s="165">
        <f t="shared" si="21"/>
        <v>0</v>
      </c>
      <c r="S125" s="553">
        <v>50000</v>
      </c>
      <c r="T125" s="165"/>
      <c r="U125" s="165"/>
    </row>
    <row r="126" spans="1:21" s="80" customFormat="1">
      <c r="A126" s="157"/>
      <c r="B126" s="157"/>
      <c r="C126" s="150" t="s">
        <v>330</v>
      </c>
      <c r="D126" s="160" t="s">
        <v>26</v>
      </c>
      <c r="E126" s="216" t="s">
        <v>299</v>
      </c>
      <c r="F126" s="311" t="s">
        <v>719</v>
      </c>
      <c r="G126" s="311"/>
      <c r="H126" s="551">
        <v>965000</v>
      </c>
      <c r="I126" s="313"/>
      <c r="J126" s="313"/>
      <c r="K126" s="313"/>
      <c r="L126" s="313"/>
      <c r="M126" s="313"/>
      <c r="N126" s="313"/>
      <c r="O126" s="153">
        <v>765000</v>
      </c>
      <c r="P126" s="313"/>
      <c r="Q126" s="313"/>
      <c r="R126" s="153">
        <f t="shared" si="21"/>
        <v>765000</v>
      </c>
      <c r="S126" s="551">
        <v>150000</v>
      </c>
      <c r="T126" s="153"/>
      <c r="U126" s="153"/>
    </row>
    <row r="127" spans="1:21" s="80" customFormat="1" ht="25.5">
      <c r="A127" s="157"/>
      <c r="B127" s="157"/>
      <c r="C127" s="150" t="s">
        <v>453</v>
      </c>
      <c r="D127" s="160" t="s">
        <v>26</v>
      </c>
      <c r="E127" s="216" t="s">
        <v>291</v>
      </c>
      <c r="F127" s="311" t="s">
        <v>719</v>
      </c>
      <c r="G127" s="311"/>
      <c r="H127" s="551">
        <v>420000</v>
      </c>
      <c r="I127" s="313"/>
      <c r="J127" s="313"/>
      <c r="K127" s="313"/>
      <c r="L127" s="313"/>
      <c r="M127" s="313"/>
      <c r="N127" s="313"/>
      <c r="O127" s="153"/>
      <c r="P127" s="313"/>
      <c r="Q127" s="313"/>
      <c r="R127" s="153">
        <f t="shared" si="21"/>
        <v>0</v>
      </c>
      <c r="S127" s="551">
        <v>90000</v>
      </c>
      <c r="T127" s="153"/>
      <c r="U127" s="153"/>
    </row>
    <row r="128" spans="1:21" s="80" customFormat="1" ht="25.5">
      <c r="A128" s="157"/>
      <c r="B128" s="157"/>
      <c r="C128" s="150" t="s">
        <v>331</v>
      </c>
      <c r="D128" s="160" t="s">
        <v>26</v>
      </c>
      <c r="E128" s="216" t="s">
        <v>285</v>
      </c>
      <c r="F128" s="311" t="s">
        <v>719</v>
      </c>
      <c r="G128" s="311"/>
      <c r="H128" s="551">
        <v>210000</v>
      </c>
      <c r="I128" s="313"/>
      <c r="J128" s="313"/>
      <c r="K128" s="313"/>
      <c r="L128" s="313"/>
      <c r="M128" s="313"/>
      <c r="N128" s="313"/>
      <c r="O128" s="153"/>
      <c r="P128" s="313"/>
      <c r="Q128" s="313"/>
      <c r="R128" s="153">
        <f t="shared" si="21"/>
        <v>0</v>
      </c>
      <c r="S128" s="551">
        <v>10000</v>
      </c>
      <c r="T128" s="153"/>
      <c r="U128" s="153"/>
    </row>
    <row r="129" spans="1:21" s="80" customFormat="1">
      <c r="A129" s="157"/>
      <c r="B129" s="157"/>
      <c r="C129" s="150" t="s">
        <v>477</v>
      </c>
      <c r="D129" s="160" t="s">
        <v>26</v>
      </c>
      <c r="E129" s="216" t="s">
        <v>290</v>
      </c>
      <c r="F129" s="311" t="s">
        <v>719</v>
      </c>
      <c r="G129" s="311"/>
      <c r="H129" s="551">
        <v>2100000</v>
      </c>
      <c r="I129" s="313"/>
      <c r="J129" s="313"/>
      <c r="K129" s="313"/>
      <c r="L129" s="313"/>
      <c r="M129" s="313"/>
      <c r="N129" s="313"/>
      <c r="O129" s="153"/>
      <c r="P129" s="313"/>
      <c r="Q129" s="313"/>
      <c r="R129" s="153">
        <f t="shared" si="21"/>
        <v>0</v>
      </c>
      <c r="S129" s="551">
        <v>100000</v>
      </c>
      <c r="T129" s="153"/>
      <c r="U129" s="153"/>
    </row>
    <row r="130" spans="1:21" s="80" customFormat="1">
      <c r="A130" s="157"/>
      <c r="B130" s="157"/>
      <c r="C130" s="150" t="s">
        <v>653</v>
      </c>
      <c r="D130" s="160" t="s">
        <v>27</v>
      </c>
      <c r="E130" s="216" t="s">
        <v>295</v>
      </c>
      <c r="F130" s="311" t="s">
        <v>718</v>
      </c>
      <c r="G130" s="311"/>
      <c r="H130" s="551"/>
      <c r="I130" s="313"/>
      <c r="J130" s="313"/>
      <c r="K130" s="313"/>
      <c r="L130" s="313"/>
      <c r="M130" s="313"/>
      <c r="N130" s="313"/>
      <c r="O130" s="153"/>
      <c r="P130" s="313">
        <v>5000</v>
      </c>
      <c r="Q130" s="313"/>
      <c r="R130" s="153">
        <f t="shared" si="21"/>
        <v>5000</v>
      </c>
      <c r="S130" s="551"/>
      <c r="T130" s="153"/>
      <c r="U130" s="153"/>
    </row>
    <row r="131" spans="1:21" s="80" customFormat="1">
      <c r="A131" s="157"/>
      <c r="B131" s="157"/>
      <c r="C131" s="150" t="s">
        <v>454</v>
      </c>
      <c r="D131" s="160" t="s">
        <v>26</v>
      </c>
      <c r="E131" s="216" t="s">
        <v>290</v>
      </c>
      <c r="F131" s="311" t="s">
        <v>719</v>
      </c>
      <c r="G131" s="311"/>
      <c r="H131" s="551">
        <v>7700000</v>
      </c>
      <c r="I131" s="313"/>
      <c r="J131" s="313"/>
      <c r="K131" s="313"/>
      <c r="L131" s="313"/>
      <c r="M131" s="313"/>
      <c r="N131" s="313"/>
      <c r="O131" s="153">
        <v>100000</v>
      </c>
      <c r="P131" s="313"/>
      <c r="Q131" s="313"/>
      <c r="R131" s="153">
        <f t="shared" si="21"/>
        <v>100000</v>
      </c>
      <c r="S131" s="551">
        <v>100000</v>
      </c>
      <c r="T131" s="153"/>
      <c r="U131" s="153"/>
    </row>
    <row r="132" spans="1:21" s="80" customFormat="1" ht="25.5">
      <c r="A132" s="157"/>
      <c r="B132" s="157"/>
      <c r="C132" s="150" t="s">
        <v>432</v>
      </c>
      <c r="D132" s="160" t="s">
        <v>26</v>
      </c>
      <c r="E132" s="216" t="s">
        <v>296</v>
      </c>
      <c r="F132" s="311" t="s">
        <v>728</v>
      </c>
      <c r="G132" s="311"/>
      <c r="H132" s="553"/>
      <c r="I132" s="317"/>
      <c r="J132" s="317"/>
      <c r="K132" s="317"/>
      <c r="L132" s="317"/>
      <c r="M132" s="317"/>
      <c r="N132" s="317"/>
      <c r="O132" s="153">
        <v>230000</v>
      </c>
      <c r="P132" s="313"/>
      <c r="Q132" s="317"/>
      <c r="R132" s="153">
        <f t="shared" si="21"/>
        <v>230000</v>
      </c>
      <c r="S132" s="551">
        <f>230000+20000</f>
        <v>250000</v>
      </c>
      <c r="T132" s="153"/>
      <c r="U132" s="153"/>
    </row>
    <row r="133" spans="1:21" s="80" customFormat="1">
      <c r="A133" s="157"/>
      <c r="B133" s="157"/>
      <c r="C133" s="146" t="s">
        <v>166</v>
      </c>
      <c r="D133" s="209" t="s">
        <v>114</v>
      </c>
      <c r="E133" s="208"/>
      <c r="F133" s="608"/>
      <c r="G133" s="608"/>
      <c r="H133" s="549">
        <f t="shared" ref="H133:S133" si="33">H134+H135</f>
        <v>22680</v>
      </c>
      <c r="I133" s="526"/>
      <c r="J133" s="526"/>
      <c r="K133" s="526"/>
      <c r="L133" s="526"/>
      <c r="M133" s="526"/>
      <c r="N133" s="526"/>
      <c r="O133" s="154">
        <f>O134+O135</f>
        <v>430220</v>
      </c>
      <c r="P133" s="526"/>
      <c r="Q133" s="526"/>
      <c r="R133" s="154">
        <f t="shared" ref="R133:R196" si="34">SUM(O133:Q133)</f>
        <v>430220</v>
      </c>
      <c r="S133" s="549">
        <f t="shared" si="33"/>
        <v>377710</v>
      </c>
      <c r="T133" s="154"/>
      <c r="U133" s="154"/>
    </row>
    <row r="134" spans="1:21" s="80" customFormat="1" ht="25.5">
      <c r="A134" s="157"/>
      <c r="B134" s="157"/>
      <c r="C134" s="150" t="s">
        <v>332</v>
      </c>
      <c r="D134" s="160" t="s">
        <v>139</v>
      </c>
      <c r="E134" s="216" t="s">
        <v>333</v>
      </c>
      <c r="F134" s="311" t="s">
        <v>728</v>
      </c>
      <c r="G134" s="311"/>
      <c r="H134" s="551">
        <v>22680</v>
      </c>
      <c r="I134" s="313"/>
      <c r="J134" s="313"/>
      <c r="K134" s="313"/>
      <c r="L134" s="313"/>
      <c r="M134" s="313"/>
      <c r="N134" s="313"/>
      <c r="O134" s="153">
        <f>135180+140040</f>
        <v>275220</v>
      </c>
      <c r="P134" s="313"/>
      <c r="Q134" s="313"/>
      <c r="R134" s="153">
        <f t="shared" si="34"/>
        <v>275220</v>
      </c>
      <c r="S134" s="551">
        <v>377710</v>
      </c>
      <c r="T134" s="153"/>
      <c r="U134" s="153"/>
    </row>
    <row r="135" spans="1:21" s="80" customFormat="1">
      <c r="A135" s="157"/>
      <c r="B135" s="157"/>
      <c r="C135" s="150" t="s">
        <v>455</v>
      </c>
      <c r="D135" s="160" t="s">
        <v>26</v>
      </c>
      <c r="E135" s="216" t="s">
        <v>290</v>
      </c>
      <c r="F135" s="311" t="s">
        <v>719</v>
      </c>
      <c r="G135" s="311"/>
      <c r="H135" s="551"/>
      <c r="I135" s="313"/>
      <c r="J135" s="313"/>
      <c r="K135" s="313"/>
      <c r="L135" s="313"/>
      <c r="M135" s="313"/>
      <c r="N135" s="313"/>
      <c r="O135" s="153">
        <v>155000</v>
      </c>
      <c r="P135" s="313"/>
      <c r="Q135" s="313"/>
      <c r="R135" s="153">
        <f t="shared" si="34"/>
        <v>155000</v>
      </c>
      <c r="S135" s="551"/>
      <c r="T135" s="153"/>
      <c r="U135" s="153"/>
    </row>
    <row r="136" spans="1:21" s="80" customFormat="1">
      <c r="A136" s="157"/>
      <c r="B136" s="157"/>
      <c r="C136" s="146" t="s">
        <v>243</v>
      </c>
      <c r="D136" s="209" t="s">
        <v>114</v>
      </c>
      <c r="E136" s="208"/>
      <c r="F136" s="608"/>
      <c r="G136" s="608"/>
      <c r="H136" s="549">
        <f>H137+H142+H144+H147+H148+H150+H151</f>
        <v>111442573</v>
      </c>
      <c r="I136" s="526"/>
      <c r="J136" s="526"/>
      <c r="K136" s="526"/>
      <c r="L136" s="526"/>
      <c r="M136" s="526"/>
      <c r="N136" s="526"/>
      <c r="O136" s="154">
        <f>O137+O142+O144+O147+O148+O150+O151</f>
        <v>5103000</v>
      </c>
      <c r="P136" s="526"/>
      <c r="Q136" s="526"/>
      <c r="R136" s="154">
        <f t="shared" si="34"/>
        <v>5103000</v>
      </c>
      <c r="S136" s="549">
        <f>S137+S142+S144+S147+S148+S150+S151</f>
        <v>9155960</v>
      </c>
      <c r="T136" s="154"/>
      <c r="U136" s="154"/>
    </row>
    <row r="137" spans="1:21" s="80" customFormat="1">
      <c r="A137" s="157"/>
      <c r="B137" s="157"/>
      <c r="C137" s="150" t="s">
        <v>220</v>
      </c>
      <c r="D137" s="164" t="s">
        <v>114</v>
      </c>
      <c r="E137" s="216"/>
      <c r="F137" s="311" t="s">
        <v>719</v>
      </c>
      <c r="G137" s="311"/>
      <c r="H137" s="551">
        <f>H140+H141</f>
        <v>12009367</v>
      </c>
      <c r="I137" s="313"/>
      <c r="J137" s="313"/>
      <c r="K137" s="313"/>
      <c r="L137" s="313"/>
      <c r="M137" s="313"/>
      <c r="N137" s="313"/>
      <c r="O137" s="153">
        <f>O140+O141</f>
        <v>3653000</v>
      </c>
      <c r="P137" s="313"/>
      <c r="Q137" s="313"/>
      <c r="R137" s="153">
        <f t="shared" si="34"/>
        <v>3653000</v>
      </c>
      <c r="S137" s="551">
        <f>S140+S141</f>
        <v>3705960</v>
      </c>
      <c r="T137" s="153"/>
      <c r="U137" s="153"/>
    </row>
    <row r="138" spans="1:21" s="80" customFormat="1">
      <c r="A138" s="157"/>
      <c r="B138" s="157"/>
      <c r="C138" s="150"/>
      <c r="D138" s="160" t="s">
        <v>26</v>
      </c>
      <c r="E138" s="216"/>
      <c r="F138" s="311"/>
      <c r="G138" s="311"/>
      <c r="H138" s="551">
        <f>H137-H139</f>
        <v>10809367</v>
      </c>
      <c r="I138" s="313"/>
      <c r="J138" s="313"/>
      <c r="K138" s="313"/>
      <c r="L138" s="313"/>
      <c r="M138" s="313"/>
      <c r="N138" s="313"/>
      <c r="O138" s="153">
        <v>3293000</v>
      </c>
      <c r="P138" s="313"/>
      <c r="Q138" s="313"/>
      <c r="R138" s="153">
        <f t="shared" si="34"/>
        <v>3293000</v>
      </c>
      <c r="S138" s="551">
        <f>S137-S139</f>
        <v>3302297</v>
      </c>
      <c r="T138" s="153"/>
      <c r="U138" s="153"/>
    </row>
    <row r="139" spans="1:21" s="80" customFormat="1">
      <c r="A139" s="157"/>
      <c r="B139" s="157"/>
      <c r="C139" s="150"/>
      <c r="D139" s="160" t="s">
        <v>112</v>
      </c>
      <c r="E139" s="216"/>
      <c r="F139" s="312"/>
      <c r="G139" s="311"/>
      <c r="H139" s="551">
        <v>1200000</v>
      </c>
      <c r="I139" s="313"/>
      <c r="J139" s="313"/>
      <c r="K139" s="313"/>
      <c r="L139" s="313"/>
      <c r="M139" s="313"/>
      <c r="N139" s="313"/>
      <c r="O139" s="153">
        <v>360000</v>
      </c>
      <c r="P139" s="313"/>
      <c r="Q139" s="313"/>
      <c r="R139" s="153">
        <f t="shared" si="34"/>
        <v>360000</v>
      </c>
      <c r="S139" s="551">
        <v>403663</v>
      </c>
      <c r="T139" s="153"/>
      <c r="U139" s="153"/>
    </row>
    <row r="140" spans="1:21" s="80" customFormat="1">
      <c r="A140" s="157"/>
      <c r="B140" s="157"/>
      <c r="C140" s="229" t="s">
        <v>221</v>
      </c>
      <c r="D140" s="160"/>
      <c r="E140" s="226" t="s">
        <v>299</v>
      </c>
      <c r="F140" s="698" t="s">
        <v>719</v>
      </c>
      <c r="G140" s="616"/>
      <c r="H140" s="553">
        <v>7959367</v>
      </c>
      <c r="I140" s="317"/>
      <c r="J140" s="317"/>
      <c r="K140" s="317"/>
      <c r="L140" s="317"/>
      <c r="M140" s="317"/>
      <c r="N140" s="317"/>
      <c r="O140" s="165">
        <v>2153000</v>
      </c>
      <c r="P140" s="317"/>
      <c r="Q140" s="317"/>
      <c r="R140" s="165">
        <f t="shared" si="34"/>
        <v>2153000</v>
      </c>
      <c r="S140" s="553">
        <v>1455960</v>
      </c>
      <c r="T140" s="165"/>
      <c r="U140" s="165"/>
    </row>
    <row r="141" spans="1:21" s="80" customFormat="1">
      <c r="A141" s="157"/>
      <c r="B141" s="157"/>
      <c r="C141" s="159" t="s">
        <v>456</v>
      </c>
      <c r="D141" s="160"/>
      <c r="E141" s="214" t="s">
        <v>293</v>
      </c>
      <c r="F141" s="312" t="s">
        <v>719</v>
      </c>
      <c r="G141" s="323"/>
      <c r="H141" s="553">
        <f>4137000-87000</f>
        <v>4050000</v>
      </c>
      <c r="I141" s="317"/>
      <c r="J141" s="317"/>
      <c r="K141" s="317"/>
      <c r="L141" s="317"/>
      <c r="M141" s="317"/>
      <c r="N141" s="317"/>
      <c r="O141" s="165">
        <v>1500000</v>
      </c>
      <c r="P141" s="317"/>
      <c r="Q141" s="317"/>
      <c r="R141" s="165">
        <f t="shared" si="34"/>
        <v>1500000</v>
      </c>
      <c r="S141" s="553">
        <f>2250000</f>
        <v>2250000</v>
      </c>
      <c r="T141" s="165"/>
      <c r="U141" s="165"/>
    </row>
    <row r="142" spans="1:21" s="80" customFormat="1" ht="25.5">
      <c r="A142" s="157"/>
      <c r="B142" s="157"/>
      <c r="C142" s="150" t="s">
        <v>336</v>
      </c>
      <c r="D142" s="160" t="s">
        <v>26</v>
      </c>
      <c r="E142" s="216"/>
      <c r="F142" s="312" t="s">
        <v>719</v>
      </c>
      <c r="G142" s="311"/>
      <c r="H142" s="551">
        <f>SUM(H143:H143)</f>
        <v>7500000</v>
      </c>
      <c r="I142" s="313"/>
      <c r="J142" s="313"/>
      <c r="K142" s="313"/>
      <c r="L142" s="313"/>
      <c r="M142" s="313"/>
      <c r="N142" s="313"/>
      <c r="O142" s="153">
        <f>SUM(O143:O143)</f>
        <v>400000</v>
      </c>
      <c r="P142" s="313"/>
      <c r="Q142" s="313"/>
      <c r="R142" s="153">
        <f t="shared" si="34"/>
        <v>400000</v>
      </c>
      <c r="S142" s="551">
        <f>SUM(S143:S143)</f>
        <v>4500000</v>
      </c>
      <c r="T142" s="153"/>
      <c r="U142" s="153"/>
    </row>
    <row r="143" spans="1:21" s="80" customFormat="1">
      <c r="A143" s="157"/>
      <c r="B143" s="157"/>
      <c r="C143" s="242" t="s">
        <v>337</v>
      </c>
      <c r="D143" s="160"/>
      <c r="E143" s="214" t="s">
        <v>299</v>
      </c>
      <c r="F143" s="312" t="s">
        <v>719</v>
      </c>
      <c r="G143" s="623"/>
      <c r="H143" s="553">
        <v>7500000</v>
      </c>
      <c r="I143" s="317"/>
      <c r="J143" s="317"/>
      <c r="K143" s="317"/>
      <c r="L143" s="317"/>
      <c r="M143" s="317"/>
      <c r="N143" s="317"/>
      <c r="O143" s="165">
        <v>400000</v>
      </c>
      <c r="P143" s="317"/>
      <c r="Q143" s="317"/>
      <c r="R143" s="165">
        <f t="shared" si="34"/>
        <v>400000</v>
      </c>
      <c r="S143" s="553">
        <v>4500000</v>
      </c>
      <c r="T143" s="165"/>
      <c r="U143" s="165"/>
    </row>
    <row r="144" spans="1:21" s="80" customFormat="1">
      <c r="A144" s="157"/>
      <c r="B144" s="157"/>
      <c r="C144" s="150" t="s">
        <v>338</v>
      </c>
      <c r="D144" s="160" t="s">
        <v>26</v>
      </c>
      <c r="E144" s="216"/>
      <c r="F144" s="312" t="s">
        <v>719</v>
      </c>
      <c r="G144" s="311"/>
      <c r="H144" s="551">
        <f>S144</f>
        <v>250000</v>
      </c>
      <c r="I144" s="313"/>
      <c r="J144" s="313"/>
      <c r="K144" s="313"/>
      <c r="L144" s="313"/>
      <c r="M144" s="313"/>
      <c r="N144" s="313"/>
      <c r="O144" s="153">
        <v>550000</v>
      </c>
      <c r="P144" s="313"/>
      <c r="Q144" s="313"/>
      <c r="R144" s="153">
        <f t="shared" si="34"/>
        <v>550000</v>
      </c>
      <c r="S144" s="551">
        <v>250000</v>
      </c>
      <c r="T144" s="153"/>
      <c r="U144" s="153"/>
    </row>
    <row r="145" spans="1:21" s="80" customFormat="1" ht="22.5" customHeight="1">
      <c r="A145" s="157"/>
      <c r="B145" s="157"/>
      <c r="C145" s="163" t="s">
        <v>339</v>
      </c>
      <c r="D145" s="160"/>
      <c r="E145" s="214" t="s">
        <v>299</v>
      </c>
      <c r="F145" s="312" t="s">
        <v>719</v>
      </c>
      <c r="G145" s="587"/>
      <c r="H145" s="551"/>
      <c r="I145" s="313"/>
      <c r="J145" s="313"/>
      <c r="K145" s="313"/>
      <c r="L145" s="313"/>
      <c r="M145" s="313"/>
      <c r="N145" s="313"/>
      <c r="O145" s="165">
        <v>245000</v>
      </c>
      <c r="P145" s="317"/>
      <c r="Q145" s="313"/>
      <c r="R145" s="165">
        <f t="shared" si="34"/>
        <v>245000</v>
      </c>
      <c r="S145" s="551"/>
      <c r="T145" s="165"/>
      <c r="U145" s="165"/>
    </row>
    <row r="146" spans="1:21" s="80" customFormat="1" ht="22.5" customHeight="1">
      <c r="A146" s="157"/>
      <c r="B146" s="157"/>
      <c r="C146" s="159" t="s">
        <v>419</v>
      </c>
      <c r="D146" s="160"/>
      <c r="E146" s="214" t="s">
        <v>299</v>
      </c>
      <c r="F146" s="312" t="s">
        <v>719</v>
      </c>
      <c r="G146" s="323"/>
      <c r="H146" s="551"/>
      <c r="I146" s="313"/>
      <c r="J146" s="313"/>
      <c r="K146" s="313"/>
      <c r="L146" s="313"/>
      <c r="M146" s="313"/>
      <c r="N146" s="313"/>
      <c r="O146" s="165">
        <v>200000</v>
      </c>
      <c r="P146" s="317"/>
      <c r="Q146" s="313"/>
      <c r="R146" s="165">
        <f t="shared" si="34"/>
        <v>200000</v>
      </c>
      <c r="S146" s="551"/>
      <c r="T146" s="165"/>
      <c r="U146" s="165"/>
    </row>
    <row r="147" spans="1:21" s="80" customFormat="1">
      <c r="A147" s="157"/>
      <c r="B147" s="157"/>
      <c r="C147" s="223" t="s">
        <v>334</v>
      </c>
      <c r="D147" s="160" t="s">
        <v>26</v>
      </c>
      <c r="E147" s="224" t="s">
        <v>296</v>
      </c>
      <c r="F147" s="698" t="s">
        <v>729</v>
      </c>
      <c r="G147" s="615"/>
      <c r="H147" s="551">
        <v>200000</v>
      </c>
      <c r="I147" s="313"/>
      <c r="J147" s="313"/>
      <c r="K147" s="313"/>
      <c r="L147" s="313"/>
      <c r="M147" s="313"/>
      <c r="N147" s="313"/>
      <c r="O147" s="153">
        <v>0</v>
      </c>
      <c r="P147" s="313"/>
      <c r="Q147" s="313"/>
      <c r="R147" s="153">
        <f t="shared" si="34"/>
        <v>0</v>
      </c>
      <c r="S147" s="551">
        <v>100000</v>
      </c>
      <c r="T147" s="153"/>
      <c r="U147" s="153"/>
    </row>
    <row r="148" spans="1:21" s="80" customFormat="1">
      <c r="A148" s="157"/>
      <c r="B148" s="157"/>
      <c r="C148" s="150" t="s">
        <v>335</v>
      </c>
      <c r="D148" s="160" t="s">
        <v>26</v>
      </c>
      <c r="E148" s="216" t="s">
        <v>296</v>
      </c>
      <c r="F148" s="311" t="s">
        <v>728</v>
      </c>
      <c r="G148" s="311"/>
      <c r="H148" s="551">
        <v>400000</v>
      </c>
      <c r="I148" s="313"/>
      <c r="J148" s="313"/>
      <c r="K148" s="313"/>
      <c r="L148" s="313"/>
      <c r="M148" s="313"/>
      <c r="N148" s="313"/>
      <c r="O148" s="153"/>
      <c r="P148" s="313"/>
      <c r="Q148" s="313"/>
      <c r="R148" s="153">
        <f t="shared" si="34"/>
        <v>0</v>
      </c>
      <c r="S148" s="551">
        <v>100000</v>
      </c>
      <c r="T148" s="153"/>
      <c r="U148" s="153"/>
    </row>
    <row r="149" spans="1:21" s="80" customFormat="1">
      <c r="A149" s="309">
        <f>R149</f>
        <v>500000</v>
      </c>
      <c r="B149" s="309">
        <f>S149</f>
        <v>500000</v>
      </c>
      <c r="C149" s="150" t="s">
        <v>222</v>
      </c>
      <c r="D149" s="314" t="s">
        <v>114</v>
      </c>
      <c r="E149" s="312"/>
      <c r="F149" s="694" t="s">
        <v>719</v>
      </c>
      <c r="G149" s="311"/>
      <c r="H149" s="555">
        <f>H150+H151</f>
        <v>91083206</v>
      </c>
      <c r="I149" s="313"/>
      <c r="J149" s="313"/>
      <c r="K149" s="313"/>
      <c r="L149" s="313"/>
      <c r="M149" s="313"/>
      <c r="N149" s="313"/>
      <c r="O149" s="313">
        <f t="shared" ref="O149" si="35">O150+O151</f>
        <v>500000</v>
      </c>
      <c r="P149" s="313"/>
      <c r="Q149" s="313"/>
      <c r="R149" s="313">
        <f t="shared" si="34"/>
        <v>500000</v>
      </c>
      <c r="S149" s="555">
        <f t="shared" ref="S149" si="36">S150+S151</f>
        <v>500000</v>
      </c>
      <c r="T149" s="313"/>
      <c r="U149" s="313"/>
    </row>
    <row r="150" spans="1:21" s="80" customFormat="1">
      <c r="A150" s="157"/>
      <c r="B150" s="157"/>
      <c r="C150" s="150"/>
      <c r="D150" s="160" t="s">
        <v>26</v>
      </c>
      <c r="E150" s="216" t="s">
        <v>299</v>
      </c>
      <c r="F150" s="311"/>
      <c r="G150" s="311"/>
      <c r="H150" s="551">
        <v>51083206</v>
      </c>
      <c r="I150" s="313"/>
      <c r="J150" s="313"/>
      <c r="K150" s="313"/>
      <c r="L150" s="313"/>
      <c r="M150" s="313"/>
      <c r="N150" s="313"/>
      <c r="O150" s="153">
        <v>500000</v>
      </c>
      <c r="P150" s="313"/>
      <c r="Q150" s="313"/>
      <c r="R150" s="153">
        <f t="shared" si="34"/>
        <v>500000</v>
      </c>
      <c r="S150" s="551">
        <v>500000</v>
      </c>
      <c r="T150" s="153"/>
      <c r="U150" s="153"/>
    </row>
    <row r="151" spans="1:21" s="80" customFormat="1">
      <c r="A151" s="157"/>
      <c r="B151" s="157"/>
      <c r="C151" s="311"/>
      <c r="D151" s="314" t="s">
        <v>27</v>
      </c>
      <c r="E151" s="312"/>
      <c r="F151" s="311"/>
      <c r="G151" s="311"/>
      <c r="H151" s="555">
        <v>40000000</v>
      </c>
      <c r="I151" s="313"/>
      <c r="J151" s="313"/>
      <c r="K151" s="313"/>
      <c r="L151" s="313"/>
      <c r="M151" s="313"/>
      <c r="N151" s="313"/>
      <c r="O151" s="313"/>
      <c r="P151" s="313"/>
      <c r="Q151" s="313"/>
      <c r="R151" s="313">
        <f t="shared" si="34"/>
        <v>0</v>
      </c>
      <c r="S151" s="555"/>
      <c r="T151" s="313"/>
      <c r="U151" s="313"/>
    </row>
    <row r="152" spans="1:21" s="80" customFormat="1">
      <c r="A152" s="157"/>
      <c r="B152" s="157"/>
      <c r="C152" s="146" t="s">
        <v>246</v>
      </c>
      <c r="D152" s="209" t="s">
        <v>114</v>
      </c>
      <c r="E152" s="208"/>
      <c r="F152" s="608"/>
      <c r="G152" s="608"/>
      <c r="H152" s="549">
        <f>H153+H154+H157+H158+H159</f>
        <v>16950000</v>
      </c>
      <c r="I152" s="526"/>
      <c r="J152" s="526"/>
      <c r="K152" s="526"/>
      <c r="L152" s="526"/>
      <c r="M152" s="526"/>
      <c r="N152" s="526"/>
      <c r="O152" s="154">
        <f>O153+O154+O157+O158+O159</f>
        <v>3743200</v>
      </c>
      <c r="P152" s="526"/>
      <c r="Q152" s="526"/>
      <c r="R152" s="154">
        <f t="shared" si="34"/>
        <v>3743200</v>
      </c>
      <c r="S152" s="549">
        <f>S153+S154+S157+S158+S159</f>
        <v>950000</v>
      </c>
      <c r="T152" s="154"/>
      <c r="U152" s="154"/>
    </row>
    <row r="153" spans="1:21" s="80" customFormat="1">
      <c r="A153" s="157"/>
      <c r="B153" s="157"/>
      <c r="C153" s="223" t="s">
        <v>434</v>
      </c>
      <c r="D153" s="160" t="s">
        <v>26</v>
      </c>
      <c r="E153" s="224"/>
      <c r="F153" s="615" t="s">
        <v>718</v>
      </c>
      <c r="G153" s="615"/>
      <c r="H153" s="551"/>
      <c r="I153" s="313"/>
      <c r="J153" s="313"/>
      <c r="K153" s="313"/>
      <c r="L153" s="313"/>
      <c r="M153" s="313"/>
      <c r="N153" s="313"/>
      <c r="O153" s="227">
        <v>700000</v>
      </c>
      <c r="P153" s="533"/>
      <c r="Q153" s="313"/>
      <c r="R153" s="227">
        <f t="shared" si="34"/>
        <v>700000</v>
      </c>
      <c r="S153" s="564"/>
      <c r="T153" s="227"/>
      <c r="U153" s="227"/>
    </row>
    <row r="154" spans="1:21" s="80" customFormat="1">
      <c r="A154" s="157"/>
      <c r="B154" s="157"/>
      <c r="C154" s="223" t="s">
        <v>173</v>
      </c>
      <c r="D154" s="164" t="s">
        <v>114</v>
      </c>
      <c r="E154" s="224" t="s">
        <v>285</v>
      </c>
      <c r="F154" s="615" t="s">
        <v>718</v>
      </c>
      <c r="G154" s="615"/>
      <c r="H154" s="564">
        <f>SUM(H155:H156)</f>
        <v>400000</v>
      </c>
      <c r="I154" s="533"/>
      <c r="J154" s="533"/>
      <c r="K154" s="533"/>
      <c r="L154" s="533"/>
      <c r="M154" s="533"/>
      <c r="N154" s="533"/>
      <c r="O154" s="227">
        <f>SUM(O155:O156)</f>
        <v>400000</v>
      </c>
      <c r="P154" s="533"/>
      <c r="Q154" s="533"/>
      <c r="R154" s="227">
        <f t="shared" si="34"/>
        <v>400000</v>
      </c>
      <c r="S154" s="564"/>
      <c r="T154" s="227"/>
      <c r="U154" s="227"/>
    </row>
    <row r="155" spans="1:21" s="80" customFormat="1">
      <c r="A155" s="157"/>
      <c r="B155" s="157"/>
      <c r="C155" s="243" t="s">
        <v>111</v>
      </c>
      <c r="D155" s="164" t="s">
        <v>26</v>
      </c>
      <c r="E155" s="224"/>
      <c r="F155" s="615" t="s">
        <v>718</v>
      </c>
      <c r="G155" s="624"/>
      <c r="H155" s="564">
        <v>200000</v>
      </c>
      <c r="I155" s="533"/>
      <c r="J155" s="533"/>
      <c r="K155" s="533"/>
      <c r="L155" s="533"/>
      <c r="M155" s="533"/>
      <c r="N155" s="533"/>
      <c r="O155" s="227">
        <v>200000</v>
      </c>
      <c r="P155" s="533"/>
      <c r="Q155" s="533"/>
      <c r="R155" s="227">
        <f t="shared" si="34"/>
        <v>200000</v>
      </c>
      <c r="S155" s="564"/>
      <c r="T155" s="227"/>
      <c r="U155" s="227"/>
    </row>
    <row r="156" spans="1:21" s="80" customFormat="1">
      <c r="A156" s="157"/>
      <c r="B156" s="157"/>
      <c r="C156" s="223"/>
      <c r="D156" s="164" t="s">
        <v>135</v>
      </c>
      <c r="E156" s="224"/>
      <c r="F156" s="615" t="s">
        <v>718</v>
      </c>
      <c r="G156" s="615"/>
      <c r="H156" s="564">
        <v>200000</v>
      </c>
      <c r="I156" s="533"/>
      <c r="J156" s="533"/>
      <c r="K156" s="533"/>
      <c r="L156" s="533"/>
      <c r="M156" s="533"/>
      <c r="N156" s="533"/>
      <c r="O156" s="227">
        <v>200000</v>
      </c>
      <c r="P156" s="533"/>
      <c r="Q156" s="533"/>
      <c r="R156" s="227">
        <f t="shared" si="34"/>
        <v>200000</v>
      </c>
      <c r="S156" s="564"/>
      <c r="T156" s="227"/>
      <c r="U156" s="227"/>
    </row>
    <row r="157" spans="1:21" s="80" customFormat="1" ht="25.5">
      <c r="A157" s="157"/>
      <c r="B157" s="157"/>
      <c r="C157" s="150" t="s">
        <v>492</v>
      </c>
      <c r="D157" s="148" t="s">
        <v>26</v>
      </c>
      <c r="E157" s="216" t="s">
        <v>296</v>
      </c>
      <c r="F157" s="311" t="s">
        <v>730</v>
      </c>
      <c r="G157" s="311"/>
      <c r="H157" s="563">
        <v>800000</v>
      </c>
      <c r="I157" s="532"/>
      <c r="J157" s="532"/>
      <c r="K157" s="532"/>
      <c r="L157" s="532"/>
      <c r="M157" s="532"/>
      <c r="N157" s="532"/>
      <c r="O157" s="152">
        <v>200000</v>
      </c>
      <c r="P157" s="532"/>
      <c r="Q157" s="532"/>
      <c r="R157" s="152">
        <f t="shared" si="34"/>
        <v>200000</v>
      </c>
      <c r="S157" s="563">
        <v>200000</v>
      </c>
      <c r="T157" s="152"/>
      <c r="U157" s="152"/>
    </row>
    <row r="158" spans="1:21" s="80" customFormat="1">
      <c r="A158" s="309">
        <f>R158</f>
        <v>2443200</v>
      </c>
      <c r="B158" s="309">
        <f>S158</f>
        <v>0</v>
      </c>
      <c r="C158" s="244" t="s">
        <v>500</v>
      </c>
      <c r="D158" s="160" t="s">
        <v>26</v>
      </c>
      <c r="E158" s="245" t="s">
        <v>296</v>
      </c>
      <c r="F158" s="625" t="s">
        <v>718</v>
      </c>
      <c r="G158" s="625"/>
      <c r="H158" s="551">
        <v>15000000</v>
      </c>
      <c r="I158" s="313"/>
      <c r="J158" s="313"/>
      <c r="K158" s="313"/>
      <c r="L158" s="313"/>
      <c r="M158" s="313"/>
      <c r="N158" s="313"/>
      <c r="O158" s="153">
        <v>2443200</v>
      </c>
      <c r="P158" s="313"/>
      <c r="Q158" s="313"/>
      <c r="R158" s="153">
        <f t="shared" si="34"/>
        <v>2443200</v>
      </c>
      <c r="S158" s="551"/>
      <c r="T158" s="153"/>
      <c r="U158" s="153"/>
    </row>
    <row r="159" spans="1:21" s="80" customFormat="1" ht="25.5">
      <c r="A159" s="309">
        <f>R159</f>
        <v>0</v>
      </c>
      <c r="B159" s="309">
        <f>S159</f>
        <v>750000</v>
      </c>
      <c r="C159" s="244" t="s">
        <v>501</v>
      </c>
      <c r="D159" s="160" t="s">
        <v>26</v>
      </c>
      <c r="E159" s="245" t="s">
        <v>291</v>
      </c>
      <c r="F159" s="625" t="s">
        <v>730</v>
      </c>
      <c r="G159" s="625"/>
      <c r="H159" s="551">
        <f>SUM(S159:S159)</f>
        <v>750000</v>
      </c>
      <c r="I159" s="313"/>
      <c r="J159" s="313"/>
      <c r="K159" s="313"/>
      <c r="L159" s="313"/>
      <c r="M159" s="313"/>
      <c r="N159" s="313"/>
      <c r="O159" s="153"/>
      <c r="P159" s="313"/>
      <c r="Q159" s="313"/>
      <c r="R159" s="153">
        <f t="shared" si="34"/>
        <v>0</v>
      </c>
      <c r="S159" s="551">
        <v>750000</v>
      </c>
      <c r="T159" s="153"/>
      <c r="U159" s="153"/>
    </row>
    <row r="160" spans="1:21" s="80" customFormat="1">
      <c r="A160" s="157"/>
      <c r="B160" s="157"/>
      <c r="C160" s="146" t="s">
        <v>229</v>
      </c>
      <c r="D160" s="209" t="s">
        <v>114</v>
      </c>
      <c r="E160" s="208"/>
      <c r="F160" s="608"/>
      <c r="G160" s="608"/>
      <c r="H160" s="549">
        <f t="shared" ref="H160:S160" si="37">H161</f>
        <v>500000</v>
      </c>
      <c r="I160" s="526"/>
      <c r="J160" s="526"/>
      <c r="K160" s="526"/>
      <c r="L160" s="526"/>
      <c r="M160" s="526"/>
      <c r="N160" s="526"/>
      <c r="O160" s="154">
        <f t="shared" si="37"/>
        <v>250000</v>
      </c>
      <c r="P160" s="526"/>
      <c r="Q160" s="526"/>
      <c r="R160" s="154">
        <f t="shared" si="34"/>
        <v>250000</v>
      </c>
      <c r="S160" s="549">
        <f t="shared" si="37"/>
        <v>222500</v>
      </c>
      <c r="T160" s="154"/>
      <c r="U160" s="154"/>
    </row>
    <row r="161" spans="1:21" s="80" customFormat="1" ht="25.5">
      <c r="A161" s="157"/>
      <c r="B161" s="157"/>
      <c r="C161" s="150" t="s">
        <v>340</v>
      </c>
      <c r="D161" s="160" t="s">
        <v>114</v>
      </c>
      <c r="E161" s="216" t="s">
        <v>296</v>
      </c>
      <c r="F161" s="311" t="s">
        <v>723</v>
      </c>
      <c r="G161" s="311"/>
      <c r="H161" s="551">
        <f t="shared" ref="H161:S161" si="38">H162+H163</f>
        <v>500000</v>
      </c>
      <c r="I161" s="313"/>
      <c r="J161" s="313"/>
      <c r="K161" s="313"/>
      <c r="L161" s="313"/>
      <c r="M161" s="313"/>
      <c r="N161" s="313"/>
      <c r="O161" s="153">
        <f t="shared" ref="O161" si="39">O162+O163</f>
        <v>250000</v>
      </c>
      <c r="P161" s="313"/>
      <c r="Q161" s="313"/>
      <c r="R161" s="153">
        <f t="shared" si="34"/>
        <v>250000</v>
      </c>
      <c r="S161" s="551">
        <f t="shared" si="38"/>
        <v>222500</v>
      </c>
      <c r="T161" s="153"/>
      <c r="U161" s="153"/>
    </row>
    <row r="162" spans="1:21" s="80" customFormat="1">
      <c r="A162" s="157"/>
      <c r="B162" s="157"/>
      <c r="C162" s="149" t="s">
        <v>111</v>
      </c>
      <c r="D162" s="160" t="s">
        <v>26</v>
      </c>
      <c r="E162" s="214"/>
      <c r="F162" s="149"/>
      <c r="G162" s="149"/>
      <c r="H162" s="551">
        <v>250000</v>
      </c>
      <c r="I162" s="313"/>
      <c r="J162" s="313"/>
      <c r="K162" s="313"/>
      <c r="L162" s="313"/>
      <c r="M162" s="313"/>
      <c r="N162" s="313"/>
      <c r="O162" s="153">
        <v>125000</v>
      </c>
      <c r="P162" s="313"/>
      <c r="Q162" s="313"/>
      <c r="R162" s="153">
        <f t="shared" si="34"/>
        <v>125000</v>
      </c>
      <c r="S162" s="551">
        <v>111250</v>
      </c>
      <c r="T162" s="153"/>
      <c r="U162" s="153"/>
    </row>
    <row r="163" spans="1:21" s="80" customFormat="1">
      <c r="A163" s="157"/>
      <c r="B163" s="157"/>
      <c r="C163" s="151"/>
      <c r="D163" s="160" t="s">
        <v>112</v>
      </c>
      <c r="E163" s="214"/>
      <c r="F163" s="151"/>
      <c r="G163" s="151"/>
      <c r="H163" s="551">
        <v>250000</v>
      </c>
      <c r="I163" s="313"/>
      <c r="J163" s="313"/>
      <c r="K163" s="313"/>
      <c r="L163" s="313"/>
      <c r="M163" s="313"/>
      <c r="N163" s="313"/>
      <c r="O163" s="153">
        <v>125000</v>
      </c>
      <c r="P163" s="313"/>
      <c r="Q163" s="313"/>
      <c r="R163" s="153">
        <f t="shared" si="34"/>
        <v>125000</v>
      </c>
      <c r="S163" s="551">
        <v>111250</v>
      </c>
      <c r="T163" s="153"/>
      <c r="U163" s="153"/>
    </row>
    <row r="164" spans="1:21" s="80" customFormat="1">
      <c r="A164" s="157"/>
      <c r="B164" s="157"/>
      <c r="C164" s="302" t="s">
        <v>108</v>
      </c>
      <c r="D164" s="160"/>
      <c r="E164" s="214"/>
      <c r="F164" s="302"/>
      <c r="G164" s="650"/>
      <c r="H164" s="552">
        <v>30000</v>
      </c>
      <c r="I164" s="161"/>
      <c r="J164" s="161"/>
      <c r="K164" s="161"/>
      <c r="L164" s="161"/>
      <c r="M164" s="161"/>
      <c r="N164" s="161"/>
      <c r="O164" s="165">
        <v>15000</v>
      </c>
      <c r="P164" s="161"/>
      <c r="Q164" s="161"/>
      <c r="R164" s="165">
        <f t="shared" si="34"/>
        <v>15000</v>
      </c>
      <c r="S164" s="553">
        <v>7500</v>
      </c>
      <c r="T164" s="165"/>
      <c r="U164" s="165"/>
    </row>
    <row r="165" spans="1:21" s="80" customFormat="1">
      <c r="A165" s="157"/>
      <c r="B165" s="157"/>
      <c r="C165" s="146" t="s">
        <v>179</v>
      </c>
      <c r="D165" s="209" t="s">
        <v>114</v>
      </c>
      <c r="E165" s="208"/>
      <c r="F165" s="608"/>
      <c r="G165" s="608"/>
      <c r="H165" s="549">
        <f>H170+H174+H190+H194+H200+H201+H203+H166+H217</f>
        <v>20029134</v>
      </c>
      <c r="I165" s="526"/>
      <c r="J165" s="526"/>
      <c r="K165" s="526"/>
      <c r="L165" s="526"/>
      <c r="M165" s="526"/>
      <c r="N165" s="526"/>
      <c r="O165" s="154">
        <f>O170+O174+O190+O194+O200+O201+O203+O166+O217+O175</f>
        <v>5714545</v>
      </c>
      <c r="P165" s="154">
        <f>P170+P174+P190+P194+P200+P201+P203+P166+P217+P175</f>
        <v>30000</v>
      </c>
      <c r="Q165" s="526"/>
      <c r="R165" s="154">
        <f t="shared" si="34"/>
        <v>5744545</v>
      </c>
      <c r="S165" s="549">
        <f>S170+S174+S190+S194+S200+S201+S203+S166+S217</f>
        <v>4856300</v>
      </c>
      <c r="T165" s="154"/>
      <c r="U165" s="154"/>
    </row>
    <row r="166" spans="1:21" s="80" customFormat="1" ht="25.5">
      <c r="A166" s="157"/>
      <c r="B166" s="157"/>
      <c r="C166" s="150" t="s">
        <v>204</v>
      </c>
      <c r="D166" s="160" t="s">
        <v>114</v>
      </c>
      <c r="E166" s="216" t="s">
        <v>296</v>
      </c>
      <c r="F166" s="311" t="s">
        <v>723</v>
      </c>
      <c r="G166" s="311"/>
      <c r="H166" s="551">
        <f t="shared" ref="H166:S166" si="40">H167+H168</f>
        <v>440600</v>
      </c>
      <c r="I166" s="313"/>
      <c r="J166" s="313"/>
      <c r="K166" s="313"/>
      <c r="L166" s="313"/>
      <c r="M166" s="313"/>
      <c r="N166" s="313"/>
      <c r="O166" s="153">
        <f t="shared" ref="O166" si="41">O167+O168</f>
        <v>220000</v>
      </c>
      <c r="P166" s="313"/>
      <c r="Q166" s="313"/>
      <c r="R166" s="153">
        <f t="shared" si="34"/>
        <v>220000</v>
      </c>
      <c r="S166" s="551">
        <f t="shared" si="40"/>
        <v>211800</v>
      </c>
      <c r="T166" s="153"/>
      <c r="U166" s="153"/>
    </row>
    <row r="167" spans="1:21" s="80" customFormat="1">
      <c r="A167" s="157"/>
      <c r="B167" s="157"/>
      <c r="C167" s="149" t="s">
        <v>111</v>
      </c>
      <c r="D167" s="160" t="s">
        <v>26</v>
      </c>
      <c r="E167" s="214"/>
      <c r="F167" s="149"/>
      <c r="G167" s="149"/>
      <c r="H167" s="551">
        <v>66090</v>
      </c>
      <c r="I167" s="313"/>
      <c r="J167" s="313"/>
      <c r="K167" s="313"/>
      <c r="L167" s="313"/>
      <c r="M167" s="313"/>
      <c r="N167" s="313"/>
      <c r="O167" s="153">
        <v>33000</v>
      </c>
      <c r="P167" s="313"/>
      <c r="Q167" s="313"/>
      <c r="R167" s="153">
        <f t="shared" si="34"/>
        <v>33000</v>
      </c>
      <c r="S167" s="551">
        <v>31770</v>
      </c>
      <c r="T167" s="153"/>
      <c r="U167" s="153"/>
    </row>
    <row r="168" spans="1:21" s="80" customFormat="1">
      <c r="A168" s="157"/>
      <c r="B168" s="157"/>
      <c r="C168" s="151"/>
      <c r="D168" s="160" t="s">
        <v>112</v>
      </c>
      <c r="E168" s="214"/>
      <c r="F168" s="151"/>
      <c r="G168" s="151"/>
      <c r="H168" s="551">
        <v>374510</v>
      </c>
      <c r="I168" s="313"/>
      <c r="J168" s="313"/>
      <c r="K168" s="313"/>
      <c r="L168" s="313"/>
      <c r="M168" s="313"/>
      <c r="N168" s="313"/>
      <c r="O168" s="153">
        <v>187000</v>
      </c>
      <c r="P168" s="313"/>
      <c r="Q168" s="313"/>
      <c r="R168" s="153">
        <f t="shared" si="34"/>
        <v>187000</v>
      </c>
      <c r="S168" s="551">
        <v>180030</v>
      </c>
      <c r="T168" s="153"/>
      <c r="U168" s="153"/>
    </row>
    <row r="169" spans="1:21" s="80" customFormat="1">
      <c r="A169" s="157"/>
      <c r="B169" s="157"/>
      <c r="C169" s="302" t="s">
        <v>108</v>
      </c>
      <c r="D169" s="160"/>
      <c r="E169" s="214"/>
      <c r="F169" s="302"/>
      <c r="G169" s="650"/>
      <c r="H169" s="552">
        <v>37000</v>
      </c>
      <c r="I169" s="161"/>
      <c r="J169" s="161"/>
      <c r="K169" s="161"/>
      <c r="L169" s="161"/>
      <c r="M169" s="161"/>
      <c r="N169" s="161"/>
      <c r="O169" s="165">
        <v>18800</v>
      </c>
      <c r="P169" s="161"/>
      <c r="Q169" s="161"/>
      <c r="R169" s="165">
        <f t="shared" si="34"/>
        <v>18800</v>
      </c>
      <c r="S169" s="553">
        <v>18200</v>
      </c>
      <c r="T169" s="165"/>
      <c r="U169" s="165"/>
    </row>
    <row r="170" spans="1:21" s="80" customFormat="1">
      <c r="A170" s="157"/>
      <c r="B170" s="157"/>
      <c r="C170" s="223" t="s">
        <v>208</v>
      </c>
      <c r="D170" s="164" t="s">
        <v>26</v>
      </c>
      <c r="E170" s="224"/>
      <c r="F170" s="615" t="s">
        <v>724</v>
      </c>
      <c r="G170" s="615"/>
      <c r="H170" s="551">
        <f>SUM(H171:H173)</f>
        <v>1004000</v>
      </c>
      <c r="I170" s="313"/>
      <c r="J170" s="313"/>
      <c r="K170" s="313"/>
      <c r="L170" s="313"/>
      <c r="M170" s="313"/>
      <c r="N170" s="313"/>
      <c r="O170" s="153">
        <f>SUM(O171:O173)</f>
        <v>200250</v>
      </c>
      <c r="P170" s="313"/>
      <c r="Q170" s="313"/>
      <c r="R170" s="153">
        <f t="shared" si="34"/>
        <v>200250</v>
      </c>
      <c r="S170" s="551">
        <f>SUM(S171:S173)</f>
        <v>525000</v>
      </c>
      <c r="T170" s="153"/>
      <c r="U170" s="153"/>
    </row>
    <row r="171" spans="1:21" s="80" customFormat="1">
      <c r="A171" s="157"/>
      <c r="B171" s="157"/>
      <c r="C171" s="163" t="s">
        <v>457</v>
      </c>
      <c r="D171" s="160"/>
      <c r="E171" s="214" t="s">
        <v>287</v>
      </c>
      <c r="F171" s="587"/>
      <c r="G171" s="587"/>
      <c r="H171" s="558">
        <v>300000</v>
      </c>
      <c r="I171" s="328"/>
      <c r="J171" s="328"/>
      <c r="K171" s="328"/>
      <c r="L171" s="328"/>
      <c r="M171" s="328"/>
      <c r="N171" s="328"/>
      <c r="O171" s="171"/>
      <c r="P171" s="328"/>
      <c r="Q171" s="328"/>
      <c r="R171" s="171">
        <f t="shared" si="34"/>
        <v>0</v>
      </c>
      <c r="S171" s="558">
        <v>300000</v>
      </c>
      <c r="T171" s="171"/>
      <c r="U171" s="171"/>
    </row>
    <row r="172" spans="1:21" s="80" customFormat="1">
      <c r="A172" s="157"/>
      <c r="B172" s="157"/>
      <c r="C172" s="159" t="s">
        <v>458</v>
      </c>
      <c r="D172" s="160"/>
      <c r="E172" s="214" t="s">
        <v>301</v>
      </c>
      <c r="F172" s="323"/>
      <c r="G172" s="323"/>
      <c r="H172" s="553">
        <v>239000</v>
      </c>
      <c r="I172" s="317"/>
      <c r="J172" s="317"/>
      <c r="K172" s="317"/>
      <c r="L172" s="317"/>
      <c r="M172" s="317"/>
      <c r="N172" s="317"/>
      <c r="O172" s="165">
        <v>185250</v>
      </c>
      <c r="P172" s="317"/>
      <c r="Q172" s="317"/>
      <c r="R172" s="165">
        <f t="shared" si="34"/>
        <v>185250</v>
      </c>
      <c r="S172" s="553"/>
      <c r="T172" s="165"/>
      <c r="U172" s="165"/>
    </row>
    <row r="173" spans="1:21" s="80" customFormat="1">
      <c r="A173" s="157"/>
      <c r="B173" s="157"/>
      <c r="C173" s="246" t="s">
        <v>459</v>
      </c>
      <c r="D173" s="160"/>
      <c r="E173" s="226" t="s">
        <v>291</v>
      </c>
      <c r="F173" s="626"/>
      <c r="G173" s="626"/>
      <c r="H173" s="553">
        <v>465000</v>
      </c>
      <c r="I173" s="317"/>
      <c r="J173" s="317"/>
      <c r="K173" s="317"/>
      <c r="L173" s="317"/>
      <c r="M173" s="317"/>
      <c r="N173" s="317"/>
      <c r="O173" s="165">
        <v>15000</v>
      </c>
      <c r="P173" s="317"/>
      <c r="Q173" s="317"/>
      <c r="R173" s="165">
        <f t="shared" si="34"/>
        <v>15000</v>
      </c>
      <c r="S173" s="553">
        <v>225000</v>
      </c>
      <c r="T173" s="165"/>
      <c r="U173" s="165"/>
    </row>
    <row r="174" spans="1:21" s="80" customFormat="1">
      <c r="A174" s="157"/>
      <c r="B174" s="157"/>
      <c r="C174" s="150" t="s">
        <v>209</v>
      </c>
      <c r="D174" s="164" t="s">
        <v>26</v>
      </c>
      <c r="E174" s="216"/>
      <c r="F174" s="311" t="s">
        <v>724</v>
      </c>
      <c r="G174" s="311"/>
      <c r="H174" s="551">
        <f>SUM(H176:H189)</f>
        <v>862200</v>
      </c>
      <c r="I174" s="313"/>
      <c r="J174" s="313"/>
      <c r="K174" s="313"/>
      <c r="L174" s="313"/>
      <c r="M174" s="313"/>
      <c r="N174" s="313"/>
      <c r="O174" s="153">
        <f>SUM(O176:O184)</f>
        <v>405000</v>
      </c>
      <c r="P174" s="313"/>
      <c r="Q174" s="313"/>
      <c r="R174" s="153">
        <f t="shared" si="34"/>
        <v>405000</v>
      </c>
      <c r="S174" s="551">
        <f>SUM(S176:S189)</f>
        <v>390000</v>
      </c>
      <c r="T174" s="153"/>
      <c r="U174" s="153"/>
    </row>
    <row r="175" spans="1:21" s="80" customFormat="1">
      <c r="A175" s="157"/>
      <c r="B175" s="157"/>
      <c r="C175" s="223"/>
      <c r="D175" s="164" t="s">
        <v>27</v>
      </c>
      <c r="E175" s="224"/>
      <c r="F175" s="615"/>
      <c r="G175" s="615"/>
      <c r="H175" s="551"/>
      <c r="I175" s="313"/>
      <c r="J175" s="313"/>
      <c r="K175" s="313"/>
      <c r="L175" s="313"/>
      <c r="M175" s="313"/>
      <c r="N175" s="313"/>
      <c r="O175" s="153">
        <f>SUM(O185:O187)</f>
        <v>0</v>
      </c>
      <c r="P175" s="153">
        <f>SUM(P185:P187)</f>
        <v>30000</v>
      </c>
      <c r="Q175" s="313"/>
      <c r="R175" s="153">
        <f t="shared" si="34"/>
        <v>30000</v>
      </c>
      <c r="S175" s="551"/>
      <c r="T175" s="153"/>
      <c r="U175" s="153"/>
    </row>
    <row r="176" spans="1:21" s="80" customFormat="1">
      <c r="A176" s="157"/>
      <c r="B176" s="157"/>
      <c r="C176" s="159" t="s">
        <v>460</v>
      </c>
      <c r="D176" s="160"/>
      <c r="E176" s="214" t="s">
        <v>295</v>
      </c>
      <c r="F176" s="323"/>
      <c r="G176" s="323"/>
      <c r="H176" s="553">
        <v>55000</v>
      </c>
      <c r="I176" s="317"/>
      <c r="J176" s="317"/>
      <c r="K176" s="317"/>
      <c r="L176" s="317"/>
      <c r="M176" s="317"/>
      <c r="N176" s="317"/>
      <c r="O176" s="165">
        <v>5000</v>
      </c>
      <c r="P176" s="317"/>
      <c r="Q176" s="317"/>
      <c r="R176" s="165">
        <f t="shared" si="34"/>
        <v>5000</v>
      </c>
      <c r="S176" s="553">
        <v>50000</v>
      </c>
      <c r="T176" s="165"/>
      <c r="U176" s="165"/>
    </row>
    <row r="177" spans="1:21" s="80" customFormat="1">
      <c r="A177" s="157"/>
      <c r="B177" s="157"/>
      <c r="C177" s="159" t="s">
        <v>461</v>
      </c>
      <c r="D177" s="160"/>
      <c r="E177" s="214" t="s">
        <v>295</v>
      </c>
      <c r="F177" s="323"/>
      <c r="G177" s="323"/>
      <c r="H177" s="553">
        <v>50000</v>
      </c>
      <c r="I177" s="317"/>
      <c r="J177" s="317"/>
      <c r="K177" s="317"/>
      <c r="L177" s="317"/>
      <c r="M177" s="317"/>
      <c r="N177" s="317"/>
      <c r="O177" s="165">
        <v>50000</v>
      </c>
      <c r="P177" s="317"/>
      <c r="Q177" s="317"/>
      <c r="R177" s="165">
        <f t="shared" si="34"/>
        <v>50000</v>
      </c>
      <c r="S177" s="553"/>
      <c r="T177" s="165"/>
      <c r="U177" s="165"/>
    </row>
    <row r="178" spans="1:21" s="80" customFormat="1" ht="22.5">
      <c r="A178" s="157"/>
      <c r="B178" s="157"/>
      <c r="C178" s="159" t="s">
        <v>464</v>
      </c>
      <c r="D178" s="160"/>
      <c r="E178" s="214" t="s">
        <v>295</v>
      </c>
      <c r="F178" s="323"/>
      <c r="G178" s="323"/>
      <c r="H178" s="553">
        <v>10000</v>
      </c>
      <c r="I178" s="317"/>
      <c r="J178" s="317"/>
      <c r="K178" s="317"/>
      <c r="L178" s="317"/>
      <c r="M178" s="317"/>
      <c r="N178" s="317"/>
      <c r="O178" s="165">
        <v>10000</v>
      </c>
      <c r="P178" s="317"/>
      <c r="Q178" s="317"/>
      <c r="R178" s="165">
        <f t="shared" si="34"/>
        <v>10000</v>
      </c>
      <c r="S178" s="553"/>
      <c r="T178" s="165"/>
      <c r="U178" s="165"/>
    </row>
    <row r="179" spans="1:21" s="80" customFormat="1">
      <c r="A179" s="157"/>
      <c r="B179" s="157"/>
      <c r="C179" s="159" t="s">
        <v>210</v>
      </c>
      <c r="D179" s="160"/>
      <c r="E179" s="214" t="s">
        <v>295</v>
      </c>
      <c r="F179" s="323"/>
      <c r="G179" s="323"/>
      <c r="H179" s="553">
        <v>20000</v>
      </c>
      <c r="I179" s="317"/>
      <c r="J179" s="317"/>
      <c r="K179" s="317"/>
      <c r="L179" s="317"/>
      <c r="M179" s="317"/>
      <c r="N179" s="317"/>
      <c r="O179" s="165">
        <v>20000</v>
      </c>
      <c r="P179" s="317"/>
      <c r="Q179" s="317"/>
      <c r="R179" s="165">
        <f t="shared" si="34"/>
        <v>20000</v>
      </c>
      <c r="S179" s="553"/>
      <c r="T179" s="165"/>
      <c r="U179" s="165"/>
    </row>
    <row r="180" spans="1:21" s="80" customFormat="1" ht="22.5">
      <c r="A180" s="157"/>
      <c r="B180" s="157"/>
      <c r="C180" s="159" t="s">
        <v>341</v>
      </c>
      <c r="D180" s="160"/>
      <c r="E180" s="214" t="s">
        <v>290</v>
      </c>
      <c r="F180" s="323"/>
      <c r="G180" s="323"/>
      <c r="H180" s="553">
        <v>202200</v>
      </c>
      <c r="I180" s="317"/>
      <c r="J180" s="317"/>
      <c r="K180" s="317"/>
      <c r="L180" s="317"/>
      <c r="M180" s="317"/>
      <c r="N180" s="317"/>
      <c r="O180" s="165">
        <v>135000</v>
      </c>
      <c r="P180" s="317"/>
      <c r="Q180" s="317"/>
      <c r="R180" s="165">
        <f t="shared" si="34"/>
        <v>135000</v>
      </c>
      <c r="S180" s="553"/>
      <c r="T180" s="165"/>
      <c r="U180" s="165"/>
    </row>
    <row r="181" spans="1:21" s="80" customFormat="1">
      <c r="A181" s="157"/>
      <c r="B181" s="157"/>
      <c r="C181" s="159" t="s">
        <v>211</v>
      </c>
      <c r="D181" s="160"/>
      <c r="E181" s="214" t="s">
        <v>291</v>
      </c>
      <c r="F181" s="323"/>
      <c r="G181" s="323"/>
      <c r="H181" s="553">
        <v>25000</v>
      </c>
      <c r="I181" s="317"/>
      <c r="J181" s="317"/>
      <c r="K181" s="317"/>
      <c r="L181" s="317"/>
      <c r="M181" s="317"/>
      <c r="N181" s="317"/>
      <c r="O181" s="165">
        <v>25000</v>
      </c>
      <c r="P181" s="317"/>
      <c r="Q181" s="317"/>
      <c r="R181" s="165">
        <f t="shared" si="34"/>
        <v>25000</v>
      </c>
      <c r="S181" s="553"/>
      <c r="T181" s="165"/>
      <c r="U181" s="165"/>
    </row>
    <row r="182" spans="1:21" s="80" customFormat="1">
      <c r="A182" s="157"/>
      <c r="B182" s="157"/>
      <c r="C182" s="159" t="s">
        <v>212</v>
      </c>
      <c r="D182" s="160"/>
      <c r="E182" s="214" t="s">
        <v>291</v>
      </c>
      <c r="F182" s="323"/>
      <c r="G182" s="323"/>
      <c r="H182" s="553">
        <v>100000</v>
      </c>
      <c r="I182" s="317"/>
      <c r="J182" s="317"/>
      <c r="K182" s="317"/>
      <c r="L182" s="317"/>
      <c r="M182" s="317"/>
      <c r="N182" s="317"/>
      <c r="O182" s="165">
        <v>100000</v>
      </c>
      <c r="P182" s="317"/>
      <c r="Q182" s="317"/>
      <c r="R182" s="165">
        <f t="shared" si="34"/>
        <v>100000</v>
      </c>
      <c r="S182" s="553"/>
      <c r="T182" s="165"/>
      <c r="U182" s="165"/>
    </row>
    <row r="183" spans="1:21" s="80" customFormat="1">
      <c r="A183" s="157"/>
      <c r="B183" s="157"/>
      <c r="C183" s="159" t="s">
        <v>213</v>
      </c>
      <c r="D183" s="160"/>
      <c r="E183" s="214" t="s">
        <v>299</v>
      </c>
      <c r="F183" s="323"/>
      <c r="G183" s="323"/>
      <c r="H183" s="553">
        <v>25000</v>
      </c>
      <c r="I183" s="317"/>
      <c r="J183" s="317"/>
      <c r="K183" s="317"/>
      <c r="L183" s="317"/>
      <c r="M183" s="317"/>
      <c r="N183" s="317"/>
      <c r="O183" s="165">
        <v>25000</v>
      </c>
      <c r="P183" s="317"/>
      <c r="Q183" s="317"/>
      <c r="R183" s="165">
        <f t="shared" si="34"/>
        <v>25000</v>
      </c>
      <c r="S183" s="553"/>
      <c r="T183" s="165"/>
      <c r="U183" s="165"/>
    </row>
    <row r="184" spans="1:21" s="80" customFormat="1">
      <c r="A184" s="157"/>
      <c r="B184" s="157"/>
      <c r="C184" s="159" t="s">
        <v>231</v>
      </c>
      <c r="D184" s="160"/>
      <c r="E184" s="214" t="s">
        <v>299</v>
      </c>
      <c r="F184" s="323"/>
      <c r="G184" s="323"/>
      <c r="H184" s="553">
        <v>35000</v>
      </c>
      <c r="I184" s="317"/>
      <c r="J184" s="317"/>
      <c r="K184" s="317"/>
      <c r="L184" s="317"/>
      <c r="M184" s="317"/>
      <c r="N184" s="317"/>
      <c r="O184" s="165">
        <v>35000</v>
      </c>
      <c r="P184" s="317"/>
      <c r="Q184" s="317"/>
      <c r="R184" s="165">
        <f t="shared" si="34"/>
        <v>35000</v>
      </c>
      <c r="S184" s="553"/>
      <c r="T184" s="165"/>
      <c r="U184" s="165"/>
    </row>
    <row r="185" spans="1:21" s="80" customFormat="1">
      <c r="A185" s="157"/>
      <c r="B185" s="157"/>
      <c r="C185" s="643" t="s">
        <v>656</v>
      </c>
      <c r="D185" s="314"/>
      <c r="E185" s="324"/>
      <c r="F185" s="323"/>
      <c r="G185" s="323"/>
      <c r="H185" s="567"/>
      <c r="I185" s="317"/>
      <c r="J185" s="317"/>
      <c r="K185" s="317"/>
      <c r="L185" s="317"/>
      <c r="M185" s="317"/>
      <c r="N185" s="317"/>
      <c r="O185" s="317"/>
      <c r="P185" s="317">
        <v>13000</v>
      </c>
      <c r="Q185" s="317"/>
      <c r="R185" s="317">
        <f t="shared" si="34"/>
        <v>13000</v>
      </c>
      <c r="S185" s="567"/>
      <c r="T185" s="317"/>
      <c r="U185" s="317"/>
    </row>
    <row r="186" spans="1:21" s="80" customFormat="1">
      <c r="A186" s="157"/>
      <c r="B186" s="157"/>
      <c r="C186" s="323" t="s">
        <v>654</v>
      </c>
      <c r="D186" s="314"/>
      <c r="E186" s="324"/>
      <c r="F186" s="323"/>
      <c r="G186" s="323"/>
      <c r="H186" s="567"/>
      <c r="I186" s="317"/>
      <c r="J186" s="317"/>
      <c r="K186" s="317"/>
      <c r="L186" s="317"/>
      <c r="M186" s="317"/>
      <c r="N186" s="317"/>
      <c r="O186" s="317"/>
      <c r="P186" s="317">
        <v>5000</v>
      </c>
      <c r="Q186" s="317"/>
      <c r="R186" s="317">
        <f t="shared" si="34"/>
        <v>5000</v>
      </c>
      <c r="S186" s="567"/>
      <c r="T186" s="317"/>
      <c r="U186" s="317"/>
    </row>
    <row r="187" spans="1:21" s="80" customFormat="1" ht="22.5">
      <c r="A187" s="157"/>
      <c r="B187" s="157"/>
      <c r="C187" s="323" t="s">
        <v>655</v>
      </c>
      <c r="D187" s="314"/>
      <c r="E187" s="324"/>
      <c r="F187" s="323"/>
      <c r="G187" s="323"/>
      <c r="H187" s="567"/>
      <c r="I187" s="317"/>
      <c r="J187" s="317"/>
      <c r="K187" s="317"/>
      <c r="L187" s="317"/>
      <c r="M187" s="317"/>
      <c r="N187" s="317"/>
      <c r="O187" s="317"/>
      <c r="P187" s="317">
        <v>12000</v>
      </c>
      <c r="Q187" s="317"/>
      <c r="R187" s="317">
        <f t="shared" si="34"/>
        <v>12000</v>
      </c>
      <c r="S187" s="567"/>
      <c r="T187" s="317"/>
      <c r="U187" s="317"/>
    </row>
    <row r="188" spans="1:21" s="80" customFormat="1">
      <c r="A188" s="157"/>
      <c r="B188" s="157"/>
      <c r="C188" s="246" t="s">
        <v>462</v>
      </c>
      <c r="D188" s="160"/>
      <c r="E188" s="226" t="s">
        <v>291</v>
      </c>
      <c r="F188" s="626"/>
      <c r="G188" s="626"/>
      <c r="H188" s="553">
        <v>140000</v>
      </c>
      <c r="I188" s="317"/>
      <c r="J188" s="317"/>
      <c r="K188" s="317"/>
      <c r="L188" s="317"/>
      <c r="M188" s="317"/>
      <c r="N188" s="317"/>
      <c r="O188" s="165"/>
      <c r="P188" s="317"/>
      <c r="Q188" s="317"/>
      <c r="R188" s="165">
        <f t="shared" si="34"/>
        <v>0</v>
      </c>
      <c r="S188" s="553">
        <v>140000</v>
      </c>
      <c r="T188" s="165"/>
      <c r="U188" s="165"/>
    </row>
    <row r="189" spans="1:21" s="80" customFormat="1">
      <c r="A189" s="157"/>
      <c r="B189" s="157"/>
      <c r="C189" s="247" t="s">
        <v>463</v>
      </c>
      <c r="D189" s="160"/>
      <c r="E189" s="248" t="s">
        <v>299</v>
      </c>
      <c r="F189" s="627"/>
      <c r="G189" s="627"/>
      <c r="H189" s="553">
        <v>200000</v>
      </c>
      <c r="I189" s="317"/>
      <c r="J189" s="317"/>
      <c r="K189" s="317"/>
      <c r="L189" s="317"/>
      <c r="M189" s="317"/>
      <c r="N189" s="317"/>
      <c r="O189" s="165"/>
      <c r="P189" s="317"/>
      <c r="Q189" s="317"/>
      <c r="R189" s="165">
        <f t="shared" si="34"/>
        <v>0</v>
      </c>
      <c r="S189" s="553">
        <v>200000</v>
      </c>
      <c r="T189" s="165"/>
      <c r="U189" s="165"/>
    </row>
    <row r="190" spans="1:21" s="80" customFormat="1" ht="25.5">
      <c r="A190" s="157"/>
      <c r="B190" s="157"/>
      <c r="C190" s="150" t="s">
        <v>465</v>
      </c>
      <c r="D190" s="164" t="s">
        <v>26</v>
      </c>
      <c r="E190" s="216"/>
      <c r="F190" s="311" t="s">
        <v>724</v>
      </c>
      <c r="G190" s="311"/>
      <c r="H190" s="551">
        <f>SUM(H191:H193)</f>
        <v>205000</v>
      </c>
      <c r="I190" s="313"/>
      <c r="J190" s="313"/>
      <c r="K190" s="313"/>
      <c r="L190" s="313"/>
      <c r="M190" s="313"/>
      <c r="N190" s="313"/>
      <c r="O190" s="153">
        <f>SUM(O191:O193)</f>
        <v>70000</v>
      </c>
      <c r="P190" s="313"/>
      <c r="Q190" s="313"/>
      <c r="R190" s="153">
        <f t="shared" si="34"/>
        <v>70000</v>
      </c>
      <c r="S190" s="551">
        <f>SUM(S191:S193)</f>
        <v>135000</v>
      </c>
      <c r="T190" s="153"/>
      <c r="U190" s="153"/>
    </row>
    <row r="191" spans="1:21" s="80" customFormat="1">
      <c r="A191" s="157"/>
      <c r="B191" s="157"/>
      <c r="C191" s="249" t="s">
        <v>342</v>
      </c>
      <c r="D191" s="164"/>
      <c r="E191" s="226" t="s">
        <v>285</v>
      </c>
      <c r="F191" s="628"/>
      <c r="G191" s="628"/>
      <c r="H191" s="553">
        <v>70000</v>
      </c>
      <c r="I191" s="317"/>
      <c r="J191" s="317"/>
      <c r="K191" s="317"/>
      <c r="L191" s="317"/>
      <c r="M191" s="317"/>
      <c r="N191" s="317"/>
      <c r="O191" s="165">
        <v>70000</v>
      </c>
      <c r="P191" s="317"/>
      <c r="Q191" s="317"/>
      <c r="R191" s="165">
        <f t="shared" si="34"/>
        <v>70000</v>
      </c>
      <c r="S191" s="553"/>
      <c r="T191" s="165"/>
      <c r="U191" s="165"/>
    </row>
    <row r="192" spans="1:21" s="80" customFormat="1" ht="22.5">
      <c r="A192" s="157"/>
      <c r="B192" s="157"/>
      <c r="C192" s="585" t="s">
        <v>466</v>
      </c>
      <c r="D192" s="164"/>
      <c r="E192" s="248" t="s">
        <v>290</v>
      </c>
      <c r="F192" s="629"/>
      <c r="G192" s="629"/>
      <c r="H192" s="553">
        <v>100000</v>
      </c>
      <c r="I192" s="317"/>
      <c r="J192" s="317"/>
      <c r="K192" s="317"/>
      <c r="L192" s="317"/>
      <c r="M192" s="317"/>
      <c r="N192" s="317"/>
      <c r="O192" s="165"/>
      <c r="P192" s="317"/>
      <c r="Q192" s="317"/>
      <c r="R192" s="165">
        <f t="shared" si="34"/>
        <v>0</v>
      </c>
      <c r="S192" s="553">
        <v>100000</v>
      </c>
      <c r="T192" s="165"/>
      <c r="U192" s="165"/>
    </row>
    <row r="193" spans="1:21" s="80" customFormat="1">
      <c r="A193" s="157"/>
      <c r="B193" s="157"/>
      <c r="C193" s="585" t="s">
        <v>467</v>
      </c>
      <c r="D193" s="164"/>
      <c r="E193" s="248" t="s">
        <v>343</v>
      </c>
      <c r="F193" s="629"/>
      <c r="G193" s="629"/>
      <c r="H193" s="553">
        <v>35000</v>
      </c>
      <c r="I193" s="317"/>
      <c r="J193" s="317"/>
      <c r="K193" s="317"/>
      <c r="L193" s="317"/>
      <c r="M193" s="317"/>
      <c r="N193" s="317"/>
      <c r="O193" s="165"/>
      <c r="P193" s="317"/>
      <c r="Q193" s="317"/>
      <c r="R193" s="165">
        <f t="shared" si="34"/>
        <v>0</v>
      </c>
      <c r="S193" s="553">
        <v>35000</v>
      </c>
      <c r="T193" s="165"/>
      <c r="U193" s="165"/>
    </row>
    <row r="194" spans="1:21" s="80" customFormat="1">
      <c r="A194" s="157"/>
      <c r="B194" s="157"/>
      <c r="C194" s="223" t="s">
        <v>215</v>
      </c>
      <c r="D194" s="148" t="s">
        <v>26</v>
      </c>
      <c r="E194" s="224"/>
      <c r="F194" s="615"/>
      <c r="G194" s="615"/>
      <c r="H194" s="551">
        <f>SUM(H195:H199)</f>
        <v>1777625</v>
      </c>
      <c r="I194" s="313"/>
      <c r="J194" s="313"/>
      <c r="K194" s="313"/>
      <c r="L194" s="313"/>
      <c r="M194" s="313"/>
      <c r="N194" s="313"/>
      <c r="O194" s="153">
        <f>SUM(O195:O199)</f>
        <v>250000</v>
      </c>
      <c r="P194" s="313"/>
      <c r="Q194" s="313"/>
      <c r="R194" s="153">
        <f t="shared" si="34"/>
        <v>250000</v>
      </c>
      <c r="S194" s="551">
        <f>SUM(S195:S199)</f>
        <v>1450000</v>
      </c>
      <c r="T194" s="153"/>
      <c r="U194" s="153"/>
    </row>
    <row r="195" spans="1:21" s="80" customFormat="1">
      <c r="A195" s="157"/>
      <c r="B195" s="157"/>
      <c r="C195" s="163" t="s">
        <v>344</v>
      </c>
      <c r="D195" s="160"/>
      <c r="E195" s="214" t="s">
        <v>301</v>
      </c>
      <c r="F195" s="312" t="s">
        <v>718</v>
      </c>
      <c r="G195" s="587"/>
      <c r="H195" s="553">
        <v>185825</v>
      </c>
      <c r="I195" s="317"/>
      <c r="J195" s="317"/>
      <c r="K195" s="317"/>
      <c r="L195" s="317"/>
      <c r="M195" s="317"/>
      <c r="N195" s="317"/>
      <c r="O195" s="165">
        <v>150000</v>
      </c>
      <c r="P195" s="317"/>
      <c r="Q195" s="317"/>
      <c r="R195" s="165">
        <f t="shared" si="34"/>
        <v>150000</v>
      </c>
      <c r="S195" s="553"/>
      <c r="T195" s="165"/>
      <c r="U195" s="165"/>
    </row>
    <row r="196" spans="1:21" s="80" customFormat="1">
      <c r="A196" s="157"/>
      <c r="B196" s="157"/>
      <c r="C196" s="159" t="s">
        <v>216</v>
      </c>
      <c r="D196" s="160"/>
      <c r="E196" s="214" t="s">
        <v>296</v>
      </c>
      <c r="F196" s="312" t="s">
        <v>718</v>
      </c>
      <c r="G196" s="323"/>
      <c r="H196" s="553">
        <v>100000</v>
      </c>
      <c r="I196" s="317"/>
      <c r="J196" s="317"/>
      <c r="K196" s="317"/>
      <c r="L196" s="317"/>
      <c r="M196" s="317"/>
      <c r="N196" s="317"/>
      <c r="O196" s="165">
        <v>100000</v>
      </c>
      <c r="P196" s="317"/>
      <c r="Q196" s="317"/>
      <c r="R196" s="165">
        <f t="shared" si="34"/>
        <v>100000</v>
      </c>
      <c r="S196" s="553"/>
      <c r="T196" s="165"/>
      <c r="U196" s="165"/>
    </row>
    <row r="197" spans="1:21" s="80" customFormat="1" ht="22.5">
      <c r="A197" s="157"/>
      <c r="B197" s="157"/>
      <c r="C197" s="246" t="s">
        <v>345</v>
      </c>
      <c r="D197" s="160"/>
      <c r="E197" s="226" t="s">
        <v>285</v>
      </c>
      <c r="F197" s="698" t="s">
        <v>719</v>
      </c>
      <c r="G197" s="626"/>
      <c r="H197" s="553">
        <v>1041800</v>
      </c>
      <c r="I197" s="317"/>
      <c r="J197" s="317"/>
      <c r="K197" s="317"/>
      <c r="L197" s="317"/>
      <c r="M197" s="317"/>
      <c r="N197" s="317"/>
      <c r="O197" s="165"/>
      <c r="P197" s="317"/>
      <c r="Q197" s="317"/>
      <c r="R197" s="165">
        <f t="shared" ref="R197:R260" si="42">SUM(O197:Q197)</f>
        <v>0</v>
      </c>
      <c r="S197" s="553">
        <v>1000000</v>
      </c>
      <c r="T197" s="165"/>
      <c r="U197" s="165"/>
    </row>
    <row r="198" spans="1:21" s="80" customFormat="1" ht="13.5" customHeight="1">
      <c r="A198" s="157"/>
      <c r="B198" s="157"/>
      <c r="C198" s="246" t="s">
        <v>347</v>
      </c>
      <c r="D198" s="160"/>
      <c r="E198" s="226" t="s">
        <v>285</v>
      </c>
      <c r="F198" s="698" t="s">
        <v>724</v>
      </c>
      <c r="G198" s="626"/>
      <c r="H198" s="553">
        <v>300000</v>
      </c>
      <c r="I198" s="317"/>
      <c r="J198" s="317"/>
      <c r="K198" s="317"/>
      <c r="L198" s="317"/>
      <c r="M198" s="317"/>
      <c r="N198" s="317"/>
      <c r="O198" s="165"/>
      <c r="P198" s="317"/>
      <c r="Q198" s="317"/>
      <c r="R198" s="165">
        <f t="shared" si="42"/>
        <v>0</v>
      </c>
      <c r="S198" s="553">
        <v>300000</v>
      </c>
      <c r="T198" s="165"/>
      <c r="U198" s="165"/>
    </row>
    <row r="199" spans="1:21" s="80" customFormat="1">
      <c r="A199" s="157"/>
      <c r="B199" s="157"/>
      <c r="C199" s="246" t="s">
        <v>346</v>
      </c>
      <c r="D199" s="160"/>
      <c r="E199" s="226" t="s">
        <v>301</v>
      </c>
      <c r="F199" s="698" t="s">
        <v>724</v>
      </c>
      <c r="G199" s="626"/>
      <c r="H199" s="553">
        <v>150000</v>
      </c>
      <c r="I199" s="317"/>
      <c r="J199" s="317"/>
      <c r="K199" s="317"/>
      <c r="L199" s="317"/>
      <c r="M199" s="317"/>
      <c r="N199" s="317"/>
      <c r="O199" s="165"/>
      <c r="P199" s="317"/>
      <c r="Q199" s="317"/>
      <c r="R199" s="165">
        <f t="shared" si="42"/>
        <v>0</v>
      </c>
      <c r="S199" s="553">
        <v>150000</v>
      </c>
      <c r="T199" s="165"/>
      <c r="U199" s="165"/>
    </row>
    <row r="200" spans="1:21" s="80" customFormat="1">
      <c r="A200" s="157"/>
      <c r="B200" s="157"/>
      <c r="C200" s="150" t="s">
        <v>205</v>
      </c>
      <c r="D200" s="148" t="s">
        <v>26</v>
      </c>
      <c r="E200" s="216" t="s">
        <v>285</v>
      </c>
      <c r="F200" s="311" t="s">
        <v>718</v>
      </c>
      <c r="G200" s="311"/>
      <c r="H200" s="551">
        <v>6832409</v>
      </c>
      <c r="I200" s="313"/>
      <c r="J200" s="313"/>
      <c r="K200" s="313"/>
      <c r="L200" s="313"/>
      <c r="M200" s="313"/>
      <c r="N200" s="313"/>
      <c r="O200" s="153">
        <v>2116595</v>
      </c>
      <c r="P200" s="313"/>
      <c r="Q200" s="313"/>
      <c r="R200" s="153">
        <f t="shared" si="42"/>
        <v>2116595</v>
      </c>
      <c r="S200" s="553"/>
      <c r="T200" s="153"/>
      <c r="U200" s="153"/>
    </row>
    <row r="201" spans="1:21" s="80" customFormat="1">
      <c r="A201" s="157"/>
      <c r="B201" s="157"/>
      <c r="C201" s="150" t="s">
        <v>217</v>
      </c>
      <c r="D201" s="164" t="s">
        <v>26</v>
      </c>
      <c r="E201" s="216" t="s">
        <v>296</v>
      </c>
      <c r="F201" s="311" t="s">
        <v>723</v>
      </c>
      <c r="G201" s="311"/>
      <c r="H201" s="565">
        <f t="shared" ref="H201" si="43">S201</f>
        <v>400000</v>
      </c>
      <c r="I201" s="534"/>
      <c r="J201" s="534"/>
      <c r="K201" s="534"/>
      <c r="L201" s="534"/>
      <c r="M201" s="534"/>
      <c r="N201" s="534"/>
      <c r="O201" s="300">
        <v>450000</v>
      </c>
      <c r="P201" s="534"/>
      <c r="Q201" s="534"/>
      <c r="R201" s="300">
        <f t="shared" si="42"/>
        <v>450000</v>
      </c>
      <c r="S201" s="565">
        <f>250000+150000</f>
        <v>400000</v>
      </c>
      <c r="T201" s="300"/>
      <c r="U201" s="300"/>
    </row>
    <row r="202" spans="1:21" s="80" customFormat="1">
      <c r="A202" s="157"/>
      <c r="B202" s="157"/>
      <c r="C202" s="586" t="s">
        <v>468</v>
      </c>
      <c r="D202" s="160"/>
      <c r="E202" s="214" t="s">
        <v>285</v>
      </c>
      <c r="F202" s="630"/>
      <c r="G202" s="630"/>
      <c r="H202" s="566">
        <v>300000</v>
      </c>
      <c r="I202" s="535"/>
      <c r="J202" s="535"/>
      <c r="K202" s="535"/>
      <c r="L202" s="535"/>
      <c r="M202" s="535"/>
      <c r="N202" s="535"/>
      <c r="O202" s="315">
        <v>150000</v>
      </c>
      <c r="P202" s="535"/>
      <c r="Q202" s="535"/>
      <c r="R202" s="315">
        <f t="shared" si="42"/>
        <v>150000</v>
      </c>
      <c r="S202" s="566">
        <v>150000</v>
      </c>
      <c r="T202" s="315"/>
      <c r="U202" s="315"/>
    </row>
    <row r="203" spans="1:21" s="80" customFormat="1">
      <c r="A203" s="157"/>
      <c r="B203" s="157"/>
      <c r="C203" s="150" t="s">
        <v>206</v>
      </c>
      <c r="D203" s="148" t="s">
        <v>26</v>
      </c>
      <c r="E203" s="216" t="s">
        <v>296</v>
      </c>
      <c r="F203" s="311" t="s">
        <v>723</v>
      </c>
      <c r="G203" s="311"/>
      <c r="H203" s="563">
        <f>SUM(H204:H216)</f>
        <v>5437800</v>
      </c>
      <c r="I203" s="532"/>
      <c r="J203" s="532"/>
      <c r="K203" s="532"/>
      <c r="L203" s="532"/>
      <c r="M203" s="532"/>
      <c r="N203" s="532"/>
      <c r="O203" s="152">
        <f>SUM(O204:O216)</f>
        <v>1602700</v>
      </c>
      <c r="P203" s="532"/>
      <c r="Q203" s="532"/>
      <c r="R203" s="152">
        <f t="shared" si="42"/>
        <v>1602700</v>
      </c>
      <c r="S203" s="563">
        <f>SUM(S204:S216)</f>
        <v>1308000</v>
      </c>
      <c r="T203" s="152"/>
      <c r="U203" s="152"/>
    </row>
    <row r="204" spans="1:21" s="80" customFormat="1">
      <c r="A204" s="157"/>
      <c r="B204" s="157"/>
      <c r="C204" s="323" t="s">
        <v>348</v>
      </c>
      <c r="D204" s="314"/>
      <c r="E204" s="324" t="s">
        <v>295</v>
      </c>
      <c r="F204" s="323"/>
      <c r="G204" s="323"/>
      <c r="H204" s="567">
        <v>20000</v>
      </c>
      <c r="I204" s="317"/>
      <c r="J204" s="317"/>
      <c r="K204" s="317"/>
      <c r="L204" s="317"/>
      <c r="M204" s="317"/>
      <c r="N204" s="317"/>
      <c r="O204" s="317">
        <v>20000</v>
      </c>
      <c r="P204" s="317"/>
      <c r="Q204" s="317"/>
      <c r="R204" s="317">
        <f t="shared" si="42"/>
        <v>20000</v>
      </c>
      <c r="S204" s="567"/>
      <c r="T204" s="317"/>
      <c r="U204" s="317"/>
    </row>
    <row r="205" spans="1:21" s="80" customFormat="1">
      <c r="A205" s="157"/>
      <c r="B205" s="157"/>
      <c r="C205" s="323" t="s">
        <v>349</v>
      </c>
      <c r="D205" s="314"/>
      <c r="E205" s="324" t="s">
        <v>295</v>
      </c>
      <c r="F205" s="323"/>
      <c r="G205" s="323"/>
      <c r="H205" s="567">
        <v>150000</v>
      </c>
      <c r="I205" s="317"/>
      <c r="J205" s="317"/>
      <c r="K205" s="317"/>
      <c r="L205" s="317"/>
      <c r="M205" s="317"/>
      <c r="N205" s="317"/>
      <c r="O205" s="317">
        <v>150000</v>
      </c>
      <c r="P205" s="317"/>
      <c r="Q205" s="317"/>
      <c r="R205" s="317">
        <f t="shared" si="42"/>
        <v>150000</v>
      </c>
      <c r="S205" s="567"/>
      <c r="T205" s="317"/>
      <c r="U205" s="317"/>
    </row>
    <row r="206" spans="1:21" s="80" customFormat="1">
      <c r="A206" s="157"/>
      <c r="B206" s="157"/>
      <c r="C206" s="323" t="s">
        <v>207</v>
      </c>
      <c r="D206" s="314"/>
      <c r="E206" s="324" t="s">
        <v>285</v>
      </c>
      <c r="F206" s="323"/>
      <c r="G206" s="323"/>
      <c r="H206" s="567">
        <v>264100</v>
      </c>
      <c r="I206" s="317"/>
      <c r="J206" s="317"/>
      <c r="K206" s="317"/>
      <c r="L206" s="317"/>
      <c r="M206" s="317"/>
      <c r="N206" s="317"/>
      <c r="O206" s="317">
        <v>150000</v>
      </c>
      <c r="P206" s="317"/>
      <c r="Q206" s="317"/>
      <c r="R206" s="317">
        <f t="shared" si="42"/>
        <v>150000</v>
      </c>
      <c r="S206" s="567"/>
      <c r="T206" s="317"/>
      <c r="U206" s="317"/>
    </row>
    <row r="207" spans="1:21" s="80" customFormat="1">
      <c r="A207" s="157"/>
      <c r="B207" s="157"/>
      <c r="C207" s="323" t="s">
        <v>214</v>
      </c>
      <c r="D207" s="314"/>
      <c r="E207" s="324" t="s">
        <v>285</v>
      </c>
      <c r="F207" s="323"/>
      <c r="G207" s="323"/>
      <c r="H207" s="567">
        <v>80400</v>
      </c>
      <c r="I207" s="317"/>
      <c r="J207" s="317"/>
      <c r="K207" s="317"/>
      <c r="L207" s="317"/>
      <c r="M207" s="317"/>
      <c r="N207" s="317"/>
      <c r="O207" s="317">
        <v>80400</v>
      </c>
      <c r="P207" s="317"/>
      <c r="Q207" s="317"/>
      <c r="R207" s="317">
        <f t="shared" si="42"/>
        <v>80400</v>
      </c>
      <c r="S207" s="567"/>
      <c r="T207" s="317"/>
      <c r="U207" s="317"/>
    </row>
    <row r="208" spans="1:21" s="80" customFormat="1" ht="33.75">
      <c r="A208" s="157"/>
      <c r="B208" s="157"/>
      <c r="C208" s="323" t="s">
        <v>350</v>
      </c>
      <c r="D208" s="314"/>
      <c r="E208" s="324" t="s">
        <v>293</v>
      </c>
      <c r="F208" s="323"/>
      <c r="G208" s="323"/>
      <c r="H208" s="567">
        <v>474000</v>
      </c>
      <c r="I208" s="317"/>
      <c r="J208" s="317"/>
      <c r="K208" s="317"/>
      <c r="L208" s="317"/>
      <c r="M208" s="317"/>
      <c r="N208" s="317"/>
      <c r="O208" s="317">
        <v>474000</v>
      </c>
      <c r="P208" s="317"/>
      <c r="Q208" s="317"/>
      <c r="R208" s="317">
        <f t="shared" si="42"/>
        <v>474000</v>
      </c>
      <c r="S208" s="567"/>
      <c r="T208" s="317"/>
      <c r="U208" s="317"/>
    </row>
    <row r="209" spans="1:21" s="80" customFormat="1">
      <c r="A209" s="157"/>
      <c r="B209" s="157"/>
      <c r="C209" s="323" t="s">
        <v>351</v>
      </c>
      <c r="D209" s="314"/>
      <c r="E209" s="324" t="s">
        <v>295</v>
      </c>
      <c r="F209" s="323"/>
      <c r="G209" s="323"/>
      <c r="H209" s="567">
        <v>20000</v>
      </c>
      <c r="I209" s="317"/>
      <c r="J209" s="317"/>
      <c r="K209" s="317"/>
      <c r="L209" s="317"/>
      <c r="M209" s="317"/>
      <c r="N209" s="317"/>
      <c r="O209" s="317"/>
      <c r="P209" s="317"/>
      <c r="Q209" s="317"/>
      <c r="R209" s="317">
        <f t="shared" si="42"/>
        <v>0</v>
      </c>
      <c r="S209" s="567">
        <v>20000</v>
      </c>
      <c r="T209" s="317"/>
      <c r="U209" s="317"/>
    </row>
    <row r="210" spans="1:21" s="80" customFormat="1">
      <c r="A210" s="157"/>
      <c r="B210" s="157"/>
      <c r="C210" s="323" t="s">
        <v>469</v>
      </c>
      <c r="D210" s="314"/>
      <c r="E210" s="324" t="s">
        <v>295</v>
      </c>
      <c r="F210" s="323"/>
      <c r="G210" s="323"/>
      <c r="H210" s="567">
        <v>5000</v>
      </c>
      <c r="I210" s="317"/>
      <c r="J210" s="317"/>
      <c r="K210" s="317"/>
      <c r="L210" s="317"/>
      <c r="M210" s="317"/>
      <c r="N210" s="317"/>
      <c r="O210" s="317"/>
      <c r="P210" s="317"/>
      <c r="Q210" s="317"/>
      <c r="R210" s="317">
        <f t="shared" si="42"/>
        <v>0</v>
      </c>
      <c r="S210" s="567">
        <v>5000</v>
      </c>
      <c r="T210" s="317"/>
      <c r="U210" s="317"/>
    </row>
    <row r="211" spans="1:21" s="80" customFormat="1">
      <c r="A211" s="157"/>
      <c r="B211" s="157"/>
      <c r="C211" s="323" t="s">
        <v>470</v>
      </c>
      <c r="D211" s="314"/>
      <c r="E211" s="324" t="s">
        <v>290</v>
      </c>
      <c r="F211" s="323"/>
      <c r="G211" s="323"/>
      <c r="H211" s="567">
        <v>933000</v>
      </c>
      <c r="I211" s="317"/>
      <c r="J211" s="317"/>
      <c r="K211" s="317"/>
      <c r="L211" s="317"/>
      <c r="M211" s="317"/>
      <c r="N211" s="317"/>
      <c r="O211" s="317"/>
      <c r="P211" s="317"/>
      <c r="Q211" s="317"/>
      <c r="R211" s="317">
        <f t="shared" si="42"/>
        <v>0</v>
      </c>
      <c r="S211" s="567">
        <v>933000</v>
      </c>
      <c r="T211" s="317"/>
      <c r="U211" s="317"/>
    </row>
    <row r="212" spans="1:21" s="80" customFormat="1" ht="22.5">
      <c r="A212" s="157"/>
      <c r="B212" s="157"/>
      <c r="C212" s="323" t="s">
        <v>471</v>
      </c>
      <c r="D212" s="314"/>
      <c r="E212" s="324" t="s">
        <v>291</v>
      </c>
      <c r="F212" s="323"/>
      <c r="G212" s="323"/>
      <c r="H212" s="567">
        <v>1775000</v>
      </c>
      <c r="I212" s="317"/>
      <c r="J212" s="317"/>
      <c r="K212" s="317"/>
      <c r="L212" s="317"/>
      <c r="M212" s="317"/>
      <c r="N212" s="317"/>
      <c r="O212" s="317">
        <v>375000</v>
      </c>
      <c r="P212" s="317"/>
      <c r="Q212" s="317"/>
      <c r="R212" s="317">
        <f t="shared" si="42"/>
        <v>375000</v>
      </c>
      <c r="S212" s="567">
        <v>350000</v>
      </c>
      <c r="T212" s="317"/>
      <c r="U212" s="317"/>
    </row>
    <row r="213" spans="1:21" s="80" customFormat="1">
      <c r="A213" s="157"/>
      <c r="B213" s="157"/>
      <c r="C213" s="323" t="s">
        <v>352</v>
      </c>
      <c r="D213" s="314"/>
      <c r="E213" s="324" t="s">
        <v>291</v>
      </c>
      <c r="F213" s="323"/>
      <c r="G213" s="323"/>
      <c r="H213" s="567">
        <v>160000</v>
      </c>
      <c r="I213" s="317"/>
      <c r="J213" s="317"/>
      <c r="K213" s="317"/>
      <c r="L213" s="317"/>
      <c r="M213" s="317"/>
      <c r="N213" s="317"/>
      <c r="O213" s="317">
        <v>160000</v>
      </c>
      <c r="P213" s="317"/>
      <c r="Q213" s="317"/>
      <c r="R213" s="317">
        <f t="shared" si="42"/>
        <v>160000</v>
      </c>
      <c r="S213" s="567"/>
      <c r="T213" s="317"/>
      <c r="U213" s="317"/>
    </row>
    <row r="214" spans="1:21" s="80" customFormat="1">
      <c r="A214" s="157"/>
      <c r="B214" s="157"/>
      <c r="C214" s="323" t="s">
        <v>353</v>
      </c>
      <c r="D214" s="314"/>
      <c r="E214" s="324" t="s">
        <v>299</v>
      </c>
      <c r="F214" s="323"/>
      <c r="G214" s="323"/>
      <c r="H214" s="567">
        <v>525000</v>
      </c>
      <c r="I214" s="317"/>
      <c r="J214" s="317"/>
      <c r="K214" s="317"/>
      <c r="L214" s="317"/>
      <c r="M214" s="317"/>
      <c r="N214" s="317"/>
      <c r="O214" s="317">
        <v>90000</v>
      </c>
      <c r="P214" s="317"/>
      <c r="Q214" s="317"/>
      <c r="R214" s="317">
        <f t="shared" si="42"/>
        <v>90000</v>
      </c>
      <c r="S214" s="567"/>
      <c r="T214" s="317"/>
      <c r="U214" s="317"/>
    </row>
    <row r="215" spans="1:21" s="80" customFormat="1">
      <c r="A215" s="157"/>
      <c r="B215" s="157"/>
      <c r="C215" s="323" t="s">
        <v>354</v>
      </c>
      <c r="D215" s="314"/>
      <c r="E215" s="324" t="s">
        <v>299</v>
      </c>
      <c r="F215" s="323"/>
      <c r="G215" s="323"/>
      <c r="H215" s="567">
        <v>831300</v>
      </c>
      <c r="I215" s="317"/>
      <c r="J215" s="317"/>
      <c r="K215" s="317"/>
      <c r="L215" s="317"/>
      <c r="M215" s="317"/>
      <c r="N215" s="317"/>
      <c r="O215" s="317">
        <v>53300</v>
      </c>
      <c r="P215" s="317"/>
      <c r="Q215" s="317"/>
      <c r="R215" s="317">
        <f t="shared" si="42"/>
        <v>53300</v>
      </c>
      <c r="S215" s="567"/>
      <c r="T215" s="317"/>
      <c r="U215" s="317"/>
    </row>
    <row r="216" spans="1:21" s="80" customFormat="1">
      <c r="A216" s="157"/>
      <c r="B216" s="157"/>
      <c r="C216" s="323" t="s">
        <v>355</v>
      </c>
      <c r="D216" s="314"/>
      <c r="E216" s="324" t="s">
        <v>299</v>
      </c>
      <c r="F216" s="323"/>
      <c r="G216" s="323"/>
      <c r="H216" s="567">
        <v>200000</v>
      </c>
      <c r="I216" s="317"/>
      <c r="J216" s="317"/>
      <c r="K216" s="317"/>
      <c r="L216" s="317"/>
      <c r="M216" s="317"/>
      <c r="N216" s="317"/>
      <c r="O216" s="317">
        <v>50000</v>
      </c>
      <c r="P216" s="317"/>
      <c r="Q216" s="317"/>
      <c r="R216" s="317">
        <f t="shared" si="42"/>
        <v>50000</v>
      </c>
      <c r="S216" s="567"/>
      <c r="T216" s="317"/>
      <c r="U216" s="317"/>
    </row>
    <row r="217" spans="1:21" s="80" customFormat="1">
      <c r="A217" s="157"/>
      <c r="B217" s="157"/>
      <c r="C217" s="210" t="s">
        <v>356</v>
      </c>
      <c r="D217" s="250" t="s">
        <v>114</v>
      </c>
      <c r="E217" s="211"/>
      <c r="F217" s="319"/>
      <c r="G217" s="319"/>
      <c r="H217" s="550">
        <f>SUM(H223:H230)</f>
        <v>3069500</v>
      </c>
      <c r="I217" s="527"/>
      <c r="J217" s="527"/>
      <c r="K217" s="527"/>
      <c r="L217" s="527"/>
      <c r="M217" s="527"/>
      <c r="N217" s="527"/>
      <c r="O217" s="213">
        <f>SUM(O223:O230)+O218</f>
        <v>400000</v>
      </c>
      <c r="P217" s="527"/>
      <c r="Q217" s="527"/>
      <c r="R217" s="213">
        <f t="shared" si="42"/>
        <v>400000</v>
      </c>
      <c r="S217" s="550">
        <f>SUM(S223:S230)</f>
        <v>436500</v>
      </c>
      <c r="T217" s="213"/>
      <c r="U217" s="213"/>
    </row>
    <row r="218" spans="1:21" s="80" customFormat="1" ht="25.5">
      <c r="A218" s="309">
        <f>R218</f>
        <v>400000</v>
      </c>
      <c r="B218" s="309">
        <f>S218</f>
        <v>436500</v>
      </c>
      <c r="C218" s="156" t="s">
        <v>497</v>
      </c>
      <c r="D218" s="251" t="s">
        <v>114</v>
      </c>
      <c r="E218" s="156"/>
      <c r="F218" s="631" t="s">
        <v>724</v>
      </c>
      <c r="G218" s="631"/>
      <c r="H218" s="558">
        <f>SUM(H223:H230)</f>
        <v>3069500</v>
      </c>
      <c r="I218" s="328"/>
      <c r="J218" s="328"/>
      <c r="K218" s="328"/>
      <c r="L218" s="328"/>
      <c r="M218" s="328"/>
      <c r="N218" s="328"/>
      <c r="O218" s="252">
        <f>SUM(O219:O220)</f>
        <v>400000</v>
      </c>
      <c r="P218" s="660"/>
      <c r="Q218" s="328"/>
      <c r="R218" s="252">
        <f t="shared" si="42"/>
        <v>400000</v>
      </c>
      <c r="S218" s="558">
        <f>SUM(S223:S230)</f>
        <v>436500</v>
      </c>
      <c r="T218" s="252"/>
      <c r="U218" s="252"/>
    </row>
    <row r="219" spans="1:21" s="80" customFormat="1">
      <c r="A219" s="157"/>
      <c r="B219" s="157"/>
      <c r="C219" s="217" t="s">
        <v>111</v>
      </c>
      <c r="D219" s="160" t="s">
        <v>26</v>
      </c>
      <c r="E219" s="216"/>
      <c r="F219" s="611"/>
      <c r="G219" s="611"/>
      <c r="H219" s="568">
        <v>769500</v>
      </c>
      <c r="I219" s="536"/>
      <c r="J219" s="536"/>
      <c r="K219" s="536"/>
      <c r="L219" s="536"/>
      <c r="M219" s="536"/>
      <c r="N219" s="536"/>
      <c r="O219" s="155">
        <v>100000</v>
      </c>
      <c r="P219" s="536"/>
      <c r="Q219" s="536"/>
      <c r="R219" s="155">
        <f t="shared" si="42"/>
        <v>100000</v>
      </c>
      <c r="S219" s="558">
        <f>S218-S220</f>
        <v>136500</v>
      </c>
      <c r="T219" s="155"/>
      <c r="U219" s="155"/>
    </row>
    <row r="220" spans="1:21" s="80" customFormat="1">
      <c r="A220" s="157"/>
      <c r="B220" s="157"/>
      <c r="C220" s="150"/>
      <c r="D220" s="160" t="s">
        <v>27</v>
      </c>
      <c r="E220" s="216"/>
      <c r="F220" s="311"/>
      <c r="G220" s="311"/>
      <c r="H220" s="568">
        <v>2300000</v>
      </c>
      <c r="I220" s="536"/>
      <c r="J220" s="536"/>
      <c r="K220" s="536"/>
      <c r="L220" s="536"/>
      <c r="M220" s="536"/>
      <c r="N220" s="536"/>
      <c r="O220" s="155">
        <v>300000</v>
      </c>
      <c r="P220" s="536"/>
      <c r="Q220" s="536"/>
      <c r="R220" s="155">
        <f t="shared" si="42"/>
        <v>300000</v>
      </c>
      <c r="S220" s="558">
        <v>300000</v>
      </c>
      <c r="T220" s="155"/>
      <c r="U220" s="155"/>
    </row>
    <row r="221" spans="1:21" s="80" customFormat="1">
      <c r="A221" s="157"/>
      <c r="B221" s="157"/>
      <c r="C221" s="166" t="s">
        <v>218</v>
      </c>
      <c r="D221" s="160"/>
      <c r="E221" s="253" t="s">
        <v>299</v>
      </c>
      <c r="F221" s="632"/>
      <c r="G221" s="632"/>
      <c r="H221" s="569">
        <v>250432</v>
      </c>
      <c r="I221" s="537"/>
      <c r="J221" s="537"/>
      <c r="K221" s="537"/>
      <c r="L221" s="537"/>
      <c r="M221" s="537"/>
      <c r="N221" s="537"/>
      <c r="O221" s="167">
        <v>250000</v>
      </c>
      <c r="P221" s="537"/>
      <c r="Q221" s="537"/>
      <c r="R221" s="167">
        <f t="shared" si="42"/>
        <v>250000</v>
      </c>
      <c r="S221" s="558"/>
      <c r="T221" s="167"/>
      <c r="U221" s="167"/>
    </row>
    <row r="222" spans="1:21" s="80" customFormat="1">
      <c r="A222" s="157"/>
      <c r="B222" s="157"/>
      <c r="C222" s="254" t="s">
        <v>219</v>
      </c>
      <c r="D222" s="160"/>
      <c r="E222" s="255" t="s">
        <v>293</v>
      </c>
      <c r="F222" s="633"/>
      <c r="G222" s="633"/>
      <c r="H222" s="569">
        <v>799161</v>
      </c>
      <c r="I222" s="537"/>
      <c r="J222" s="537"/>
      <c r="K222" s="537"/>
      <c r="L222" s="537"/>
      <c r="M222" s="537"/>
      <c r="N222" s="537"/>
      <c r="O222" s="167">
        <v>150000</v>
      </c>
      <c r="P222" s="537"/>
      <c r="Q222" s="537"/>
      <c r="R222" s="167">
        <f t="shared" si="42"/>
        <v>150000</v>
      </c>
      <c r="S222" s="558"/>
      <c r="T222" s="167"/>
      <c r="U222" s="167"/>
    </row>
    <row r="223" spans="1:21" s="80" customFormat="1">
      <c r="A223" s="157"/>
      <c r="B223" s="157"/>
      <c r="C223" s="246" t="s">
        <v>357</v>
      </c>
      <c r="D223" s="160"/>
      <c r="E223" s="226" t="s">
        <v>296</v>
      </c>
      <c r="F223" s="626"/>
      <c r="G223" s="626"/>
      <c r="H223" s="553">
        <v>189500</v>
      </c>
      <c r="I223" s="317"/>
      <c r="J223" s="317"/>
      <c r="K223" s="317"/>
      <c r="L223" s="317"/>
      <c r="M223" s="317"/>
      <c r="N223" s="317"/>
      <c r="O223" s="165"/>
      <c r="P223" s="317"/>
      <c r="Q223" s="317"/>
      <c r="R223" s="165">
        <f t="shared" si="42"/>
        <v>0</v>
      </c>
      <c r="S223" s="553">
        <v>36500</v>
      </c>
      <c r="T223" s="165"/>
      <c r="U223" s="165"/>
    </row>
    <row r="224" spans="1:21" s="80" customFormat="1">
      <c r="A224" s="157"/>
      <c r="B224" s="157"/>
      <c r="C224" s="246" t="s">
        <v>358</v>
      </c>
      <c r="D224" s="160"/>
      <c r="E224" s="226" t="s">
        <v>290</v>
      </c>
      <c r="F224" s="626"/>
      <c r="G224" s="626"/>
      <c r="H224" s="553">
        <v>890000</v>
      </c>
      <c r="I224" s="317"/>
      <c r="J224" s="317"/>
      <c r="K224" s="317"/>
      <c r="L224" s="317"/>
      <c r="M224" s="317"/>
      <c r="N224" s="317"/>
      <c r="O224" s="165"/>
      <c r="P224" s="317"/>
      <c r="Q224" s="317"/>
      <c r="R224" s="165">
        <f t="shared" si="42"/>
        <v>0</v>
      </c>
      <c r="S224" s="553">
        <v>40000</v>
      </c>
      <c r="T224" s="165"/>
      <c r="U224" s="165"/>
    </row>
    <row r="225" spans="1:21" s="80" customFormat="1">
      <c r="A225" s="157"/>
      <c r="B225" s="157"/>
      <c r="C225" s="246" t="s">
        <v>472</v>
      </c>
      <c r="D225" s="160"/>
      <c r="E225" s="226" t="s">
        <v>295</v>
      </c>
      <c r="F225" s="626"/>
      <c r="G225" s="626"/>
      <c r="H225" s="553">
        <v>950000</v>
      </c>
      <c r="I225" s="317"/>
      <c r="J225" s="317"/>
      <c r="K225" s="317"/>
      <c r="L225" s="317"/>
      <c r="M225" s="317"/>
      <c r="N225" s="317"/>
      <c r="O225" s="165"/>
      <c r="P225" s="317"/>
      <c r="Q225" s="317"/>
      <c r="R225" s="165">
        <f t="shared" si="42"/>
        <v>0</v>
      </c>
      <c r="S225" s="553"/>
      <c r="T225" s="165"/>
      <c r="U225" s="165"/>
    </row>
    <row r="226" spans="1:21" s="80" customFormat="1" ht="22.5">
      <c r="A226" s="157"/>
      <c r="B226" s="157"/>
      <c r="C226" s="246" t="s">
        <v>359</v>
      </c>
      <c r="D226" s="160"/>
      <c r="E226" s="226" t="s">
        <v>296</v>
      </c>
      <c r="F226" s="626"/>
      <c r="G226" s="626"/>
      <c r="H226" s="553">
        <v>120000</v>
      </c>
      <c r="I226" s="317"/>
      <c r="J226" s="317"/>
      <c r="K226" s="317"/>
      <c r="L226" s="317"/>
      <c r="M226" s="317"/>
      <c r="N226" s="317"/>
      <c r="O226" s="165"/>
      <c r="P226" s="317"/>
      <c r="Q226" s="317"/>
      <c r="R226" s="165">
        <f t="shared" si="42"/>
        <v>0</v>
      </c>
      <c r="S226" s="553">
        <v>120000</v>
      </c>
      <c r="T226" s="165"/>
      <c r="U226" s="165"/>
    </row>
    <row r="227" spans="1:21" s="80" customFormat="1" ht="33.75">
      <c r="A227" s="157"/>
      <c r="B227" s="157"/>
      <c r="C227" s="246" t="s">
        <v>360</v>
      </c>
      <c r="D227" s="160"/>
      <c r="E227" s="226" t="s">
        <v>296</v>
      </c>
      <c r="F227" s="626"/>
      <c r="G227" s="626"/>
      <c r="H227" s="553">
        <v>400000</v>
      </c>
      <c r="I227" s="317"/>
      <c r="J227" s="317"/>
      <c r="K227" s="317"/>
      <c r="L227" s="317"/>
      <c r="M227" s="317"/>
      <c r="N227" s="317"/>
      <c r="O227" s="165"/>
      <c r="P227" s="317"/>
      <c r="Q227" s="317"/>
      <c r="R227" s="165">
        <f t="shared" si="42"/>
        <v>0</v>
      </c>
      <c r="S227" s="553">
        <v>100000</v>
      </c>
      <c r="T227" s="165"/>
      <c r="U227" s="165"/>
    </row>
    <row r="228" spans="1:21" s="80" customFormat="1" ht="22.5">
      <c r="A228" s="157"/>
      <c r="B228" s="157"/>
      <c r="C228" s="246" t="s">
        <v>361</v>
      </c>
      <c r="D228" s="160"/>
      <c r="E228" s="226" t="s">
        <v>296</v>
      </c>
      <c r="F228" s="626"/>
      <c r="G228" s="626"/>
      <c r="H228" s="553">
        <v>100000</v>
      </c>
      <c r="I228" s="317"/>
      <c r="J228" s="317"/>
      <c r="K228" s="317"/>
      <c r="L228" s="317"/>
      <c r="M228" s="317"/>
      <c r="N228" s="317"/>
      <c r="O228" s="165"/>
      <c r="P228" s="317"/>
      <c r="Q228" s="317"/>
      <c r="R228" s="165">
        <f t="shared" si="42"/>
        <v>0</v>
      </c>
      <c r="S228" s="553">
        <v>40000</v>
      </c>
      <c r="T228" s="165"/>
      <c r="U228" s="165"/>
    </row>
    <row r="229" spans="1:21" s="80" customFormat="1">
      <c r="A229" s="157"/>
      <c r="B229" s="157"/>
      <c r="C229" s="246" t="s">
        <v>362</v>
      </c>
      <c r="D229" s="160"/>
      <c r="E229" s="226" t="s">
        <v>296</v>
      </c>
      <c r="F229" s="626"/>
      <c r="G229" s="626"/>
      <c r="H229" s="553">
        <v>20000</v>
      </c>
      <c r="I229" s="317"/>
      <c r="J229" s="317"/>
      <c r="K229" s="317"/>
      <c r="L229" s="317"/>
      <c r="M229" s="317"/>
      <c r="N229" s="317"/>
      <c r="O229" s="165"/>
      <c r="P229" s="317"/>
      <c r="Q229" s="317"/>
      <c r="R229" s="165">
        <f t="shared" si="42"/>
        <v>0</v>
      </c>
      <c r="S229" s="553"/>
      <c r="T229" s="165"/>
      <c r="U229" s="165"/>
    </row>
    <row r="230" spans="1:21" s="80" customFormat="1" ht="22.5">
      <c r="A230" s="157"/>
      <c r="B230" s="157"/>
      <c r="C230" s="246" t="s">
        <v>363</v>
      </c>
      <c r="D230" s="160"/>
      <c r="E230" s="226" t="s">
        <v>296</v>
      </c>
      <c r="F230" s="626"/>
      <c r="G230" s="626"/>
      <c r="H230" s="553">
        <v>400000</v>
      </c>
      <c r="I230" s="317"/>
      <c r="J230" s="317"/>
      <c r="K230" s="317"/>
      <c r="L230" s="317"/>
      <c r="M230" s="317"/>
      <c r="N230" s="317"/>
      <c r="O230" s="165"/>
      <c r="P230" s="317"/>
      <c r="Q230" s="317"/>
      <c r="R230" s="165">
        <f t="shared" si="42"/>
        <v>0</v>
      </c>
      <c r="S230" s="553">
        <v>100000</v>
      </c>
      <c r="T230" s="165"/>
      <c r="U230" s="165"/>
    </row>
    <row r="231" spans="1:21" s="80" customFormat="1">
      <c r="A231" s="157"/>
      <c r="B231" s="157"/>
      <c r="C231" s="146" t="s">
        <v>249</v>
      </c>
      <c r="D231" s="147" t="s">
        <v>114</v>
      </c>
      <c r="E231" s="208"/>
      <c r="F231" s="608"/>
      <c r="G231" s="608"/>
      <c r="H231" s="549">
        <f>H232+H235</f>
        <v>296950</v>
      </c>
      <c r="I231" s="526"/>
      <c r="J231" s="526"/>
      <c r="K231" s="526"/>
      <c r="L231" s="526"/>
      <c r="M231" s="526"/>
      <c r="N231" s="526"/>
      <c r="O231" s="154">
        <f t="shared" ref="O231" si="44">O232+O235</f>
        <v>21000</v>
      </c>
      <c r="P231" s="526"/>
      <c r="Q231" s="526"/>
      <c r="R231" s="154">
        <f t="shared" si="42"/>
        <v>21000</v>
      </c>
      <c r="S231" s="549">
        <f t="shared" ref="S231" si="45">S232+S235</f>
        <v>70000</v>
      </c>
      <c r="T231" s="154"/>
      <c r="U231" s="154"/>
    </row>
    <row r="232" spans="1:21" s="80" customFormat="1" ht="38.25">
      <c r="A232" s="157"/>
      <c r="B232" s="157"/>
      <c r="C232" s="240" t="s">
        <v>234</v>
      </c>
      <c r="D232" s="148" t="s">
        <v>114</v>
      </c>
      <c r="E232" s="241" t="s">
        <v>296</v>
      </c>
      <c r="F232" s="622" t="s">
        <v>718</v>
      </c>
      <c r="G232" s="622"/>
      <c r="H232" s="568">
        <f>H233+H234</f>
        <v>126950</v>
      </c>
      <c r="I232" s="536"/>
      <c r="J232" s="536"/>
      <c r="K232" s="536"/>
      <c r="L232" s="536"/>
      <c r="M232" s="536"/>
      <c r="N232" s="536"/>
      <c r="O232" s="155">
        <f>O233+O234</f>
        <v>21000</v>
      </c>
      <c r="P232" s="536"/>
      <c r="Q232" s="536"/>
      <c r="R232" s="155">
        <f t="shared" si="42"/>
        <v>21000</v>
      </c>
      <c r="S232" s="568"/>
      <c r="T232" s="155"/>
      <c r="U232" s="155"/>
    </row>
    <row r="233" spans="1:21" s="80" customFormat="1">
      <c r="A233" s="157"/>
      <c r="B233" s="157"/>
      <c r="C233" s="217" t="s">
        <v>111</v>
      </c>
      <c r="D233" s="148" t="s">
        <v>26</v>
      </c>
      <c r="E233" s="216"/>
      <c r="F233" s="611"/>
      <c r="G233" s="611"/>
      <c r="H233" s="568">
        <v>19043</v>
      </c>
      <c r="I233" s="536"/>
      <c r="J233" s="536"/>
      <c r="K233" s="536"/>
      <c r="L233" s="536"/>
      <c r="M233" s="536"/>
      <c r="N233" s="536"/>
      <c r="O233" s="155">
        <v>3150</v>
      </c>
      <c r="P233" s="536"/>
      <c r="Q233" s="536"/>
      <c r="R233" s="155">
        <f t="shared" si="42"/>
        <v>3150</v>
      </c>
      <c r="S233" s="568"/>
      <c r="T233" s="155"/>
      <c r="U233" s="155"/>
    </row>
    <row r="234" spans="1:21" s="80" customFormat="1">
      <c r="A234" s="157"/>
      <c r="B234" s="157"/>
      <c r="C234" s="150"/>
      <c r="D234" s="148" t="s">
        <v>112</v>
      </c>
      <c r="E234" s="216"/>
      <c r="F234" s="311"/>
      <c r="G234" s="311"/>
      <c r="H234" s="568">
        <v>107907</v>
      </c>
      <c r="I234" s="536"/>
      <c r="J234" s="536"/>
      <c r="K234" s="536"/>
      <c r="L234" s="536"/>
      <c r="M234" s="536"/>
      <c r="N234" s="536"/>
      <c r="O234" s="155">
        <v>17850</v>
      </c>
      <c r="P234" s="536"/>
      <c r="Q234" s="536"/>
      <c r="R234" s="155">
        <f t="shared" si="42"/>
        <v>17850</v>
      </c>
      <c r="S234" s="568"/>
      <c r="T234" s="155"/>
      <c r="U234" s="155"/>
    </row>
    <row r="235" spans="1:21" s="80" customFormat="1" ht="38.25">
      <c r="A235" s="157"/>
      <c r="B235" s="157"/>
      <c r="C235" s="194" t="s">
        <v>417</v>
      </c>
      <c r="D235" s="193" t="s">
        <v>114</v>
      </c>
      <c r="E235" s="216"/>
      <c r="F235" s="634" t="s">
        <v>724</v>
      </c>
      <c r="G235" s="634"/>
      <c r="H235" s="570">
        <f>H236+H237</f>
        <v>170000</v>
      </c>
      <c r="I235" s="538"/>
      <c r="J235" s="538"/>
      <c r="K235" s="538"/>
      <c r="L235" s="538"/>
      <c r="M235" s="538"/>
      <c r="N235" s="538"/>
      <c r="O235" s="304"/>
      <c r="P235" s="538"/>
      <c r="Q235" s="538"/>
      <c r="R235" s="304">
        <f t="shared" si="42"/>
        <v>0</v>
      </c>
      <c r="S235" s="570">
        <v>70000</v>
      </c>
      <c r="T235" s="304"/>
      <c r="U235" s="304"/>
    </row>
    <row r="236" spans="1:21" s="80" customFormat="1">
      <c r="A236" s="157"/>
      <c r="B236" s="157"/>
      <c r="C236" s="195" t="s">
        <v>111</v>
      </c>
      <c r="D236" s="193" t="s">
        <v>26</v>
      </c>
      <c r="E236" s="216"/>
      <c r="F236" s="195"/>
      <c r="G236" s="195"/>
      <c r="H236" s="568">
        <v>26520</v>
      </c>
      <c r="I236" s="536"/>
      <c r="J236" s="536"/>
      <c r="K236" s="536"/>
      <c r="L236" s="536"/>
      <c r="M236" s="536"/>
      <c r="N236" s="536"/>
      <c r="O236" s="155"/>
      <c r="P236" s="536"/>
      <c r="Q236" s="536"/>
      <c r="R236" s="155">
        <f t="shared" si="42"/>
        <v>0</v>
      </c>
      <c r="S236" s="568">
        <f t="shared" ref="S236" si="46">S235*0.156</f>
        <v>10920</v>
      </c>
      <c r="T236" s="155"/>
      <c r="U236" s="155"/>
    </row>
    <row r="237" spans="1:21" s="80" customFormat="1">
      <c r="A237" s="157"/>
      <c r="B237" s="157"/>
      <c r="C237" s="303"/>
      <c r="D237" s="193" t="s">
        <v>112</v>
      </c>
      <c r="E237" s="216"/>
      <c r="F237" s="303"/>
      <c r="G237" s="303"/>
      <c r="H237" s="568">
        <v>143480</v>
      </c>
      <c r="I237" s="536"/>
      <c r="J237" s="536"/>
      <c r="K237" s="536"/>
      <c r="L237" s="536"/>
      <c r="M237" s="536"/>
      <c r="N237" s="536"/>
      <c r="O237" s="155"/>
      <c r="P237" s="536"/>
      <c r="Q237" s="536"/>
      <c r="R237" s="155">
        <f t="shared" si="42"/>
        <v>0</v>
      </c>
      <c r="S237" s="568">
        <f t="shared" ref="S237" si="47">S235-S236</f>
        <v>59080</v>
      </c>
      <c r="T237" s="155"/>
      <c r="U237" s="155"/>
    </row>
    <row r="238" spans="1:21" s="80" customFormat="1" ht="13.5" customHeight="1">
      <c r="A238" s="157"/>
      <c r="B238" s="157"/>
      <c r="C238" s="146" t="s">
        <v>247</v>
      </c>
      <c r="D238" s="209" t="s">
        <v>114</v>
      </c>
      <c r="E238" s="208"/>
      <c r="F238" s="608"/>
      <c r="G238" s="608"/>
      <c r="H238" s="549">
        <f>H240+H258+H270+H278+H281+H290+H291+H292+H262+H275</f>
        <v>182445003.11000001</v>
      </c>
      <c r="I238" s="526"/>
      <c r="J238" s="526"/>
      <c r="K238" s="526"/>
      <c r="L238" s="526"/>
      <c r="M238" s="526"/>
      <c r="N238" s="526"/>
      <c r="O238" s="154">
        <f>O240+O258+O270+O278+O281+O290+O291+O292+O262+O275</f>
        <v>53389608</v>
      </c>
      <c r="P238" s="526"/>
      <c r="Q238" s="526"/>
      <c r="R238" s="154">
        <f t="shared" si="42"/>
        <v>53389608</v>
      </c>
      <c r="S238" s="549">
        <f>S240+S258+S270+S278+S281+S290+S291+S292+S262+S275</f>
        <v>41797764</v>
      </c>
      <c r="T238" s="154"/>
      <c r="U238" s="154"/>
    </row>
    <row r="239" spans="1:21" s="80" customFormat="1">
      <c r="A239" s="157"/>
      <c r="B239" s="157"/>
      <c r="C239" s="256" t="s">
        <v>437</v>
      </c>
      <c r="D239" s="258"/>
      <c r="E239" s="257"/>
      <c r="F239" s="635" t="s">
        <v>723</v>
      </c>
      <c r="G239" s="635"/>
      <c r="H239" s="571">
        <f>H240+H258</f>
        <v>161168497.11000001</v>
      </c>
      <c r="I239" s="539"/>
      <c r="J239" s="539"/>
      <c r="K239" s="539"/>
      <c r="L239" s="539"/>
      <c r="M239" s="539"/>
      <c r="N239" s="539"/>
      <c r="O239" s="259">
        <f>O240+O258</f>
        <v>48613907</v>
      </c>
      <c r="P239" s="539"/>
      <c r="Q239" s="539"/>
      <c r="R239" s="259">
        <f t="shared" si="42"/>
        <v>48613907</v>
      </c>
      <c r="S239" s="571">
        <f>S240+S258</f>
        <v>33610755</v>
      </c>
      <c r="T239" s="259"/>
      <c r="U239" s="259"/>
    </row>
    <row r="240" spans="1:21" s="80" customFormat="1">
      <c r="A240" s="157"/>
      <c r="B240" s="157"/>
      <c r="C240" s="338" t="s">
        <v>436</v>
      </c>
      <c r="D240" s="258" t="s">
        <v>114</v>
      </c>
      <c r="E240" s="257"/>
      <c r="F240" s="636"/>
      <c r="G240" s="636"/>
      <c r="H240" s="571">
        <f>H241+H242+H243</f>
        <v>84642343.109999999</v>
      </c>
      <c r="I240" s="539"/>
      <c r="J240" s="539"/>
      <c r="K240" s="539"/>
      <c r="L240" s="539"/>
      <c r="M240" s="539"/>
      <c r="N240" s="539"/>
      <c r="O240" s="259">
        <f t="shared" ref="O240" si="48">O241+O242+O243</f>
        <v>27353907</v>
      </c>
      <c r="P240" s="539"/>
      <c r="Q240" s="539"/>
      <c r="R240" s="259">
        <f t="shared" si="42"/>
        <v>27353907</v>
      </c>
      <c r="S240" s="571">
        <f t="shared" ref="S240" si="49">S241+S242+S243</f>
        <v>14474941</v>
      </c>
      <c r="T240" s="259"/>
      <c r="U240" s="259"/>
    </row>
    <row r="241" spans="1:21" s="80" customFormat="1">
      <c r="A241" s="157"/>
      <c r="B241" s="157"/>
      <c r="C241" s="237" t="s">
        <v>111</v>
      </c>
      <c r="D241" s="160" t="s">
        <v>26</v>
      </c>
      <c r="E241" s="216"/>
      <c r="F241" s="613"/>
      <c r="G241" s="613"/>
      <c r="H241" s="563">
        <f>H244+H246+H249+H256+H253</f>
        <v>25401577</v>
      </c>
      <c r="I241" s="532"/>
      <c r="J241" s="532"/>
      <c r="K241" s="532"/>
      <c r="L241" s="532"/>
      <c r="M241" s="532"/>
      <c r="N241" s="532"/>
      <c r="O241" s="152">
        <f>O244+O246+O249+O256+O253</f>
        <v>3701455</v>
      </c>
      <c r="P241" s="532"/>
      <c r="Q241" s="532"/>
      <c r="R241" s="152">
        <f t="shared" si="42"/>
        <v>3701455</v>
      </c>
      <c r="S241" s="563">
        <f>S244+S246+S249+S256+S253</f>
        <v>2235026</v>
      </c>
      <c r="T241" s="152"/>
      <c r="U241" s="152"/>
    </row>
    <row r="242" spans="1:21" s="80" customFormat="1">
      <c r="A242" s="157"/>
      <c r="B242" s="157"/>
      <c r="C242" s="237"/>
      <c r="D242" s="160" t="s">
        <v>135</v>
      </c>
      <c r="E242" s="216"/>
      <c r="F242" s="613"/>
      <c r="G242" s="613"/>
      <c r="H242" s="563">
        <f>H250</f>
        <v>2850096</v>
      </c>
      <c r="I242" s="532"/>
      <c r="J242" s="532"/>
      <c r="K242" s="532"/>
      <c r="L242" s="532"/>
      <c r="M242" s="532"/>
      <c r="N242" s="532"/>
      <c r="O242" s="152">
        <f>O250</f>
        <v>1513854</v>
      </c>
      <c r="P242" s="532"/>
      <c r="Q242" s="532"/>
      <c r="R242" s="152">
        <f t="shared" si="42"/>
        <v>1513854</v>
      </c>
      <c r="S242" s="563">
        <f>S250</f>
        <v>819402</v>
      </c>
      <c r="T242" s="152"/>
      <c r="U242" s="152"/>
    </row>
    <row r="243" spans="1:21" s="80" customFormat="1">
      <c r="A243" s="157"/>
      <c r="B243" s="157"/>
      <c r="C243" s="237"/>
      <c r="D243" s="160" t="s">
        <v>112</v>
      </c>
      <c r="E243" s="216"/>
      <c r="F243" s="613"/>
      <c r="G243" s="613"/>
      <c r="H243" s="563">
        <f>H247+H251+H257+H254</f>
        <v>56390670.109999999</v>
      </c>
      <c r="I243" s="532"/>
      <c r="J243" s="532"/>
      <c r="K243" s="532"/>
      <c r="L243" s="532"/>
      <c r="M243" s="532"/>
      <c r="N243" s="532"/>
      <c r="O243" s="152">
        <f>O247+O251+O257+O254</f>
        <v>22138598</v>
      </c>
      <c r="P243" s="532"/>
      <c r="Q243" s="532"/>
      <c r="R243" s="152">
        <f t="shared" si="42"/>
        <v>22138598</v>
      </c>
      <c r="S243" s="563">
        <f>S247+S251+S257+S254</f>
        <v>11420513</v>
      </c>
      <c r="T243" s="152"/>
      <c r="U243" s="152"/>
    </row>
    <row r="244" spans="1:21" s="80" customFormat="1">
      <c r="A244" s="157"/>
      <c r="B244" s="157"/>
      <c r="C244" s="215" t="s">
        <v>364</v>
      </c>
      <c r="D244" s="160" t="s">
        <v>26</v>
      </c>
      <c r="E244" s="214"/>
      <c r="F244" s="609"/>
      <c r="G244" s="609"/>
      <c r="H244" s="558">
        <v>2838253</v>
      </c>
      <c r="I244" s="328"/>
      <c r="J244" s="328"/>
      <c r="K244" s="328"/>
      <c r="L244" s="328"/>
      <c r="M244" s="328"/>
      <c r="N244" s="328"/>
      <c r="O244" s="152"/>
      <c r="P244" s="532"/>
      <c r="Q244" s="328"/>
      <c r="R244" s="152">
        <f t="shared" si="42"/>
        <v>0</v>
      </c>
      <c r="S244" s="563"/>
      <c r="T244" s="152"/>
      <c r="U244" s="152"/>
    </row>
    <row r="245" spans="1:21" s="80" customFormat="1" ht="22.5">
      <c r="A245" s="157"/>
      <c r="B245" s="157"/>
      <c r="C245" s="162" t="s">
        <v>365</v>
      </c>
      <c r="D245" s="160" t="s">
        <v>114</v>
      </c>
      <c r="E245" s="214" t="s">
        <v>295</v>
      </c>
      <c r="F245" s="610"/>
      <c r="G245" s="610"/>
      <c r="H245" s="553">
        <f t="shared" ref="H245:S245" si="50">H246+H247</f>
        <v>21814800</v>
      </c>
      <c r="I245" s="317"/>
      <c r="J245" s="317"/>
      <c r="K245" s="317"/>
      <c r="L245" s="317"/>
      <c r="M245" s="317"/>
      <c r="N245" s="317"/>
      <c r="O245" s="165">
        <f t="shared" ref="O245" si="51">O246+O247</f>
        <v>10134800</v>
      </c>
      <c r="P245" s="317"/>
      <c r="Q245" s="317"/>
      <c r="R245" s="165">
        <f t="shared" si="42"/>
        <v>10134800</v>
      </c>
      <c r="S245" s="553">
        <f t="shared" si="50"/>
        <v>0</v>
      </c>
      <c r="T245" s="165"/>
      <c r="U245" s="165"/>
    </row>
    <row r="246" spans="1:21" s="80" customFormat="1">
      <c r="A246" s="157"/>
      <c r="B246" s="157"/>
      <c r="C246" s="162" t="s">
        <v>111</v>
      </c>
      <c r="D246" s="160" t="s">
        <v>26</v>
      </c>
      <c r="E246" s="214"/>
      <c r="F246" s="610"/>
      <c r="G246" s="610"/>
      <c r="H246" s="553">
        <v>4045380</v>
      </c>
      <c r="I246" s="317"/>
      <c r="J246" s="317"/>
      <c r="K246" s="317"/>
      <c r="L246" s="317"/>
      <c r="M246" s="317"/>
      <c r="N246" s="317"/>
      <c r="O246" s="165">
        <v>1976775</v>
      </c>
      <c r="P246" s="317"/>
      <c r="Q246" s="317"/>
      <c r="R246" s="165">
        <f t="shared" si="42"/>
        <v>1976775</v>
      </c>
      <c r="S246" s="553"/>
      <c r="T246" s="165"/>
      <c r="U246" s="165"/>
    </row>
    <row r="247" spans="1:21" s="80" customFormat="1">
      <c r="A247" s="157"/>
      <c r="B247" s="157"/>
      <c r="C247" s="162"/>
      <c r="D247" s="160" t="s">
        <v>112</v>
      </c>
      <c r="E247" s="214"/>
      <c r="F247" s="610"/>
      <c r="G247" s="610"/>
      <c r="H247" s="553">
        <v>17769420</v>
      </c>
      <c r="I247" s="317"/>
      <c r="J247" s="317"/>
      <c r="K247" s="317"/>
      <c r="L247" s="317"/>
      <c r="M247" s="317"/>
      <c r="N247" s="317"/>
      <c r="O247" s="165">
        <v>8158025</v>
      </c>
      <c r="P247" s="317"/>
      <c r="Q247" s="317"/>
      <c r="R247" s="165">
        <f t="shared" si="42"/>
        <v>8158025</v>
      </c>
      <c r="S247" s="553"/>
      <c r="T247" s="165"/>
      <c r="U247" s="165"/>
    </row>
    <row r="248" spans="1:21" s="80" customFormat="1">
      <c r="A248" s="157"/>
      <c r="B248" s="157"/>
      <c r="C248" s="162" t="s">
        <v>172</v>
      </c>
      <c r="D248" s="160" t="s">
        <v>114</v>
      </c>
      <c r="E248" s="214" t="s">
        <v>285</v>
      </c>
      <c r="F248" s="610"/>
      <c r="G248" s="610"/>
      <c r="H248" s="553">
        <f>H249+H250+H251</f>
        <v>40950172</v>
      </c>
      <c r="I248" s="317"/>
      <c r="J248" s="317"/>
      <c r="K248" s="317"/>
      <c r="L248" s="317"/>
      <c r="M248" s="317"/>
      <c r="N248" s="317"/>
      <c r="O248" s="165">
        <f>SUM(O249:O251)</f>
        <v>14196532</v>
      </c>
      <c r="P248" s="317"/>
      <c r="Q248" s="317"/>
      <c r="R248" s="165">
        <f t="shared" si="42"/>
        <v>14196532</v>
      </c>
      <c r="S248" s="553">
        <f>S249+S250+S251</f>
        <v>9021941</v>
      </c>
      <c r="T248" s="165"/>
      <c r="U248" s="165"/>
    </row>
    <row r="249" spans="1:21" s="80" customFormat="1">
      <c r="A249" s="157"/>
      <c r="B249" s="157"/>
      <c r="C249" s="162" t="s">
        <v>111</v>
      </c>
      <c r="D249" s="160" t="s">
        <v>26</v>
      </c>
      <c r="E249" s="214"/>
      <c r="F249" s="610"/>
      <c r="G249" s="610"/>
      <c r="H249" s="553">
        <v>13874260</v>
      </c>
      <c r="I249" s="317"/>
      <c r="J249" s="317"/>
      <c r="K249" s="317"/>
      <c r="L249" s="317"/>
      <c r="M249" s="317"/>
      <c r="N249" s="317"/>
      <c r="O249" s="165">
        <v>983314</v>
      </c>
      <c r="P249" s="317"/>
      <c r="Q249" s="317"/>
      <c r="R249" s="165">
        <f t="shared" si="42"/>
        <v>983314</v>
      </c>
      <c r="S249" s="553">
        <v>685926</v>
      </c>
      <c r="T249" s="165"/>
      <c r="U249" s="165"/>
    </row>
    <row r="250" spans="1:21" s="80" customFormat="1">
      <c r="A250" s="157"/>
      <c r="B250" s="157"/>
      <c r="C250" s="162"/>
      <c r="D250" s="160" t="s">
        <v>135</v>
      </c>
      <c r="E250" s="214"/>
      <c r="F250" s="610"/>
      <c r="G250" s="610"/>
      <c r="H250" s="553">
        <v>2850096</v>
      </c>
      <c r="I250" s="317"/>
      <c r="J250" s="317"/>
      <c r="K250" s="317"/>
      <c r="L250" s="317"/>
      <c r="M250" s="317"/>
      <c r="N250" s="317"/>
      <c r="O250" s="165">
        <v>1513854</v>
      </c>
      <c r="P250" s="317"/>
      <c r="Q250" s="317"/>
      <c r="R250" s="165">
        <f t="shared" si="42"/>
        <v>1513854</v>
      </c>
      <c r="S250" s="553">
        <v>819402</v>
      </c>
      <c r="T250" s="165"/>
      <c r="U250" s="165"/>
    </row>
    <row r="251" spans="1:21" s="80" customFormat="1" ht="78.75" customHeight="1">
      <c r="A251" s="157"/>
      <c r="B251" s="157"/>
      <c r="C251" s="162"/>
      <c r="D251" s="160" t="s">
        <v>112</v>
      </c>
      <c r="E251" s="214"/>
      <c r="F251" s="610"/>
      <c r="G251" s="610"/>
      <c r="H251" s="553">
        <v>24225816</v>
      </c>
      <c r="I251" s="317"/>
      <c r="J251" s="317"/>
      <c r="K251" s="317"/>
      <c r="L251" s="317"/>
      <c r="M251" s="317"/>
      <c r="N251" s="317"/>
      <c r="O251" s="165">
        <v>11699364</v>
      </c>
      <c r="P251" s="317"/>
      <c r="Q251" s="317"/>
      <c r="R251" s="165">
        <f t="shared" si="42"/>
        <v>11699364</v>
      </c>
      <c r="S251" s="553">
        <v>7516613</v>
      </c>
      <c r="T251" s="165"/>
      <c r="U251" s="165"/>
    </row>
    <row r="252" spans="1:21" s="80" customFormat="1">
      <c r="A252" s="157"/>
      <c r="B252" s="157"/>
      <c r="C252" s="162" t="s">
        <v>175</v>
      </c>
      <c r="D252" s="160" t="s">
        <v>114</v>
      </c>
      <c r="E252" s="214" t="s">
        <v>285</v>
      </c>
      <c r="F252" s="610"/>
      <c r="G252" s="610"/>
      <c r="H252" s="553">
        <f>H253+H254</f>
        <v>7651200</v>
      </c>
      <c r="I252" s="317"/>
      <c r="J252" s="317"/>
      <c r="K252" s="317"/>
      <c r="L252" s="317"/>
      <c r="M252" s="317"/>
      <c r="N252" s="317"/>
      <c r="O252" s="165">
        <f>SUM(O253:O254)</f>
        <v>1722600</v>
      </c>
      <c r="P252" s="317"/>
      <c r="Q252" s="317"/>
      <c r="R252" s="165">
        <f t="shared" si="42"/>
        <v>1722600</v>
      </c>
      <c r="S252" s="553">
        <f>S253+S254</f>
        <v>760800</v>
      </c>
      <c r="T252" s="165"/>
      <c r="U252" s="165"/>
    </row>
    <row r="253" spans="1:21" s="80" customFormat="1">
      <c r="A253" s="157"/>
      <c r="B253" s="157"/>
      <c r="C253" s="162" t="s">
        <v>111</v>
      </c>
      <c r="D253" s="160" t="s">
        <v>26</v>
      </c>
      <c r="E253" s="214"/>
      <c r="F253" s="610"/>
      <c r="G253" s="610"/>
      <c r="H253" s="553">
        <v>1909365</v>
      </c>
      <c r="I253" s="317"/>
      <c r="J253" s="317"/>
      <c r="K253" s="317"/>
      <c r="L253" s="317"/>
      <c r="M253" s="317"/>
      <c r="N253" s="317"/>
      <c r="O253" s="165">
        <v>287141</v>
      </c>
      <c r="P253" s="317"/>
      <c r="Q253" s="317"/>
      <c r="R253" s="165">
        <f t="shared" si="42"/>
        <v>287141</v>
      </c>
      <c r="S253" s="553">
        <v>760800</v>
      </c>
      <c r="T253" s="165"/>
      <c r="U253" s="165"/>
    </row>
    <row r="254" spans="1:21" s="80" customFormat="1" ht="27" customHeight="1">
      <c r="A254" s="157"/>
      <c r="B254" s="157"/>
      <c r="C254" s="162"/>
      <c r="D254" s="160" t="s">
        <v>112</v>
      </c>
      <c r="E254" s="214"/>
      <c r="F254" s="610"/>
      <c r="G254" s="610"/>
      <c r="H254" s="553">
        <v>5741835</v>
      </c>
      <c r="I254" s="317"/>
      <c r="J254" s="317"/>
      <c r="K254" s="317"/>
      <c r="L254" s="317"/>
      <c r="M254" s="317"/>
      <c r="N254" s="317"/>
      <c r="O254" s="165">
        <v>1435459</v>
      </c>
      <c r="P254" s="317"/>
      <c r="Q254" s="317"/>
      <c r="R254" s="165">
        <f t="shared" si="42"/>
        <v>1435459</v>
      </c>
      <c r="S254" s="553"/>
      <c r="T254" s="165"/>
      <c r="U254" s="165"/>
    </row>
    <row r="255" spans="1:21" s="80" customFormat="1" ht="22.5">
      <c r="A255" s="157"/>
      <c r="B255" s="157"/>
      <c r="C255" s="162" t="s">
        <v>366</v>
      </c>
      <c r="D255" s="160" t="s">
        <v>114</v>
      </c>
      <c r="E255" s="214" t="s">
        <v>285</v>
      </c>
      <c r="F255" s="610"/>
      <c r="G255" s="610"/>
      <c r="H255" s="553">
        <f>H256+H257</f>
        <v>11387918.109999999</v>
      </c>
      <c r="I255" s="317"/>
      <c r="J255" s="317"/>
      <c r="K255" s="317"/>
      <c r="L255" s="317"/>
      <c r="M255" s="317"/>
      <c r="N255" s="317"/>
      <c r="O255" s="165">
        <f>O256+O257</f>
        <v>1299975</v>
      </c>
      <c r="P255" s="317"/>
      <c r="Q255" s="317"/>
      <c r="R255" s="165">
        <f t="shared" si="42"/>
        <v>1299975</v>
      </c>
      <c r="S255" s="553">
        <f>S256+S257</f>
        <v>4692200</v>
      </c>
      <c r="T255" s="165"/>
      <c r="U255" s="165"/>
    </row>
    <row r="256" spans="1:21" s="80" customFormat="1">
      <c r="A256" s="157"/>
      <c r="B256" s="157"/>
      <c r="C256" s="162" t="s">
        <v>111</v>
      </c>
      <c r="D256" s="160" t="s">
        <v>26</v>
      </c>
      <c r="E256" s="214"/>
      <c r="F256" s="610"/>
      <c r="G256" s="610"/>
      <c r="H256" s="553">
        <v>2734319</v>
      </c>
      <c r="I256" s="317"/>
      <c r="J256" s="317"/>
      <c r="K256" s="317"/>
      <c r="L256" s="317"/>
      <c r="M256" s="317"/>
      <c r="N256" s="317"/>
      <c r="O256" s="165">
        <v>454225</v>
      </c>
      <c r="P256" s="317"/>
      <c r="Q256" s="317"/>
      <c r="R256" s="165">
        <f t="shared" si="42"/>
        <v>454225</v>
      </c>
      <c r="S256" s="553">
        <v>788300</v>
      </c>
      <c r="T256" s="165"/>
      <c r="U256" s="165"/>
    </row>
    <row r="257" spans="1:21" s="80" customFormat="1">
      <c r="A257" s="157"/>
      <c r="B257" s="157"/>
      <c r="C257" s="162"/>
      <c r="D257" s="160" t="s">
        <v>112</v>
      </c>
      <c r="E257" s="214"/>
      <c r="F257" s="610"/>
      <c r="G257" s="610"/>
      <c r="H257" s="553">
        <v>8653599.1099999994</v>
      </c>
      <c r="I257" s="317"/>
      <c r="J257" s="317"/>
      <c r="K257" s="317"/>
      <c r="L257" s="317"/>
      <c r="M257" s="317"/>
      <c r="N257" s="317"/>
      <c r="O257" s="165">
        <v>845750</v>
      </c>
      <c r="P257" s="317"/>
      <c r="Q257" s="317"/>
      <c r="R257" s="165">
        <f t="shared" si="42"/>
        <v>845750</v>
      </c>
      <c r="S257" s="553">
        <v>3903900</v>
      </c>
      <c r="T257" s="165"/>
      <c r="U257" s="165"/>
    </row>
    <row r="258" spans="1:21" s="80" customFormat="1">
      <c r="A258" s="157"/>
      <c r="B258" s="157"/>
      <c r="C258" s="338" t="s">
        <v>438</v>
      </c>
      <c r="D258" s="258" t="s">
        <v>114</v>
      </c>
      <c r="E258" s="257" t="s">
        <v>296</v>
      </c>
      <c r="F258" s="636"/>
      <c r="G258" s="636"/>
      <c r="H258" s="572">
        <f>H259+H260</f>
        <v>76526154</v>
      </c>
      <c r="I258" s="334"/>
      <c r="J258" s="334"/>
      <c r="K258" s="334"/>
      <c r="L258" s="334"/>
      <c r="M258" s="334"/>
      <c r="N258" s="334"/>
      <c r="O258" s="260">
        <v>21260000</v>
      </c>
      <c r="P258" s="334"/>
      <c r="Q258" s="334"/>
      <c r="R258" s="260">
        <f t="shared" si="42"/>
        <v>21260000</v>
      </c>
      <c r="S258" s="572">
        <f>24458000-13369950+9937009-2500000+64815+170000+200000+192000-16060</f>
        <v>19135814</v>
      </c>
      <c r="T258" s="260"/>
      <c r="U258" s="260"/>
    </row>
    <row r="259" spans="1:21" s="80" customFormat="1">
      <c r="A259" s="157"/>
      <c r="B259" s="157"/>
      <c r="C259" s="237" t="s">
        <v>111</v>
      </c>
      <c r="D259" s="160" t="s">
        <v>26</v>
      </c>
      <c r="E259" s="216"/>
      <c r="F259" s="613"/>
      <c r="G259" s="613"/>
      <c r="H259" s="572">
        <v>62823294</v>
      </c>
      <c r="I259" s="334"/>
      <c r="J259" s="334"/>
      <c r="K259" s="334"/>
      <c r="L259" s="334"/>
      <c r="M259" s="334"/>
      <c r="N259" s="334"/>
      <c r="O259" s="153">
        <f t="shared" ref="O259" si="52">O258-O260</f>
        <v>17834285</v>
      </c>
      <c r="P259" s="313"/>
      <c r="Q259" s="334"/>
      <c r="R259" s="153">
        <f t="shared" si="42"/>
        <v>17834285</v>
      </c>
      <c r="S259" s="551">
        <f t="shared" ref="S259" si="53">S258-S260</f>
        <v>15710099</v>
      </c>
      <c r="T259" s="153"/>
      <c r="U259" s="153"/>
    </row>
    <row r="260" spans="1:21" s="80" customFormat="1">
      <c r="A260" s="157"/>
      <c r="B260" s="157"/>
      <c r="C260" s="238"/>
      <c r="D260" s="160" t="s">
        <v>27</v>
      </c>
      <c r="E260" s="261"/>
      <c r="F260" s="637"/>
      <c r="G260" s="637"/>
      <c r="H260" s="572">
        <v>13702860</v>
      </c>
      <c r="I260" s="334"/>
      <c r="J260" s="334"/>
      <c r="K260" s="334"/>
      <c r="L260" s="334"/>
      <c r="M260" s="334"/>
      <c r="N260" s="334"/>
      <c r="O260" s="153">
        <v>3425715</v>
      </c>
      <c r="P260" s="313"/>
      <c r="Q260" s="334"/>
      <c r="R260" s="153">
        <f t="shared" si="42"/>
        <v>3425715</v>
      </c>
      <c r="S260" s="551">
        <v>3425715</v>
      </c>
      <c r="T260" s="153"/>
      <c r="U260" s="153"/>
    </row>
    <row r="261" spans="1:21" s="80" customFormat="1">
      <c r="A261" s="157"/>
      <c r="B261" s="157"/>
      <c r="C261" s="256" t="s">
        <v>439</v>
      </c>
      <c r="D261" s="314"/>
      <c r="E261" s="333"/>
      <c r="F261" s="635" t="s">
        <v>723</v>
      </c>
      <c r="G261" s="635"/>
      <c r="H261" s="573">
        <f>H262+H270</f>
        <v>12323506</v>
      </c>
      <c r="I261" s="334"/>
      <c r="J261" s="334"/>
      <c r="K261" s="334"/>
      <c r="L261" s="334"/>
      <c r="M261" s="334"/>
      <c r="N261" s="334"/>
      <c r="O261" s="334">
        <f t="shared" ref="O261" si="54">O262+O270</f>
        <v>2145301</v>
      </c>
      <c r="P261" s="334"/>
      <c r="Q261" s="334"/>
      <c r="R261" s="334">
        <f t="shared" ref="R261:R306" si="55">SUM(O261:Q261)</f>
        <v>2145301</v>
      </c>
      <c r="S261" s="573">
        <f t="shared" ref="S261" si="56">S262+S270</f>
        <v>4481209</v>
      </c>
      <c r="T261" s="334"/>
      <c r="U261" s="334"/>
    </row>
    <row r="262" spans="1:21" s="80" customFormat="1">
      <c r="A262" s="157"/>
      <c r="B262" s="157"/>
      <c r="C262" s="338" t="s">
        <v>436</v>
      </c>
      <c r="D262" s="258" t="s">
        <v>114</v>
      </c>
      <c r="E262" s="257"/>
      <c r="F262" s="636"/>
      <c r="G262" s="636"/>
      <c r="H262" s="571">
        <f t="shared" ref="H262" si="57">H263+H264</f>
        <v>8373506</v>
      </c>
      <c r="I262" s="539"/>
      <c r="J262" s="539"/>
      <c r="K262" s="539"/>
      <c r="L262" s="539"/>
      <c r="M262" s="539"/>
      <c r="N262" s="539"/>
      <c r="O262" s="259">
        <f t="shared" ref="O262" si="58">O263+O264</f>
        <v>1195301</v>
      </c>
      <c r="P262" s="539"/>
      <c r="Q262" s="539"/>
      <c r="R262" s="259">
        <f t="shared" si="55"/>
        <v>1195301</v>
      </c>
      <c r="S262" s="571">
        <f>SUM(S265:S269)</f>
        <v>3481209</v>
      </c>
      <c r="T262" s="259"/>
      <c r="U262" s="259"/>
    </row>
    <row r="263" spans="1:21" s="80" customFormat="1">
      <c r="A263" s="157"/>
      <c r="B263" s="157"/>
      <c r="C263" s="237" t="s">
        <v>111</v>
      </c>
      <c r="D263" s="160" t="s">
        <v>26</v>
      </c>
      <c r="E263" s="216"/>
      <c r="F263" s="613"/>
      <c r="G263" s="613"/>
      <c r="H263" s="563">
        <v>1369507</v>
      </c>
      <c r="I263" s="532"/>
      <c r="J263" s="532"/>
      <c r="K263" s="532"/>
      <c r="L263" s="532"/>
      <c r="M263" s="532"/>
      <c r="N263" s="532"/>
      <c r="O263" s="152">
        <v>188998</v>
      </c>
      <c r="P263" s="532"/>
      <c r="Q263" s="532"/>
      <c r="R263" s="152">
        <f t="shared" si="55"/>
        <v>188998</v>
      </c>
      <c r="S263" s="563">
        <v>553735</v>
      </c>
      <c r="T263" s="152"/>
      <c r="U263" s="152"/>
    </row>
    <row r="264" spans="1:21" s="80" customFormat="1">
      <c r="A264" s="157"/>
      <c r="B264" s="157"/>
      <c r="C264" s="237"/>
      <c r="D264" s="160" t="s">
        <v>112</v>
      </c>
      <c r="E264" s="216"/>
      <c r="F264" s="613"/>
      <c r="G264" s="613"/>
      <c r="H264" s="563">
        <v>7003999</v>
      </c>
      <c r="I264" s="532"/>
      <c r="J264" s="532"/>
      <c r="K264" s="532"/>
      <c r="L264" s="532"/>
      <c r="M264" s="532"/>
      <c r="N264" s="532"/>
      <c r="O264" s="152">
        <v>1006303</v>
      </c>
      <c r="P264" s="532"/>
      <c r="Q264" s="532"/>
      <c r="R264" s="152">
        <f t="shared" si="55"/>
        <v>1006303</v>
      </c>
      <c r="S264" s="563">
        <v>2927474</v>
      </c>
      <c r="T264" s="152"/>
      <c r="U264" s="152"/>
    </row>
    <row r="265" spans="1:21" s="80" customFormat="1">
      <c r="A265" s="157"/>
      <c r="B265" s="157"/>
      <c r="C265" s="162" t="s">
        <v>367</v>
      </c>
      <c r="D265" s="160" t="s">
        <v>114</v>
      </c>
      <c r="E265" s="214" t="s">
        <v>287</v>
      </c>
      <c r="F265" s="610"/>
      <c r="G265" s="610"/>
      <c r="H265" s="574">
        <v>783827</v>
      </c>
      <c r="I265" s="540"/>
      <c r="J265" s="540"/>
      <c r="K265" s="540"/>
      <c r="L265" s="540"/>
      <c r="M265" s="540"/>
      <c r="N265" s="540"/>
      <c r="O265" s="172">
        <v>506870</v>
      </c>
      <c r="P265" s="540"/>
      <c r="Q265" s="540"/>
      <c r="R265" s="172">
        <f t="shared" si="55"/>
        <v>506870</v>
      </c>
      <c r="S265" s="574">
        <v>253440</v>
      </c>
      <c r="T265" s="172"/>
      <c r="U265" s="172"/>
    </row>
    <row r="266" spans="1:21" s="80" customFormat="1" ht="22.5">
      <c r="A266" s="157"/>
      <c r="B266" s="157"/>
      <c r="C266" s="162" t="s">
        <v>177</v>
      </c>
      <c r="D266" s="160" t="s">
        <v>114</v>
      </c>
      <c r="E266" s="214" t="s">
        <v>285</v>
      </c>
      <c r="F266" s="610"/>
      <c r="G266" s="610"/>
      <c r="H266" s="574">
        <v>914534</v>
      </c>
      <c r="I266" s="540"/>
      <c r="J266" s="540"/>
      <c r="K266" s="540"/>
      <c r="L266" s="540"/>
      <c r="M266" s="540"/>
      <c r="N266" s="540"/>
      <c r="O266" s="172">
        <v>292376</v>
      </c>
      <c r="P266" s="540"/>
      <c r="Q266" s="540"/>
      <c r="R266" s="172">
        <f t="shared" si="55"/>
        <v>292376</v>
      </c>
      <c r="S266" s="574"/>
      <c r="T266" s="172"/>
      <c r="U266" s="172"/>
    </row>
    <row r="267" spans="1:21" s="80" customFormat="1" ht="22.5">
      <c r="A267" s="157"/>
      <c r="B267" s="157"/>
      <c r="C267" s="162" t="s">
        <v>176</v>
      </c>
      <c r="D267" s="160" t="s">
        <v>114</v>
      </c>
      <c r="E267" s="214" t="s">
        <v>368</v>
      </c>
      <c r="F267" s="610"/>
      <c r="G267" s="610"/>
      <c r="H267" s="574">
        <v>1464927</v>
      </c>
      <c r="I267" s="540"/>
      <c r="J267" s="540"/>
      <c r="K267" s="540"/>
      <c r="L267" s="540"/>
      <c r="M267" s="540"/>
      <c r="N267" s="540"/>
      <c r="O267" s="172">
        <v>146507</v>
      </c>
      <c r="P267" s="540"/>
      <c r="Q267" s="540"/>
      <c r="R267" s="172">
        <f t="shared" si="55"/>
        <v>146507</v>
      </c>
      <c r="S267" s="574">
        <v>732449</v>
      </c>
      <c r="T267" s="172"/>
      <c r="U267" s="172"/>
    </row>
    <row r="268" spans="1:21" s="80" customFormat="1">
      <c r="A268" s="157"/>
      <c r="B268" s="157"/>
      <c r="C268" s="162" t="s">
        <v>369</v>
      </c>
      <c r="D268" s="160" t="s">
        <v>114</v>
      </c>
      <c r="E268" s="214" t="s">
        <v>370</v>
      </c>
      <c r="F268" s="610"/>
      <c r="G268" s="610"/>
      <c r="H268" s="574">
        <v>3014718</v>
      </c>
      <c r="I268" s="540"/>
      <c r="J268" s="540"/>
      <c r="K268" s="540"/>
      <c r="L268" s="540"/>
      <c r="M268" s="540"/>
      <c r="N268" s="540"/>
      <c r="O268" s="172">
        <v>150750</v>
      </c>
      <c r="P268" s="540"/>
      <c r="Q268" s="540"/>
      <c r="R268" s="172">
        <f t="shared" si="55"/>
        <v>150750</v>
      </c>
      <c r="S268" s="574">
        <v>1507345</v>
      </c>
      <c r="T268" s="172"/>
      <c r="U268" s="172"/>
    </row>
    <row r="269" spans="1:21" s="80" customFormat="1">
      <c r="A269" s="157"/>
      <c r="B269" s="157"/>
      <c r="C269" s="162" t="s">
        <v>178</v>
      </c>
      <c r="D269" s="160" t="s">
        <v>114</v>
      </c>
      <c r="E269" s="214" t="s">
        <v>299</v>
      </c>
      <c r="F269" s="610"/>
      <c r="G269" s="610"/>
      <c r="H269" s="553">
        <v>2195500</v>
      </c>
      <c r="I269" s="317"/>
      <c r="J269" s="317"/>
      <c r="K269" s="317"/>
      <c r="L269" s="317"/>
      <c r="M269" s="317"/>
      <c r="N269" s="317"/>
      <c r="O269" s="165">
        <v>98798</v>
      </c>
      <c r="P269" s="317"/>
      <c r="Q269" s="317"/>
      <c r="R269" s="165">
        <f t="shared" si="55"/>
        <v>98798</v>
      </c>
      <c r="S269" s="553">
        <v>987975</v>
      </c>
      <c r="T269" s="165"/>
      <c r="U269" s="165"/>
    </row>
    <row r="270" spans="1:21" s="80" customFormat="1">
      <c r="A270" s="157"/>
      <c r="B270" s="157"/>
      <c r="C270" s="337" t="s">
        <v>438</v>
      </c>
      <c r="D270" s="160" t="s">
        <v>26</v>
      </c>
      <c r="E270" s="216" t="s">
        <v>296</v>
      </c>
      <c r="F270" s="638"/>
      <c r="G270" s="638"/>
      <c r="H270" s="551">
        <v>3950000</v>
      </c>
      <c r="I270" s="313"/>
      <c r="J270" s="313"/>
      <c r="K270" s="313"/>
      <c r="L270" s="313"/>
      <c r="M270" s="313"/>
      <c r="N270" s="313"/>
      <c r="O270" s="153">
        <f>SUM(O271:O274)</f>
        <v>950000</v>
      </c>
      <c r="P270" s="313"/>
      <c r="Q270" s="313"/>
      <c r="R270" s="153">
        <f t="shared" si="55"/>
        <v>950000</v>
      </c>
      <c r="S270" s="553">
        <v>1000000</v>
      </c>
      <c r="T270" s="153"/>
      <c r="U270" s="153"/>
    </row>
    <row r="271" spans="1:21" s="80" customFormat="1" ht="22.5">
      <c r="A271" s="157"/>
      <c r="B271" s="157"/>
      <c r="C271" s="215" t="s">
        <v>494</v>
      </c>
      <c r="D271" s="160"/>
      <c r="E271" s="214" t="s">
        <v>301</v>
      </c>
      <c r="F271" s="609"/>
      <c r="G271" s="609"/>
      <c r="H271" s="553"/>
      <c r="I271" s="317"/>
      <c r="J271" s="317"/>
      <c r="K271" s="317"/>
      <c r="L271" s="317"/>
      <c r="M271" s="317"/>
      <c r="N271" s="317"/>
      <c r="O271" s="165"/>
      <c r="P271" s="317"/>
      <c r="Q271" s="317"/>
      <c r="R271" s="165">
        <f t="shared" si="55"/>
        <v>0</v>
      </c>
      <c r="S271" s="583" t="s">
        <v>394</v>
      </c>
      <c r="T271" s="165"/>
      <c r="U271" s="165"/>
    </row>
    <row r="272" spans="1:21" s="80" customFormat="1" ht="22.5">
      <c r="A272" s="157"/>
      <c r="B272" s="157"/>
      <c r="C272" s="215" t="s">
        <v>371</v>
      </c>
      <c r="D272" s="160"/>
      <c r="E272" s="214" t="s">
        <v>295</v>
      </c>
      <c r="F272" s="609"/>
      <c r="G272" s="609"/>
      <c r="H272" s="553">
        <v>50000</v>
      </c>
      <c r="I272" s="317"/>
      <c r="J272" s="317"/>
      <c r="K272" s="317"/>
      <c r="L272" s="317"/>
      <c r="M272" s="317"/>
      <c r="N272" s="317"/>
      <c r="O272" s="165">
        <v>50000</v>
      </c>
      <c r="P272" s="317"/>
      <c r="Q272" s="317"/>
      <c r="R272" s="165">
        <f t="shared" si="55"/>
        <v>50000</v>
      </c>
      <c r="S272" s="553"/>
      <c r="T272" s="165"/>
      <c r="U272" s="165"/>
    </row>
    <row r="273" spans="1:21" s="80" customFormat="1" ht="22.5">
      <c r="A273" s="157"/>
      <c r="B273" s="157"/>
      <c r="C273" s="215" t="s">
        <v>372</v>
      </c>
      <c r="D273" s="160"/>
      <c r="E273" s="214" t="s">
        <v>301</v>
      </c>
      <c r="F273" s="609"/>
      <c r="G273" s="609"/>
      <c r="H273" s="553">
        <v>350000</v>
      </c>
      <c r="I273" s="317"/>
      <c r="J273" s="317"/>
      <c r="K273" s="317"/>
      <c r="L273" s="317"/>
      <c r="M273" s="317"/>
      <c r="N273" s="317"/>
      <c r="O273" s="165">
        <v>350000</v>
      </c>
      <c r="P273" s="317"/>
      <c r="Q273" s="317"/>
      <c r="R273" s="165">
        <f t="shared" si="55"/>
        <v>350000</v>
      </c>
      <c r="S273" s="553"/>
      <c r="T273" s="165"/>
      <c r="U273" s="165"/>
    </row>
    <row r="274" spans="1:21" s="80" customFormat="1">
      <c r="A274" s="157"/>
      <c r="B274" s="157"/>
      <c r="C274" s="215" t="s">
        <v>373</v>
      </c>
      <c r="D274" s="160"/>
      <c r="E274" s="214" t="s">
        <v>295</v>
      </c>
      <c r="F274" s="609"/>
      <c r="G274" s="609"/>
      <c r="H274" s="553">
        <v>848600</v>
      </c>
      <c r="I274" s="317"/>
      <c r="J274" s="317"/>
      <c r="K274" s="317"/>
      <c r="L274" s="317"/>
      <c r="M274" s="317"/>
      <c r="N274" s="317"/>
      <c r="O274" s="165">
        <v>550000</v>
      </c>
      <c r="P274" s="317"/>
      <c r="Q274" s="317"/>
      <c r="R274" s="165">
        <f t="shared" si="55"/>
        <v>550000</v>
      </c>
      <c r="S274" s="553">
        <v>298600</v>
      </c>
      <c r="T274" s="165"/>
      <c r="U274" s="165"/>
    </row>
    <row r="275" spans="1:21" s="80" customFormat="1" ht="25.5">
      <c r="A275" s="157"/>
      <c r="B275" s="157"/>
      <c r="C275" s="150" t="s">
        <v>418</v>
      </c>
      <c r="D275" s="160" t="s">
        <v>114</v>
      </c>
      <c r="E275" s="216" t="s">
        <v>291</v>
      </c>
      <c r="F275" s="311" t="s">
        <v>723</v>
      </c>
      <c r="G275" s="311"/>
      <c r="H275" s="563">
        <f>H276+H277</f>
        <v>3567600</v>
      </c>
      <c r="I275" s="532"/>
      <c r="J275" s="532"/>
      <c r="K275" s="532"/>
      <c r="L275" s="532"/>
      <c r="M275" s="532"/>
      <c r="N275" s="532"/>
      <c r="O275" s="152"/>
      <c r="P275" s="532"/>
      <c r="Q275" s="532"/>
      <c r="R275" s="152">
        <f t="shared" si="55"/>
        <v>0</v>
      </c>
      <c r="S275" s="563">
        <f>S276+S277</f>
        <v>1783800</v>
      </c>
      <c r="T275" s="152"/>
      <c r="U275" s="152"/>
    </row>
    <row r="276" spans="1:21" s="80" customFormat="1">
      <c r="A276" s="157"/>
      <c r="B276" s="157"/>
      <c r="C276" s="217" t="s">
        <v>111</v>
      </c>
      <c r="D276" s="160" t="s">
        <v>26</v>
      </c>
      <c r="E276" s="216"/>
      <c r="F276" s="611"/>
      <c r="G276" s="611"/>
      <c r="H276" s="563">
        <v>727600</v>
      </c>
      <c r="I276" s="532"/>
      <c r="J276" s="532"/>
      <c r="K276" s="532"/>
      <c r="L276" s="532"/>
      <c r="M276" s="532"/>
      <c r="N276" s="532"/>
      <c r="O276" s="152"/>
      <c r="P276" s="532"/>
      <c r="Q276" s="532"/>
      <c r="R276" s="152">
        <f t="shared" si="55"/>
        <v>0</v>
      </c>
      <c r="S276" s="563">
        <v>363800</v>
      </c>
      <c r="T276" s="152"/>
      <c r="U276" s="152"/>
    </row>
    <row r="277" spans="1:21" s="80" customFormat="1">
      <c r="A277" s="157"/>
      <c r="B277" s="157"/>
      <c r="C277" s="237"/>
      <c r="D277" s="160" t="s">
        <v>112</v>
      </c>
      <c r="E277" s="216"/>
      <c r="F277" s="613"/>
      <c r="G277" s="613"/>
      <c r="H277" s="563">
        <v>2840000</v>
      </c>
      <c r="I277" s="532"/>
      <c r="J277" s="532"/>
      <c r="K277" s="532"/>
      <c r="L277" s="532"/>
      <c r="M277" s="532"/>
      <c r="N277" s="532"/>
      <c r="O277" s="152"/>
      <c r="P277" s="532"/>
      <c r="Q277" s="532"/>
      <c r="R277" s="152">
        <f t="shared" si="55"/>
        <v>0</v>
      </c>
      <c r="S277" s="563">
        <v>1420000</v>
      </c>
      <c r="T277" s="152"/>
      <c r="U277" s="152"/>
    </row>
    <row r="278" spans="1:21" s="80" customFormat="1" ht="25.5">
      <c r="A278" s="157"/>
      <c r="B278" s="157"/>
      <c r="C278" s="150" t="s">
        <v>424</v>
      </c>
      <c r="D278" s="160" t="s">
        <v>26</v>
      </c>
      <c r="E278" s="216" t="s">
        <v>296</v>
      </c>
      <c r="F278" s="311" t="s">
        <v>723</v>
      </c>
      <c r="G278" s="311"/>
      <c r="H278" s="551">
        <v>4000000</v>
      </c>
      <c r="I278" s="313"/>
      <c r="J278" s="313"/>
      <c r="K278" s="313"/>
      <c r="L278" s="313"/>
      <c r="M278" s="313"/>
      <c r="N278" s="313"/>
      <c r="O278" s="153">
        <f>SUM(O279:O280)</f>
        <v>1000000</v>
      </c>
      <c r="P278" s="313"/>
      <c r="Q278" s="313"/>
      <c r="R278" s="153">
        <f t="shared" si="55"/>
        <v>1000000</v>
      </c>
      <c r="S278" s="551">
        <v>1000000</v>
      </c>
      <c r="T278" s="153"/>
      <c r="U278" s="153"/>
    </row>
    <row r="279" spans="1:21" s="80" customFormat="1">
      <c r="A279" s="157"/>
      <c r="B279" s="157"/>
      <c r="C279" s="262" t="s">
        <v>200</v>
      </c>
      <c r="D279" s="160"/>
      <c r="E279" s="263"/>
      <c r="F279" s="639"/>
      <c r="G279" s="639"/>
      <c r="H279" s="553"/>
      <c r="I279" s="317"/>
      <c r="J279" s="317"/>
      <c r="K279" s="317"/>
      <c r="L279" s="317"/>
      <c r="M279" s="317"/>
      <c r="N279" s="317"/>
      <c r="O279" s="165">
        <v>600000</v>
      </c>
      <c r="P279" s="317"/>
      <c r="Q279" s="317"/>
      <c r="R279" s="165">
        <f t="shared" si="55"/>
        <v>600000</v>
      </c>
      <c r="S279" s="553"/>
      <c r="T279" s="165"/>
      <c r="U279" s="165"/>
    </row>
    <row r="280" spans="1:21" s="80" customFormat="1">
      <c r="A280" s="157"/>
      <c r="B280" s="157"/>
      <c r="C280" s="159" t="s">
        <v>374</v>
      </c>
      <c r="D280" s="160"/>
      <c r="E280" s="214"/>
      <c r="F280" s="323"/>
      <c r="G280" s="323"/>
      <c r="H280" s="553"/>
      <c r="I280" s="317"/>
      <c r="J280" s="317"/>
      <c r="K280" s="317"/>
      <c r="L280" s="317"/>
      <c r="M280" s="317"/>
      <c r="N280" s="317"/>
      <c r="O280" s="165">
        <v>400000</v>
      </c>
      <c r="P280" s="317"/>
      <c r="Q280" s="317"/>
      <c r="R280" s="165">
        <f t="shared" si="55"/>
        <v>400000</v>
      </c>
      <c r="S280" s="553"/>
      <c r="T280" s="165"/>
      <c r="U280" s="165"/>
    </row>
    <row r="281" spans="1:21" s="80" customFormat="1">
      <c r="A281" s="157"/>
      <c r="B281" s="157"/>
      <c r="C281" s="150" t="s">
        <v>201</v>
      </c>
      <c r="D281" s="160" t="s">
        <v>26</v>
      </c>
      <c r="E281" s="216"/>
      <c r="F281" s="311" t="s">
        <v>730</v>
      </c>
      <c r="G281" s="311"/>
      <c r="H281" s="551">
        <f>SUM(H282:H289)</f>
        <v>675400</v>
      </c>
      <c r="I281" s="313"/>
      <c r="J281" s="313"/>
      <c r="K281" s="313"/>
      <c r="L281" s="313"/>
      <c r="M281" s="313"/>
      <c r="N281" s="313"/>
      <c r="O281" s="153">
        <f>SUM(O282:O289)</f>
        <v>463400</v>
      </c>
      <c r="P281" s="313"/>
      <c r="Q281" s="313"/>
      <c r="R281" s="153">
        <f t="shared" si="55"/>
        <v>463400</v>
      </c>
      <c r="S281" s="551">
        <f>SUM(S282:S289)</f>
        <v>212000</v>
      </c>
      <c r="T281" s="153"/>
      <c r="U281" s="153"/>
    </row>
    <row r="282" spans="1:21" s="80" customFormat="1">
      <c r="A282" s="157"/>
      <c r="B282" s="157"/>
      <c r="C282" s="163" t="s">
        <v>375</v>
      </c>
      <c r="D282" s="160"/>
      <c r="E282" s="214" t="s">
        <v>295</v>
      </c>
      <c r="F282" s="587"/>
      <c r="G282" s="587"/>
      <c r="H282" s="553">
        <v>85400</v>
      </c>
      <c r="I282" s="317"/>
      <c r="J282" s="317"/>
      <c r="K282" s="317"/>
      <c r="L282" s="317"/>
      <c r="M282" s="317"/>
      <c r="N282" s="317"/>
      <c r="O282" s="165">
        <v>85400</v>
      </c>
      <c r="P282" s="317"/>
      <c r="Q282" s="317"/>
      <c r="R282" s="165">
        <f t="shared" si="55"/>
        <v>85400</v>
      </c>
      <c r="S282" s="553"/>
      <c r="T282" s="165"/>
      <c r="U282" s="165"/>
    </row>
    <row r="283" spans="1:21" s="80" customFormat="1">
      <c r="A283" s="157"/>
      <c r="B283" s="157"/>
      <c r="C283" s="159" t="s">
        <v>376</v>
      </c>
      <c r="D283" s="160"/>
      <c r="E283" s="214" t="s">
        <v>299</v>
      </c>
      <c r="F283" s="323"/>
      <c r="G283" s="323"/>
      <c r="H283" s="553">
        <v>129000</v>
      </c>
      <c r="I283" s="317"/>
      <c r="J283" s="317"/>
      <c r="K283" s="317"/>
      <c r="L283" s="317"/>
      <c r="M283" s="317"/>
      <c r="N283" s="317"/>
      <c r="O283" s="165">
        <v>129000</v>
      </c>
      <c r="P283" s="317"/>
      <c r="Q283" s="317"/>
      <c r="R283" s="165">
        <f t="shared" si="55"/>
        <v>129000</v>
      </c>
      <c r="S283" s="553"/>
      <c r="T283" s="165"/>
      <c r="U283" s="165"/>
    </row>
    <row r="284" spans="1:21" s="80" customFormat="1">
      <c r="A284" s="157"/>
      <c r="B284" s="157"/>
      <c r="C284" s="159" t="s">
        <v>202</v>
      </c>
      <c r="D284" s="160"/>
      <c r="E284" s="214" t="s">
        <v>285</v>
      </c>
      <c r="F284" s="323"/>
      <c r="G284" s="323"/>
      <c r="H284" s="553">
        <v>64000</v>
      </c>
      <c r="I284" s="317"/>
      <c r="J284" s="317"/>
      <c r="K284" s="317"/>
      <c r="L284" s="317"/>
      <c r="M284" s="317"/>
      <c r="N284" s="317"/>
      <c r="O284" s="165">
        <v>64000</v>
      </c>
      <c r="P284" s="317"/>
      <c r="Q284" s="317"/>
      <c r="R284" s="165">
        <f t="shared" si="55"/>
        <v>64000</v>
      </c>
      <c r="S284" s="553"/>
      <c r="T284" s="165"/>
      <c r="U284" s="165"/>
    </row>
    <row r="285" spans="1:21" s="80" customFormat="1">
      <c r="A285" s="157"/>
      <c r="B285" s="157"/>
      <c r="C285" s="163" t="s">
        <v>377</v>
      </c>
      <c r="D285" s="160"/>
      <c r="E285" s="214" t="s">
        <v>291</v>
      </c>
      <c r="F285" s="587"/>
      <c r="G285" s="587"/>
      <c r="H285" s="553">
        <v>120000</v>
      </c>
      <c r="I285" s="317"/>
      <c r="J285" s="317"/>
      <c r="K285" s="317"/>
      <c r="L285" s="317"/>
      <c r="M285" s="317"/>
      <c r="N285" s="317"/>
      <c r="O285" s="165">
        <v>120000</v>
      </c>
      <c r="P285" s="317"/>
      <c r="Q285" s="317"/>
      <c r="R285" s="165">
        <f t="shared" si="55"/>
        <v>120000</v>
      </c>
      <c r="S285" s="553"/>
      <c r="T285" s="165"/>
      <c r="U285" s="165"/>
    </row>
    <row r="286" spans="1:21" s="80" customFormat="1">
      <c r="A286" s="157"/>
      <c r="B286" s="157"/>
      <c r="C286" s="159" t="s">
        <v>378</v>
      </c>
      <c r="D286" s="160"/>
      <c r="E286" s="214" t="s">
        <v>291</v>
      </c>
      <c r="F286" s="323"/>
      <c r="G286" s="323"/>
      <c r="H286" s="553">
        <v>65000</v>
      </c>
      <c r="I286" s="317"/>
      <c r="J286" s="317"/>
      <c r="K286" s="317"/>
      <c r="L286" s="317"/>
      <c r="M286" s="317"/>
      <c r="N286" s="317"/>
      <c r="O286" s="165">
        <v>65000</v>
      </c>
      <c r="P286" s="317"/>
      <c r="Q286" s="317"/>
      <c r="R286" s="165">
        <f t="shared" si="55"/>
        <v>65000</v>
      </c>
      <c r="S286" s="553"/>
      <c r="T286" s="165"/>
      <c r="U286" s="165"/>
    </row>
    <row r="287" spans="1:21" s="80" customFormat="1">
      <c r="A287" s="157"/>
      <c r="B287" s="157"/>
      <c r="C287" s="159" t="s">
        <v>473</v>
      </c>
      <c r="D287" s="160"/>
      <c r="E287" s="214" t="s">
        <v>290</v>
      </c>
      <c r="F287" s="323"/>
      <c r="G287" s="323"/>
      <c r="H287" s="553">
        <v>70000</v>
      </c>
      <c r="I287" s="317"/>
      <c r="J287" s="317"/>
      <c r="K287" s="317"/>
      <c r="L287" s="317"/>
      <c r="M287" s="317"/>
      <c r="N287" s="317"/>
      <c r="O287" s="165"/>
      <c r="P287" s="317"/>
      <c r="Q287" s="317"/>
      <c r="R287" s="165">
        <f t="shared" si="55"/>
        <v>0</v>
      </c>
      <c r="S287" s="553">
        <v>70000</v>
      </c>
      <c r="T287" s="165"/>
      <c r="U287" s="165"/>
    </row>
    <row r="288" spans="1:21" s="80" customFormat="1">
      <c r="A288" s="157"/>
      <c r="B288" s="157"/>
      <c r="C288" s="159" t="s">
        <v>474</v>
      </c>
      <c r="D288" s="160"/>
      <c r="E288" s="214" t="s">
        <v>290</v>
      </c>
      <c r="F288" s="323"/>
      <c r="G288" s="323"/>
      <c r="H288" s="553">
        <v>70000</v>
      </c>
      <c r="I288" s="317"/>
      <c r="J288" s="317"/>
      <c r="K288" s="317"/>
      <c r="L288" s="317"/>
      <c r="M288" s="317"/>
      <c r="N288" s="317"/>
      <c r="O288" s="165"/>
      <c r="P288" s="317"/>
      <c r="Q288" s="317"/>
      <c r="R288" s="165">
        <f t="shared" si="55"/>
        <v>0</v>
      </c>
      <c r="S288" s="553">
        <v>70000</v>
      </c>
      <c r="T288" s="165"/>
      <c r="U288" s="165"/>
    </row>
    <row r="289" spans="1:21" s="80" customFormat="1">
      <c r="A289" s="157"/>
      <c r="B289" s="157"/>
      <c r="C289" s="159" t="s">
        <v>475</v>
      </c>
      <c r="D289" s="160"/>
      <c r="E289" s="214" t="s">
        <v>295</v>
      </c>
      <c r="F289" s="323"/>
      <c r="G289" s="323"/>
      <c r="H289" s="553">
        <v>72000</v>
      </c>
      <c r="I289" s="317"/>
      <c r="J289" s="317"/>
      <c r="K289" s="317"/>
      <c r="L289" s="317"/>
      <c r="M289" s="317"/>
      <c r="N289" s="317"/>
      <c r="O289" s="165"/>
      <c r="P289" s="317"/>
      <c r="Q289" s="317"/>
      <c r="R289" s="165">
        <f t="shared" si="55"/>
        <v>0</v>
      </c>
      <c r="S289" s="553">
        <v>72000</v>
      </c>
      <c r="T289" s="165"/>
      <c r="U289" s="165"/>
    </row>
    <row r="290" spans="1:21" s="80" customFormat="1">
      <c r="A290" s="157"/>
      <c r="B290" s="157"/>
      <c r="C290" s="150" t="s">
        <v>379</v>
      </c>
      <c r="D290" s="160" t="s">
        <v>26</v>
      </c>
      <c r="E290" s="216" t="s">
        <v>296</v>
      </c>
      <c r="F290" s="311" t="s">
        <v>730</v>
      </c>
      <c r="G290" s="311"/>
      <c r="H290" s="565">
        <f t="shared" ref="H290:H291" si="59">S290</f>
        <v>100000</v>
      </c>
      <c r="I290" s="534"/>
      <c r="J290" s="534"/>
      <c r="K290" s="534"/>
      <c r="L290" s="534"/>
      <c r="M290" s="534"/>
      <c r="N290" s="534"/>
      <c r="O290" s="300">
        <v>100000</v>
      </c>
      <c r="P290" s="534"/>
      <c r="Q290" s="534"/>
      <c r="R290" s="300">
        <f t="shared" si="55"/>
        <v>100000</v>
      </c>
      <c r="S290" s="565">
        <v>100000</v>
      </c>
      <c r="T290" s="300"/>
      <c r="U290" s="300"/>
    </row>
    <row r="291" spans="1:21" s="80" customFormat="1" ht="38.25">
      <c r="A291" s="157"/>
      <c r="B291" s="157"/>
      <c r="C291" s="223" t="s">
        <v>495</v>
      </c>
      <c r="D291" s="160" t="s">
        <v>26</v>
      </c>
      <c r="E291" s="224" t="s">
        <v>296</v>
      </c>
      <c r="F291" s="615" t="s">
        <v>730</v>
      </c>
      <c r="G291" s="615"/>
      <c r="H291" s="565">
        <f t="shared" si="59"/>
        <v>400000</v>
      </c>
      <c r="I291" s="534"/>
      <c r="J291" s="534"/>
      <c r="K291" s="534"/>
      <c r="L291" s="534"/>
      <c r="M291" s="534"/>
      <c r="N291" s="534"/>
      <c r="O291" s="316">
        <v>400000</v>
      </c>
      <c r="P291" s="661"/>
      <c r="Q291" s="534"/>
      <c r="R291" s="316">
        <f t="shared" si="55"/>
        <v>400000</v>
      </c>
      <c r="S291" s="584">
        <v>400000</v>
      </c>
      <c r="T291" s="316"/>
      <c r="U291" s="316"/>
    </row>
    <row r="292" spans="1:21" s="80" customFormat="1">
      <c r="A292" s="157"/>
      <c r="B292" s="157"/>
      <c r="C292" s="150" t="s">
        <v>203</v>
      </c>
      <c r="D292" s="160" t="s">
        <v>26</v>
      </c>
      <c r="E292" s="216" t="s">
        <v>296</v>
      </c>
      <c r="F292" s="311" t="s">
        <v>719</v>
      </c>
      <c r="G292" s="311"/>
      <c r="H292" s="565">
        <f>S292</f>
        <v>210000</v>
      </c>
      <c r="I292" s="534"/>
      <c r="J292" s="534"/>
      <c r="K292" s="534"/>
      <c r="L292" s="534"/>
      <c r="M292" s="534"/>
      <c r="N292" s="534"/>
      <c r="O292" s="300">
        <v>667000</v>
      </c>
      <c r="P292" s="534"/>
      <c r="Q292" s="534"/>
      <c r="R292" s="300">
        <f t="shared" si="55"/>
        <v>667000</v>
      </c>
      <c r="S292" s="565">
        <v>210000</v>
      </c>
      <c r="T292" s="300"/>
      <c r="U292" s="300"/>
    </row>
    <row r="293" spans="1:21" s="80" customFormat="1">
      <c r="A293" s="157"/>
      <c r="B293" s="157"/>
      <c r="C293" s="146" t="s">
        <v>250</v>
      </c>
      <c r="D293" s="209" t="s">
        <v>114</v>
      </c>
      <c r="E293" s="208"/>
      <c r="F293" s="608"/>
      <c r="G293" s="608"/>
      <c r="H293" s="549">
        <f>SUM(H294:H294)</f>
        <v>60000</v>
      </c>
      <c r="I293" s="526"/>
      <c r="J293" s="526"/>
      <c r="K293" s="526"/>
      <c r="L293" s="526"/>
      <c r="M293" s="526"/>
      <c r="N293" s="526"/>
      <c r="O293" s="154">
        <f t="shared" ref="O293:S293" si="60">SUM(O294:O294)</f>
        <v>60000</v>
      </c>
      <c r="P293" s="526"/>
      <c r="Q293" s="526"/>
      <c r="R293" s="154">
        <f t="shared" si="55"/>
        <v>60000</v>
      </c>
      <c r="S293" s="549">
        <f t="shared" si="60"/>
        <v>60000</v>
      </c>
      <c r="T293" s="154"/>
      <c r="U293" s="154"/>
    </row>
    <row r="294" spans="1:21" s="80" customFormat="1">
      <c r="A294" s="157"/>
      <c r="B294" s="157"/>
      <c r="C294" s="150" t="s">
        <v>223</v>
      </c>
      <c r="D294" s="160" t="s">
        <v>26</v>
      </c>
      <c r="E294" s="216" t="s">
        <v>296</v>
      </c>
      <c r="F294" s="311" t="s">
        <v>725</v>
      </c>
      <c r="G294" s="311"/>
      <c r="H294" s="551">
        <f>S294</f>
        <v>60000</v>
      </c>
      <c r="I294" s="313"/>
      <c r="J294" s="313"/>
      <c r="K294" s="313"/>
      <c r="L294" s="313"/>
      <c r="M294" s="313"/>
      <c r="N294" s="313"/>
      <c r="O294" s="153">
        <v>60000</v>
      </c>
      <c r="P294" s="313"/>
      <c r="Q294" s="313"/>
      <c r="R294" s="153">
        <f t="shared" si="55"/>
        <v>60000</v>
      </c>
      <c r="S294" s="551">
        <v>60000</v>
      </c>
      <c r="T294" s="153"/>
      <c r="U294" s="153"/>
    </row>
    <row r="295" spans="1:21" s="80" customFormat="1">
      <c r="A295" s="157"/>
      <c r="B295" s="157"/>
      <c r="C295" s="146" t="s">
        <v>238</v>
      </c>
      <c r="D295" s="209" t="s">
        <v>114</v>
      </c>
      <c r="E295" s="208"/>
      <c r="F295" s="608"/>
      <c r="G295" s="608"/>
      <c r="H295" s="549">
        <f>H296+H300+H301+H305+H299</f>
        <v>66132700</v>
      </c>
      <c r="I295" s="526"/>
      <c r="J295" s="526"/>
      <c r="K295" s="526"/>
      <c r="L295" s="526"/>
      <c r="M295" s="526"/>
      <c r="N295" s="526"/>
      <c r="O295" s="154">
        <f t="shared" ref="O295" si="61">O296+O300+O301+O305+O299</f>
        <v>1743994</v>
      </c>
      <c r="P295" s="526"/>
      <c r="Q295" s="526"/>
      <c r="R295" s="154">
        <f t="shared" si="55"/>
        <v>1743994</v>
      </c>
      <c r="S295" s="549">
        <f t="shared" ref="S295" si="62">S296+S300+S301+S305+S299</f>
        <v>680000</v>
      </c>
      <c r="T295" s="154"/>
      <c r="U295" s="154"/>
    </row>
    <row r="296" spans="1:21" s="80" customFormat="1" ht="38.25">
      <c r="A296" s="157"/>
      <c r="B296" s="157"/>
      <c r="C296" s="150" t="s">
        <v>476</v>
      </c>
      <c r="D296" s="160" t="s">
        <v>26</v>
      </c>
      <c r="E296" s="216" t="s">
        <v>296</v>
      </c>
      <c r="F296" s="311" t="s">
        <v>731</v>
      </c>
      <c r="G296" s="311"/>
      <c r="H296" s="551">
        <v>155000</v>
      </c>
      <c r="I296" s="313"/>
      <c r="J296" s="313"/>
      <c r="K296" s="313"/>
      <c r="L296" s="313"/>
      <c r="M296" s="313"/>
      <c r="N296" s="313"/>
      <c r="O296" s="153">
        <v>230000</v>
      </c>
      <c r="P296" s="313"/>
      <c r="Q296" s="313"/>
      <c r="R296" s="153">
        <f t="shared" si="55"/>
        <v>230000</v>
      </c>
      <c r="S296" s="551">
        <v>155000</v>
      </c>
      <c r="T296" s="153"/>
      <c r="U296" s="153"/>
    </row>
    <row r="297" spans="1:21" s="80" customFormat="1">
      <c r="A297" s="157"/>
      <c r="B297" s="157"/>
      <c r="C297" s="173" t="s">
        <v>232</v>
      </c>
      <c r="D297" s="160"/>
      <c r="E297" s="216" t="s">
        <v>285</v>
      </c>
      <c r="F297" s="311" t="s">
        <v>394</v>
      </c>
      <c r="G297" s="640"/>
      <c r="H297" s="551"/>
      <c r="I297" s="313"/>
      <c r="J297" s="313"/>
      <c r="K297" s="313"/>
      <c r="L297" s="313"/>
      <c r="M297" s="313"/>
      <c r="N297" s="313"/>
      <c r="O297" s="165">
        <v>50000</v>
      </c>
      <c r="P297" s="317"/>
      <c r="Q297" s="313"/>
      <c r="R297" s="165">
        <f t="shared" si="55"/>
        <v>50000</v>
      </c>
      <c r="S297" s="551"/>
      <c r="T297" s="165"/>
      <c r="U297" s="165"/>
    </row>
    <row r="298" spans="1:21" s="80" customFormat="1">
      <c r="A298" s="157"/>
      <c r="B298" s="157"/>
      <c r="C298" s="159" t="s">
        <v>225</v>
      </c>
      <c r="D298" s="160"/>
      <c r="E298" s="216" t="s">
        <v>285</v>
      </c>
      <c r="F298" s="311" t="s">
        <v>394</v>
      </c>
      <c r="G298" s="323"/>
      <c r="H298" s="551"/>
      <c r="I298" s="313"/>
      <c r="J298" s="313"/>
      <c r="K298" s="313"/>
      <c r="L298" s="313"/>
      <c r="M298" s="313"/>
      <c r="N298" s="313"/>
      <c r="O298" s="165">
        <v>80000</v>
      </c>
      <c r="P298" s="317"/>
      <c r="Q298" s="313"/>
      <c r="R298" s="165">
        <f t="shared" si="55"/>
        <v>80000</v>
      </c>
      <c r="S298" s="551"/>
      <c r="T298" s="165"/>
      <c r="U298" s="165"/>
    </row>
    <row r="299" spans="1:21" s="80" customFormat="1" ht="25.5">
      <c r="A299" s="157"/>
      <c r="B299" s="157"/>
      <c r="C299" s="150" t="s">
        <v>425</v>
      </c>
      <c r="D299" s="160" t="s">
        <v>26</v>
      </c>
      <c r="E299" s="216" t="s">
        <v>380</v>
      </c>
      <c r="F299" s="311" t="s">
        <v>732</v>
      </c>
      <c r="G299" s="311"/>
      <c r="H299" s="551">
        <v>64000000</v>
      </c>
      <c r="I299" s="313"/>
      <c r="J299" s="313"/>
      <c r="K299" s="313"/>
      <c r="L299" s="313"/>
      <c r="M299" s="313"/>
      <c r="N299" s="313"/>
      <c r="O299" s="153"/>
      <c r="P299" s="313"/>
      <c r="Q299" s="313"/>
      <c r="R299" s="153">
        <f t="shared" si="55"/>
        <v>0</v>
      </c>
      <c r="S299" s="551">
        <v>500000</v>
      </c>
      <c r="T299" s="153"/>
      <c r="U299" s="153"/>
    </row>
    <row r="300" spans="1:21" s="80" customFormat="1" ht="25.5">
      <c r="A300" s="157"/>
      <c r="B300" s="157"/>
      <c r="C300" s="150" t="s">
        <v>381</v>
      </c>
      <c r="D300" s="160" t="s">
        <v>26</v>
      </c>
      <c r="E300" s="216" t="s">
        <v>285</v>
      </c>
      <c r="F300" s="311" t="s">
        <v>394</v>
      </c>
      <c r="G300" s="311"/>
      <c r="H300" s="551">
        <v>586400</v>
      </c>
      <c r="I300" s="313"/>
      <c r="J300" s="313"/>
      <c r="K300" s="313"/>
      <c r="L300" s="313"/>
      <c r="M300" s="313"/>
      <c r="N300" s="313"/>
      <c r="O300" s="153">
        <v>538600</v>
      </c>
      <c r="P300" s="313"/>
      <c r="Q300" s="313"/>
      <c r="R300" s="153">
        <f t="shared" si="55"/>
        <v>538600</v>
      </c>
      <c r="S300" s="551"/>
      <c r="T300" s="153"/>
      <c r="U300" s="153"/>
    </row>
    <row r="301" spans="1:21" s="80" customFormat="1" ht="25.5">
      <c r="A301" s="157"/>
      <c r="B301" s="157"/>
      <c r="C301" s="223" t="s">
        <v>382</v>
      </c>
      <c r="D301" s="160" t="s">
        <v>26</v>
      </c>
      <c r="E301" s="224" t="s">
        <v>285</v>
      </c>
      <c r="F301" s="311" t="s">
        <v>394</v>
      </c>
      <c r="G301" s="615"/>
      <c r="H301" s="551">
        <v>970896</v>
      </c>
      <c r="I301" s="313"/>
      <c r="J301" s="313"/>
      <c r="K301" s="313"/>
      <c r="L301" s="313"/>
      <c r="M301" s="313"/>
      <c r="N301" s="313"/>
      <c r="O301" s="153">
        <v>937594</v>
      </c>
      <c r="P301" s="313"/>
      <c r="Q301" s="313"/>
      <c r="R301" s="153">
        <f t="shared" si="55"/>
        <v>937594</v>
      </c>
      <c r="S301" s="551"/>
      <c r="T301" s="153"/>
      <c r="U301" s="153"/>
    </row>
    <row r="302" spans="1:21" s="80" customFormat="1" ht="22.5">
      <c r="A302" s="157"/>
      <c r="B302" s="157"/>
      <c r="C302" s="229" t="s">
        <v>383</v>
      </c>
      <c r="D302" s="160"/>
      <c r="E302" s="226"/>
      <c r="F302" s="311" t="s">
        <v>394</v>
      </c>
      <c r="G302" s="616"/>
      <c r="H302" s="575">
        <v>459675</v>
      </c>
      <c r="I302" s="541"/>
      <c r="J302" s="541"/>
      <c r="K302" s="541"/>
      <c r="L302" s="541"/>
      <c r="M302" s="541"/>
      <c r="N302" s="541"/>
      <c r="O302" s="228">
        <v>839563</v>
      </c>
      <c r="P302" s="541"/>
      <c r="Q302" s="541"/>
      <c r="R302" s="228">
        <f t="shared" si="55"/>
        <v>839563</v>
      </c>
      <c r="S302" s="553"/>
      <c r="T302" s="228"/>
      <c r="U302" s="228"/>
    </row>
    <row r="303" spans="1:21" s="80" customFormat="1">
      <c r="A303" s="157"/>
      <c r="B303" s="157"/>
      <c r="C303" s="264" t="s">
        <v>384</v>
      </c>
      <c r="D303" s="160"/>
      <c r="E303" s="265"/>
      <c r="F303" s="311" t="s">
        <v>394</v>
      </c>
      <c r="G303" s="641"/>
      <c r="H303" s="575">
        <v>76910</v>
      </c>
      <c r="I303" s="541"/>
      <c r="J303" s="541"/>
      <c r="K303" s="541"/>
      <c r="L303" s="541"/>
      <c r="M303" s="541"/>
      <c r="N303" s="541"/>
      <c r="O303" s="228">
        <v>89261</v>
      </c>
      <c r="P303" s="541"/>
      <c r="Q303" s="541"/>
      <c r="R303" s="228">
        <f t="shared" si="55"/>
        <v>89261</v>
      </c>
      <c r="S303" s="553"/>
      <c r="T303" s="228"/>
      <c r="U303" s="228"/>
    </row>
    <row r="304" spans="1:21" s="80" customFormat="1">
      <c r="A304" s="157"/>
      <c r="B304" s="157"/>
      <c r="C304" s="229" t="s">
        <v>385</v>
      </c>
      <c r="D304" s="160"/>
      <c r="E304" s="226"/>
      <c r="F304" s="311" t="s">
        <v>394</v>
      </c>
      <c r="G304" s="616"/>
      <c r="H304" s="575"/>
      <c r="I304" s="541"/>
      <c r="J304" s="541"/>
      <c r="K304" s="541"/>
      <c r="L304" s="541"/>
      <c r="M304" s="541"/>
      <c r="N304" s="541"/>
      <c r="O304" s="228">
        <v>8770</v>
      </c>
      <c r="P304" s="541"/>
      <c r="Q304" s="541"/>
      <c r="R304" s="228">
        <f t="shared" si="55"/>
        <v>8770</v>
      </c>
      <c r="S304" s="553"/>
      <c r="T304" s="228"/>
      <c r="U304" s="228"/>
    </row>
    <row r="305" spans="1:21" s="80" customFormat="1">
      <c r="A305" s="157"/>
      <c r="B305" s="157"/>
      <c r="C305" s="150" t="s">
        <v>496</v>
      </c>
      <c r="D305" s="160" t="s">
        <v>26</v>
      </c>
      <c r="E305" s="216" t="s">
        <v>296</v>
      </c>
      <c r="F305" s="311" t="s">
        <v>719</v>
      </c>
      <c r="G305" s="311"/>
      <c r="H305" s="551">
        <v>420404</v>
      </c>
      <c r="I305" s="313"/>
      <c r="J305" s="313"/>
      <c r="K305" s="313"/>
      <c r="L305" s="313"/>
      <c r="M305" s="313"/>
      <c r="N305" s="313"/>
      <c r="O305" s="153">
        <v>37800</v>
      </c>
      <c r="P305" s="313"/>
      <c r="Q305" s="313"/>
      <c r="R305" s="153">
        <f t="shared" si="55"/>
        <v>37800</v>
      </c>
      <c r="S305" s="551">
        <v>25000</v>
      </c>
      <c r="T305" s="153"/>
      <c r="U305" s="153"/>
    </row>
    <row r="306" spans="1:21" s="80" customFormat="1">
      <c r="A306" s="157"/>
      <c r="B306" s="157"/>
      <c r="C306" s="150"/>
      <c r="D306" s="160"/>
      <c r="E306" s="216"/>
      <c r="F306" s="311"/>
      <c r="G306" s="311"/>
      <c r="H306" s="551"/>
      <c r="I306" s="313"/>
      <c r="J306" s="313"/>
      <c r="K306" s="313"/>
      <c r="L306" s="313"/>
      <c r="M306" s="313"/>
      <c r="N306" s="313"/>
      <c r="O306" s="153"/>
      <c r="P306" s="313"/>
      <c r="Q306" s="313"/>
      <c r="R306" s="153">
        <f t="shared" si="55"/>
        <v>0</v>
      </c>
      <c r="S306" s="551"/>
      <c r="T306" s="153">
        <f t="shared" ref="T306" si="63">R306+S306</f>
        <v>0</v>
      </c>
      <c r="U306" s="153"/>
    </row>
    <row r="308" spans="1:21">
      <c r="C308" s="81" t="s">
        <v>734</v>
      </c>
    </row>
    <row r="309" spans="1:21">
      <c r="C309" s="81" t="s">
        <v>735</v>
      </c>
    </row>
    <row r="310" spans="1:21">
      <c r="C310" s="80" t="s">
        <v>736</v>
      </c>
    </row>
    <row r="311" spans="1:21">
      <c r="C311" s="80" t="s">
        <v>737</v>
      </c>
    </row>
    <row r="312" spans="1:21">
      <c r="C312" s="80" t="s">
        <v>738</v>
      </c>
    </row>
    <row r="313" spans="1:21">
      <c r="C313" s="80" t="s">
        <v>739</v>
      </c>
    </row>
    <row r="314" spans="1:21">
      <c r="C314" s="80" t="s">
        <v>740</v>
      </c>
    </row>
    <row r="315" spans="1:21">
      <c r="C315" s="80" t="s">
        <v>741</v>
      </c>
    </row>
    <row r="316" spans="1:21">
      <c r="C316" s="80" t="s">
        <v>742</v>
      </c>
    </row>
    <row r="317" spans="1:21">
      <c r="C317" s="80" t="s">
        <v>743</v>
      </c>
    </row>
    <row r="318" spans="1:21">
      <c r="C318" s="80" t="s">
        <v>744</v>
      </c>
    </row>
    <row r="324" spans="3:21" ht="12.75" customHeight="1">
      <c r="E324" s="81"/>
      <c r="O324" s="644">
        <v>2018</v>
      </c>
      <c r="P324" s="662"/>
      <c r="R324" s="332">
        <v>2018</v>
      </c>
      <c r="S324" s="747" t="s">
        <v>283</v>
      </c>
      <c r="T324" s="414"/>
      <c r="U324" s="644"/>
    </row>
    <row r="325" spans="3:21" ht="12.75" customHeight="1">
      <c r="E325" s="81"/>
      <c r="O325" s="204" t="s">
        <v>433</v>
      </c>
      <c r="P325" s="662"/>
      <c r="R325" s="204" t="s">
        <v>433</v>
      </c>
      <c r="S325" s="747"/>
      <c r="T325" s="204"/>
      <c r="U325" s="204"/>
    </row>
    <row r="326" spans="3:21" ht="12.75" customHeight="1">
      <c r="C326" s="62" t="s">
        <v>47</v>
      </c>
      <c r="E326" s="81"/>
      <c r="F326" s="62"/>
      <c r="G326" s="62"/>
      <c r="H326" s="577">
        <f>SUM(H327:H339)</f>
        <v>584171168.11000001</v>
      </c>
      <c r="I326" s="57"/>
      <c r="J326" s="57"/>
      <c r="K326" s="57"/>
      <c r="L326" s="57"/>
      <c r="M326" s="57"/>
      <c r="N326" s="57"/>
      <c r="O326" s="57">
        <f t="shared" ref="O326:R326" si="64">SUM(O327:O339)</f>
        <v>114908068</v>
      </c>
      <c r="P326" s="57"/>
      <c r="Q326" s="57"/>
      <c r="R326" s="57">
        <f t="shared" si="64"/>
        <v>115690068</v>
      </c>
      <c r="S326" s="577">
        <f t="shared" ref="S326" si="65">SUM(S327:S339)</f>
        <v>118853746</v>
      </c>
      <c r="T326" s="57"/>
      <c r="U326" s="57"/>
    </row>
    <row r="327" spans="3:21" ht="12.75" customHeight="1">
      <c r="C327" s="33" t="s">
        <v>239</v>
      </c>
      <c r="E327" s="81"/>
      <c r="F327" s="33"/>
      <c r="G327" s="33"/>
      <c r="H327" s="578">
        <f>H14</f>
        <v>98093249</v>
      </c>
      <c r="I327" s="79"/>
      <c r="J327" s="79"/>
      <c r="K327" s="79"/>
      <c r="L327" s="79"/>
      <c r="M327" s="79"/>
      <c r="N327" s="79"/>
      <c r="O327" s="79">
        <f>O14</f>
        <v>29115786</v>
      </c>
      <c r="P327" s="79"/>
      <c r="Q327" s="79"/>
      <c r="R327" s="79">
        <f>R14</f>
        <v>29152786</v>
      </c>
      <c r="S327" s="578">
        <f>S14</f>
        <v>36650000</v>
      </c>
      <c r="T327" s="79"/>
      <c r="U327" s="79"/>
    </row>
    <row r="328" spans="3:21" ht="12.75" customHeight="1">
      <c r="C328" s="33" t="s">
        <v>306</v>
      </c>
      <c r="E328" s="81"/>
      <c r="F328" s="33"/>
      <c r="G328" s="33"/>
      <c r="H328" s="578">
        <f>H55</f>
        <v>61459260</v>
      </c>
      <c r="I328" s="79"/>
      <c r="J328" s="79"/>
      <c r="K328" s="79"/>
      <c r="L328" s="79"/>
      <c r="M328" s="79"/>
      <c r="N328" s="79"/>
      <c r="O328" s="79">
        <f>O55</f>
        <v>8636234</v>
      </c>
      <c r="P328" s="79"/>
      <c r="Q328" s="79"/>
      <c r="R328" s="79">
        <f>R55</f>
        <v>9346234</v>
      </c>
      <c r="S328" s="578">
        <f>S55</f>
        <v>19595231</v>
      </c>
      <c r="T328" s="79"/>
      <c r="U328" s="79"/>
    </row>
    <row r="329" spans="3:21" ht="12.75" customHeight="1">
      <c r="C329" s="33" t="s">
        <v>241</v>
      </c>
      <c r="E329" s="81"/>
      <c r="F329" s="33"/>
      <c r="G329" s="33"/>
      <c r="H329" s="578">
        <f>H105</f>
        <v>10116277</v>
      </c>
      <c r="I329" s="79"/>
      <c r="J329" s="79"/>
      <c r="K329" s="79"/>
      <c r="L329" s="79"/>
      <c r="M329" s="79"/>
      <c r="N329" s="79"/>
      <c r="O329" s="79">
        <f>O105</f>
        <v>3091000</v>
      </c>
      <c r="P329" s="79"/>
      <c r="Q329" s="79"/>
      <c r="R329" s="79">
        <f>R105</f>
        <v>3091000</v>
      </c>
      <c r="S329" s="578">
        <f>S105</f>
        <v>1998700</v>
      </c>
      <c r="T329" s="79"/>
      <c r="U329" s="79"/>
    </row>
    <row r="330" spans="3:21" ht="12.75" customHeight="1">
      <c r="C330" s="33" t="s">
        <v>165</v>
      </c>
      <c r="E330" s="81"/>
      <c r="F330" s="33"/>
      <c r="G330" s="33"/>
      <c r="H330" s="578">
        <f>H116</f>
        <v>16623342</v>
      </c>
      <c r="I330" s="79"/>
      <c r="J330" s="79"/>
      <c r="K330" s="79"/>
      <c r="L330" s="79"/>
      <c r="M330" s="79"/>
      <c r="N330" s="79"/>
      <c r="O330" s="79">
        <f>O116</f>
        <v>3609481</v>
      </c>
      <c r="P330" s="79"/>
      <c r="Q330" s="79"/>
      <c r="R330" s="79">
        <f>R116</f>
        <v>3614481</v>
      </c>
      <c r="S330" s="578">
        <f>S116</f>
        <v>2439581</v>
      </c>
      <c r="T330" s="79"/>
      <c r="U330" s="79"/>
    </row>
    <row r="331" spans="3:21" ht="12.75" customHeight="1">
      <c r="C331" s="33" t="s">
        <v>166</v>
      </c>
      <c r="E331" s="81"/>
      <c r="F331" s="33"/>
      <c r="G331" s="33"/>
      <c r="H331" s="578">
        <f>H133</f>
        <v>22680</v>
      </c>
      <c r="I331" s="79"/>
      <c r="J331" s="79"/>
      <c r="K331" s="79"/>
      <c r="L331" s="79"/>
      <c r="M331" s="79"/>
      <c r="N331" s="79"/>
      <c r="O331" s="79">
        <f>O133</f>
        <v>430220</v>
      </c>
      <c r="P331" s="79"/>
      <c r="Q331" s="79"/>
      <c r="R331" s="79">
        <f>R133</f>
        <v>430220</v>
      </c>
      <c r="S331" s="578">
        <f>S133</f>
        <v>377710</v>
      </c>
      <c r="T331" s="79"/>
      <c r="U331" s="79"/>
    </row>
    <row r="332" spans="3:21" ht="12.75" customHeight="1">
      <c r="C332" s="33" t="s">
        <v>243</v>
      </c>
      <c r="E332" s="81"/>
      <c r="F332" s="33"/>
      <c r="G332" s="33"/>
      <c r="H332" s="578">
        <f>H136</f>
        <v>111442573</v>
      </c>
      <c r="I332" s="79"/>
      <c r="J332" s="79"/>
      <c r="K332" s="79"/>
      <c r="L332" s="79"/>
      <c r="M332" s="79"/>
      <c r="N332" s="79"/>
      <c r="O332" s="79">
        <f>O136</f>
        <v>5103000</v>
      </c>
      <c r="P332" s="79"/>
      <c r="Q332" s="79"/>
      <c r="R332" s="79">
        <f>R136</f>
        <v>5103000</v>
      </c>
      <c r="S332" s="578">
        <f>S136</f>
        <v>9155960</v>
      </c>
      <c r="T332" s="79"/>
      <c r="U332" s="79"/>
    </row>
    <row r="333" spans="3:21" ht="12.75" customHeight="1">
      <c r="C333" s="33" t="s">
        <v>246</v>
      </c>
      <c r="E333" s="81"/>
      <c r="F333" s="33"/>
      <c r="G333" s="33"/>
      <c r="H333" s="578">
        <f>H152</f>
        <v>16950000</v>
      </c>
      <c r="I333" s="79"/>
      <c r="J333" s="79"/>
      <c r="K333" s="79"/>
      <c r="L333" s="79"/>
      <c r="M333" s="79"/>
      <c r="N333" s="79"/>
      <c r="O333" s="79">
        <f>O152</f>
        <v>3743200</v>
      </c>
      <c r="P333" s="79"/>
      <c r="Q333" s="79"/>
      <c r="R333" s="79">
        <f>R152</f>
        <v>3743200</v>
      </c>
      <c r="S333" s="578">
        <f>S152</f>
        <v>950000</v>
      </c>
      <c r="T333" s="79"/>
      <c r="U333" s="79"/>
    </row>
    <row r="334" spans="3:21" ht="12.75" customHeight="1">
      <c r="C334" s="33" t="s">
        <v>229</v>
      </c>
      <c r="E334" s="81"/>
      <c r="F334" s="33"/>
      <c r="G334" s="33"/>
      <c r="H334" s="578">
        <f>H160</f>
        <v>500000</v>
      </c>
      <c r="I334" s="79"/>
      <c r="J334" s="79"/>
      <c r="K334" s="79"/>
      <c r="L334" s="79"/>
      <c r="M334" s="79"/>
      <c r="N334" s="79"/>
      <c r="O334" s="79">
        <f>O160</f>
        <v>250000</v>
      </c>
      <c r="P334" s="79"/>
      <c r="Q334" s="79"/>
      <c r="R334" s="79">
        <f>R160</f>
        <v>250000</v>
      </c>
      <c r="S334" s="578">
        <f>S160</f>
        <v>222500</v>
      </c>
      <c r="T334" s="79"/>
      <c r="U334" s="79"/>
    </row>
    <row r="335" spans="3:21" ht="12.75" customHeight="1">
      <c r="C335" s="33" t="s">
        <v>179</v>
      </c>
      <c r="E335" s="81"/>
      <c r="F335" s="33"/>
      <c r="G335" s="33"/>
      <c r="H335" s="578">
        <f>H165</f>
        <v>20029134</v>
      </c>
      <c r="I335" s="79"/>
      <c r="J335" s="79"/>
      <c r="K335" s="79"/>
      <c r="L335" s="79"/>
      <c r="M335" s="79"/>
      <c r="N335" s="79"/>
      <c r="O335" s="79">
        <f>O165</f>
        <v>5714545</v>
      </c>
      <c r="P335" s="79"/>
      <c r="Q335" s="79"/>
      <c r="R335" s="79">
        <f>R165</f>
        <v>5744545</v>
      </c>
      <c r="S335" s="578">
        <f>S165</f>
        <v>4856300</v>
      </c>
      <c r="T335" s="79"/>
      <c r="U335" s="79"/>
    </row>
    <row r="336" spans="3:21" ht="12.75" customHeight="1">
      <c r="C336" s="33" t="s">
        <v>249</v>
      </c>
      <c r="E336" s="81"/>
      <c r="F336" s="33"/>
      <c r="G336" s="33"/>
      <c r="H336" s="578">
        <f>H231</f>
        <v>296950</v>
      </c>
      <c r="I336" s="79"/>
      <c r="J336" s="79"/>
      <c r="K336" s="79"/>
      <c r="L336" s="79"/>
      <c r="M336" s="79"/>
      <c r="N336" s="79"/>
      <c r="O336" s="79">
        <f>O231</f>
        <v>21000</v>
      </c>
      <c r="P336" s="79"/>
      <c r="Q336" s="79"/>
      <c r="R336" s="79">
        <f>R231</f>
        <v>21000</v>
      </c>
      <c r="S336" s="578">
        <f>S231</f>
        <v>70000</v>
      </c>
      <c r="T336" s="79"/>
      <c r="U336" s="79"/>
    </row>
    <row r="337" spans="3:21" ht="12.75" customHeight="1">
      <c r="C337" s="33" t="s">
        <v>247</v>
      </c>
      <c r="E337" s="81"/>
      <c r="F337" s="33"/>
      <c r="G337" s="33"/>
      <c r="H337" s="578">
        <f>H238</f>
        <v>182445003.11000001</v>
      </c>
      <c r="I337" s="79"/>
      <c r="J337" s="79"/>
      <c r="K337" s="79"/>
      <c r="L337" s="79"/>
      <c r="M337" s="79"/>
      <c r="N337" s="79"/>
      <c r="O337" s="79">
        <f>O238</f>
        <v>53389608</v>
      </c>
      <c r="P337" s="79"/>
      <c r="Q337" s="79"/>
      <c r="R337" s="79">
        <f>R238</f>
        <v>53389608</v>
      </c>
      <c r="S337" s="578">
        <f>S238</f>
        <v>41797764</v>
      </c>
      <c r="T337" s="79"/>
      <c r="U337" s="79"/>
    </row>
    <row r="338" spans="3:21" ht="12.75" customHeight="1">
      <c r="C338" s="33" t="s">
        <v>250</v>
      </c>
      <c r="E338" s="81"/>
      <c r="F338" s="33"/>
      <c r="G338" s="33"/>
      <c r="H338" s="578">
        <f>H293</f>
        <v>60000</v>
      </c>
      <c r="I338" s="79"/>
      <c r="J338" s="79"/>
      <c r="K338" s="79"/>
      <c r="L338" s="79"/>
      <c r="M338" s="79"/>
      <c r="N338" s="79"/>
      <c r="O338" s="79">
        <f>O293</f>
        <v>60000</v>
      </c>
      <c r="P338" s="79"/>
      <c r="Q338" s="79"/>
      <c r="R338" s="79">
        <f>R293</f>
        <v>60000</v>
      </c>
      <c r="S338" s="578">
        <f>S293</f>
        <v>60000</v>
      </c>
      <c r="T338" s="79"/>
      <c r="U338" s="79"/>
    </row>
    <row r="339" spans="3:21" ht="12.75" customHeight="1">
      <c r="C339" s="33" t="s">
        <v>238</v>
      </c>
      <c r="E339" s="81"/>
      <c r="F339" s="33"/>
      <c r="G339" s="33"/>
      <c r="H339" s="578">
        <f>H295</f>
        <v>66132700</v>
      </c>
      <c r="I339" s="79"/>
      <c r="J339" s="79"/>
      <c r="K339" s="79"/>
      <c r="L339" s="79"/>
      <c r="M339" s="79"/>
      <c r="N339" s="79"/>
      <c r="O339" s="79">
        <f>O295</f>
        <v>1743994</v>
      </c>
      <c r="P339" s="79"/>
      <c r="Q339" s="79"/>
      <c r="R339" s="79">
        <f>R295</f>
        <v>1743994</v>
      </c>
      <c r="S339" s="578">
        <f>S295</f>
        <v>680000</v>
      </c>
      <c r="T339" s="79"/>
      <c r="U339" s="79"/>
    </row>
    <row r="340" spans="3:21" ht="12.75" customHeight="1">
      <c r="E340" s="81"/>
    </row>
    <row r="341" spans="3:21" ht="12.75" customHeight="1">
      <c r="C341" s="81" t="s">
        <v>250</v>
      </c>
      <c r="E341" s="81"/>
    </row>
    <row r="342" spans="3:21" ht="12.75" customHeight="1">
      <c r="C342" s="81" t="s">
        <v>252</v>
      </c>
      <c r="E342" s="81"/>
    </row>
    <row r="343" spans="3:21" ht="12.75" customHeight="1">
      <c r="E343" s="81"/>
    </row>
    <row r="344" spans="3:21" ht="12.75" customHeight="1">
      <c r="E344" s="81"/>
    </row>
    <row r="345" spans="3:21" ht="12.75" customHeight="1">
      <c r="E345" s="81"/>
      <c r="H345" s="576">
        <v>2017</v>
      </c>
      <c r="O345" s="79">
        <f ca="1">O346-O8</f>
        <v>0</v>
      </c>
      <c r="P345" s="79"/>
      <c r="R345" s="79">
        <f ca="1">R346-R8</f>
        <v>0</v>
      </c>
      <c r="S345" s="578">
        <f ca="1">S346-S8</f>
        <v>0</v>
      </c>
      <c r="T345" s="79"/>
      <c r="U345" s="79"/>
    </row>
    <row r="346" spans="3:21" ht="12.75" customHeight="1">
      <c r="C346" s="62" t="s">
        <v>502</v>
      </c>
      <c r="E346" s="81"/>
      <c r="F346" s="62"/>
      <c r="G346" s="62"/>
      <c r="H346" s="577">
        <f>SUM(H347:H362)</f>
        <v>109288441.48</v>
      </c>
      <c r="I346" s="57"/>
      <c r="J346" s="57"/>
      <c r="K346" s="57"/>
      <c r="L346" s="57"/>
      <c r="M346" s="57"/>
      <c r="N346" s="57"/>
      <c r="O346" s="57">
        <f ca="1">SUM(O347:O362)</f>
        <v>81833198</v>
      </c>
      <c r="P346" s="57"/>
      <c r="Q346" s="57"/>
      <c r="R346" s="57">
        <f ca="1">SUM(R347:R362)</f>
        <v>81833198</v>
      </c>
      <c r="S346" s="577">
        <f t="shared" ref="S346" ca="1" si="66">SUM(S347:S362)</f>
        <v>85477703</v>
      </c>
      <c r="T346" s="57"/>
      <c r="U346" s="57"/>
    </row>
    <row r="347" spans="3:21" ht="12.75" customHeight="1">
      <c r="C347" s="33" t="s">
        <v>239</v>
      </c>
      <c r="E347" s="81"/>
      <c r="F347" s="33"/>
      <c r="G347" s="33"/>
      <c r="H347" s="578">
        <v>30281770.379999999</v>
      </c>
      <c r="I347" s="79"/>
      <c r="J347" s="79"/>
      <c r="K347" s="79"/>
      <c r="L347" s="79"/>
      <c r="M347" s="79"/>
      <c r="N347" s="79"/>
      <c r="O347" s="79">
        <f ca="1">SUMIF($D$15:O$54,$D$49,O$15:O54)</f>
        <v>27451309</v>
      </c>
      <c r="P347" s="79"/>
      <c r="Q347" s="79"/>
      <c r="R347" s="79">
        <f ca="1">SUMIF($D$15:R$54,$D$49,R$15:R54)</f>
        <v>27451309</v>
      </c>
      <c r="S347" s="578">
        <f ca="1">SUMIF($D$15:S$54,$D$49,S$15:S54)</f>
        <v>29290000</v>
      </c>
      <c r="T347" s="79"/>
      <c r="U347" s="79"/>
    </row>
    <row r="348" spans="3:21" ht="12.75" customHeight="1">
      <c r="C348" s="33" t="s">
        <v>306</v>
      </c>
      <c r="E348" s="81"/>
      <c r="F348" s="33"/>
      <c r="G348" s="33"/>
      <c r="H348" s="578">
        <v>8436926.370000001</v>
      </c>
      <c r="I348" s="79"/>
      <c r="J348" s="79"/>
      <c r="K348" s="79"/>
      <c r="L348" s="79"/>
      <c r="M348" s="79"/>
      <c r="N348" s="79"/>
      <c r="O348" s="79">
        <f ca="1">SUMIF($D$55:O$103,$D$49,O$55:O103)</f>
        <v>7727522</v>
      </c>
      <c r="P348" s="79"/>
      <c r="Q348" s="79"/>
      <c r="R348" s="79">
        <f ca="1">SUMIF($D$55:R$103,$D$49,R$55:R103)</f>
        <v>7727522</v>
      </c>
      <c r="S348" s="578">
        <f ca="1">SUMIF($D$55:S$103,$D$49,S$55:S103)</f>
        <v>15598375</v>
      </c>
      <c r="T348" s="79"/>
      <c r="U348" s="79"/>
    </row>
    <row r="349" spans="3:21" ht="12.75" customHeight="1">
      <c r="C349" s="33" t="s">
        <v>241</v>
      </c>
      <c r="E349" s="81"/>
      <c r="F349" s="33"/>
      <c r="G349" s="33"/>
      <c r="H349" s="578">
        <v>10967588.630000001</v>
      </c>
      <c r="I349" s="79"/>
      <c r="J349" s="79"/>
      <c r="K349" s="79"/>
      <c r="L349" s="79"/>
      <c r="M349" s="79"/>
      <c r="N349" s="79"/>
      <c r="O349" s="79">
        <f ca="1">SUMIF($D$105:O$114,$D$49,O$105:O114)</f>
        <v>3091000</v>
      </c>
      <c r="P349" s="79"/>
      <c r="Q349" s="79"/>
      <c r="R349" s="79">
        <f ca="1">SUMIF($D$105:R$114,$D$49,R$105:R114)</f>
        <v>3091000</v>
      </c>
      <c r="S349" s="578">
        <f ca="1">SUMIF($D$105:S$114,$D$49,S$105:S114)</f>
        <v>1424350</v>
      </c>
      <c r="T349" s="79"/>
      <c r="U349" s="79"/>
    </row>
    <row r="350" spans="3:21" ht="12.75" customHeight="1">
      <c r="C350" s="33" t="s">
        <v>165</v>
      </c>
      <c r="E350" s="81"/>
      <c r="F350" s="33"/>
      <c r="G350" s="33"/>
      <c r="H350" s="578">
        <v>1995843.77</v>
      </c>
      <c r="I350" s="79"/>
      <c r="J350" s="79"/>
      <c r="K350" s="79"/>
      <c r="L350" s="79"/>
      <c r="M350" s="79"/>
      <c r="N350" s="79"/>
      <c r="O350" s="79">
        <f ca="1">SUMIF($D$116:O$132,$D$49,O$116:O132)</f>
        <v>2657340</v>
      </c>
      <c r="P350" s="79"/>
      <c r="Q350" s="79"/>
      <c r="R350" s="79">
        <f ca="1">SUMIF($D$116:R$132,$D$49,R$116:R132)</f>
        <v>2657340</v>
      </c>
      <c r="S350" s="578">
        <f ca="1">SUMIF($D$116:S$132,$D$49,S$116:S132)</f>
        <v>2439581</v>
      </c>
      <c r="T350" s="79"/>
      <c r="U350" s="79"/>
    </row>
    <row r="351" spans="3:21" ht="12.75" customHeight="1">
      <c r="C351" s="33" t="s">
        <v>166</v>
      </c>
      <c r="E351" s="81"/>
      <c r="F351" s="33"/>
      <c r="G351" s="33"/>
      <c r="H351" s="578">
        <v>242964</v>
      </c>
      <c r="I351" s="79"/>
      <c r="J351" s="79"/>
      <c r="K351" s="79"/>
      <c r="L351" s="79"/>
      <c r="M351" s="79"/>
      <c r="N351" s="79"/>
      <c r="O351" s="79">
        <f>O135</f>
        <v>155000</v>
      </c>
      <c r="P351" s="79"/>
      <c r="Q351" s="79"/>
      <c r="R351" s="79">
        <f>R135</f>
        <v>155000</v>
      </c>
      <c r="S351" s="578">
        <f>S135</f>
        <v>0</v>
      </c>
      <c r="T351" s="79"/>
      <c r="U351" s="79"/>
    </row>
    <row r="352" spans="3:21" ht="12.75" customHeight="1">
      <c r="C352" s="33" t="s">
        <v>243</v>
      </c>
      <c r="F352" s="33"/>
      <c r="G352" s="33"/>
      <c r="H352" s="578">
        <v>8122471.3699999992</v>
      </c>
      <c r="I352" s="79"/>
      <c r="J352" s="79"/>
      <c r="K352" s="79"/>
      <c r="L352" s="79"/>
      <c r="M352" s="79"/>
      <c r="N352" s="79"/>
      <c r="O352" s="79">
        <f ca="1">SUMIF($D$137:O$151,$D$49,O$137:O151)</f>
        <v>4743000</v>
      </c>
      <c r="P352" s="79"/>
      <c r="Q352" s="79"/>
      <c r="R352" s="79">
        <f ca="1">SUMIF($D$137:R$151,$D$49,R$137:R151)</f>
        <v>4743000</v>
      </c>
      <c r="S352" s="578">
        <f ca="1">SUMIF($D$137:S$151,$D$49,S$137:S151)</f>
        <v>8752297</v>
      </c>
      <c r="T352" s="79"/>
      <c r="U352" s="79"/>
    </row>
    <row r="353" spans="3:21" ht="12.75" customHeight="1">
      <c r="C353" s="33" t="s">
        <v>246</v>
      </c>
      <c r="F353" s="33"/>
      <c r="G353" s="33"/>
      <c r="H353" s="578">
        <v>21956425.600000001</v>
      </c>
      <c r="I353" s="79"/>
      <c r="J353" s="79"/>
      <c r="K353" s="79"/>
      <c r="L353" s="79"/>
      <c r="M353" s="79"/>
      <c r="N353" s="79"/>
      <c r="O353" s="79">
        <f ca="1">SUMIF($D$152:O$159,$D$49,O$152:O159)</f>
        <v>3543200</v>
      </c>
      <c r="P353" s="79"/>
      <c r="Q353" s="79"/>
      <c r="R353" s="79">
        <f ca="1">SUMIF($D$152:R$159,$D$49,R$152:R159)</f>
        <v>3543200</v>
      </c>
      <c r="S353" s="578">
        <f ca="1">SUMIF($D$152:S$159,$D$49,S$152:S159)</f>
        <v>950000</v>
      </c>
      <c r="T353" s="79"/>
      <c r="U353" s="79"/>
    </row>
    <row r="354" spans="3:21" ht="12.75" customHeight="1">
      <c r="C354" s="33" t="s">
        <v>229</v>
      </c>
      <c r="F354" s="33"/>
      <c r="G354" s="33"/>
      <c r="H354" s="578">
        <v>259211.91</v>
      </c>
      <c r="I354" s="79"/>
      <c r="J354" s="79"/>
      <c r="K354" s="79"/>
      <c r="L354" s="79"/>
      <c r="M354" s="79"/>
      <c r="N354" s="79"/>
      <c r="O354" s="79">
        <f>O162</f>
        <v>125000</v>
      </c>
      <c r="P354" s="79"/>
      <c r="Q354" s="79"/>
      <c r="R354" s="79">
        <f>R162</f>
        <v>125000</v>
      </c>
      <c r="S354" s="578">
        <f>S162</f>
        <v>111250</v>
      </c>
      <c r="T354" s="79"/>
      <c r="U354" s="79"/>
    </row>
    <row r="355" spans="3:21" ht="12.75" customHeight="1">
      <c r="C355" s="33" t="s">
        <v>179</v>
      </c>
      <c r="F355" s="33"/>
      <c r="G355" s="33"/>
      <c r="H355" s="578">
        <v>4222672.63</v>
      </c>
      <c r="I355" s="79"/>
      <c r="J355" s="79"/>
      <c r="K355" s="79"/>
      <c r="L355" s="79"/>
      <c r="M355" s="79"/>
      <c r="N355" s="79"/>
      <c r="O355" s="79">
        <f ca="1">SUMIF($D$165:O$230,$D$49,O$165:O230)</f>
        <v>5227545</v>
      </c>
      <c r="P355" s="79"/>
      <c r="Q355" s="79"/>
      <c r="R355" s="79">
        <f ca="1">SUMIF($D$165:R$230,$D$49,R$165:R230)</f>
        <v>5227545</v>
      </c>
      <c r="S355" s="578">
        <f ca="1">SUMIF($D$165:S$230,$D$49,S$165:S230)</f>
        <v>4376270</v>
      </c>
      <c r="T355" s="79"/>
      <c r="U355" s="79"/>
    </row>
    <row r="356" spans="3:21" ht="12.75" customHeight="1">
      <c r="C356" s="33" t="s">
        <v>249</v>
      </c>
      <c r="F356" s="33"/>
      <c r="G356" s="33"/>
      <c r="H356" s="578">
        <v>7429.5899999999965</v>
      </c>
      <c r="I356" s="79"/>
      <c r="J356" s="79"/>
      <c r="K356" s="79"/>
      <c r="L356" s="79"/>
      <c r="M356" s="79"/>
      <c r="N356" s="79"/>
      <c r="O356" s="79">
        <f ca="1">SUMIF($D$232:O$237,$D$49,O$232:O237)</f>
        <v>3150</v>
      </c>
      <c r="P356" s="79"/>
      <c r="Q356" s="79"/>
      <c r="R356" s="79">
        <f ca="1">SUMIF($D$232:R$237,$D$49,R$232:R237)</f>
        <v>3150</v>
      </c>
      <c r="S356" s="578">
        <f ca="1">SUMIF($D$232:S$237,$D$49,S$232:S237)</f>
        <v>10920</v>
      </c>
      <c r="T356" s="79"/>
      <c r="U356" s="79"/>
    </row>
    <row r="357" spans="3:21" ht="12.75" customHeight="1">
      <c r="C357" s="33" t="s">
        <v>247</v>
      </c>
      <c r="F357" s="33"/>
      <c r="G357" s="33"/>
      <c r="H357" s="578">
        <v>22567668.18</v>
      </c>
      <c r="I357" s="79"/>
      <c r="J357" s="79"/>
      <c r="K357" s="79"/>
      <c r="L357" s="79"/>
      <c r="M357" s="79"/>
      <c r="N357" s="79"/>
      <c r="O357" s="79">
        <f ca="1">SUMIF($D$238:O$292,$D$49,O$238:O292)-O241</f>
        <v>25305138</v>
      </c>
      <c r="P357" s="79"/>
      <c r="Q357" s="79"/>
      <c r="R357" s="79">
        <f ca="1">SUMIF($D$238:R$292,$D$49,R$238:R292)-R241</f>
        <v>25305138</v>
      </c>
      <c r="S357" s="578">
        <f ca="1">SUMIF($D$238:S$292,$D$49,S$238:S292)-S241</f>
        <v>21784660</v>
      </c>
      <c r="T357" s="79"/>
      <c r="U357" s="79"/>
    </row>
    <row r="358" spans="3:21" ht="12.75" customHeight="1">
      <c r="C358" s="33" t="s">
        <v>250</v>
      </c>
      <c r="F358" s="33"/>
      <c r="G358" s="33"/>
      <c r="H358" s="578"/>
      <c r="I358" s="79"/>
      <c r="J358" s="79"/>
      <c r="K358" s="79"/>
      <c r="L358" s="79"/>
      <c r="M358" s="79"/>
      <c r="N358" s="79"/>
      <c r="O358" s="79">
        <f>O294</f>
        <v>60000</v>
      </c>
      <c r="P358" s="79"/>
      <c r="Q358" s="79"/>
      <c r="R358" s="79">
        <f>R294</f>
        <v>60000</v>
      </c>
      <c r="S358" s="578">
        <f t="shared" ref="S358" si="67">S294</f>
        <v>60000</v>
      </c>
      <c r="T358" s="79"/>
      <c r="U358" s="79"/>
    </row>
    <row r="359" spans="3:21" ht="12.75" customHeight="1">
      <c r="C359" s="33" t="s">
        <v>238</v>
      </c>
      <c r="F359" s="33"/>
      <c r="G359" s="33"/>
      <c r="H359" s="578">
        <v>155398.96</v>
      </c>
      <c r="I359" s="79"/>
      <c r="J359" s="79"/>
      <c r="K359" s="79"/>
      <c r="L359" s="79"/>
      <c r="M359" s="79"/>
      <c r="N359" s="79"/>
      <c r="O359" s="79">
        <f>O295</f>
        <v>1743994</v>
      </c>
      <c r="P359" s="79"/>
      <c r="Q359" s="79"/>
      <c r="R359" s="79">
        <f>R295</f>
        <v>1743994</v>
      </c>
      <c r="S359" s="578">
        <f t="shared" ref="S359" si="68">S295</f>
        <v>680000</v>
      </c>
      <c r="T359" s="79"/>
      <c r="U359" s="79"/>
    </row>
    <row r="360" spans="3:21" ht="12.75" customHeight="1"/>
    <row r="361" spans="3:21" ht="12.75" customHeight="1">
      <c r="C361" s="81" t="s">
        <v>250</v>
      </c>
      <c r="H361" s="578">
        <v>33408</v>
      </c>
      <c r="I361" s="79"/>
      <c r="J361" s="79"/>
      <c r="K361" s="79"/>
      <c r="L361" s="79"/>
      <c r="M361" s="79"/>
      <c r="N361" s="79"/>
      <c r="Q361" s="79"/>
    </row>
    <row r="362" spans="3:21" ht="12.75" customHeight="1">
      <c r="C362" s="81" t="s">
        <v>252</v>
      </c>
      <c r="H362" s="578">
        <v>38662.089999999997</v>
      </c>
      <c r="I362" s="79"/>
      <c r="J362" s="79"/>
      <c r="K362" s="79"/>
      <c r="L362" s="79"/>
      <c r="M362" s="79"/>
      <c r="N362" s="79"/>
      <c r="Q362" s="79"/>
    </row>
    <row r="363" spans="3:21" ht="12.75" customHeight="1"/>
    <row r="364" spans="3:21" ht="12.75" customHeight="1"/>
    <row r="365" spans="3:21" ht="12.75" customHeight="1"/>
    <row r="366" spans="3:21" ht="12.75" customHeight="1">
      <c r="H366" s="578"/>
      <c r="I366" s="79"/>
      <c r="J366" s="79"/>
      <c r="K366" s="79"/>
      <c r="L366" s="79"/>
      <c r="M366" s="79"/>
      <c r="N366" s="79"/>
      <c r="Q366" s="79"/>
    </row>
    <row r="367" spans="3:21" ht="12.75" customHeight="1"/>
    <row r="368" spans="3:21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437" spans="5:5">
      <c r="E437" s="81"/>
    </row>
  </sheetData>
  <autoFilter ref="C4:T306"/>
  <mergeCells count="13">
    <mergeCell ref="J3:N3"/>
    <mergeCell ref="J4:N4"/>
    <mergeCell ref="S324:S325"/>
    <mergeCell ref="T4:T5"/>
    <mergeCell ref="I4:I5"/>
    <mergeCell ref="U4:U5"/>
    <mergeCell ref="C4:C5"/>
    <mergeCell ref="E4:E5"/>
    <mergeCell ref="D4:D5"/>
    <mergeCell ref="H4:H5"/>
    <mergeCell ref="S4:S5"/>
    <mergeCell ref="F4:F5"/>
    <mergeCell ref="G4:G5"/>
  </mergeCells>
  <printOptions gridLines="1"/>
  <pageMargins left="0.19685039370078741" right="0.19685039370078741" top="0.47244094488188981" bottom="0.98425196850393704" header="0.23622047244094491" footer="0.19685039370078741"/>
  <pageSetup paperSize="9" scale="73" orientation="portrait" r:id="rId1"/>
  <headerFooter alignWithMargins="0">
    <oddFooter>&amp;C&amp;P/&amp;N&amp;R&amp;D&amp;T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2"/>
  <sheetViews>
    <sheetView showZeros="0" zoomScaleNormal="100" workbookViewId="0">
      <pane ySplit="5" topLeftCell="A6" activePane="bottomLeft" state="frozen"/>
      <selection activeCell="J31" sqref="J31"/>
      <selection pane="bottomLeft"/>
    </sheetView>
  </sheetViews>
  <sheetFormatPr defaultColWidth="9.140625" defaultRowHeight="12.75"/>
  <cols>
    <col min="1" max="1" width="50" style="81" customWidth="1"/>
    <col min="2" max="2" width="4.5703125" style="81" customWidth="1"/>
    <col min="3" max="3" width="11.5703125" style="266" bestFit="1" customWidth="1"/>
    <col min="4" max="4" width="15.28515625" style="81" customWidth="1"/>
    <col min="5" max="5" width="14.85546875" style="81" customWidth="1"/>
    <col min="6" max="6" width="15.28515625" style="81" customWidth="1"/>
    <col min="7" max="7" width="15.85546875" style="81" customWidth="1"/>
    <col min="8" max="8" width="12.7109375" style="81" bestFit="1" customWidth="1"/>
    <col min="9" max="9" width="6" style="81" bestFit="1" customWidth="1"/>
    <col min="10" max="10" width="7.7109375" style="81" bestFit="1" customWidth="1"/>
    <col min="11" max="11" width="15.7109375" style="81" bestFit="1" customWidth="1"/>
    <col min="12" max="12" width="5.42578125" style="81" bestFit="1" customWidth="1"/>
    <col min="13" max="13" width="12.42578125" style="81" bestFit="1" customWidth="1"/>
    <col min="14" max="14" width="10.7109375" style="81" bestFit="1" customWidth="1"/>
    <col min="15" max="16384" width="9.140625" style="81"/>
  </cols>
  <sheetData>
    <row r="1" spans="1:16" ht="15">
      <c r="A1" s="199" t="s">
        <v>713</v>
      </c>
      <c r="B1" s="201"/>
      <c r="C1" s="200"/>
      <c r="D1" s="199"/>
      <c r="E1" s="199"/>
      <c r="F1" s="199"/>
      <c r="G1" s="331"/>
      <c r="H1" s="331"/>
      <c r="I1" s="331"/>
      <c r="J1" s="331"/>
      <c r="K1" s="331"/>
      <c r="L1" s="331"/>
      <c r="M1" s="475" t="s">
        <v>745</v>
      </c>
      <c r="P1" s="33"/>
    </row>
    <row r="2" spans="1:16">
      <c r="A2" s="327"/>
      <c r="C2" s="202"/>
      <c r="D2" s="327"/>
      <c r="E2" s="327"/>
      <c r="F2" s="327"/>
      <c r="G2" s="202"/>
      <c r="H2" s="202"/>
      <c r="I2" s="202"/>
      <c r="J2" s="202"/>
      <c r="K2" s="202"/>
      <c r="L2" s="202"/>
      <c r="M2" s="202"/>
      <c r="P2" s="33"/>
    </row>
    <row r="3" spans="1:16">
      <c r="A3" s="327"/>
      <c r="C3" s="202"/>
      <c r="D3" s="327"/>
      <c r="E3" s="327"/>
      <c r="F3" s="327"/>
      <c r="G3" s="203"/>
      <c r="H3" s="743"/>
      <c r="I3" s="743"/>
      <c r="J3" s="743"/>
      <c r="K3" s="743"/>
      <c r="L3" s="743"/>
      <c r="M3" s="203"/>
      <c r="P3" s="33"/>
    </row>
    <row r="4" spans="1:16" ht="12.75" customHeight="1">
      <c r="A4" s="737" t="s">
        <v>280</v>
      </c>
      <c r="B4" s="739" t="s">
        <v>282</v>
      </c>
      <c r="C4" s="735" t="s">
        <v>716</v>
      </c>
      <c r="D4" s="735" t="s">
        <v>711</v>
      </c>
      <c r="E4" s="735" t="s">
        <v>700</v>
      </c>
      <c r="F4" s="735" t="s">
        <v>664</v>
      </c>
      <c r="G4" s="735" t="s">
        <v>699</v>
      </c>
      <c r="H4" s="744" t="s">
        <v>638</v>
      </c>
      <c r="I4" s="745"/>
      <c r="J4" s="745"/>
      <c r="K4" s="745"/>
      <c r="L4" s="746"/>
      <c r="M4" s="735" t="s">
        <v>704</v>
      </c>
      <c r="N4" s="735" t="s">
        <v>714</v>
      </c>
    </row>
    <row r="5" spans="1:16" ht="30" customHeight="1">
      <c r="A5" s="737"/>
      <c r="B5" s="739"/>
      <c r="C5" s="736"/>
      <c r="D5" s="736"/>
      <c r="E5" s="736"/>
      <c r="F5" s="736"/>
      <c r="G5" s="736"/>
      <c r="H5" s="651" t="s">
        <v>660</v>
      </c>
      <c r="I5" s="651" t="s">
        <v>662</v>
      </c>
      <c r="J5" s="651" t="s">
        <v>661</v>
      </c>
      <c r="K5" s="651" t="s">
        <v>663</v>
      </c>
      <c r="L5" s="651" t="s">
        <v>329</v>
      </c>
      <c r="M5" s="736"/>
      <c r="N5" s="736"/>
    </row>
    <row r="6" spans="1:16" ht="24" customHeight="1">
      <c r="A6" s="290" t="s">
        <v>228</v>
      </c>
      <c r="B6" s="292"/>
      <c r="C6" s="291"/>
      <c r="D6" s="604"/>
      <c r="E6" s="604"/>
      <c r="F6" s="604"/>
      <c r="G6" s="522"/>
      <c r="H6" s="522"/>
      <c r="I6" s="522"/>
      <c r="J6" s="522"/>
      <c r="K6" s="522"/>
      <c r="L6" s="522"/>
      <c r="M6" s="292"/>
      <c r="N6" s="292"/>
    </row>
    <row r="7" spans="1:16" ht="15">
      <c r="A7" s="294" t="s">
        <v>416</v>
      </c>
      <c r="B7" s="301" t="s">
        <v>47</v>
      </c>
      <c r="C7" s="293"/>
      <c r="D7" s="523"/>
      <c r="E7" s="523"/>
      <c r="F7" s="523"/>
      <c r="G7" s="523"/>
      <c r="H7" s="523"/>
      <c r="I7" s="523"/>
      <c r="J7" s="523"/>
      <c r="K7" s="523"/>
      <c r="L7" s="523"/>
      <c r="M7" s="294"/>
      <c r="N7" s="294"/>
    </row>
    <row r="8" spans="1:16" ht="14.25">
      <c r="A8" s="295" t="s">
        <v>111</v>
      </c>
      <c r="B8" s="297" t="s">
        <v>26</v>
      </c>
      <c r="C8" s="296"/>
      <c r="D8" s="605"/>
      <c r="E8" s="605"/>
      <c r="F8" s="605"/>
      <c r="G8" s="524"/>
      <c r="H8" s="524"/>
      <c r="I8" s="524"/>
      <c r="J8" s="524"/>
      <c r="K8" s="524"/>
      <c r="L8" s="524"/>
      <c r="M8" s="298"/>
      <c r="N8" s="298"/>
    </row>
    <row r="9" spans="1:16" ht="14.25">
      <c r="A9" s="295"/>
      <c r="B9" s="297" t="s">
        <v>27</v>
      </c>
      <c r="C9" s="296"/>
      <c r="D9" s="605"/>
      <c r="E9" s="605"/>
      <c r="F9" s="605"/>
      <c r="G9" s="524"/>
      <c r="H9" s="524"/>
      <c r="I9" s="524"/>
      <c r="J9" s="524"/>
      <c r="K9" s="524"/>
      <c r="L9" s="524"/>
      <c r="M9" s="298"/>
      <c r="N9" s="298"/>
    </row>
    <row r="10" spans="1:16" ht="14.25">
      <c r="A10" s="295"/>
      <c r="B10" s="297" t="s">
        <v>139</v>
      </c>
      <c r="C10" s="296"/>
      <c r="D10" s="605"/>
      <c r="E10" s="605"/>
      <c r="F10" s="605"/>
      <c r="G10" s="524"/>
      <c r="H10" s="524"/>
      <c r="I10" s="524"/>
      <c r="J10" s="524"/>
      <c r="K10" s="524"/>
      <c r="L10" s="524"/>
      <c r="M10" s="298"/>
      <c r="N10" s="298"/>
    </row>
    <row r="11" spans="1:16" ht="14.25">
      <c r="A11" s="295"/>
      <c r="B11" s="297" t="s">
        <v>135</v>
      </c>
      <c r="C11" s="296"/>
      <c r="D11" s="605"/>
      <c r="E11" s="605"/>
      <c r="F11" s="605"/>
      <c r="G11" s="524"/>
      <c r="H11" s="524"/>
      <c r="I11" s="524"/>
      <c r="J11" s="524"/>
      <c r="K11" s="524"/>
      <c r="L11" s="524"/>
      <c r="M11" s="298"/>
      <c r="N11" s="298"/>
    </row>
    <row r="12" spans="1:16" ht="14.25">
      <c r="A12" s="299"/>
      <c r="B12" s="297" t="s">
        <v>112</v>
      </c>
      <c r="C12" s="296"/>
      <c r="D12" s="606"/>
      <c r="E12" s="606"/>
      <c r="F12" s="606"/>
      <c r="G12" s="524"/>
      <c r="H12" s="524"/>
      <c r="I12" s="524"/>
      <c r="J12" s="524"/>
      <c r="K12" s="524"/>
      <c r="L12" s="524"/>
      <c r="M12" s="298"/>
      <c r="N12" s="298"/>
    </row>
    <row r="13" spans="1:16" ht="15">
      <c r="A13" s="205"/>
      <c r="B13" s="207"/>
      <c r="C13" s="206"/>
      <c r="D13" s="607"/>
      <c r="E13" s="607"/>
      <c r="F13" s="607"/>
      <c r="G13" s="525"/>
      <c r="H13" s="525"/>
      <c r="I13" s="525"/>
      <c r="J13" s="525"/>
      <c r="K13" s="525"/>
      <c r="L13" s="525"/>
      <c r="M13" s="207"/>
      <c r="N13" s="207"/>
    </row>
    <row r="14" spans="1:16" s="80" customFormat="1">
      <c r="A14" s="147" t="s">
        <v>279</v>
      </c>
      <c r="B14" s="209" t="s">
        <v>114</v>
      </c>
      <c r="C14" s="208"/>
      <c r="D14" s="608"/>
      <c r="E14" s="608"/>
      <c r="F14" s="608"/>
      <c r="G14" s="526"/>
      <c r="H14" s="526"/>
      <c r="I14" s="526"/>
      <c r="J14" s="526"/>
      <c r="K14" s="526"/>
      <c r="L14" s="526"/>
      <c r="M14" s="154"/>
      <c r="N14" s="154"/>
    </row>
    <row r="15" spans="1:16" ht="14.25">
      <c r="A15" s="150" t="s">
        <v>701</v>
      </c>
      <c r="B15" s="297" t="s">
        <v>114</v>
      </c>
      <c r="C15" s="682"/>
      <c r="D15" s="311"/>
      <c r="E15" s="311"/>
      <c r="F15" s="311"/>
      <c r="G15" s="313"/>
      <c r="H15" s="313"/>
      <c r="I15" s="313"/>
      <c r="J15" s="313"/>
      <c r="K15" s="313"/>
      <c r="L15" s="313"/>
      <c r="M15" s="153"/>
      <c r="N15" s="153"/>
    </row>
    <row r="16" spans="1:16" ht="14.25">
      <c r="A16" s="295" t="s">
        <v>111</v>
      </c>
      <c r="B16" s="297" t="s">
        <v>26</v>
      </c>
      <c r="C16" s="216"/>
      <c r="D16" s="611"/>
      <c r="E16" s="648"/>
      <c r="F16" s="648"/>
      <c r="G16" s="161"/>
      <c r="H16" s="161"/>
      <c r="I16" s="161"/>
      <c r="J16" s="161"/>
      <c r="K16" s="161"/>
      <c r="L16" s="161"/>
      <c r="M16" s="153"/>
      <c r="N16" s="153"/>
    </row>
    <row r="17" spans="1:14" ht="14.25">
      <c r="A17" s="295"/>
      <c r="B17" s="297" t="s">
        <v>27</v>
      </c>
      <c r="C17" s="216"/>
      <c r="D17" s="311"/>
      <c r="E17" s="649"/>
      <c r="F17" s="649"/>
      <c r="G17" s="161"/>
      <c r="H17" s="161"/>
      <c r="I17" s="161"/>
      <c r="J17" s="161"/>
      <c r="K17" s="161"/>
      <c r="L17" s="161"/>
      <c r="M17" s="153"/>
      <c r="N17" s="153"/>
    </row>
    <row r="18" spans="1:14" ht="14.25">
      <c r="A18" s="295"/>
      <c r="B18" s="297" t="s">
        <v>139</v>
      </c>
      <c r="C18" s="312"/>
      <c r="D18" s="311"/>
      <c r="E18" s="649"/>
      <c r="F18" s="649"/>
      <c r="G18" s="161"/>
      <c r="H18" s="161"/>
      <c r="I18" s="161"/>
      <c r="J18" s="161"/>
      <c r="K18" s="161"/>
      <c r="L18" s="161"/>
      <c r="M18" s="313"/>
      <c r="N18" s="313"/>
    </row>
    <row r="19" spans="1:14" ht="14.25">
      <c r="A19" s="295"/>
      <c r="B19" s="297" t="s">
        <v>135</v>
      </c>
      <c r="C19" s="312"/>
      <c r="D19" s="311"/>
      <c r="E19" s="649"/>
      <c r="F19" s="649"/>
      <c r="G19" s="161"/>
      <c r="H19" s="161"/>
      <c r="I19" s="161"/>
      <c r="J19" s="161"/>
      <c r="K19" s="161"/>
      <c r="L19" s="161"/>
      <c r="M19" s="313"/>
      <c r="N19" s="313"/>
    </row>
    <row r="20" spans="1:14" ht="14.25">
      <c r="A20" s="299"/>
      <c r="B20" s="297" t="s">
        <v>112</v>
      </c>
      <c r="C20" s="312"/>
      <c r="D20" s="311"/>
      <c r="E20" s="649"/>
      <c r="F20" s="649"/>
      <c r="G20" s="161"/>
      <c r="H20" s="161"/>
      <c r="I20" s="161"/>
      <c r="J20" s="161"/>
      <c r="K20" s="161"/>
      <c r="L20" s="161"/>
      <c r="M20" s="313"/>
      <c r="N20" s="313"/>
    </row>
    <row r="21" spans="1:14" ht="14.25">
      <c r="A21" s="150" t="s">
        <v>702</v>
      </c>
      <c r="B21" s="297" t="s">
        <v>114</v>
      </c>
      <c r="C21" s="682"/>
      <c r="D21" s="311"/>
      <c r="E21" s="311"/>
      <c r="F21" s="311"/>
      <c r="G21" s="313"/>
      <c r="H21" s="313"/>
      <c r="I21" s="313"/>
      <c r="J21" s="313"/>
      <c r="K21" s="313"/>
      <c r="L21" s="313"/>
      <c r="M21" s="153"/>
      <c r="N21" s="153"/>
    </row>
    <row r="22" spans="1:14" ht="14.25">
      <c r="A22" s="295" t="s">
        <v>111</v>
      </c>
      <c r="B22" s="297" t="s">
        <v>26</v>
      </c>
      <c r="C22" s="216"/>
      <c r="D22" s="611"/>
      <c r="E22" s="648"/>
      <c r="F22" s="648"/>
      <c r="G22" s="161"/>
      <c r="H22" s="161"/>
      <c r="I22" s="161"/>
      <c r="J22" s="161"/>
      <c r="K22" s="161"/>
      <c r="L22" s="161"/>
      <c r="M22" s="153"/>
      <c r="N22" s="153"/>
    </row>
    <row r="23" spans="1:14" ht="14.25">
      <c r="A23" s="295"/>
      <c r="B23" s="297" t="s">
        <v>27</v>
      </c>
      <c r="C23" s="216"/>
      <c r="D23" s="311"/>
      <c r="E23" s="649"/>
      <c r="F23" s="649"/>
      <c r="G23" s="161"/>
      <c r="H23" s="161"/>
      <c r="I23" s="161"/>
      <c r="J23" s="161"/>
      <c r="K23" s="161"/>
      <c r="L23" s="161"/>
      <c r="M23" s="153"/>
      <c r="N23" s="153"/>
    </row>
    <row r="24" spans="1:14" ht="14.25">
      <c r="A24" s="295"/>
      <c r="B24" s="297" t="s">
        <v>139</v>
      </c>
      <c r="C24" s="312"/>
      <c r="D24" s="311"/>
      <c r="E24" s="649"/>
      <c r="F24" s="649"/>
      <c r="G24" s="161"/>
      <c r="H24" s="161"/>
      <c r="I24" s="161"/>
      <c r="J24" s="161"/>
      <c r="K24" s="161"/>
      <c r="L24" s="161"/>
      <c r="M24" s="313"/>
      <c r="N24" s="313"/>
    </row>
    <row r="25" spans="1:14" ht="14.25">
      <c r="A25" s="295"/>
      <c r="B25" s="297" t="s">
        <v>135</v>
      </c>
      <c r="C25" s="312"/>
      <c r="D25" s="311"/>
      <c r="E25" s="649"/>
      <c r="F25" s="649"/>
      <c r="G25" s="161"/>
      <c r="H25" s="161"/>
      <c r="I25" s="161"/>
      <c r="J25" s="161"/>
      <c r="K25" s="161"/>
      <c r="L25" s="161"/>
      <c r="M25" s="313"/>
      <c r="N25" s="313"/>
    </row>
    <row r="26" spans="1:14" ht="14.25">
      <c r="A26" s="299"/>
      <c r="B26" s="297" t="s">
        <v>112</v>
      </c>
      <c r="C26" s="312"/>
      <c r="D26" s="311"/>
      <c r="E26" s="649"/>
      <c r="F26" s="649"/>
      <c r="G26" s="161"/>
      <c r="H26" s="161"/>
      <c r="I26" s="161"/>
      <c r="J26" s="161"/>
      <c r="K26" s="161"/>
      <c r="L26" s="161"/>
      <c r="M26" s="313"/>
      <c r="N26" s="313"/>
    </row>
    <row r="27" spans="1:14" ht="14.25">
      <c r="A27" s="150" t="s">
        <v>703</v>
      </c>
      <c r="B27" s="297" t="s">
        <v>114</v>
      </c>
      <c r="C27" s="682"/>
      <c r="D27" s="311"/>
      <c r="E27" s="311"/>
      <c r="F27" s="311"/>
      <c r="G27" s="313"/>
      <c r="H27" s="313"/>
      <c r="I27" s="313"/>
      <c r="J27" s="313"/>
      <c r="K27" s="313"/>
      <c r="L27" s="313"/>
      <c r="M27" s="153"/>
      <c r="N27" s="153"/>
    </row>
    <row r="28" spans="1:14" ht="14.25">
      <c r="A28" s="295" t="s">
        <v>111</v>
      </c>
      <c r="B28" s="297" t="s">
        <v>26</v>
      </c>
      <c r="C28" s="216"/>
      <c r="D28" s="611"/>
      <c r="E28" s="648"/>
      <c r="F28" s="648"/>
      <c r="G28" s="161"/>
      <c r="H28" s="161"/>
      <c r="I28" s="161"/>
      <c r="J28" s="161"/>
      <c r="K28" s="161"/>
      <c r="L28" s="161"/>
      <c r="M28" s="153"/>
      <c r="N28" s="153"/>
    </row>
    <row r="29" spans="1:14" ht="14.25">
      <c r="A29" s="295"/>
      <c r="B29" s="297" t="s">
        <v>27</v>
      </c>
      <c r="C29" s="216"/>
      <c r="D29" s="311"/>
      <c r="E29" s="649"/>
      <c r="F29" s="649"/>
      <c r="G29" s="161"/>
      <c r="H29" s="161"/>
      <c r="I29" s="161"/>
      <c r="J29" s="161"/>
      <c r="K29" s="161"/>
      <c r="L29" s="161"/>
      <c r="M29" s="153"/>
      <c r="N29" s="153"/>
    </row>
    <row r="30" spans="1:14" ht="14.25">
      <c r="A30" s="295"/>
      <c r="B30" s="297" t="s">
        <v>139</v>
      </c>
      <c r="C30" s="312"/>
      <c r="D30" s="311"/>
      <c r="E30" s="649"/>
      <c r="F30" s="649"/>
      <c r="G30" s="161"/>
      <c r="H30" s="161"/>
      <c r="I30" s="161"/>
      <c r="J30" s="161"/>
      <c r="K30" s="161"/>
      <c r="L30" s="161"/>
      <c r="M30" s="313"/>
      <c r="N30" s="313"/>
    </row>
    <row r="31" spans="1:14" ht="14.25">
      <c r="A31" s="295"/>
      <c r="B31" s="297" t="s">
        <v>135</v>
      </c>
      <c r="C31" s="312"/>
      <c r="D31" s="311"/>
      <c r="E31" s="649"/>
      <c r="F31" s="649"/>
      <c r="G31" s="161"/>
      <c r="H31" s="161"/>
      <c r="I31" s="161"/>
      <c r="J31" s="161"/>
      <c r="K31" s="161"/>
      <c r="L31" s="161"/>
      <c r="M31" s="313"/>
      <c r="N31" s="313"/>
    </row>
    <row r="32" spans="1:14" ht="14.25">
      <c r="A32" s="299"/>
      <c r="B32" s="297" t="s">
        <v>112</v>
      </c>
      <c r="C32" s="312"/>
      <c r="D32" s="311"/>
      <c r="E32" s="311"/>
      <c r="F32" s="311"/>
      <c r="G32" s="317"/>
      <c r="H32" s="317"/>
      <c r="I32" s="317"/>
      <c r="J32" s="317"/>
      <c r="K32" s="317"/>
      <c r="L32" s="317"/>
      <c r="M32" s="313"/>
      <c r="N32" s="313"/>
    </row>
  </sheetData>
  <autoFilter ref="A4:M32"/>
  <mergeCells count="11">
    <mergeCell ref="N4:N5"/>
    <mergeCell ref="M4:M5"/>
    <mergeCell ref="E4:E5"/>
    <mergeCell ref="H3:L3"/>
    <mergeCell ref="A4:A5"/>
    <mergeCell ref="B4:B5"/>
    <mergeCell ref="C4:C5"/>
    <mergeCell ref="D4:D5"/>
    <mergeCell ref="F4:F5"/>
    <mergeCell ref="G4:G5"/>
    <mergeCell ref="H4:L4"/>
  </mergeCells>
  <printOptions gridLines="1"/>
  <pageMargins left="0.19685039370078741" right="0.19685039370078741" top="0.47244094488188981" bottom="0.98425196850393704" header="0.23622047244094491" footer="0.19685039370078741"/>
  <pageSetup paperSize="9" scale="73" orientation="portrait" r:id="rId1"/>
  <headerFooter alignWithMargins="0">
    <oddFooter>&amp;C&amp;P/&amp;N&amp;R&amp;D&amp;T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0"/>
  <sheetViews>
    <sheetView showZeros="0" zoomScaleNormal="100" workbookViewId="0"/>
  </sheetViews>
  <sheetFormatPr defaultRowHeight="12.75"/>
  <cols>
    <col min="1" max="1" width="59.28515625" bestFit="1" customWidth="1"/>
    <col min="2" max="2" width="10.140625" style="81" customWidth="1"/>
    <col min="3" max="3" width="10.140625" style="63" bestFit="1" customWidth="1"/>
    <col min="4" max="4" width="10.140625" bestFit="1" customWidth="1"/>
  </cols>
  <sheetData>
    <row r="1" spans="1:4" ht="15">
      <c r="A1" s="35" t="s">
        <v>42</v>
      </c>
      <c r="B1" s="35"/>
    </row>
    <row r="2" spans="1:4" s="81" customFormat="1" ht="12.75" customHeight="1">
      <c r="A2" s="35"/>
      <c r="B2" s="35"/>
      <c r="C2" s="63"/>
    </row>
    <row r="3" spans="1:4">
      <c r="C3" s="187"/>
      <c r="D3" s="186"/>
    </row>
    <row r="4" spans="1:4" ht="25.5">
      <c r="A4" s="33"/>
      <c r="B4" s="189" t="s">
        <v>267</v>
      </c>
      <c r="C4" s="188">
        <v>2018</v>
      </c>
      <c r="D4" s="189" t="s">
        <v>266</v>
      </c>
    </row>
    <row r="5" spans="1:4">
      <c r="A5" s="64" t="s">
        <v>43</v>
      </c>
      <c r="B5" s="119">
        <v>30000000</v>
      </c>
      <c r="C5" s="119">
        <f>C6</f>
        <v>30000000</v>
      </c>
      <c r="D5" s="119">
        <f t="shared" ref="D5" si="0">D6</f>
        <v>35000000</v>
      </c>
    </row>
    <row r="6" spans="1:4">
      <c r="A6" s="65" t="s">
        <v>88</v>
      </c>
      <c r="B6" s="120">
        <v>30000000</v>
      </c>
      <c r="C6" s="120">
        <v>30000000</v>
      </c>
      <c r="D6" s="120">
        <v>35000000</v>
      </c>
    </row>
    <row r="7" spans="1:4">
      <c r="A7" s="33"/>
      <c r="B7" s="120"/>
      <c r="C7" s="120"/>
      <c r="D7" s="120"/>
    </row>
    <row r="8" spans="1:4">
      <c r="A8" s="64" t="s">
        <v>44</v>
      </c>
      <c r="B8" s="119">
        <v>9913194.6899999995</v>
      </c>
      <c r="C8" s="119">
        <f>C9</f>
        <v>18489583</v>
      </c>
      <c r="D8" s="119">
        <f>D9</f>
        <v>18489583</v>
      </c>
    </row>
    <row r="9" spans="1:4">
      <c r="A9" s="65" t="s">
        <v>88</v>
      </c>
      <c r="B9" s="120">
        <v>9913194.6899999995</v>
      </c>
      <c r="C9" s="120">
        <v>18489583</v>
      </c>
      <c r="D9" s="120">
        <v>18489583</v>
      </c>
    </row>
    <row r="10" spans="1:4">
      <c r="A10" s="65"/>
      <c r="B10" s="120"/>
      <c r="C10" s="120"/>
      <c r="D10" s="120"/>
    </row>
    <row r="11" spans="1:4">
      <c r="A11" s="64" t="s">
        <v>82</v>
      </c>
      <c r="B11" s="119">
        <v>15054414.16</v>
      </c>
      <c r="C11" s="119">
        <f>C13</f>
        <v>642637</v>
      </c>
      <c r="D11" s="119">
        <f t="shared" ref="D11" si="1">D13</f>
        <v>700103</v>
      </c>
    </row>
    <row r="12" spans="1:4">
      <c r="A12" s="67"/>
      <c r="B12" s="120"/>
      <c r="C12" s="120"/>
      <c r="D12" s="120"/>
    </row>
    <row r="13" spans="1:4">
      <c r="A13" s="68" t="s">
        <v>109</v>
      </c>
      <c r="B13" s="120">
        <v>15054414.16</v>
      </c>
      <c r="C13" s="120">
        <f>C14</f>
        <v>642637</v>
      </c>
      <c r="D13" s="120">
        <f t="shared" ref="D13" si="2">D14</f>
        <v>700103</v>
      </c>
    </row>
    <row r="14" spans="1:4">
      <c r="A14" s="67" t="s">
        <v>137</v>
      </c>
      <c r="B14" s="120">
        <v>15054414.16</v>
      </c>
      <c r="C14" s="120">
        <v>642637</v>
      </c>
      <c r="D14" s="120">
        <v>700103</v>
      </c>
    </row>
    <row r="15" spans="1:4">
      <c r="A15" s="58"/>
      <c r="B15" s="58"/>
      <c r="C15" s="69"/>
    </row>
    <row r="16" spans="1:4">
      <c r="A16" s="58"/>
      <c r="B16" s="58"/>
      <c r="C16" s="69"/>
    </row>
    <row r="17" spans="1:4">
      <c r="A17" s="58"/>
      <c r="B17" s="58"/>
      <c r="C17" s="69"/>
    </row>
    <row r="18" spans="1:4">
      <c r="A18" s="58"/>
      <c r="B18" s="58"/>
      <c r="C18" s="69"/>
    </row>
    <row r="19" spans="1:4" ht="15">
      <c r="A19" s="33"/>
      <c r="B19" s="33"/>
      <c r="C19" s="339"/>
      <c r="D19" s="339"/>
    </row>
    <row r="20" spans="1:4">
      <c r="A20" s="16"/>
      <c r="B20" s="16"/>
    </row>
    <row r="30" spans="1:4" ht="15" customHeight="1"/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D49"/>
  <sheetViews>
    <sheetView showZeros="0" zoomScaleNormal="100" workbookViewId="0">
      <selection activeCell="D15" sqref="D15"/>
    </sheetView>
  </sheetViews>
  <sheetFormatPr defaultRowHeight="12.75"/>
  <cols>
    <col min="1" max="1" width="49.7109375" customWidth="1"/>
    <col min="2" max="2" width="11.7109375" style="81" bestFit="1" customWidth="1"/>
    <col min="3" max="3" width="11.140625" style="33" bestFit="1" customWidth="1"/>
    <col min="4" max="4" width="11.7109375" bestFit="1" customWidth="1"/>
  </cols>
  <sheetData>
    <row r="1" spans="1:4" ht="30" customHeight="1">
      <c r="A1" s="77" t="s">
        <v>132</v>
      </c>
      <c r="B1" s="77"/>
    </row>
    <row r="2" spans="1:4" s="81" customFormat="1" ht="12.75" customHeight="1">
      <c r="A2" s="288" t="s">
        <v>406</v>
      </c>
      <c r="B2" s="77"/>
      <c r="C2" s="33"/>
    </row>
    <row r="3" spans="1:4" ht="12.75" customHeight="1">
      <c r="A3" s="59"/>
      <c r="B3" s="79"/>
      <c r="C3" s="79"/>
      <c r="D3" s="79"/>
    </row>
    <row r="4" spans="1:4" s="81" customFormat="1" ht="34.5" customHeight="1">
      <c r="A4" s="59"/>
      <c r="B4" s="189" t="s">
        <v>267</v>
      </c>
      <c r="C4" s="188">
        <v>2018</v>
      </c>
      <c r="D4" s="189" t="s">
        <v>266</v>
      </c>
    </row>
    <row r="5" spans="1:4">
      <c r="A5" s="144" t="s">
        <v>3</v>
      </c>
      <c r="B5" s="340">
        <f>SUM(B7:B10)</f>
        <v>600341365.96999991</v>
      </c>
      <c r="C5" s="340" t="e">
        <f>SUM(C7:C10)</f>
        <v>#REF!</v>
      </c>
      <c r="D5" s="340" t="e">
        <f t="shared" ref="D5" si="0">SUM(D7:D10)</f>
        <v>#REF!</v>
      </c>
    </row>
    <row r="6" spans="1:4">
      <c r="A6" s="83"/>
      <c r="B6" s="341"/>
      <c r="C6" s="342"/>
      <c r="D6" s="341"/>
    </row>
    <row r="7" spans="1:4">
      <c r="A7" s="83" t="s">
        <v>4</v>
      </c>
      <c r="B7" s="342">
        <v>413150588.56</v>
      </c>
      <c r="C7" s="342" t="e">
        <f>'1 KOONDEELARVE'!C8+'1 KOONDEELARVE'!C9</f>
        <v>#REF!</v>
      </c>
      <c r="D7" s="343" t="e">
        <f>'1 KOONDEELARVE'!D8+'1 KOONDEELARVE'!D9</f>
        <v>#REF!</v>
      </c>
    </row>
    <row r="8" spans="1:4">
      <c r="A8" s="83" t="s">
        <v>5</v>
      </c>
      <c r="B8" s="342">
        <v>79982610.939999893</v>
      </c>
      <c r="C8" s="342" t="e">
        <f ca="1">'1 KOONDEELARVE'!C10+'1 KOONDEELARVE'!C11</f>
        <v>#REF!</v>
      </c>
      <c r="D8" s="343" t="e">
        <f ca="1">'1 KOONDEELARVE'!D10+'1 KOONDEELARVE'!D11</f>
        <v>#REF!</v>
      </c>
    </row>
    <row r="9" spans="1:4">
      <c r="A9" s="83" t="s">
        <v>6</v>
      </c>
      <c r="B9" s="342">
        <v>103851699.47</v>
      </c>
      <c r="C9" s="342">
        <v>112612471</v>
      </c>
      <c r="D9" s="343" t="e">
        <f>'Toetused (4)'!#REF!+'Toetused (4)'!G9+'Toetused (4)'!#REF!+'Toetused (4)'!#REF!+'Toetused (4)'!#REF!+'Toetused (4)'!#REF!</f>
        <v>#REF!</v>
      </c>
    </row>
    <row r="10" spans="1:4">
      <c r="A10" s="83" t="s">
        <v>7</v>
      </c>
      <c r="B10" s="342">
        <v>3356467</v>
      </c>
      <c r="C10" s="342" t="e">
        <f ca="1">'1 KOONDEELARVE'!C12+'1 KOONDEELARVE'!C17+#REF!</f>
        <v>#REF!</v>
      </c>
      <c r="D10" s="343" t="e">
        <f ca="1">'1 KOONDEELARVE'!D12+'1 KOONDEELARVE'!D17+#REF!</f>
        <v>#REF!</v>
      </c>
    </row>
    <row r="11" spans="1:4">
      <c r="A11" s="85"/>
      <c r="B11" s="342"/>
      <c r="C11" s="342"/>
      <c r="D11" s="286"/>
    </row>
    <row r="12" spans="1:4">
      <c r="A12" s="97" t="s">
        <v>8</v>
      </c>
      <c r="B12" s="340">
        <f t="shared" ref="B12" si="1">B14+B15+B16</f>
        <v>508369703.73000377</v>
      </c>
      <c r="C12" s="340">
        <f>C14+C15+C16</f>
        <v>563242635</v>
      </c>
      <c r="D12" s="340" t="e">
        <f>'1 KOONDEELARVE'!D25-'1 KOONDEELARVE'!D93</f>
        <v>#REF!</v>
      </c>
    </row>
    <row r="13" spans="1:4">
      <c r="A13" s="85"/>
      <c r="B13" s="341"/>
      <c r="C13" s="342"/>
      <c r="D13" s="342"/>
    </row>
    <row r="14" spans="1:4">
      <c r="A14" s="85" t="s">
        <v>9</v>
      </c>
      <c r="B14" s="344">
        <v>97797163.680000052</v>
      </c>
      <c r="C14" s="345">
        <v>104692931</v>
      </c>
      <c r="D14" s="345">
        <v>105000000</v>
      </c>
    </row>
    <row r="15" spans="1:4">
      <c r="A15" s="85" t="s">
        <v>10</v>
      </c>
      <c r="B15" s="342">
        <v>410572540.05000371</v>
      </c>
      <c r="C15" s="342">
        <v>454789967</v>
      </c>
      <c r="D15" s="344" t="e">
        <f>D12-D14-D16</f>
        <v>#REF!</v>
      </c>
    </row>
    <row r="16" spans="1:4">
      <c r="A16" s="85" t="s">
        <v>110</v>
      </c>
      <c r="B16" s="342">
        <v>0</v>
      </c>
      <c r="C16" s="342">
        <v>3759737</v>
      </c>
      <c r="D16" s="344" t="e">
        <f>#REF!+#REF!+#REF!+#REF!</f>
        <v>#REF!</v>
      </c>
    </row>
    <row r="17" spans="1:4">
      <c r="A17" s="85"/>
      <c r="B17" s="341"/>
      <c r="C17" s="341"/>
      <c r="D17" s="286"/>
    </row>
    <row r="18" spans="1:4">
      <c r="A18" s="85" t="s">
        <v>11</v>
      </c>
      <c r="B18" s="342">
        <f t="shared" ref="B18" si="2">B5-B12</f>
        <v>91971662.239996135</v>
      </c>
      <c r="C18" s="342" t="e">
        <f>C5-C12</f>
        <v>#REF!</v>
      </c>
      <c r="D18" s="342" t="e">
        <f t="shared" ref="D18" si="3">D5-D12</f>
        <v>#REF!</v>
      </c>
    </row>
    <row r="19" spans="1:4">
      <c r="A19" s="85"/>
      <c r="B19" s="341"/>
      <c r="C19" s="341"/>
      <c r="D19" s="286"/>
    </row>
    <row r="20" spans="1:4">
      <c r="A20" s="144" t="s">
        <v>12</v>
      </c>
      <c r="B20" s="340">
        <f t="shared" ref="B20" si="4">B22-B23+B24-B25+B28-B29-B27</f>
        <v>-101577479.4199999</v>
      </c>
      <c r="C20" s="340">
        <f>C22-C23+C24-C25+C28-C29-C27</f>
        <v>-81050397</v>
      </c>
      <c r="D20" s="340" t="e">
        <f t="shared" ref="D20" si="5">D22-D23+D24-D25+D28-D29-D27</f>
        <v>#REF!</v>
      </c>
    </row>
    <row r="21" spans="1:4">
      <c r="A21" s="83"/>
      <c r="B21" s="341"/>
      <c r="C21" s="341"/>
      <c r="D21" s="286"/>
    </row>
    <row r="22" spans="1:4">
      <c r="A22" s="83" t="s">
        <v>13</v>
      </c>
      <c r="B22" s="342">
        <v>3325266.21</v>
      </c>
      <c r="C22" s="342">
        <v>2800616</v>
      </c>
      <c r="D22" s="343" t="e">
        <f>'1 KOONDEELARVE'!D14+'1 KOONDEELARVE'!D16-#REF!</f>
        <v>#REF!</v>
      </c>
    </row>
    <row r="23" spans="1:4">
      <c r="A23" s="83" t="s">
        <v>14</v>
      </c>
      <c r="B23" s="342">
        <v>89418569.559999898</v>
      </c>
      <c r="C23" s="342">
        <v>107242863</v>
      </c>
      <c r="D23" s="344">
        <f>'1 KOONDEELARVE'!D31+'1 KOONDEELARVE'!D45-D25</f>
        <v>116342896</v>
      </c>
    </row>
    <row r="24" spans="1:4">
      <c r="A24" s="83" t="s">
        <v>15</v>
      </c>
      <c r="B24" s="342">
        <v>15730073.449999999</v>
      </c>
      <c r="C24" s="342">
        <v>29409318</v>
      </c>
      <c r="D24" s="343" t="e">
        <f>'Toetused (4)'!G6-D9</f>
        <v>#REF!</v>
      </c>
    </row>
    <row r="25" spans="1:4">
      <c r="A25" s="83" t="s">
        <v>16</v>
      </c>
      <c r="B25" s="342">
        <v>32992245.5</v>
      </c>
      <c r="C25" s="346">
        <v>5943200</v>
      </c>
      <c r="D25" s="344">
        <f>'Inv koond - põhitaotlus (6a)'!B6</f>
        <v>2510850</v>
      </c>
    </row>
    <row r="26" spans="1:4" s="81" customFormat="1">
      <c r="A26" s="83"/>
      <c r="B26" s="342"/>
      <c r="C26" s="342"/>
      <c r="D26" s="286"/>
    </row>
    <row r="27" spans="1:4">
      <c r="A27" s="85" t="s">
        <v>388</v>
      </c>
      <c r="B27" s="342">
        <v>880000</v>
      </c>
      <c r="C27" s="342"/>
      <c r="D27" s="286"/>
    </row>
    <row r="28" spans="1:4">
      <c r="A28" s="83" t="s">
        <v>17</v>
      </c>
      <c r="B28" s="342">
        <v>7352545.6500000004</v>
      </c>
      <c r="C28" s="342">
        <v>7270000</v>
      </c>
      <c r="D28" s="343" t="e">
        <f>'1 KOONDEELARVE'!D13+'1 KOONDEELARVE'!D18</f>
        <v>#REF!</v>
      </c>
    </row>
    <row r="29" spans="1:4">
      <c r="A29" s="83" t="s">
        <v>18</v>
      </c>
      <c r="B29" s="342">
        <v>4694549.67</v>
      </c>
      <c r="C29" s="342">
        <v>7344268</v>
      </c>
      <c r="D29" s="344">
        <f>'1 KOONDEELARVE'!D93</f>
        <v>7455968</v>
      </c>
    </row>
    <row r="30" spans="1:4">
      <c r="A30" s="83"/>
      <c r="B30" s="341"/>
      <c r="C30" s="341"/>
      <c r="D30" s="286"/>
    </row>
    <row r="31" spans="1:4">
      <c r="A31" s="83" t="s">
        <v>19</v>
      </c>
      <c r="B31" s="342">
        <f t="shared" ref="B31" si="6">B18+B20</f>
        <v>-9605817.1800037622</v>
      </c>
      <c r="C31" s="342" t="e">
        <f>C18+C20</f>
        <v>#REF!</v>
      </c>
      <c r="D31" s="342" t="e">
        <f t="shared" ref="D31" si="7">D18+D20</f>
        <v>#REF!</v>
      </c>
    </row>
    <row r="32" spans="1:4">
      <c r="A32" s="83"/>
      <c r="B32" s="341"/>
      <c r="C32" s="341"/>
      <c r="D32" s="286"/>
    </row>
    <row r="33" spans="1:4">
      <c r="A33" s="144" t="s">
        <v>20</v>
      </c>
      <c r="B33" s="340">
        <f t="shared" ref="B33" si="8">B35-B36</f>
        <v>5255055.1499999985</v>
      </c>
      <c r="C33" s="340">
        <f>C35-C36</f>
        <v>10832980</v>
      </c>
      <c r="D33" s="340">
        <f t="shared" ref="D33" si="9">D35-D36</f>
        <v>15810314</v>
      </c>
    </row>
    <row r="34" spans="1:4">
      <c r="A34" s="83"/>
      <c r="B34" s="341"/>
      <c r="C34" s="341"/>
      <c r="D34" s="286"/>
    </row>
    <row r="35" spans="1:4">
      <c r="A35" s="83" t="s">
        <v>21</v>
      </c>
      <c r="B35" s="342">
        <v>30242964</v>
      </c>
      <c r="C35" s="342">
        <f>'1 KOONDEELARVE'!C63</f>
        <v>30000000</v>
      </c>
      <c r="D35" s="344">
        <f>'1 KOONDEELARVE'!D63</f>
        <v>35000000</v>
      </c>
    </row>
    <row r="36" spans="1:4">
      <c r="A36" s="83" t="s">
        <v>22</v>
      </c>
      <c r="B36" s="342">
        <v>24987908.850000001</v>
      </c>
      <c r="C36" s="342">
        <f>'5 FIN.TEH'!C8+'5 FIN.TEH'!C11-'1 KOONDEELARVE'!C67</f>
        <v>19167020</v>
      </c>
      <c r="D36" s="344">
        <f>'1 KOONDEELARVE'!D64+'1 KOONDEELARVE'!D65</f>
        <v>19189686</v>
      </c>
    </row>
    <row r="37" spans="1:4">
      <c r="A37" s="85"/>
      <c r="B37" s="341"/>
      <c r="C37" s="341"/>
      <c r="D37" s="286"/>
    </row>
    <row r="38" spans="1:4">
      <c r="A38" s="97" t="s">
        <v>23</v>
      </c>
      <c r="B38" s="340">
        <f t="shared" ref="B38" si="10">B39+B33+B31</f>
        <v>1319223.3499962352</v>
      </c>
      <c r="C38" s="340" t="e">
        <f>C39+C33+C31</f>
        <v>#REF!</v>
      </c>
      <c r="D38" s="340" t="e">
        <f t="shared" ref="D38" si="11">D39+D33+D31</f>
        <v>#REF!</v>
      </c>
    </row>
    <row r="39" spans="1:4" s="81" customFormat="1">
      <c r="A39" s="144" t="s">
        <v>24</v>
      </c>
      <c r="B39" s="340">
        <v>5669985.3799999999</v>
      </c>
      <c r="C39" s="340">
        <v>34800</v>
      </c>
      <c r="D39" s="286"/>
    </row>
    <row r="40" spans="1:4" s="81" customFormat="1">
      <c r="A40" s="144"/>
      <c r="B40" s="347"/>
      <c r="C40" s="340"/>
      <c r="D40" s="286"/>
    </row>
    <row r="41" spans="1:4">
      <c r="A41" s="281" t="s">
        <v>398</v>
      </c>
      <c r="B41" s="348">
        <v>254287409.94999999</v>
      </c>
      <c r="C41" s="349">
        <f>B41+C33</f>
        <v>265120389.94999999</v>
      </c>
      <c r="D41" s="349">
        <f t="shared" ref="D41" si="12">C41+D33</f>
        <v>280930703.94999999</v>
      </c>
    </row>
    <row r="42" spans="1:4" s="81" customFormat="1">
      <c r="A42" s="282" t="s">
        <v>399</v>
      </c>
      <c r="B42" s="350">
        <v>248865627.93000001</v>
      </c>
      <c r="C42" s="350">
        <f>B42+C33</f>
        <v>259698607.93000001</v>
      </c>
      <c r="D42" s="350">
        <f t="shared" ref="D42" si="13">C42+D33</f>
        <v>275508921.93000001</v>
      </c>
    </row>
    <row r="43" spans="1:4">
      <c r="A43" s="283" t="s">
        <v>400</v>
      </c>
      <c r="B43" s="350">
        <f>B38</f>
        <v>1319223.3499962352</v>
      </c>
      <c r="C43" s="350" t="e">
        <f>C38</f>
        <v>#REF!</v>
      </c>
      <c r="D43" s="350" t="e">
        <f t="shared" ref="D43" si="14">D38</f>
        <v>#REF!</v>
      </c>
    </row>
    <row r="44" spans="1:4">
      <c r="A44" s="281" t="s">
        <v>401</v>
      </c>
      <c r="B44" s="349">
        <v>62570318.189999998</v>
      </c>
      <c r="C44" s="349" t="e">
        <f>B44+C43</f>
        <v>#REF!</v>
      </c>
      <c r="D44" s="349" t="e">
        <f t="shared" ref="D44" si="15">C44+D43</f>
        <v>#REF!</v>
      </c>
    </row>
    <row r="45" spans="1:4">
      <c r="A45" s="281" t="s">
        <v>402</v>
      </c>
      <c r="B45" s="349">
        <f>B41-B44</f>
        <v>191717091.75999999</v>
      </c>
      <c r="C45" s="349" t="e">
        <f>C41-C44</f>
        <v>#REF!</v>
      </c>
      <c r="D45" s="349" t="e">
        <f t="shared" ref="D45" si="16">D41-D44</f>
        <v>#REF!</v>
      </c>
    </row>
    <row r="46" spans="1:4">
      <c r="A46" s="281" t="s">
        <v>403</v>
      </c>
      <c r="B46" s="351">
        <f>B45/B5%</f>
        <v>31.934679605199889</v>
      </c>
      <c r="C46" s="351" t="e">
        <f>C45/C5%</f>
        <v>#REF!</v>
      </c>
      <c r="D46" s="351" t="e">
        <f t="shared" ref="D46" si="17">D45/D5%</f>
        <v>#REF!</v>
      </c>
    </row>
    <row r="48" spans="1:4">
      <c r="A48" s="284" t="s">
        <v>404</v>
      </c>
      <c r="B48" s="285">
        <v>8.8072945475145784E-2</v>
      </c>
      <c r="C48" s="285" t="e">
        <f>(C5-B5)/B5</f>
        <v>#REF!</v>
      </c>
      <c r="D48" s="285" t="e">
        <f t="shared" ref="D48" si="18">(D5-C5)/C5</f>
        <v>#REF!</v>
      </c>
    </row>
    <row r="49" spans="1:4">
      <c r="A49" s="284" t="s">
        <v>405</v>
      </c>
      <c r="B49" s="285">
        <v>5.9812663466804354E-2</v>
      </c>
      <c r="C49" s="285">
        <f>(C12-B12)/B12</f>
        <v>0.1079390271831371</v>
      </c>
      <c r="D49" s="285" t="e">
        <f t="shared" ref="D49" si="19">(D12-C12)/C12</f>
        <v>#REF!</v>
      </c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scale="21" orientation="landscape" r:id="rId1"/>
  <headerFooter alignWithMargins="0">
    <oddFooter>&amp;C&amp;P/&amp;N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2:G65"/>
  <sheetViews>
    <sheetView zoomScaleNormal="100" workbookViewId="0">
      <selection activeCell="I21" sqref="I21"/>
    </sheetView>
  </sheetViews>
  <sheetFormatPr defaultColWidth="9.140625" defaultRowHeight="12.75"/>
  <cols>
    <col min="1" max="1" width="63.5703125" style="198" customWidth="1"/>
    <col min="2" max="7" width="11.7109375" style="198" customWidth="1"/>
    <col min="8" max="16384" width="9.140625" style="198"/>
  </cols>
  <sheetData>
    <row r="2" spans="1:7">
      <c r="A2" s="437" t="s">
        <v>546</v>
      </c>
      <c r="B2" s="437"/>
      <c r="C2" s="437"/>
      <c r="D2" s="437"/>
      <c r="E2" s="437"/>
      <c r="F2" s="437"/>
      <c r="G2" s="438" t="s">
        <v>547</v>
      </c>
    </row>
    <row r="3" spans="1:7">
      <c r="A3" s="437"/>
      <c r="B3" s="437"/>
      <c r="C3" s="437"/>
      <c r="D3" s="437"/>
      <c r="E3" s="437"/>
      <c r="F3" s="437"/>
      <c r="G3" s="437"/>
    </row>
    <row r="4" spans="1:7">
      <c r="A4" s="437" t="s">
        <v>548</v>
      </c>
      <c r="B4" s="437"/>
      <c r="C4" s="437"/>
      <c r="D4" s="437"/>
      <c r="E4" s="437"/>
      <c r="F4" s="437"/>
      <c r="G4" s="437"/>
    </row>
    <row r="5" spans="1:7">
      <c r="A5" s="778"/>
      <c r="B5" s="778"/>
      <c r="C5" s="778"/>
      <c r="D5" s="778"/>
      <c r="E5" s="778"/>
      <c r="F5" s="778"/>
      <c r="G5" s="778"/>
    </row>
    <row r="6" spans="1:7">
      <c r="A6" s="779" t="s">
        <v>549</v>
      </c>
      <c r="B6" s="780"/>
      <c r="C6" s="780"/>
      <c r="D6" s="780"/>
      <c r="E6" s="780"/>
      <c r="F6" s="780"/>
      <c r="G6" s="781"/>
    </row>
    <row r="7" spans="1:7">
      <c r="A7" s="782" t="s">
        <v>550</v>
      </c>
      <c r="B7" s="783"/>
      <c r="C7" s="783"/>
      <c r="D7" s="783"/>
      <c r="E7" s="783"/>
      <c r="F7" s="783"/>
      <c r="G7" s="784"/>
    </row>
    <row r="8" spans="1:7" ht="26.25" customHeight="1">
      <c r="A8" s="775" t="s">
        <v>551</v>
      </c>
      <c r="B8" s="776"/>
      <c r="C8" s="776"/>
      <c r="D8" s="776"/>
      <c r="E8" s="776"/>
      <c r="F8" s="776"/>
      <c r="G8" s="777"/>
    </row>
    <row r="9" spans="1:7">
      <c r="A9" s="785" t="s">
        <v>552</v>
      </c>
      <c r="B9" s="786"/>
      <c r="C9" s="786"/>
      <c r="D9" s="786"/>
      <c r="E9" s="786"/>
      <c r="F9" s="786"/>
      <c r="G9" s="787"/>
    </row>
    <row r="10" spans="1:7" ht="24.75" customHeight="1">
      <c r="A10" s="785" t="s">
        <v>553</v>
      </c>
      <c r="B10" s="786"/>
      <c r="C10" s="786"/>
      <c r="D10" s="786"/>
      <c r="E10" s="786"/>
      <c r="F10" s="786"/>
      <c r="G10" s="787"/>
    </row>
    <row r="11" spans="1:7">
      <c r="A11" s="785" t="s">
        <v>554</v>
      </c>
      <c r="B11" s="786"/>
      <c r="C11" s="786"/>
      <c r="D11" s="786"/>
      <c r="E11" s="786"/>
      <c r="F11" s="786"/>
      <c r="G11" s="787"/>
    </row>
    <row r="12" spans="1:7" ht="34.5" customHeight="1">
      <c r="A12" s="775" t="s">
        <v>555</v>
      </c>
      <c r="B12" s="776"/>
      <c r="C12" s="776"/>
      <c r="D12" s="776"/>
      <c r="E12" s="776"/>
      <c r="F12" s="776"/>
      <c r="G12" s="777"/>
    </row>
    <row r="13" spans="1:7" ht="34.5" customHeight="1">
      <c r="A13" s="788" t="s">
        <v>556</v>
      </c>
      <c r="B13" s="789"/>
      <c r="C13" s="789"/>
      <c r="D13" s="789"/>
      <c r="E13" s="789"/>
      <c r="F13" s="789"/>
      <c r="G13" s="790"/>
    </row>
    <row r="14" spans="1:7">
      <c r="A14" s="785" t="s">
        <v>557</v>
      </c>
      <c r="B14" s="786"/>
      <c r="C14" s="786"/>
      <c r="D14" s="786"/>
      <c r="E14" s="786"/>
      <c r="F14" s="786"/>
      <c r="G14" s="787"/>
    </row>
    <row r="15" spans="1:7">
      <c r="A15" s="785" t="s">
        <v>558</v>
      </c>
      <c r="B15" s="786"/>
      <c r="C15" s="786"/>
      <c r="D15" s="786"/>
      <c r="E15" s="786"/>
      <c r="F15" s="786"/>
      <c r="G15" s="787"/>
    </row>
    <row r="16" spans="1:7" ht="30" customHeight="1">
      <c r="A16" s="775" t="s">
        <v>559</v>
      </c>
      <c r="B16" s="776"/>
      <c r="C16" s="776"/>
      <c r="D16" s="776"/>
      <c r="E16" s="776"/>
      <c r="F16" s="776"/>
      <c r="G16" s="777"/>
    </row>
    <row r="17" spans="1:7" ht="27.75" customHeight="1">
      <c r="A17" s="766" t="s">
        <v>560</v>
      </c>
      <c r="B17" s="767"/>
      <c r="C17" s="767"/>
      <c r="D17" s="767"/>
      <c r="E17" s="767"/>
      <c r="F17" s="767"/>
      <c r="G17" s="768"/>
    </row>
    <row r="18" spans="1:7" ht="24.75" customHeight="1">
      <c r="A18" s="769" t="s">
        <v>665</v>
      </c>
      <c r="B18" s="770"/>
      <c r="C18" s="770"/>
      <c r="D18" s="770"/>
      <c r="E18" s="770"/>
      <c r="F18" s="770"/>
      <c r="G18" s="771"/>
    </row>
    <row r="19" spans="1:7" ht="24.75" customHeight="1">
      <c r="A19" s="763" t="s">
        <v>561</v>
      </c>
      <c r="B19" s="764"/>
      <c r="C19" s="764"/>
      <c r="D19" s="764"/>
      <c r="E19" s="764"/>
      <c r="F19" s="764"/>
      <c r="G19" s="765"/>
    </row>
    <row r="20" spans="1:7" ht="13.5" thickBot="1">
      <c r="A20" s="772" t="s">
        <v>562</v>
      </c>
      <c r="B20" s="773"/>
      <c r="C20" s="773"/>
      <c r="D20" s="773"/>
      <c r="E20" s="773"/>
      <c r="F20" s="773"/>
      <c r="G20" s="774"/>
    </row>
    <row r="21" spans="1:7" ht="47.25" customHeight="1">
      <c r="A21" s="515" t="s">
        <v>563</v>
      </c>
      <c r="B21" s="439" t="s">
        <v>564</v>
      </c>
      <c r="C21" s="439" t="s">
        <v>626</v>
      </c>
      <c r="D21" s="439" t="s">
        <v>278</v>
      </c>
      <c r="E21" s="439" t="s">
        <v>627</v>
      </c>
      <c r="F21" s="439">
        <v>2019</v>
      </c>
      <c r="G21" s="439" t="s">
        <v>628</v>
      </c>
    </row>
    <row r="22" spans="1:7">
      <c r="A22" s="516" t="s">
        <v>565</v>
      </c>
      <c r="B22" s="440">
        <f t="shared" ref="B22:G22" si="0">SUM(B23,B24)</f>
        <v>0</v>
      </c>
      <c r="C22" s="440">
        <f t="shared" si="0"/>
        <v>0</v>
      </c>
      <c r="D22" s="440">
        <f t="shared" si="0"/>
        <v>0</v>
      </c>
      <c r="E22" s="440">
        <f t="shared" si="0"/>
        <v>0</v>
      </c>
      <c r="F22" s="440">
        <f t="shared" si="0"/>
        <v>0</v>
      </c>
      <c r="G22" s="440">
        <f t="shared" si="0"/>
        <v>0</v>
      </c>
    </row>
    <row r="23" spans="1:7">
      <c r="A23" s="517" t="s">
        <v>566</v>
      </c>
      <c r="B23" s="441">
        <f>SUM(C23:G23)</f>
        <v>0</v>
      </c>
      <c r="C23" s="441"/>
      <c r="D23" s="441"/>
      <c r="E23" s="441"/>
      <c r="F23" s="441"/>
      <c r="G23" s="441"/>
    </row>
    <row r="24" spans="1:7">
      <c r="A24" s="517" t="s">
        <v>567</v>
      </c>
      <c r="B24" s="441">
        <f>SUM(C24:G24)</f>
        <v>0</v>
      </c>
      <c r="C24" s="441">
        <f>C23*0.2*(100-$B$27)/100</f>
        <v>0</v>
      </c>
      <c r="D24" s="441">
        <f>D23*0.2*(100-$B$27)/100</f>
        <v>0</v>
      </c>
      <c r="E24" s="441">
        <f>E23*0.2*(100-$B$27)/100</f>
        <v>0</v>
      </c>
      <c r="F24" s="441">
        <f>F23*0.2*(100-$B$27)/100</f>
        <v>0</v>
      </c>
      <c r="G24" s="441">
        <f>G23*0.2*(100-$B$27)/100</f>
        <v>0</v>
      </c>
    </row>
    <row r="25" spans="1:7">
      <c r="A25" s="517"/>
      <c r="B25" s="441"/>
      <c r="C25" s="441"/>
      <c r="D25" s="441"/>
      <c r="E25" s="441"/>
      <c r="F25" s="441"/>
      <c r="G25" s="441"/>
    </row>
    <row r="26" spans="1:7">
      <c r="A26" s="517" t="s">
        <v>568</v>
      </c>
      <c r="B26" s="441">
        <f>SUM(C26:G26)</f>
        <v>0</v>
      </c>
      <c r="C26" s="441">
        <f>C23*0.2*($B$27)/100</f>
        <v>0</v>
      </c>
      <c r="D26" s="441">
        <f>D23*0.2*($B$27)/100</f>
        <v>0</v>
      </c>
      <c r="E26" s="441">
        <f>E23*0.2*($B$27)/100</f>
        <v>0</v>
      </c>
      <c r="F26" s="441">
        <f>F23*0.2*($B$27)/100</f>
        <v>0</v>
      </c>
      <c r="G26" s="441">
        <f>G23*0.2*($B$27)/100</f>
        <v>0</v>
      </c>
    </row>
    <row r="27" spans="1:7">
      <c r="A27" s="518" t="s">
        <v>569</v>
      </c>
      <c r="B27" s="441"/>
      <c r="C27" s="442" t="s">
        <v>394</v>
      </c>
      <c r="D27" s="442" t="s">
        <v>394</v>
      </c>
      <c r="E27" s="442" t="s">
        <v>394</v>
      </c>
      <c r="F27" s="442" t="s">
        <v>394</v>
      </c>
      <c r="G27" s="442" t="s">
        <v>394</v>
      </c>
    </row>
    <row r="28" spans="1:7">
      <c r="A28" s="517"/>
      <c r="B28" s="441"/>
      <c r="C28" s="441"/>
      <c r="D28" s="441"/>
      <c r="E28" s="441"/>
      <c r="F28" s="441"/>
      <c r="G28" s="443"/>
    </row>
    <row r="29" spans="1:7">
      <c r="A29" s="519" t="s">
        <v>570</v>
      </c>
      <c r="B29" s="440">
        <f>SUM(C29:G29)</f>
        <v>0</v>
      </c>
      <c r="C29" s="440">
        <f t="shared" ref="C29:G29" si="1">SUM(C30:C39)</f>
        <v>0</v>
      </c>
      <c r="D29" s="440">
        <f t="shared" si="1"/>
        <v>0</v>
      </c>
      <c r="E29" s="440">
        <f t="shared" si="1"/>
        <v>0</v>
      </c>
      <c r="F29" s="440">
        <f t="shared" si="1"/>
        <v>0</v>
      </c>
      <c r="G29" s="440">
        <f t="shared" si="1"/>
        <v>0</v>
      </c>
    </row>
    <row r="30" spans="1:7">
      <c r="A30" s="520" t="s">
        <v>571</v>
      </c>
      <c r="B30" s="444">
        <f t="shared" ref="B30:B38" si="2">SUM(C30:G30)</f>
        <v>0</v>
      </c>
      <c r="C30" s="444"/>
      <c r="D30" s="444"/>
      <c r="E30" s="444"/>
      <c r="F30" s="444"/>
      <c r="G30" s="444"/>
    </row>
    <row r="31" spans="1:7">
      <c r="A31" s="520" t="s">
        <v>572</v>
      </c>
      <c r="B31" s="444">
        <f t="shared" si="2"/>
        <v>0</v>
      </c>
      <c r="C31" s="444"/>
      <c r="D31" s="444"/>
      <c r="E31" s="444"/>
      <c r="F31" s="444"/>
      <c r="G31" s="444"/>
    </row>
    <row r="32" spans="1:7">
      <c r="A32" s="520" t="s">
        <v>573</v>
      </c>
      <c r="B32" s="444">
        <f t="shared" si="2"/>
        <v>0</v>
      </c>
      <c r="C32" s="444"/>
      <c r="D32" s="444"/>
      <c r="E32" s="444"/>
      <c r="F32" s="444"/>
      <c r="G32" s="444"/>
    </row>
    <row r="33" spans="1:7">
      <c r="A33" s="520" t="s">
        <v>574</v>
      </c>
      <c r="B33" s="444">
        <f t="shared" si="2"/>
        <v>0</v>
      </c>
      <c r="C33" s="444"/>
      <c r="D33" s="444"/>
      <c r="E33" s="444"/>
      <c r="F33" s="444"/>
      <c r="G33" s="444"/>
    </row>
    <row r="34" spans="1:7">
      <c r="A34" s="520" t="s">
        <v>575</v>
      </c>
      <c r="B34" s="444">
        <f t="shared" si="2"/>
        <v>0</v>
      </c>
      <c r="C34" s="444"/>
      <c r="D34" s="444"/>
      <c r="E34" s="444"/>
      <c r="F34" s="444"/>
      <c r="G34" s="444"/>
    </row>
    <row r="35" spans="1:7">
      <c r="A35" s="520" t="s">
        <v>576</v>
      </c>
      <c r="B35" s="444">
        <f t="shared" si="2"/>
        <v>0</v>
      </c>
      <c r="C35" s="444"/>
      <c r="D35" s="444"/>
      <c r="E35" s="444"/>
      <c r="F35" s="444"/>
      <c r="G35" s="444"/>
    </row>
    <row r="36" spans="1:7">
      <c r="A36" s="520" t="s">
        <v>577</v>
      </c>
      <c r="B36" s="444">
        <f t="shared" si="2"/>
        <v>0</v>
      </c>
      <c r="C36" s="444"/>
      <c r="D36" s="444"/>
      <c r="E36" s="444"/>
      <c r="F36" s="444"/>
      <c r="G36" s="444"/>
    </row>
    <row r="37" spans="1:7">
      <c r="A37" s="520" t="s">
        <v>578</v>
      </c>
      <c r="B37" s="444">
        <f t="shared" si="2"/>
        <v>0</v>
      </c>
      <c r="C37" s="444"/>
      <c r="D37" s="444"/>
      <c r="E37" s="444"/>
      <c r="F37" s="444"/>
      <c r="G37" s="444"/>
    </row>
    <row r="38" spans="1:7">
      <c r="A38" s="520" t="s">
        <v>579</v>
      </c>
      <c r="B38" s="444">
        <f t="shared" si="2"/>
        <v>0</v>
      </c>
      <c r="C38" s="444"/>
      <c r="D38" s="444"/>
      <c r="E38" s="444"/>
      <c r="F38" s="444"/>
      <c r="G38" s="444"/>
    </row>
    <row r="39" spans="1:7" ht="27" customHeight="1">
      <c r="A39" s="521" t="s">
        <v>580</v>
      </c>
      <c r="B39" s="445"/>
      <c r="C39" s="445"/>
      <c r="D39" s="445"/>
      <c r="E39" s="445"/>
      <c r="F39" s="445"/>
      <c r="G39" s="446"/>
    </row>
    <row r="40" spans="1:7">
      <c r="A40" s="760" t="s">
        <v>581</v>
      </c>
      <c r="B40" s="761"/>
      <c r="C40" s="761"/>
      <c r="D40" s="761"/>
      <c r="E40" s="761"/>
      <c r="F40" s="761"/>
      <c r="G40" s="762"/>
    </row>
    <row r="41" spans="1:7">
      <c r="A41" s="751"/>
      <c r="B41" s="752"/>
      <c r="C41" s="752"/>
      <c r="D41" s="752"/>
      <c r="E41" s="752"/>
      <c r="F41" s="752"/>
      <c r="G41" s="753"/>
    </row>
    <row r="42" spans="1:7">
      <c r="A42" s="754"/>
      <c r="B42" s="755"/>
      <c r="C42" s="755"/>
      <c r="D42" s="755"/>
      <c r="E42" s="755"/>
      <c r="F42" s="755"/>
      <c r="G42" s="756"/>
    </row>
    <row r="43" spans="1:7">
      <c r="A43" s="757"/>
      <c r="B43" s="758"/>
      <c r="C43" s="758"/>
      <c r="D43" s="758"/>
      <c r="E43" s="758"/>
      <c r="F43" s="758"/>
      <c r="G43" s="759"/>
    </row>
    <row r="44" spans="1:7">
      <c r="A44" s="760" t="s">
        <v>582</v>
      </c>
      <c r="B44" s="761"/>
      <c r="C44" s="761"/>
      <c r="D44" s="761"/>
      <c r="E44" s="761"/>
      <c r="F44" s="761"/>
      <c r="G44" s="762"/>
    </row>
    <row r="45" spans="1:7">
      <c r="A45" s="751"/>
      <c r="B45" s="752"/>
      <c r="C45" s="752"/>
      <c r="D45" s="752"/>
      <c r="E45" s="752"/>
      <c r="F45" s="752"/>
      <c r="G45" s="753"/>
    </row>
    <row r="46" spans="1:7">
      <c r="A46" s="757"/>
      <c r="B46" s="758"/>
      <c r="C46" s="758"/>
      <c r="D46" s="758"/>
      <c r="E46" s="758"/>
      <c r="F46" s="758"/>
      <c r="G46" s="759"/>
    </row>
    <row r="47" spans="1:7" ht="15" customHeight="1">
      <c r="A47" s="760" t="s">
        <v>583</v>
      </c>
      <c r="B47" s="761"/>
      <c r="C47" s="761"/>
      <c r="D47" s="761"/>
      <c r="E47" s="761"/>
      <c r="F47" s="761"/>
      <c r="G47" s="762"/>
    </row>
    <row r="48" spans="1:7" ht="15" customHeight="1">
      <c r="A48" s="751"/>
      <c r="B48" s="752"/>
      <c r="C48" s="752"/>
      <c r="D48" s="752"/>
      <c r="E48" s="752"/>
      <c r="F48" s="752"/>
      <c r="G48" s="753"/>
    </row>
    <row r="49" spans="1:7">
      <c r="A49" s="757"/>
      <c r="B49" s="758"/>
      <c r="C49" s="758"/>
      <c r="D49" s="758"/>
      <c r="E49" s="758"/>
      <c r="F49" s="758"/>
      <c r="G49" s="759"/>
    </row>
    <row r="50" spans="1:7">
      <c r="A50" s="760" t="s">
        <v>584</v>
      </c>
      <c r="B50" s="761"/>
      <c r="C50" s="761"/>
      <c r="D50" s="761"/>
      <c r="E50" s="761"/>
      <c r="F50" s="761"/>
      <c r="G50" s="762"/>
    </row>
    <row r="51" spans="1:7">
      <c r="A51" s="763"/>
      <c r="B51" s="764"/>
      <c r="C51" s="764"/>
      <c r="D51" s="764"/>
      <c r="E51" s="764"/>
      <c r="F51" s="764"/>
      <c r="G51" s="765"/>
    </row>
    <row r="52" spans="1:7">
      <c r="A52" s="754"/>
      <c r="B52" s="755"/>
      <c r="C52" s="755"/>
      <c r="D52" s="755"/>
      <c r="E52" s="755"/>
      <c r="F52" s="755"/>
      <c r="G52" s="756"/>
    </row>
    <row r="53" spans="1:7">
      <c r="A53" s="757"/>
      <c r="B53" s="758"/>
      <c r="C53" s="758"/>
      <c r="D53" s="758"/>
      <c r="E53" s="758"/>
      <c r="F53" s="758"/>
      <c r="G53" s="759"/>
    </row>
    <row r="54" spans="1:7">
      <c r="A54" s="749" t="s">
        <v>585</v>
      </c>
      <c r="B54" s="748"/>
      <c r="C54" s="748"/>
      <c r="D54" s="748"/>
      <c r="E54" s="748"/>
      <c r="F54" s="748"/>
      <c r="G54" s="750"/>
    </row>
    <row r="55" spans="1:7">
      <c r="A55" s="751"/>
      <c r="B55" s="752"/>
      <c r="C55" s="752"/>
      <c r="D55" s="752"/>
      <c r="E55" s="752"/>
      <c r="F55" s="752"/>
      <c r="G55" s="753"/>
    </row>
    <row r="56" spans="1:7">
      <c r="A56" s="754"/>
      <c r="B56" s="755"/>
      <c r="C56" s="755"/>
      <c r="D56" s="755"/>
      <c r="E56" s="755"/>
      <c r="F56" s="755"/>
      <c r="G56" s="756"/>
    </row>
    <row r="57" spans="1:7">
      <c r="A57" s="757"/>
      <c r="B57" s="758"/>
      <c r="C57" s="758"/>
      <c r="D57" s="758"/>
      <c r="E57" s="758"/>
      <c r="F57" s="758"/>
      <c r="G57" s="759"/>
    </row>
    <row r="58" spans="1:7">
      <c r="A58" s="760" t="s">
        <v>586</v>
      </c>
      <c r="B58" s="761"/>
      <c r="C58" s="761"/>
      <c r="D58" s="761"/>
      <c r="E58" s="761"/>
      <c r="F58" s="761"/>
      <c r="G58" s="762"/>
    </row>
    <row r="59" spans="1:7">
      <c r="A59" s="751"/>
      <c r="B59" s="752"/>
      <c r="C59" s="752"/>
      <c r="D59" s="752"/>
      <c r="E59" s="752"/>
      <c r="F59" s="752"/>
      <c r="G59" s="753"/>
    </row>
    <row r="60" spans="1:7">
      <c r="A60" s="757"/>
      <c r="B60" s="758"/>
      <c r="C60" s="758"/>
      <c r="D60" s="758"/>
      <c r="E60" s="758"/>
      <c r="F60" s="758"/>
      <c r="G60" s="759"/>
    </row>
    <row r="61" spans="1:7">
      <c r="A61" s="447"/>
      <c r="B61" s="447"/>
      <c r="C61" s="447"/>
      <c r="D61" s="447"/>
      <c r="E61" s="447"/>
      <c r="F61" s="447"/>
      <c r="G61" s="447"/>
    </row>
    <row r="62" spans="1:7">
      <c r="A62" s="748"/>
      <c r="B62" s="748"/>
      <c r="C62" s="748"/>
      <c r="D62" s="748"/>
      <c r="E62" s="748"/>
      <c r="F62" s="748"/>
      <c r="G62" s="748"/>
    </row>
    <row r="63" spans="1:7">
      <c r="A63" s="748" t="s">
        <v>587</v>
      </c>
      <c r="B63" s="748"/>
      <c r="C63" s="748"/>
      <c r="D63" s="748"/>
      <c r="E63" s="748"/>
      <c r="F63" s="748"/>
      <c r="G63" s="748"/>
    </row>
    <row r="64" spans="1:7">
      <c r="A64" s="748"/>
      <c r="B64" s="748"/>
      <c r="C64" s="748"/>
      <c r="D64" s="748"/>
      <c r="E64" s="748"/>
      <c r="F64" s="748"/>
      <c r="G64" s="748"/>
    </row>
    <row r="65" spans="1:7">
      <c r="A65" s="748" t="s">
        <v>544</v>
      </c>
      <c r="B65" s="748"/>
      <c r="C65" s="748"/>
      <c r="D65" s="748"/>
      <c r="E65" s="748"/>
      <c r="F65" s="748"/>
      <c r="G65" s="748"/>
    </row>
  </sheetData>
  <mergeCells count="32"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64:G64"/>
    <mergeCell ref="A65:G65"/>
    <mergeCell ref="A54:G54"/>
    <mergeCell ref="A55:G57"/>
    <mergeCell ref="A58:G58"/>
    <mergeCell ref="A59:G60"/>
    <mergeCell ref="A62:G62"/>
    <mergeCell ref="A63:G63"/>
  </mergeCells>
  <pageMargins left="0.7" right="0.25" top="0.41" bottom="0.38" header="0.21" footer="0.25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34"/>
  <sheetViews>
    <sheetView zoomScaleNormal="100" workbookViewId="0">
      <selection activeCell="C14" sqref="C14"/>
    </sheetView>
  </sheetViews>
  <sheetFormatPr defaultColWidth="9.140625" defaultRowHeight="12.75"/>
  <cols>
    <col min="1" max="1" width="28" style="185" customWidth="1"/>
    <col min="2" max="2" width="13.28515625" style="185" customWidth="1"/>
    <col min="3" max="3" width="10" style="185" customWidth="1"/>
    <col min="4" max="4" width="9.7109375" style="185" customWidth="1"/>
    <col min="5" max="5" width="7" style="185" customWidth="1"/>
    <col min="6" max="6" width="20" style="185" customWidth="1"/>
    <col min="7" max="7" width="13.42578125" style="185" bestFit="1" customWidth="1"/>
    <col min="8" max="8" width="40.140625" style="185" customWidth="1"/>
    <col min="9" max="16384" width="9.140625" style="185"/>
  </cols>
  <sheetData>
    <row r="1" spans="1:8" ht="15">
      <c r="A1" s="448" t="s">
        <v>588</v>
      </c>
      <c r="B1" s="449"/>
      <c r="C1" s="450"/>
      <c r="H1" s="438" t="s">
        <v>589</v>
      </c>
    </row>
    <row r="2" spans="1:8">
      <c r="A2" s="451" t="s">
        <v>590</v>
      </c>
      <c r="B2" s="451"/>
      <c r="C2" s="451"/>
      <c r="D2" s="451"/>
      <c r="E2" s="451"/>
    </row>
    <row r="3" spans="1:8">
      <c r="A3" s="451"/>
      <c r="B3" s="451"/>
      <c r="C3" s="451"/>
      <c r="D3" s="451"/>
      <c r="E3" s="451"/>
    </row>
    <row r="4" spans="1:8">
      <c r="A4" s="451"/>
      <c r="B4" s="451"/>
      <c r="C4" s="451"/>
      <c r="D4" s="451"/>
      <c r="E4" s="451"/>
    </row>
    <row r="5" spans="1:8">
      <c r="A5" s="437" t="s">
        <v>591</v>
      </c>
      <c r="B5" s="451"/>
      <c r="C5" s="451"/>
      <c r="D5" s="451"/>
      <c r="E5" s="451"/>
    </row>
    <row r="6" spans="1:8">
      <c r="A6" s="437" t="s">
        <v>592</v>
      </c>
      <c r="B6" s="451"/>
      <c r="C6" s="451"/>
      <c r="D6" s="451"/>
      <c r="E6" s="451"/>
    </row>
    <row r="7" spans="1:8">
      <c r="G7" s="452" t="s">
        <v>505</v>
      </c>
    </row>
    <row r="8" spans="1:8" ht="36.75">
      <c r="A8" s="791" t="s">
        <v>593</v>
      </c>
      <c r="B8" s="791" t="s">
        <v>594</v>
      </c>
      <c r="C8" s="791" t="s">
        <v>595</v>
      </c>
      <c r="D8" s="791" t="s">
        <v>596</v>
      </c>
      <c r="E8" s="791" t="s">
        <v>597</v>
      </c>
      <c r="F8" s="453" t="s">
        <v>598</v>
      </c>
      <c r="G8" s="453" t="s">
        <v>629</v>
      </c>
      <c r="H8" s="791" t="s">
        <v>386</v>
      </c>
    </row>
    <row r="9" spans="1:8" ht="22.5">
      <c r="A9" s="792"/>
      <c r="B9" s="792"/>
      <c r="C9" s="792"/>
      <c r="D9" s="792"/>
      <c r="E9" s="792"/>
      <c r="F9" s="454" t="s">
        <v>599</v>
      </c>
      <c r="G9" s="455" t="s">
        <v>600</v>
      </c>
      <c r="H9" s="792"/>
    </row>
    <row r="10" spans="1:8">
      <c r="A10" s="456"/>
      <c r="B10" s="457"/>
      <c r="C10" s="456"/>
      <c r="D10" s="457"/>
      <c r="E10" s="456"/>
      <c r="F10" s="458"/>
      <c r="G10" s="459"/>
      <c r="H10" s="460"/>
    </row>
    <row r="11" spans="1:8">
      <c r="A11" s="456"/>
      <c r="B11" s="457"/>
      <c r="C11" s="456"/>
      <c r="D11" s="457"/>
      <c r="E11" s="456"/>
      <c r="F11" s="458"/>
      <c r="G11" s="459"/>
      <c r="H11" s="460"/>
    </row>
    <row r="12" spans="1:8">
      <c r="A12" s="456"/>
      <c r="B12" s="457"/>
      <c r="C12" s="456"/>
      <c r="D12" s="457"/>
      <c r="E12" s="456"/>
      <c r="F12" s="461"/>
      <c r="G12" s="459"/>
      <c r="H12" s="460"/>
    </row>
    <row r="13" spans="1:8">
      <c r="A13" s="456"/>
      <c r="B13" s="457"/>
      <c r="C13" s="456"/>
      <c r="D13" s="457"/>
      <c r="E13" s="456"/>
      <c r="F13" s="458"/>
      <c r="G13" s="459"/>
      <c r="H13" s="460"/>
    </row>
    <row r="14" spans="1:8">
      <c r="A14" s="456"/>
      <c r="B14" s="457"/>
      <c r="C14" s="456"/>
      <c r="D14" s="457"/>
      <c r="E14" s="456"/>
      <c r="F14" s="458"/>
      <c r="G14" s="459"/>
      <c r="H14" s="460"/>
    </row>
    <row r="15" spans="1:8">
      <c r="A15" s="456"/>
      <c r="B15" s="457"/>
      <c r="C15" s="456"/>
      <c r="D15" s="457"/>
      <c r="E15" s="456"/>
      <c r="F15" s="458"/>
      <c r="G15" s="459"/>
      <c r="H15" s="460"/>
    </row>
    <row r="16" spans="1:8">
      <c r="A16" s="456"/>
      <c r="B16" s="457"/>
      <c r="C16" s="456"/>
      <c r="D16" s="457"/>
      <c r="E16" s="456"/>
      <c r="F16" s="458"/>
      <c r="G16" s="459"/>
      <c r="H16" s="460"/>
    </row>
    <row r="17" spans="1:8">
      <c r="A17" s="456"/>
      <c r="B17" s="457"/>
      <c r="C17" s="456"/>
      <c r="D17" s="457"/>
      <c r="E17" s="456"/>
      <c r="F17" s="458"/>
      <c r="G17" s="459"/>
      <c r="H17" s="460"/>
    </row>
    <row r="18" spans="1:8">
      <c r="A18" s="456"/>
      <c r="B18" s="457"/>
      <c r="C18" s="456"/>
      <c r="D18" s="457"/>
      <c r="E18" s="456"/>
      <c r="F18" s="458"/>
      <c r="G18" s="459"/>
      <c r="H18" s="460"/>
    </row>
    <row r="19" spans="1:8">
      <c r="A19" s="456"/>
      <c r="B19" s="457"/>
      <c r="C19" s="456"/>
      <c r="D19" s="457"/>
      <c r="E19" s="456"/>
      <c r="F19" s="458"/>
      <c r="G19" s="459"/>
      <c r="H19" s="460"/>
    </row>
    <row r="20" spans="1:8">
      <c r="A20" s="456"/>
      <c r="B20" s="457"/>
      <c r="C20" s="456"/>
      <c r="D20" s="457"/>
      <c r="E20" s="456"/>
      <c r="F20" s="458"/>
      <c r="G20" s="459"/>
      <c r="H20" s="460"/>
    </row>
    <row r="21" spans="1:8">
      <c r="A21" s="456"/>
      <c r="B21" s="457"/>
      <c r="C21" s="456"/>
      <c r="D21" s="457"/>
      <c r="E21" s="456"/>
      <c r="F21" s="458"/>
      <c r="G21" s="459"/>
      <c r="H21" s="460"/>
    </row>
    <row r="22" spans="1:8">
      <c r="A22" s="456"/>
      <c r="B22" s="457"/>
      <c r="C22" s="456"/>
      <c r="D22" s="457"/>
      <c r="E22" s="456"/>
      <c r="F22" s="458"/>
      <c r="G22" s="459"/>
      <c r="H22" s="460"/>
    </row>
    <row r="23" spans="1:8">
      <c r="A23" s="456"/>
      <c r="B23" s="457"/>
      <c r="C23" s="456"/>
      <c r="D23" s="457"/>
      <c r="E23" s="456"/>
      <c r="F23" s="458"/>
      <c r="G23" s="459"/>
      <c r="H23" s="460"/>
    </row>
    <row r="24" spans="1:8">
      <c r="A24" s="456"/>
      <c r="B24" s="457"/>
      <c r="C24" s="456"/>
      <c r="D24" s="457"/>
      <c r="E24" s="456"/>
      <c r="F24" s="458"/>
      <c r="G24" s="459"/>
      <c r="H24" s="460"/>
    </row>
    <row r="25" spans="1:8">
      <c r="A25" s="456"/>
      <c r="B25" s="457"/>
      <c r="C25" s="456"/>
      <c r="D25" s="457"/>
      <c r="E25" s="456"/>
      <c r="F25" s="458"/>
      <c r="G25" s="459"/>
      <c r="H25" s="460"/>
    </row>
    <row r="26" spans="1:8">
      <c r="A26" s="456"/>
      <c r="B26" s="457"/>
      <c r="C26" s="456"/>
      <c r="D26" s="457"/>
      <c r="E26" s="456"/>
      <c r="F26" s="458"/>
      <c r="G26" s="459"/>
      <c r="H26" s="460"/>
    </row>
    <row r="27" spans="1:8">
      <c r="A27" s="456"/>
      <c r="B27" s="457"/>
      <c r="C27" s="456"/>
      <c r="D27" s="457"/>
      <c r="E27" s="456"/>
      <c r="F27" s="458"/>
      <c r="G27" s="459"/>
      <c r="H27" s="460"/>
    </row>
    <row r="28" spans="1:8">
      <c r="A28" s="462"/>
      <c r="B28" s="463"/>
      <c r="C28" s="462"/>
      <c r="D28" s="463"/>
      <c r="E28" s="462"/>
      <c r="F28" s="464"/>
      <c r="G28" s="465"/>
      <c r="H28" s="466"/>
    </row>
    <row r="29" spans="1:8">
      <c r="A29" s="451" t="s">
        <v>601</v>
      </c>
    </row>
    <row r="32" spans="1:8">
      <c r="A32" s="185" t="s">
        <v>587</v>
      </c>
    </row>
    <row r="34" spans="1:1">
      <c r="A34" s="467" t="s">
        <v>544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40625" defaultRowHeight="12.75"/>
  <cols>
    <col min="1" max="1" width="3.28515625" style="185" customWidth="1"/>
    <col min="2" max="2" width="13.28515625" style="185" customWidth="1"/>
    <col min="3" max="3" width="12.7109375" style="185" customWidth="1"/>
    <col min="4" max="4" width="7.140625" style="185" customWidth="1"/>
    <col min="5" max="5" width="5.7109375" style="185" customWidth="1"/>
    <col min="6" max="6" width="12" style="450" customWidth="1"/>
    <col min="7" max="7" width="9.85546875" style="450" customWidth="1"/>
    <col min="8" max="8" width="9.7109375" style="185" customWidth="1"/>
    <col min="9" max="9" width="15.85546875" style="185" customWidth="1"/>
    <col min="10" max="10" width="7.85546875" style="185" customWidth="1"/>
    <col min="11" max="12" width="6.7109375" style="185" customWidth="1"/>
    <col min="13" max="13" width="7" style="185" customWidth="1"/>
    <col min="14" max="14" width="6.42578125" style="185" customWidth="1"/>
    <col min="15" max="16" width="6.28515625" style="185" customWidth="1"/>
    <col min="17" max="17" width="9.5703125" style="185" customWidth="1"/>
    <col min="18" max="18" width="15.7109375" style="185" customWidth="1"/>
    <col min="19" max="16384" width="9.140625" style="185"/>
  </cols>
  <sheetData>
    <row r="1" spans="1:21" s="470" customFormat="1" ht="15">
      <c r="A1" s="468" t="s">
        <v>602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P1" s="471"/>
      <c r="Q1" s="471"/>
      <c r="R1" s="472" t="s">
        <v>603</v>
      </c>
    </row>
    <row r="2" spans="1:21" ht="12.75" customHeight="1">
      <c r="A2" s="470"/>
      <c r="B2" s="470"/>
      <c r="C2" s="470"/>
      <c r="D2" s="470"/>
      <c r="E2" s="470"/>
      <c r="F2" s="473"/>
      <c r="G2" s="473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21" ht="15.75">
      <c r="A3" s="474" t="s">
        <v>548</v>
      </c>
      <c r="B3" s="474"/>
      <c r="C3" s="474"/>
      <c r="D3" s="470"/>
      <c r="E3" s="470"/>
      <c r="F3" s="473"/>
      <c r="G3" s="473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</row>
    <row r="4" spans="1:21" ht="14.25" customHeight="1">
      <c r="A4" s="475" t="s">
        <v>604</v>
      </c>
      <c r="B4" s="475"/>
      <c r="C4" s="475"/>
      <c r="D4" s="470"/>
      <c r="E4" s="470"/>
      <c r="F4" s="473"/>
      <c r="G4" s="473"/>
      <c r="H4" s="470"/>
      <c r="I4" s="470"/>
      <c r="J4" s="470"/>
      <c r="K4" s="470"/>
      <c r="L4" s="470"/>
      <c r="M4" s="470"/>
      <c r="N4" s="807" t="s">
        <v>505</v>
      </c>
      <c r="O4" s="807"/>
      <c r="P4" s="807"/>
      <c r="Q4" s="807"/>
      <c r="R4" s="807"/>
    </row>
    <row r="5" spans="1:21" ht="7.5" customHeight="1" thickBot="1">
      <c r="A5" s="476"/>
      <c r="B5" s="476"/>
      <c r="C5" s="476"/>
      <c r="D5" s="476"/>
      <c r="E5" s="476"/>
      <c r="F5" s="477"/>
      <c r="G5" s="473"/>
      <c r="H5" s="476"/>
      <c r="I5" s="476"/>
      <c r="J5" s="476"/>
      <c r="K5" s="476"/>
      <c r="L5" s="476"/>
      <c r="M5" s="476"/>
      <c r="N5" s="476"/>
      <c r="O5" s="478"/>
      <c r="P5" s="479"/>
      <c r="Q5" s="479"/>
      <c r="R5" s="479"/>
    </row>
    <row r="6" spans="1:21" s="485" customFormat="1" ht="33" customHeight="1">
      <c r="A6" s="480" t="s">
        <v>605</v>
      </c>
      <c r="B6" s="481" t="s">
        <v>606</v>
      </c>
      <c r="C6" s="481" t="s">
        <v>607</v>
      </c>
      <c r="D6" s="481" t="s">
        <v>608</v>
      </c>
      <c r="E6" s="481" t="s">
        <v>609</v>
      </c>
      <c r="F6" s="481" t="s">
        <v>610</v>
      </c>
      <c r="G6" s="482" t="s">
        <v>611</v>
      </c>
      <c r="H6" s="481" t="s">
        <v>612</v>
      </c>
      <c r="I6" s="808" t="s">
        <v>613</v>
      </c>
      <c r="J6" s="809"/>
      <c r="K6" s="810" t="s">
        <v>262</v>
      </c>
      <c r="L6" s="808"/>
      <c r="M6" s="808"/>
      <c r="N6" s="808"/>
      <c r="O6" s="808"/>
      <c r="P6" s="808"/>
      <c r="Q6" s="483"/>
      <c r="R6" s="484" t="s">
        <v>614</v>
      </c>
    </row>
    <row r="7" spans="1:21" s="485" customFormat="1" ht="48.75" thickBot="1">
      <c r="A7" s="486"/>
      <c r="B7" s="487"/>
      <c r="C7" s="487"/>
      <c r="D7" s="488" t="s">
        <v>615</v>
      </c>
      <c r="E7" s="488" t="s">
        <v>615</v>
      </c>
      <c r="F7" s="489"/>
      <c r="G7" s="490" t="s">
        <v>616</v>
      </c>
      <c r="H7" s="491"/>
      <c r="I7" s="492" t="s">
        <v>617</v>
      </c>
      <c r="J7" s="493" t="s">
        <v>618</v>
      </c>
      <c r="K7" s="494" t="s">
        <v>630</v>
      </c>
      <c r="L7" s="494" t="s">
        <v>631</v>
      </c>
      <c r="M7" s="494" t="s">
        <v>632</v>
      </c>
      <c r="N7" s="495">
        <v>2019</v>
      </c>
      <c r="O7" s="495">
        <v>2020</v>
      </c>
      <c r="P7" s="496">
        <v>2021</v>
      </c>
      <c r="Q7" s="497" t="s">
        <v>633</v>
      </c>
      <c r="R7" s="498"/>
    </row>
    <row r="8" spans="1:21" ht="12.75" customHeight="1">
      <c r="A8" s="499">
        <v>1</v>
      </c>
      <c r="B8" s="500">
        <v>2</v>
      </c>
      <c r="C8" s="500">
        <v>3</v>
      </c>
      <c r="D8" s="500">
        <v>4</v>
      </c>
      <c r="E8" s="500">
        <v>5</v>
      </c>
      <c r="F8" s="500">
        <v>6</v>
      </c>
      <c r="G8" s="500">
        <v>7</v>
      </c>
      <c r="H8" s="501">
        <v>8</v>
      </c>
      <c r="I8" s="500">
        <v>9</v>
      </c>
      <c r="J8" s="501">
        <v>10</v>
      </c>
      <c r="K8" s="501">
        <v>11</v>
      </c>
      <c r="L8" s="501">
        <v>12</v>
      </c>
      <c r="M8" s="500">
        <v>13</v>
      </c>
      <c r="N8" s="500">
        <v>14</v>
      </c>
      <c r="O8" s="501">
        <v>15</v>
      </c>
      <c r="P8" s="500">
        <v>16</v>
      </c>
      <c r="Q8" s="502">
        <v>17</v>
      </c>
      <c r="R8" s="503">
        <v>18</v>
      </c>
      <c r="S8" s="470"/>
      <c r="T8" s="470"/>
      <c r="U8" s="470"/>
    </row>
    <row r="9" spans="1:21" ht="12.75" customHeight="1">
      <c r="A9" s="800" t="s">
        <v>619</v>
      </c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2"/>
      <c r="S9" s="470"/>
      <c r="T9" s="470"/>
      <c r="U9" s="470"/>
    </row>
    <row r="10" spans="1:21">
      <c r="A10" s="803" t="s">
        <v>620</v>
      </c>
      <c r="B10" s="793"/>
      <c r="C10" s="793"/>
      <c r="D10" s="796"/>
      <c r="E10" s="796"/>
      <c r="F10" s="796"/>
      <c r="G10" s="796"/>
      <c r="H10" s="793"/>
      <c r="I10" s="504" t="s">
        <v>621</v>
      </c>
      <c r="J10" s="504"/>
      <c r="K10" s="505"/>
      <c r="L10" s="505"/>
      <c r="M10" s="506"/>
      <c r="N10" s="506"/>
      <c r="O10" s="506"/>
      <c r="P10" s="506"/>
      <c r="Q10" s="507"/>
      <c r="R10" s="508"/>
      <c r="S10" s="470"/>
      <c r="T10" s="470"/>
      <c r="U10" s="470"/>
    </row>
    <row r="11" spans="1:21" ht="34.5" customHeight="1">
      <c r="A11" s="804"/>
      <c r="B11" s="794"/>
      <c r="C11" s="794"/>
      <c r="D11" s="797"/>
      <c r="E11" s="797"/>
      <c r="F11" s="797"/>
      <c r="G11" s="797"/>
      <c r="H11" s="794"/>
      <c r="I11" s="504" t="s">
        <v>622</v>
      </c>
      <c r="J11" s="504"/>
      <c r="K11" s="505"/>
      <c r="L11" s="505"/>
      <c r="M11" s="506"/>
      <c r="N11" s="506"/>
      <c r="O11" s="506"/>
      <c r="P11" s="506"/>
      <c r="Q11" s="507"/>
      <c r="R11" s="508"/>
      <c r="S11" s="470"/>
      <c r="T11" s="470"/>
      <c r="U11" s="470"/>
    </row>
    <row r="12" spans="1:21" ht="47.25" customHeight="1">
      <c r="A12" s="804"/>
      <c r="B12" s="794"/>
      <c r="C12" s="794"/>
      <c r="D12" s="797"/>
      <c r="E12" s="797"/>
      <c r="F12" s="797"/>
      <c r="G12" s="797"/>
      <c r="H12" s="794"/>
      <c r="I12" s="504" t="s">
        <v>623</v>
      </c>
      <c r="J12" s="504"/>
      <c r="K12" s="505"/>
      <c r="L12" s="505"/>
      <c r="M12" s="506"/>
      <c r="N12" s="506"/>
      <c r="O12" s="506"/>
      <c r="P12" s="506"/>
      <c r="Q12" s="507"/>
      <c r="R12" s="508"/>
      <c r="S12" s="470"/>
      <c r="T12" s="470"/>
      <c r="U12" s="470"/>
    </row>
    <row r="13" spans="1:21" ht="25.5">
      <c r="A13" s="804"/>
      <c r="B13" s="794"/>
      <c r="C13" s="794"/>
      <c r="D13" s="797"/>
      <c r="E13" s="797"/>
      <c r="F13" s="797"/>
      <c r="G13" s="797"/>
      <c r="H13" s="794"/>
      <c r="I13" s="504" t="s">
        <v>624</v>
      </c>
      <c r="J13" s="504"/>
      <c r="K13" s="505"/>
      <c r="L13" s="505"/>
      <c r="M13" s="506"/>
      <c r="N13" s="506"/>
      <c r="O13" s="506"/>
      <c r="P13" s="506"/>
      <c r="Q13" s="507"/>
      <c r="R13" s="508"/>
      <c r="S13" s="470"/>
      <c r="T13" s="470"/>
      <c r="U13" s="470"/>
    </row>
    <row r="14" spans="1:21" ht="12.75" customHeight="1">
      <c r="A14" s="811"/>
      <c r="B14" s="799"/>
      <c r="C14" s="799"/>
      <c r="D14" s="798"/>
      <c r="E14" s="798"/>
      <c r="F14" s="798"/>
      <c r="G14" s="798"/>
      <c r="H14" s="799"/>
      <c r="I14" s="504" t="s">
        <v>114</v>
      </c>
      <c r="J14" s="504"/>
      <c r="K14" s="505"/>
      <c r="L14" s="505"/>
      <c r="M14" s="506"/>
      <c r="N14" s="506"/>
      <c r="O14" s="506"/>
      <c r="P14" s="506"/>
      <c r="Q14" s="507"/>
      <c r="R14" s="508"/>
      <c r="S14" s="470"/>
      <c r="T14" s="470"/>
      <c r="U14" s="470"/>
    </row>
    <row r="15" spans="1:21" ht="12.75" customHeight="1">
      <c r="A15" s="800" t="s">
        <v>263</v>
      </c>
      <c r="B15" s="801"/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2"/>
      <c r="S15" s="470"/>
      <c r="T15" s="470"/>
      <c r="U15" s="470"/>
    </row>
    <row r="16" spans="1:21">
      <c r="A16" s="803" t="s">
        <v>625</v>
      </c>
      <c r="B16" s="793"/>
      <c r="C16" s="793"/>
      <c r="D16" s="796"/>
      <c r="E16" s="796"/>
      <c r="F16" s="796"/>
      <c r="G16" s="796"/>
      <c r="H16" s="793"/>
      <c r="I16" s="504" t="s">
        <v>621</v>
      </c>
      <c r="J16" s="504"/>
      <c r="K16" s="505"/>
      <c r="L16" s="505"/>
      <c r="M16" s="506"/>
      <c r="N16" s="506"/>
      <c r="O16" s="506"/>
      <c r="P16" s="506"/>
      <c r="Q16" s="507"/>
      <c r="R16" s="508"/>
      <c r="S16" s="470"/>
      <c r="T16" s="470"/>
      <c r="U16" s="470"/>
    </row>
    <row r="17" spans="1:21" ht="34.5" customHeight="1">
      <c r="A17" s="804"/>
      <c r="B17" s="794"/>
      <c r="C17" s="794"/>
      <c r="D17" s="797"/>
      <c r="E17" s="797"/>
      <c r="F17" s="797"/>
      <c r="G17" s="797"/>
      <c r="H17" s="794"/>
      <c r="I17" s="504" t="s">
        <v>622</v>
      </c>
      <c r="J17" s="504"/>
      <c r="K17" s="505"/>
      <c r="L17" s="505"/>
      <c r="M17" s="506"/>
      <c r="N17" s="506"/>
      <c r="O17" s="506"/>
      <c r="P17" s="506"/>
      <c r="Q17" s="507"/>
      <c r="R17" s="508"/>
      <c r="S17" s="470"/>
      <c r="T17" s="470"/>
      <c r="U17" s="470"/>
    </row>
    <row r="18" spans="1:21" ht="47.25" customHeight="1">
      <c r="A18" s="804"/>
      <c r="B18" s="794"/>
      <c r="C18" s="794"/>
      <c r="D18" s="797"/>
      <c r="E18" s="797"/>
      <c r="F18" s="797"/>
      <c r="G18" s="797"/>
      <c r="H18" s="794"/>
      <c r="I18" s="504" t="s">
        <v>623</v>
      </c>
      <c r="J18" s="504"/>
      <c r="K18" s="505"/>
      <c r="L18" s="505"/>
      <c r="M18" s="506"/>
      <c r="N18" s="506"/>
      <c r="O18" s="506"/>
      <c r="P18" s="506"/>
      <c r="Q18" s="507"/>
      <c r="R18" s="508"/>
      <c r="S18" s="470"/>
      <c r="T18" s="470"/>
      <c r="U18" s="470"/>
    </row>
    <row r="19" spans="1:21" ht="25.5">
      <c r="A19" s="804"/>
      <c r="B19" s="794"/>
      <c r="C19" s="794"/>
      <c r="D19" s="797"/>
      <c r="E19" s="797"/>
      <c r="F19" s="797"/>
      <c r="G19" s="797"/>
      <c r="H19" s="794"/>
      <c r="I19" s="504" t="s">
        <v>624</v>
      </c>
      <c r="J19" s="504"/>
      <c r="K19" s="505"/>
      <c r="L19" s="505"/>
      <c r="M19" s="506"/>
      <c r="N19" s="506"/>
      <c r="O19" s="506"/>
      <c r="P19" s="506"/>
      <c r="Q19" s="507"/>
      <c r="R19" s="508"/>
      <c r="S19" s="470"/>
      <c r="T19" s="470"/>
      <c r="U19" s="470"/>
    </row>
    <row r="20" spans="1:21" ht="12.75" customHeight="1" thickBot="1">
      <c r="A20" s="805"/>
      <c r="B20" s="795"/>
      <c r="C20" s="795"/>
      <c r="D20" s="806"/>
      <c r="E20" s="806"/>
      <c r="F20" s="806"/>
      <c r="G20" s="806"/>
      <c r="H20" s="795"/>
      <c r="I20" s="509" t="s">
        <v>114</v>
      </c>
      <c r="J20" s="509"/>
      <c r="K20" s="510"/>
      <c r="L20" s="510"/>
      <c r="M20" s="511"/>
      <c r="N20" s="511"/>
      <c r="O20" s="511"/>
      <c r="P20" s="511"/>
      <c r="Q20" s="512"/>
      <c r="R20" s="513"/>
      <c r="S20" s="470"/>
      <c r="T20" s="470"/>
      <c r="U20" s="470"/>
    </row>
    <row r="21" spans="1:21">
      <c r="A21" s="476"/>
      <c r="B21" s="476"/>
      <c r="C21" s="476"/>
      <c r="D21" s="476"/>
      <c r="E21" s="476"/>
      <c r="F21" s="477"/>
      <c r="G21" s="477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0"/>
      <c r="T21" s="470"/>
      <c r="U21" s="470"/>
    </row>
    <row r="22" spans="1:21">
      <c r="A22" s="473" t="s">
        <v>543</v>
      </c>
      <c r="B22" s="473"/>
      <c r="C22" s="473"/>
      <c r="D22" s="470"/>
      <c r="E22" s="470"/>
      <c r="F22" s="473"/>
      <c r="G22" s="473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</row>
    <row r="23" spans="1:21">
      <c r="A23" s="473"/>
      <c r="B23" s="473"/>
      <c r="C23" s="473"/>
      <c r="D23" s="470"/>
      <c r="E23" s="470"/>
      <c r="F23" s="473"/>
      <c r="G23" s="473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</row>
    <row r="24" spans="1:21">
      <c r="A24" s="467" t="s">
        <v>544</v>
      </c>
      <c r="B24" s="473"/>
      <c r="C24" s="473"/>
      <c r="D24" s="470"/>
      <c r="E24" s="470"/>
      <c r="F24" s="473"/>
      <c r="G24" s="473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</row>
    <row r="25" spans="1:21">
      <c r="A25" s="467"/>
      <c r="B25" s="514"/>
      <c r="C25" s="470"/>
      <c r="D25" s="470"/>
      <c r="E25" s="470"/>
      <c r="F25" s="473"/>
      <c r="G25" s="473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</row>
    <row r="26" spans="1:21">
      <c r="A26" s="470"/>
      <c r="B26" s="514"/>
      <c r="C26" s="470"/>
      <c r="D26" s="470"/>
      <c r="E26" s="470"/>
      <c r="F26" s="473"/>
      <c r="G26" s="473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</row>
    <row r="27" spans="1:21">
      <c r="A27" s="470"/>
      <c r="B27" s="514"/>
      <c r="C27" s="470"/>
      <c r="D27" s="470"/>
      <c r="E27" s="470"/>
      <c r="F27" s="473"/>
      <c r="G27" s="473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</row>
    <row r="28" spans="1:21">
      <c r="A28" s="470"/>
      <c r="B28" s="514"/>
      <c r="C28" s="470"/>
      <c r="D28" s="470"/>
      <c r="E28" s="470"/>
      <c r="F28" s="473"/>
      <c r="G28" s="473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</row>
    <row r="29" spans="1:21">
      <c r="A29" s="470"/>
      <c r="B29" s="514"/>
      <c r="C29" s="470"/>
      <c r="D29" s="470"/>
      <c r="E29" s="470"/>
      <c r="F29" s="473"/>
      <c r="G29" s="473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</row>
    <row r="30" spans="1:21">
      <c r="A30" s="470"/>
      <c r="B30" s="514"/>
      <c r="C30" s="470"/>
      <c r="D30" s="470"/>
      <c r="E30" s="470"/>
      <c r="F30" s="473"/>
      <c r="G30" s="473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</row>
    <row r="31" spans="1:21">
      <c r="A31" s="470"/>
      <c r="B31" s="514"/>
      <c r="C31" s="470"/>
      <c r="D31" s="470"/>
      <c r="E31" s="470"/>
      <c r="F31" s="473"/>
      <c r="G31" s="473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</row>
    <row r="32" spans="1:21">
      <c r="A32" s="470"/>
      <c r="B32" s="514"/>
      <c r="C32" s="470"/>
      <c r="D32" s="470"/>
      <c r="E32" s="470"/>
      <c r="F32" s="473"/>
      <c r="G32" s="473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</row>
    <row r="33" spans="1:18">
      <c r="A33" s="470"/>
      <c r="B33" s="514"/>
      <c r="C33" s="470"/>
      <c r="D33" s="470"/>
      <c r="E33" s="470"/>
      <c r="F33" s="473"/>
      <c r="G33" s="473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</row>
    <row r="34" spans="1:18">
      <c r="A34" s="470"/>
      <c r="B34" s="514"/>
      <c r="C34" s="470"/>
      <c r="D34" s="470"/>
      <c r="E34" s="470"/>
      <c r="F34" s="473"/>
      <c r="G34" s="473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33"/>
  <sheetViews>
    <sheetView workbookViewId="0">
      <selection activeCell="B2" sqref="B2"/>
    </sheetView>
  </sheetViews>
  <sheetFormatPr defaultRowHeight="12.75"/>
  <cols>
    <col min="1" max="1" width="60.28515625" bestFit="1" customWidth="1"/>
    <col min="2" max="2" width="11.140625" bestFit="1" customWidth="1"/>
    <col min="3" max="3" width="12.7109375" bestFit="1" customWidth="1"/>
    <col min="4" max="4" width="11.140625" bestFit="1" customWidth="1"/>
  </cols>
  <sheetData>
    <row r="1" spans="1:4">
      <c r="B1" s="812" t="s">
        <v>265</v>
      </c>
      <c r="C1" s="813"/>
      <c r="D1" s="813"/>
    </row>
    <row r="2" spans="1:4">
      <c r="B2" s="62" t="s">
        <v>262</v>
      </c>
      <c r="C2" s="62" t="s">
        <v>263</v>
      </c>
      <c r="D2" s="62" t="s">
        <v>47</v>
      </c>
    </row>
    <row r="3" spans="1:4">
      <c r="A3" s="4" t="s">
        <v>237</v>
      </c>
      <c r="B3" s="79" t="e">
        <f>'Kulud (5)'!#REF!</f>
        <v>#REF!</v>
      </c>
      <c r="C3" s="81"/>
      <c r="D3" s="79" t="e">
        <f>B3+C3</f>
        <v>#REF!</v>
      </c>
    </row>
    <row r="4" spans="1:4">
      <c r="A4" s="4" t="s">
        <v>238</v>
      </c>
      <c r="B4" s="79" t="e">
        <f>'Kulud (5)'!#REF!</f>
        <v>#REF!</v>
      </c>
      <c r="C4" s="79" t="e">
        <f>'Inv koond - põhitaotlus (6a)'!#REF!</f>
        <v>#REF!</v>
      </c>
      <c r="D4" s="79" t="e">
        <f t="shared" ref="D4:D32" si="0">B4+C4</f>
        <v>#REF!</v>
      </c>
    </row>
    <row r="5" spans="1:4">
      <c r="A5" s="4" t="s">
        <v>239</v>
      </c>
      <c r="B5" s="79" t="e">
        <f>'Kulud (5)'!#REF!</f>
        <v>#REF!</v>
      </c>
      <c r="C5" s="79" t="e">
        <f>'Inv koond - põhitaotlus (6a)'!#REF!</f>
        <v>#REF!</v>
      </c>
      <c r="D5" s="79" t="e">
        <f t="shared" si="0"/>
        <v>#REF!</v>
      </c>
    </row>
    <row r="6" spans="1:4">
      <c r="A6" s="4" t="s">
        <v>240</v>
      </c>
      <c r="B6" s="79" t="e">
        <f>'Kulud (5)'!#REF!</f>
        <v>#REF!</v>
      </c>
      <c r="C6" s="79" t="e">
        <f>'Inv koond - põhitaotlus (6a)'!#REF!</f>
        <v>#REF!</v>
      </c>
      <c r="D6" s="79" t="e">
        <f t="shared" si="0"/>
        <v>#REF!</v>
      </c>
    </row>
    <row r="7" spans="1:4">
      <c r="A7" s="4" t="s">
        <v>241</v>
      </c>
      <c r="B7" s="79" t="e">
        <f>'Kulud (5)'!#REF!</f>
        <v>#REF!</v>
      </c>
      <c r="C7" s="79" t="e">
        <f>'Inv koond - põhitaotlus (6a)'!#REF!</f>
        <v>#REF!</v>
      </c>
      <c r="D7" s="79" t="e">
        <f t="shared" si="0"/>
        <v>#REF!</v>
      </c>
    </row>
    <row r="8" spans="1:4">
      <c r="A8" s="4" t="s">
        <v>242</v>
      </c>
      <c r="B8" s="79" t="e">
        <f>'Kulud (5)'!#REF!</f>
        <v>#REF!</v>
      </c>
      <c r="C8" s="79" t="e">
        <f>'Inv koond - põhitaotlus (6a)'!#REF!</f>
        <v>#REF!</v>
      </c>
      <c r="D8" s="79" t="e">
        <f t="shared" si="0"/>
        <v>#REF!</v>
      </c>
    </row>
    <row r="9" spans="1:4">
      <c r="A9" s="4" t="s">
        <v>165</v>
      </c>
      <c r="B9" s="79" t="e">
        <f>'Kulud (5)'!#REF!</f>
        <v>#REF!</v>
      </c>
      <c r="C9" s="79" t="e">
        <f>'Inv koond - põhitaotlus (6a)'!#REF!</f>
        <v>#REF!</v>
      </c>
      <c r="D9" s="79" t="e">
        <f t="shared" si="0"/>
        <v>#REF!</v>
      </c>
    </row>
    <row r="10" spans="1:4">
      <c r="A10" s="4" t="s">
        <v>166</v>
      </c>
      <c r="B10" s="79" t="e">
        <f>'Kulud (5)'!#REF!</f>
        <v>#REF!</v>
      </c>
      <c r="C10" s="79" t="e">
        <f>'Inv koond - põhitaotlus (6a)'!#REF!</f>
        <v>#REF!</v>
      </c>
      <c r="D10" s="79" t="e">
        <f t="shared" si="0"/>
        <v>#REF!</v>
      </c>
    </row>
    <row r="11" spans="1:4">
      <c r="A11" s="4" t="s">
        <v>243</v>
      </c>
      <c r="B11" s="79" t="e">
        <f>'Kulud (5)'!#REF!</f>
        <v>#REF!</v>
      </c>
      <c r="C11" s="79" t="e">
        <f>'Inv koond - põhitaotlus (6a)'!#REF!</f>
        <v>#REF!</v>
      </c>
      <c r="D11" s="79" t="e">
        <f t="shared" si="0"/>
        <v>#REF!</v>
      </c>
    </row>
    <row r="12" spans="1:4">
      <c r="A12" s="4" t="s">
        <v>244</v>
      </c>
      <c r="B12" s="79" t="e">
        <f>'Kulud (5)'!#REF!</f>
        <v>#REF!</v>
      </c>
      <c r="C12" s="79" t="e">
        <f>'Inv koond - põhitaotlus (6a)'!#REF!</f>
        <v>#REF!</v>
      </c>
      <c r="D12" s="79" t="e">
        <f t="shared" si="0"/>
        <v>#REF!</v>
      </c>
    </row>
    <row r="13" spans="1:4">
      <c r="A13" s="4" t="s">
        <v>245</v>
      </c>
      <c r="B13" s="79" t="e">
        <f>'Kulud (5)'!#REF!</f>
        <v>#REF!</v>
      </c>
      <c r="C13" s="79" t="e">
        <f>'Inv koond - põhitaotlus (6a)'!#REF!</f>
        <v>#REF!</v>
      </c>
      <c r="D13" s="79" t="e">
        <f t="shared" si="0"/>
        <v>#REF!</v>
      </c>
    </row>
    <row r="14" spans="1:4">
      <c r="A14" s="4" t="s">
        <v>246</v>
      </c>
      <c r="B14" s="79" t="e">
        <f>'Kulud (5)'!#REF!</f>
        <v>#REF!</v>
      </c>
      <c r="C14" s="79" t="e">
        <f>'Inv koond - põhitaotlus (6a)'!#REF!</f>
        <v>#REF!</v>
      </c>
      <c r="D14" s="79" t="e">
        <f t="shared" si="0"/>
        <v>#REF!</v>
      </c>
    </row>
    <row r="15" spans="1:4">
      <c r="A15" s="4" t="s">
        <v>247</v>
      </c>
      <c r="B15" s="79" t="e">
        <f>'Kulud (5)'!#REF!</f>
        <v>#REF!</v>
      </c>
      <c r="C15" s="79" t="e">
        <f>'Inv koond - põhitaotlus (6a)'!#REF!</f>
        <v>#REF!</v>
      </c>
      <c r="D15" s="79" t="e">
        <f t="shared" si="0"/>
        <v>#REF!</v>
      </c>
    </row>
    <row r="16" spans="1:4">
      <c r="A16" s="4" t="s">
        <v>179</v>
      </c>
      <c r="B16" s="79" t="e">
        <f>'Kulud (5)'!#REF!</f>
        <v>#REF!</v>
      </c>
      <c r="C16" s="79" t="e">
        <f>'Inv koond - põhitaotlus (6a)'!#REF!</f>
        <v>#REF!</v>
      </c>
      <c r="D16" s="79" t="e">
        <f t="shared" si="0"/>
        <v>#REF!</v>
      </c>
    </row>
    <row r="17" spans="1:4">
      <c r="A17" s="4" t="s">
        <v>229</v>
      </c>
      <c r="B17" s="79" t="e">
        <f>'Kulud (5)'!#REF!</f>
        <v>#REF!</v>
      </c>
      <c r="C17" s="79" t="e">
        <f>'Inv koond - põhitaotlus (6a)'!#REF!</f>
        <v>#REF!</v>
      </c>
      <c r="D17" s="79" t="e">
        <f t="shared" si="0"/>
        <v>#REF!</v>
      </c>
    </row>
    <row r="18" spans="1:4">
      <c r="A18" s="4" t="s">
        <v>248</v>
      </c>
      <c r="B18" s="79" t="e">
        <f>'Kulud (5)'!#REF!</f>
        <v>#REF!</v>
      </c>
      <c r="C18" s="79" t="e">
        <f>'Inv koond - põhitaotlus (6a)'!#REF!</f>
        <v>#REF!</v>
      </c>
      <c r="D18" s="79" t="e">
        <f t="shared" si="0"/>
        <v>#REF!</v>
      </c>
    </row>
    <row r="19" spans="1:4">
      <c r="A19" s="4" t="s">
        <v>249</v>
      </c>
      <c r="B19" s="79" t="e">
        <f>'Kulud (5)'!#REF!</f>
        <v>#REF!</v>
      </c>
      <c r="C19" s="79" t="e">
        <f>'Inv koond - põhitaotlus (6a)'!#REF!</f>
        <v>#REF!</v>
      </c>
      <c r="D19" s="79" t="e">
        <f t="shared" si="0"/>
        <v>#REF!</v>
      </c>
    </row>
    <row r="20" spans="1:4">
      <c r="A20" s="4" t="s">
        <v>250</v>
      </c>
      <c r="B20" s="79" t="e">
        <f>'Kulud (5)'!#REF!</f>
        <v>#REF!</v>
      </c>
      <c r="C20" s="79" t="e">
        <f>'Inv koond - põhitaotlus (6a)'!#REF!</f>
        <v>#REF!</v>
      </c>
      <c r="D20" s="79" t="e">
        <f t="shared" si="0"/>
        <v>#REF!</v>
      </c>
    </row>
    <row r="21" spans="1:4">
      <c r="A21" s="4" t="s">
        <v>251</v>
      </c>
      <c r="B21" s="79" t="e">
        <f>'Kulud (5)'!#REF!</f>
        <v>#REF!</v>
      </c>
      <c r="C21" s="79" t="e">
        <f>'Inv koond - põhitaotlus (6a)'!#REF!</f>
        <v>#REF!</v>
      </c>
      <c r="D21" s="79" t="e">
        <f t="shared" si="0"/>
        <v>#REF!</v>
      </c>
    </row>
    <row r="22" spans="1:4">
      <c r="A22" s="4" t="s">
        <v>252</v>
      </c>
      <c r="B22" s="79" t="e">
        <f>'Kulud (5)'!#REF!</f>
        <v>#REF!</v>
      </c>
      <c r="C22" s="79" t="e">
        <f>'Inv koond - põhitaotlus (6a)'!#REF!</f>
        <v>#REF!</v>
      </c>
      <c r="D22" s="79" t="e">
        <f t="shared" si="0"/>
        <v>#REF!</v>
      </c>
    </row>
    <row r="23" spans="1:4">
      <c r="A23" s="180" t="s">
        <v>253</v>
      </c>
      <c r="B23" s="57" t="e">
        <f>'Kulud (5)'!#REF!</f>
        <v>#REF!</v>
      </c>
      <c r="C23" s="57" t="e">
        <f>'Inv koond - põhitaotlus (6a)'!#REF!</f>
        <v>#REF!</v>
      </c>
      <c r="D23" s="57" t="e">
        <f t="shared" si="0"/>
        <v>#REF!</v>
      </c>
    </row>
    <row r="24" spans="1:4">
      <c r="A24" s="4" t="s">
        <v>254</v>
      </c>
      <c r="B24" s="79" t="e">
        <f>'Kulud (5)'!#REF!</f>
        <v>#REF!</v>
      </c>
      <c r="C24" s="57"/>
      <c r="D24" s="79" t="e">
        <f t="shared" si="0"/>
        <v>#REF!</v>
      </c>
    </row>
    <row r="25" spans="1:4">
      <c r="A25" s="4" t="s">
        <v>255</v>
      </c>
      <c r="B25" s="79" t="e">
        <f>'Kulud (5)'!#REF!</f>
        <v>#REF!</v>
      </c>
      <c r="C25" s="79"/>
      <c r="D25" s="79" t="e">
        <f t="shared" si="0"/>
        <v>#REF!</v>
      </c>
    </row>
    <row r="26" spans="1:4">
      <c r="A26" s="4" t="s">
        <v>256</v>
      </c>
      <c r="B26" s="79" t="e">
        <f>'Kulud (5)'!#REF!</f>
        <v>#REF!</v>
      </c>
      <c r="C26" s="79"/>
      <c r="D26" s="79" t="e">
        <f t="shared" si="0"/>
        <v>#REF!</v>
      </c>
    </row>
    <row r="27" spans="1:4">
      <c r="A27" s="181" t="s">
        <v>257</v>
      </c>
      <c r="B27" s="79" t="e">
        <f>'Kulud (5)'!#REF!</f>
        <v>#REF!</v>
      </c>
      <c r="C27" s="79"/>
      <c r="D27" s="79" t="e">
        <f t="shared" si="0"/>
        <v>#REF!</v>
      </c>
    </row>
    <row r="28" spans="1:4">
      <c r="A28" s="130" t="s">
        <v>258</v>
      </c>
      <c r="B28" s="79" t="e">
        <f>'Kulud (5)'!#REF!</f>
        <v>#REF!</v>
      </c>
      <c r="C28" s="79"/>
      <c r="D28" s="79" t="e">
        <f t="shared" si="0"/>
        <v>#REF!</v>
      </c>
    </row>
    <row r="29" spans="1:4">
      <c r="A29" s="130" t="s">
        <v>227</v>
      </c>
      <c r="B29" s="79" t="e">
        <f>'Kulud (5)'!#REF!</f>
        <v>#REF!</v>
      </c>
      <c r="C29" s="79"/>
      <c r="D29" s="79" t="e">
        <f t="shared" si="0"/>
        <v>#REF!</v>
      </c>
    </row>
    <row r="30" spans="1:4">
      <c r="A30" s="180" t="s">
        <v>259</v>
      </c>
      <c r="B30" s="57" t="e">
        <f>'Kulud (5)'!#REF!</f>
        <v>#REF!</v>
      </c>
      <c r="C30" s="57" t="e">
        <f>SUM(C23:C29)</f>
        <v>#REF!</v>
      </c>
      <c r="D30" s="57" t="e">
        <f t="shared" si="0"/>
        <v>#REF!</v>
      </c>
    </row>
    <row r="31" spans="1:4">
      <c r="A31" s="4" t="s">
        <v>260</v>
      </c>
      <c r="B31" s="79" t="e">
        <f>'Kulud (5)'!#REF!</f>
        <v>#REF!</v>
      </c>
      <c r="C31" s="57"/>
      <c r="D31" s="79" t="e">
        <f t="shared" si="0"/>
        <v>#REF!</v>
      </c>
    </row>
    <row r="32" spans="1:4">
      <c r="A32" s="180" t="s">
        <v>47</v>
      </c>
      <c r="B32" s="57" t="e">
        <f>'Kulud (5)'!#REF!</f>
        <v>#REF!</v>
      </c>
      <c r="C32" s="57" t="e">
        <f>C30+C31</f>
        <v>#REF!</v>
      </c>
      <c r="D32" s="57" t="e">
        <f t="shared" si="0"/>
        <v>#REF!</v>
      </c>
    </row>
    <row r="33" spans="3:3">
      <c r="C33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6"/>
  <sheetViews>
    <sheetView showZeros="0" zoomScaleNormal="100" workbookViewId="0">
      <pane ySplit="3" topLeftCell="A51" activePane="bottomLeft" state="frozen"/>
      <selection activeCell="H4" sqref="H4"/>
      <selection pane="bottomLeft" activeCell="C71" sqref="C71"/>
    </sheetView>
  </sheetViews>
  <sheetFormatPr defaultRowHeight="12.75"/>
  <cols>
    <col min="1" max="1" width="62.28515625" customWidth="1"/>
    <col min="2" max="3" width="11.7109375" bestFit="1" customWidth="1"/>
    <col min="4" max="4" width="11.28515625" customWidth="1"/>
  </cols>
  <sheetData>
    <row r="1" spans="1:4" ht="15">
      <c r="A1" s="13" t="s">
        <v>49</v>
      </c>
      <c r="C1" s="81"/>
    </row>
    <row r="2" spans="1:4">
      <c r="A2" s="14"/>
      <c r="C2" s="15" t="s">
        <v>48</v>
      </c>
    </row>
    <row r="3" spans="1:4" ht="25.5">
      <c r="A3" s="3"/>
      <c r="B3" s="188" t="s">
        <v>503</v>
      </c>
      <c r="C3" s="188" t="s">
        <v>278</v>
      </c>
      <c r="D3" s="189" t="s">
        <v>266</v>
      </c>
    </row>
    <row r="4" spans="1:4">
      <c r="A4" s="3"/>
      <c r="C4" s="95"/>
    </row>
    <row r="5" spans="1:4">
      <c r="A5" s="3" t="s">
        <v>50</v>
      </c>
      <c r="C5" s="33"/>
    </row>
    <row r="6" spans="1:4">
      <c r="A6" s="52"/>
      <c r="B6" s="352">
        <f t="shared" ref="B6:C6" si="0">B19/B7</f>
        <v>0.163583740358027</v>
      </c>
      <c r="C6" s="352" t="e">
        <f t="shared" si="0"/>
        <v>#REF!</v>
      </c>
      <c r="D6" s="352" t="e">
        <f>D19/D7</f>
        <v>#REF!</v>
      </c>
    </row>
    <row r="7" spans="1:4">
      <c r="A7" s="17" t="s">
        <v>51</v>
      </c>
      <c r="B7" s="272">
        <v>625318444.34000003</v>
      </c>
      <c r="C7" s="18" t="e">
        <f>SUM(C8:C22)</f>
        <v>#REF!</v>
      </c>
      <c r="D7" s="18" t="e">
        <f t="shared" ref="D7" si="1">SUM(D8:D21)</f>
        <v>#REF!</v>
      </c>
    </row>
    <row r="8" spans="1:4">
      <c r="A8" s="20" t="s">
        <v>52</v>
      </c>
      <c r="B8" s="21">
        <v>399780819.67000002</v>
      </c>
      <c r="C8" s="21" t="e">
        <f>'2 TULUDE KOOND'!G9</f>
        <v>#REF!</v>
      </c>
      <c r="D8" s="310" t="e">
        <f>'2 TULUDE KOOND'!H9</f>
        <v>#REF!</v>
      </c>
    </row>
    <row r="9" spans="1:4">
      <c r="A9" s="20" t="s">
        <v>53</v>
      </c>
      <c r="B9" s="21">
        <v>13369768.890000001</v>
      </c>
      <c r="C9" s="21" t="e">
        <f>'2 TULUDE KOOND'!G13</f>
        <v>#REF!</v>
      </c>
      <c r="D9" s="310" t="e">
        <f>'2 TULUDE KOOND'!H13</f>
        <v>#REF!</v>
      </c>
    </row>
    <row r="10" spans="1:4">
      <c r="A10" s="20" t="s">
        <v>54</v>
      </c>
      <c r="B10" s="21">
        <v>566574.33000000007</v>
      </c>
      <c r="C10" s="21" t="e">
        <f>'2 TULUDE KOOND'!G19</f>
        <v>#REF!</v>
      </c>
      <c r="D10" s="310" t="e">
        <f>'2 TULUDE KOOND'!H19</f>
        <v>#REF!</v>
      </c>
    </row>
    <row r="11" spans="1:4">
      <c r="A11" s="20" t="s">
        <v>55</v>
      </c>
      <c r="B11" s="21">
        <v>79416036.640000001</v>
      </c>
      <c r="C11" s="21" t="e">
        <f ca="1">'2 TULUDE KOOND'!G21</f>
        <v>#REF!</v>
      </c>
      <c r="D11" s="310" t="e">
        <f ca="1">'2 TULUDE KOOND'!H21</f>
        <v>#REF!</v>
      </c>
    </row>
    <row r="12" spans="1:4">
      <c r="A12" s="20" t="s">
        <v>56</v>
      </c>
      <c r="B12" s="21">
        <v>2661988.9299999997</v>
      </c>
      <c r="C12" s="21" t="e">
        <f ca="1">'2 TULUDE KOOND'!G29</f>
        <v>#REF!</v>
      </c>
      <c r="D12" s="310" t="e">
        <f ca="1">'2 TULUDE KOOND'!H29</f>
        <v>#REF!</v>
      </c>
    </row>
    <row r="13" spans="1:4">
      <c r="A13" s="20" t="s">
        <v>57</v>
      </c>
      <c r="B13" s="21">
        <v>4815.45</v>
      </c>
      <c r="C13" s="21" t="e">
        <f>'2 TULUDE KOOND'!G35</f>
        <v>#REF!</v>
      </c>
      <c r="D13" s="310" t="e">
        <f>'2 TULUDE KOOND'!H35</f>
        <v>#REF!</v>
      </c>
    </row>
    <row r="14" spans="1:4">
      <c r="A14" s="20" t="s">
        <v>58</v>
      </c>
      <c r="B14" s="21">
        <v>3429210.77</v>
      </c>
      <c r="C14" s="21" t="e">
        <f>'2 TULUDE KOOND'!G39</f>
        <v>#REF!</v>
      </c>
      <c r="D14" s="310" t="e">
        <f>'2 TULUDE KOOND'!H39</f>
        <v>#REF!</v>
      </c>
    </row>
    <row r="15" spans="1:4">
      <c r="A15" s="20" t="s">
        <v>59</v>
      </c>
      <c r="B15" s="21">
        <v>-1430807.15</v>
      </c>
      <c r="C15" s="21" t="e">
        <f>'2 TULUDE KOOND'!G40</f>
        <v>#REF!</v>
      </c>
      <c r="D15" s="21" t="e">
        <f>'2 TULUDE KOOND'!H40</f>
        <v>#REF!</v>
      </c>
    </row>
    <row r="16" spans="1:4">
      <c r="A16" s="20" t="s">
        <v>60</v>
      </c>
      <c r="B16" s="21">
        <v>-4220</v>
      </c>
      <c r="C16" s="21" t="e">
        <f>'2 TULUDE KOOND'!G41</f>
        <v>#REF!</v>
      </c>
      <c r="D16" s="310" t="e">
        <f>'2 TULUDE KOOND'!H41</f>
        <v>#REF!</v>
      </c>
    </row>
    <row r="17" spans="1:4">
      <c r="A17" s="20" t="s">
        <v>61</v>
      </c>
      <c r="B17" s="21">
        <v>594753.68999999994</v>
      </c>
      <c r="C17" s="21" t="e">
        <f ca="1">'2 TULUDE KOOND'!G43</f>
        <v>#REF!</v>
      </c>
      <c r="D17" s="310" t="e">
        <f>'2 TULUDE KOOND'!H43</f>
        <v>#REF!</v>
      </c>
    </row>
    <row r="18" spans="1:4">
      <c r="A18" s="20" t="s">
        <v>62</v>
      </c>
      <c r="B18" s="21">
        <v>7347730.2000000002</v>
      </c>
      <c r="C18" s="21" t="e">
        <f>'2 TULUDE KOOND'!G48</f>
        <v>#REF!</v>
      </c>
      <c r="D18" s="310" t="e">
        <f>'2 TULUDE KOOND'!H48</f>
        <v>#REF!</v>
      </c>
    </row>
    <row r="19" spans="1:4">
      <c r="A19" s="22" t="s">
        <v>63</v>
      </c>
      <c r="B19" s="21">
        <v>102291930.03999992</v>
      </c>
      <c r="C19" s="21">
        <f>'2 TULUDE KOOND'!G53</f>
        <v>0</v>
      </c>
      <c r="D19" s="310">
        <f>'2 TULUDE KOOND'!H53</f>
        <v>0</v>
      </c>
    </row>
    <row r="20" spans="1:4">
      <c r="A20" s="20" t="s">
        <v>64</v>
      </c>
      <c r="B20" s="21">
        <v>17008327.07</v>
      </c>
      <c r="C20" s="21" t="e">
        <f>'2 TULUDE KOOND'!G54</f>
        <v>#REF!</v>
      </c>
      <c r="D20" s="310" t="e">
        <f>'2 TULUDE KOOND'!H54</f>
        <v>#REF!</v>
      </c>
    </row>
    <row r="21" spans="1:4" s="81" customFormat="1">
      <c r="A21" s="20" t="s">
        <v>133</v>
      </c>
      <c r="B21" s="21">
        <v>112618.85</v>
      </c>
      <c r="C21" s="21" t="e">
        <f>'2 TULUDE KOOND'!G55</f>
        <v>#REF!</v>
      </c>
      <c r="D21" s="310" t="e">
        <f>'2 TULUDE KOOND'!H55</f>
        <v>#REF!</v>
      </c>
    </row>
    <row r="22" spans="1:4" ht="14.25" customHeight="1">
      <c r="A22" s="20" t="s">
        <v>390</v>
      </c>
      <c r="B22" s="21">
        <v>168896.96</v>
      </c>
      <c r="C22" s="21" t="e">
        <f>'2 TULUDE KOOND'!G56</f>
        <v>#REF!</v>
      </c>
      <c r="D22" s="21"/>
    </row>
    <row r="23" spans="1:4" ht="12" customHeight="1">
      <c r="A23" s="6"/>
      <c r="B23" s="88"/>
      <c r="C23" s="88"/>
      <c r="D23" s="88"/>
    </row>
    <row r="24" spans="1:4">
      <c r="A24" s="17" t="s">
        <v>65</v>
      </c>
      <c r="B24" s="272">
        <v>558865025.55999982</v>
      </c>
      <c r="C24" s="18" t="e">
        <f>C25+C31</f>
        <v>#REF!</v>
      </c>
      <c r="D24" s="18" t="e">
        <f>D25+D31</f>
        <v>#REF!</v>
      </c>
    </row>
    <row r="25" spans="1:4">
      <c r="A25" s="20" t="s">
        <v>66</v>
      </c>
      <c r="B25" s="110">
        <v>506741654.64999986</v>
      </c>
      <c r="C25" s="21" t="e">
        <f>SUM(C26:C30)</f>
        <v>#REF!</v>
      </c>
      <c r="D25" s="276" t="e">
        <f>#REF!</f>
        <v>#REF!</v>
      </c>
    </row>
    <row r="26" spans="1:4">
      <c r="A26" s="109" t="s">
        <v>67</v>
      </c>
      <c r="B26" s="275" t="s">
        <v>394</v>
      </c>
      <c r="C26" s="21" t="e">
        <f>'Kulud (5)'!#REF!</f>
        <v>#REF!</v>
      </c>
      <c r="D26" s="276" t="e">
        <f>#REF!</f>
        <v>#REF!</v>
      </c>
    </row>
    <row r="27" spans="1:4">
      <c r="A27" s="23" t="s">
        <v>68</v>
      </c>
      <c r="B27" s="275" t="s">
        <v>394</v>
      </c>
      <c r="C27" s="21" t="e">
        <f>'Kulud (5)'!#REF!</f>
        <v>#REF!</v>
      </c>
      <c r="D27" s="276" t="e">
        <f>#REF!</f>
        <v>#REF!</v>
      </c>
    </row>
    <row r="28" spans="1:4" s="81" customFormat="1">
      <c r="A28" s="23" t="s">
        <v>504</v>
      </c>
      <c r="B28" s="275"/>
      <c r="C28" s="21" t="e">
        <f>'Kulud (5)'!#REF!</f>
        <v>#REF!</v>
      </c>
      <c r="D28" s="276"/>
    </row>
    <row r="29" spans="1:4" s="81" customFormat="1">
      <c r="A29" s="23" t="s">
        <v>387</v>
      </c>
      <c r="B29" s="275"/>
      <c r="C29" s="21" t="e">
        <f>'Kulud (5)'!#REF!</f>
        <v>#REF!</v>
      </c>
      <c r="D29" s="276"/>
    </row>
    <row r="30" spans="1:4">
      <c r="A30" s="23" t="s">
        <v>69</v>
      </c>
      <c r="B30" s="275" t="s">
        <v>394</v>
      </c>
      <c r="C30" s="21" t="e">
        <f>'Kulud (5)'!#REF!+'Kulud (5)'!#REF!</f>
        <v>#REF!</v>
      </c>
      <c r="D30" s="276" t="e">
        <f>D25-D26-D27</f>
        <v>#REF!</v>
      </c>
    </row>
    <row r="31" spans="1:4">
      <c r="A31" s="20" t="s">
        <v>70</v>
      </c>
      <c r="B31" s="21">
        <v>52123370.909999982</v>
      </c>
      <c r="C31" s="21">
        <v>33483567</v>
      </c>
      <c r="D31" s="320">
        <f>('Inv koond - põhitaotlus (6a)'!S6-'Inv koond - põhitaotlus (6a)'!B6)*0.2+'Inv koond - põhitaotlus (6a)'!B6</f>
        <v>25779429.200000003</v>
      </c>
    </row>
    <row r="32" spans="1:4">
      <c r="A32" s="20"/>
      <c r="B32" s="88"/>
      <c r="C32" s="88"/>
      <c r="D32" s="88"/>
    </row>
    <row r="33" spans="1:4">
      <c r="A33" s="24" t="s">
        <v>71</v>
      </c>
      <c r="B33" s="273">
        <v>66453418.78000021</v>
      </c>
      <c r="C33" s="74" t="e">
        <f>C7-C24</f>
        <v>#REF!</v>
      </c>
      <c r="D33" s="74" t="e">
        <f>D7-D24</f>
        <v>#REF!</v>
      </c>
    </row>
    <row r="34" spans="1:4">
      <c r="A34" s="25"/>
      <c r="B34" s="7"/>
      <c r="C34" s="7"/>
    </row>
    <row r="35" spans="1:4">
      <c r="A35" s="26" t="s">
        <v>72</v>
      </c>
      <c r="B35" s="21">
        <v>34489174.760000005</v>
      </c>
      <c r="C35" s="21" t="e">
        <f>'Kulud (5)'!#REF!</f>
        <v>#REF!</v>
      </c>
      <c r="D35" s="321">
        <v>35000000</v>
      </c>
    </row>
    <row r="36" spans="1:4">
      <c r="A36" s="6"/>
      <c r="B36" s="88"/>
      <c r="C36" s="88"/>
    </row>
    <row r="37" spans="1:4">
      <c r="A37" s="24" t="s">
        <v>73</v>
      </c>
      <c r="B37" s="273">
        <v>31964244.020000204</v>
      </c>
      <c r="C37" s="74" t="e">
        <f>+C33-C35</f>
        <v>#REF!</v>
      </c>
      <c r="D37" s="74" t="e">
        <f t="shared" ref="D37" si="2">+D33-D35</f>
        <v>#REF!</v>
      </c>
    </row>
    <row r="38" spans="1:4" ht="16.5" thickBot="1">
      <c r="A38" s="27"/>
      <c r="B38" s="75"/>
      <c r="C38" s="75"/>
      <c r="D38" s="75"/>
    </row>
    <row r="39" spans="1:4" s="81" customFormat="1" ht="16.5" thickTop="1">
      <c r="A39" s="28"/>
      <c r="B39" s="76"/>
      <c r="C39" s="76"/>
      <c r="D39" s="76"/>
    </row>
    <row r="40" spans="1:4" s="81" customFormat="1" ht="15.75">
      <c r="A40" s="29" t="s">
        <v>74</v>
      </c>
      <c r="B40" s="76"/>
      <c r="C40" s="76"/>
      <c r="D40"/>
    </row>
    <row r="41" spans="1:4" ht="15.75">
      <c r="A41" s="29"/>
      <c r="B41" s="76"/>
      <c r="C41" s="76"/>
      <c r="D41" s="81"/>
    </row>
    <row r="42" spans="1:4">
      <c r="A42" s="72" t="s">
        <v>156</v>
      </c>
      <c r="B42" s="21"/>
      <c r="C42" s="21">
        <v>0</v>
      </c>
      <c r="D42" s="81"/>
    </row>
    <row r="43" spans="1:4">
      <c r="A43" s="20"/>
      <c r="B43" s="21"/>
      <c r="C43" s="21"/>
    </row>
    <row r="44" spans="1:4">
      <c r="A44" s="140" t="s">
        <v>75</v>
      </c>
      <c r="B44" s="21"/>
      <c r="C44" s="21">
        <f>C45+C31</f>
        <v>115690068</v>
      </c>
      <c r="D44" s="21">
        <f t="shared" ref="D44" si="3">D45+D31</f>
        <v>118853746</v>
      </c>
    </row>
    <row r="45" spans="1:4">
      <c r="A45" s="141" t="s">
        <v>76</v>
      </c>
      <c r="B45" s="21">
        <v>76610042.699999988</v>
      </c>
      <c r="C45" s="21">
        <v>82206501</v>
      </c>
      <c r="D45" s="320">
        <f>'Inv koond - põhitaotlus (6a)'!S6-D31</f>
        <v>93074316.799999997</v>
      </c>
    </row>
    <row r="46" spans="1:4">
      <c r="A46" s="141" t="s">
        <v>72</v>
      </c>
      <c r="B46" s="110">
        <v>-34489174.760000005</v>
      </c>
      <c r="C46" s="21" t="e">
        <f>-C35</f>
        <v>#REF!</v>
      </c>
      <c r="D46" s="321">
        <f>-D35</f>
        <v>-35000000</v>
      </c>
    </row>
    <row r="47" spans="1:4" s="81" customFormat="1">
      <c r="A47" s="141" t="s">
        <v>77</v>
      </c>
      <c r="B47" s="110">
        <v>-1430807.15</v>
      </c>
      <c r="C47" s="21" t="e">
        <f>C15</f>
        <v>#REF!</v>
      </c>
      <c r="D47" s="21" t="e">
        <f>D15</f>
        <v>#REF!</v>
      </c>
    </row>
    <row r="48" spans="1:4" s="81" customFormat="1">
      <c r="A48" s="142" t="s">
        <v>78</v>
      </c>
      <c r="B48" s="272">
        <v>40690060.789999984</v>
      </c>
      <c r="C48" s="18" t="e">
        <f>C45+C46+C47</f>
        <v>#REF!</v>
      </c>
      <c r="D48" s="18" t="e">
        <f t="shared" ref="D48" si="4">D45+D46+D47</f>
        <v>#REF!</v>
      </c>
    </row>
    <row r="49" spans="1:4" s="81" customFormat="1">
      <c r="A49" s="142"/>
      <c r="B49" s="18"/>
      <c r="C49" s="18"/>
    </row>
    <row r="50" spans="1:4" s="81" customFormat="1">
      <c r="A50" s="140" t="s">
        <v>182</v>
      </c>
      <c r="B50" s="18"/>
      <c r="C50" s="18"/>
    </row>
    <row r="51" spans="1:4" s="81" customFormat="1">
      <c r="A51" s="143" t="s">
        <v>183</v>
      </c>
      <c r="B51" s="21">
        <v>1319223.3500000001</v>
      </c>
      <c r="C51" s="18">
        <f>-4115000+34800+16676+61638-524-1620-15139+30054-1577-100000-544-15000-8406-346-10-2+34800</f>
        <v>-4080200</v>
      </c>
    </row>
    <row r="52" spans="1:4" s="81" customFormat="1">
      <c r="A52" s="142"/>
      <c r="B52" s="21"/>
      <c r="C52" s="18"/>
    </row>
    <row r="53" spans="1:4" s="81" customFormat="1">
      <c r="A53" s="140" t="s">
        <v>391</v>
      </c>
      <c r="B53" s="21"/>
      <c r="C53" s="18"/>
    </row>
    <row r="54" spans="1:4" s="81" customFormat="1">
      <c r="A54" s="141" t="s">
        <v>392</v>
      </c>
      <c r="B54" s="18">
        <v>880000</v>
      </c>
      <c r="C54" s="18"/>
    </row>
    <row r="55" spans="1:4" s="81" customFormat="1">
      <c r="A55" s="142"/>
      <c r="B55" s="18"/>
      <c r="C55" s="18"/>
    </row>
    <row r="56" spans="1:4">
      <c r="A56" s="142" t="s">
        <v>184</v>
      </c>
      <c r="B56" s="18">
        <v>2199223.35</v>
      </c>
      <c r="C56" s="18">
        <f>C51</f>
        <v>-4080200</v>
      </c>
      <c r="D56" s="18">
        <f t="shared" ref="D56" si="5">D51</f>
        <v>0</v>
      </c>
    </row>
    <row r="57" spans="1:4">
      <c r="A57" s="142"/>
      <c r="B57" s="18"/>
      <c r="C57" s="18"/>
      <c r="D57" s="81"/>
    </row>
    <row r="58" spans="1:4">
      <c r="A58" s="142" t="s">
        <v>181</v>
      </c>
      <c r="B58" s="18">
        <v>222664</v>
      </c>
      <c r="C58" s="18">
        <v>-34800</v>
      </c>
      <c r="D58" s="81"/>
    </row>
    <row r="59" spans="1:4" ht="15.75">
      <c r="A59" s="29"/>
      <c r="B59" s="76"/>
      <c r="C59" s="76"/>
      <c r="D59" s="81"/>
    </row>
    <row r="60" spans="1:4">
      <c r="A60" s="72" t="s">
        <v>157</v>
      </c>
      <c r="B60" s="21"/>
      <c r="C60" s="21">
        <v>0</v>
      </c>
      <c r="D60" s="81"/>
    </row>
    <row r="61" spans="1:4" s="81" customFormat="1">
      <c r="A61" s="20"/>
      <c r="B61" s="21"/>
      <c r="C61" s="21"/>
      <c r="D61"/>
    </row>
    <row r="62" spans="1:4" s="81" customFormat="1">
      <c r="A62" s="142" t="s">
        <v>79</v>
      </c>
      <c r="B62" s="18">
        <f>B63-B64-B65</f>
        <v>5032391.1500000022</v>
      </c>
      <c r="C62" s="18">
        <f>C63-C64-C65</f>
        <v>10867780</v>
      </c>
      <c r="D62" s="18">
        <f t="shared" ref="D62" si="6">D63-D64-D65</f>
        <v>15810314</v>
      </c>
    </row>
    <row r="63" spans="1:4" s="81" customFormat="1">
      <c r="A63" s="143" t="s">
        <v>80</v>
      </c>
      <c r="B63" s="21">
        <v>30000000</v>
      </c>
      <c r="C63" s="21">
        <f>'5 FIN.TEH'!C5</f>
        <v>30000000</v>
      </c>
      <c r="D63" s="21">
        <f>'5 FIN.TEH'!D5</f>
        <v>35000000</v>
      </c>
    </row>
    <row r="64" spans="1:4">
      <c r="A64" s="143" t="s">
        <v>81</v>
      </c>
      <c r="B64" s="21">
        <v>9913194.6899999995</v>
      </c>
      <c r="C64" s="21">
        <f>'5 FIN.TEH'!C8</f>
        <v>18489583</v>
      </c>
      <c r="D64" s="21">
        <f>'5 FIN.TEH'!D8</f>
        <v>18489583</v>
      </c>
    </row>
    <row r="65" spans="1:4" s="81" customFormat="1">
      <c r="A65" s="141" t="s">
        <v>129</v>
      </c>
      <c r="B65" s="21">
        <v>15054414.16</v>
      </c>
      <c r="C65" s="21">
        <f>'5 FIN.TEH'!C11</f>
        <v>642637</v>
      </c>
      <c r="D65" s="21">
        <f>'5 FIN.TEH'!D11</f>
        <v>700103</v>
      </c>
    </row>
    <row r="66" spans="1:4" s="81" customFormat="1">
      <c r="A66" s="141"/>
      <c r="B66" s="21"/>
      <c r="C66" s="21"/>
    </row>
    <row r="67" spans="1:4" s="81" customFormat="1">
      <c r="A67" s="142" t="s">
        <v>180</v>
      </c>
      <c r="B67" s="21">
        <v>6115313.3799999999</v>
      </c>
      <c r="C67" s="18">
        <v>-34800</v>
      </c>
    </row>
    <row r="68" spans="1:4" s="81" customFormat="1">
      <c r="A68" s="141"/>
      <c r="B68" s="18"/>
      <c r="C68" s="21"/>
    </row>
    <row r="69" spans="1:4">
      <c r="A69" s="72" t="s">
        <v>83</v>
      </c>
      <c r="B69" s="49">
        <f>+B48-B62+B51+B58-B67+B54</f>
        <v>31964243.609999988</v>
      </c>
      <c r="C69" s="49" t="e">
        <f>+C48-C62+C51+C58-C67</f>
        <v>#REF!</v>
      </c>
      <c r="D69" s="49" t="e">
        <f t="shared" ref="D69" si="7">+D48-D62+D51+D58-D67</f>
        <v>#REF!</v>
      </c>
    </row>
    <row r="70" spans="1:4" s="81" customFormat="1">
      <c r="A70" s="72"/>
      <c r="B70" s="12"/>
      <c r="C70" s="49"/>
      <c r="D70" s="49"/>
    </row>
    <row r="71" spans="1:4">
      <c r="A71" s="30"/>
      <c r="B71" s="272"/>
      <c r="C71" s="18"/>
      <c r="D71" s="18"/>
    </row>
    <row r="72" spans="1:4">
      <c r="A72" s="6" t="s">
        <v>84</v>
      </c>
      <c r="B72" s="11">
        <v>656526587.49000001</v>
      </c>
      <c r="C72" s="88" t="e">
        <f>C7-C47+C63-C58-C51</f>
        <v>#REF!</v>
      </c>
      <c r="D72" s="88" t="e">
        <f>D7-D47+D63-D58-D51</f>
        <v>#REF!</v>
      </c>
    </row>
    <row r="73" spans="1:4">
      <c r="A73" s="6" t="s">
        <v>85</v>
      </c>
      <c r="B73" s="11">
        <v>656526587.0799998</v>
      </c>
      <c r="C73" s="88" t="e">
        <f>C24+C45+C64+C65-C67</f>
        <v>#REF!</v>
      </c>
      <c r="D73" s="88" t="e">
        <f>D24+D45+D64+D65-D67</f>
        <v>#REF!</v>
      </c>
    </row>
    <row r="74" spans="1:4">
      <c r="A74" s="6"/>
      <c r="B74" s="336"/>
      <c r="C74" s="336" t="e">
        <f>(C73-B73)/B73</f>
        <v>#REF!</v>
      </c>
      <c r="D74" s="336" t="e">
        <f>(D73-C73)/C73</f>
        <v>#REF!</v>
      </c>
    </row>
    <row r="75" spans="1:4">
      <c r="A75" s="39"/>
      <c r="C75" s="88" t="e">
        <f>C72-C73</f>
        <v>#REF!</v>
      </c>
    </row>
    <row r="76" spans="1:4">
      <c r="A76" s="39" t="s">
        <v>395</v>
      </c>
      <c r="B76" s="79"/>
      <c r="C76" s="79"/>
      <c r="D76" s="79"/>
    </row>
    <row r="77" spans="1:4">
      <c r="A77" s="39"/>
      <c r="C77" s="169"/>
    </row>
    <row r="78" spans="1:4">
      <c r="A78" s="22" t="s">
        <v>63</v>
      </c>
      <c r="B78" s="79" t="e">
        <f>B79+B80</f>
        <v>#REF!</v>
      </c>
      <c r="C78" s="79" t="e">
        <f t="shared" ref="C78:D78" si="8">C79+C80</f>
        <v>#REF!</v>
      </c>
      <c r="D78" s="79" t="e">
        <f t="shared" si="8"/>
        <v>#REF!</v>
      </c>
    </row>
    <row r="79" spans="1:4" s="81" customFormat="1">
      <c r="A79" s="279" t="s">
        <v>396</v>
      </c>
      <c r="B79" s="79">
        <f>'Toetused (4)'!B9</f>
        <v>0</v>
      </c>
      <c r="C79" s="79">
        <f>'Toetused (4)'!F9</f>
        <v>0</v>
      </c>
      <c r="D79" s="79">
        <f>'Toetused (4)'!G9</f>
        <v>0</v>
      </c>
    </row>
    <row r="80" spans="1:4" s="81" customFormat="1">
      <c r="A80" s="279" t="s">
        <v>397</v>
      </c>
      <c r="B80" s="79" t="e">
        <f>'Toetused (4)'!#REF!</f>
        <v>#REF!</v>
      </c>
      <c r="C80" s="79" t="e">
        <f>'Toetused (4)'!#REF!</f>
        <v>#REF!</v>
      </c>
      <c r="D80" s="79" t="e">
        <f>'Toetused (4)'!#REF!</f>
        <v>#REF!</v>
      </c>
    </row>
    <row r="81" spans="1:4" s="81" customFormat="1">
      <c r="A81" s="280" t="s">
        <v>138</v>
      </c>
      <c r="B81" s="197" t="e">
        <f>'Toetused (4)'!#REF!</f>
        <v>#REF!</v>
      </c>
      <c r="C81" s="197" t="e">
        <f>'Toetused (4)'!#REF!</f>
        <v>#REF!</v>
      </c>
      <c r="D81" s="197" t="e">
        <f>'Toetused (4)'!#REF!</f>
        <v>#REF!</v>
      </c>
    </row>
    <row r="82" spans="1:4" s="81" customFormat="1">
      <c r="A82" s="280" t="s">
        <v>170</v>
      </c>
      <c r="B82" s="197" t="e">
        <f>'Toetused (4)'!#REF!</f>
        <v>#REF!</v>
      </c>
      <c r="C82" s="197" t="e">
        <f>'Toetused (4)'!#REF!</f>
        <v>#REF!</v>
      </c>
      <c r="D82" s="197" t="e">
        <f>'Toetused (4)'!#REF!</f>
        <v>#REF!</v>
      </c>
    </row>
    <row r="83" spans="1:4" s="81" customFormat="1">
      <c r="A83" s="280" t="s">
        <v>171</v>
      </c>
      <c r="B83" s="197" t="e">
        <f>'Toetused (4)'!#REF!</f>
        <v>#REF!</v>
      </c>
      <c r="C83" s="197" t="e">
        <f>'Toetused (4)'!#REF!</f>
        <v>#REF!</v>
      </c>
      <c r="D83" s="197" t="e">
        <f>'Toetused (4)'!#REF!</f>
        <v>#REF!</v>
      </c>
    </row>
    <row r="84" spans="1:4">
      <c r="A84" s="20" t="s">
        <v>133</v>
      </c>
      <c r="B84" s="79" t="e">
        <f>B85+B86</f>
        <v>#REF!</v>
      </c>
      <c r="C84" s="79" t="e">
        <f t="shared" ref="C84:D84" si="9">C85+C86</f>
        <v>#REF!</v>
      </c>
      <c r="D84" s="79" t="e">
        <f t="shared" si="9"/>
        <v>#REF!</v>
      </c>
    </row>
    <row r="85" spans="1:4" s="81" customFormat="1">
      <c r="A85" s="279" t="s">
        <v>396</v>
      </c>
      <c r="B85" s="79" t="e">
        <f>'Toetused (4)'!#REF!</f>
        <v>#REF!</v>
      </c>
      <c r="C85" s="79" t="e">
        <f>'Toetused (4)'!#REF!</f>
        <v>#REF!</v>
      </c>
      <c r="D85" s="79" t="e">
        <f>'Toetused (4)'!#REF!</f>
        <v>#REF!</v>
      </c>
    </row>
    <row r="86" spans="1:4" s="81" customFormat="1">
      <c r="A86" s="279" t="s">
        <v>397</v>
      </c>
      <c r="B86" s="79" t="e">
        <f>'Toetused (4)'!#REF!</f>
        <v>#REF!</v>
      </c>
      <c r="C86" s="79" t="e">
        <f>'Toetused (4)'!#REF!</f>
        <v>#REF!</v>
      </c>
      <c r="D86" s="79" t="e">
        <f>'Toetused (4)'!#REF!</f>
        <v>#REF!</v>
      </c>
    </row>
    <row r="87" spans="1:4">
      <c r="A87" s="20" t="s">
        <v>64</v>
      </c>
      <c r="B87" s="79" t="e">
        <f>B88+B89</f>
        <v>#REF!</v>
      </c>
      <c r="C87" s="79" t="e">
        <f t="shared" ref="C87:D87" si="10">C88+C89</f>
        <v>#REF!</v>
      </c>
      <c r="D87" s="79" t="e">
        <f t="shared" si="10"/>
        <v>#REF!</v>
      </c>
    </row>
    <row r="88" spans="1:4">
      <c r="A88" s="279" t="s">
        <v>396</v>
      </c>
      <c r="B88" s="79" t="e">
        <f>'Toetused (4)'!#REF!</f>
        <v>#REF!</v>
      </c>
      <c r="C88" s="79" t="e">
        <f>'Toetused (4)'!#REF!</f>
        <v>#REF!</v>
      </c>
      <c r="D88" s="79" t="e">
        <f>'Toetused (4)'!#REF!</f>
        <v>#REF!</v>
      </c>
    </row>
    <row r="89" spans="1:4">
      <c r="A89" s="279" t="s">
        <v>397</v>
      </c>
      <c r="B89" s="79" t="e">
        <f>'Toetused (4)'!#REF!</f>
        <v>#REF!</v>
      </c>
      <c r="C89" s="79" t="e">
        <f>'Toetused (4)'!#REF!</f>
        <v>#REF!</v>
      </c>
      <c r="D89" s="79" t="e">
        <f>'Toetused (4)'!#REF!</f>
        <v>#REF!</v>
      </c>
    </row>
    <row r="90" spans="1:4">
      <c r="A90" s="31"/>
      <c r="C90" s="32"/>
    </row>
    <row r="91" spans="1:4">
      <c r="A91" s="33"/>
      <c r="C91" s="33"/>
    </row>
    <row r="92" spans="1:4">
      <c r="A92" s="34"/>
      <c r="C92" s="33"/>
    </row>
    <row r="93" spans="1:4">
      <c r="A93" s="31" t="s">
        <v>254</v>
      </c>
      <c r="C93" s="79" t="e">
        <f>'Kulud (5)'!#REF!+'Kulud (5)'!#REF!</f>
        <v>#REF!</v>
      </c>
      <c r="D93" s="190">
        <v>7455968</v>
      </c>
    </row>
    <row r="94" spans="1:4">
      <c r="A94" s="31"/>
      <c r="C94" s="33"/>
    </row>
    <row r="95" spans="1:4">
      <c r="C95" s="33"/>
    </row>
    <row r="96" spans="1:4">
      <c r="C96" s="33"/>
    </row>
    <row r="97" spans="1:3">
      <c r="A97" s="34"/>
      <c r="C97" s="33"/>
    </row>
    <row r="98" spans="1:3">
      <c r="C98" s="33"/>
    </row>
    <row r="99" spans="1:3">
      <c r="C99" s="33"/>
    </row>
    <row r="100" spans="1:3">
      <c r="C100" s="33"/>
    </row>
    <row r="101" spans="1:3">
      <c r="C101" s="33"/>
    </row>
    <row r="102" spans="1:3">
      <c r="C102" s="33"/>
    </row>
    <row r="103" spans="1:3">
      <c r="A103" s="34"/>
      <c r="C103" s="33"/>
    </row>
    <row r="104" spans="1:3">
      <c r="C104" s="33"/>
    </row>
    <row r="105" spans="1:3">
      <c r="C105" s="33"/>
    </row>
    <row r="106" spans="1:3">
      <c r="C106" s="33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0"/>
  <sheetViews>
    <sheetView zoomScaleNormal="100" workbookViewId="0">
      <selection activeCell="H4" sqref="H4"/>
    </sheetView>
  </sheetViews>
  <sheetFormatPr defaultRowHeight="12.75"/>
  <cols>
    <col min="1" max="1" width="66.7109375" customWidth="1"/>
    <col min="2" max="2" width="12" style="81" customWidth="1"/>
    <col min="3" max="3" width="12.42578125" customWidth="1"/>
    <col min="4" max="4" width="11" bestFit="1" customWidth="1"/>
  </cols>
  <sheetData>
    <row r="1" spans="1:4" ht="15">
      <c r="A1" s="82" t="s">
        <v>28</v>
      </c>
      <c r="B1" s="82"/>
      <c r="C1" s="83"/>
    </row>
    <row r="2" spans="1:4" s="81" customFormat="1" ht="12.75" customHeight="1">
      <c r="A2" s="82"/>
      <c r="B2" s="82"/>
      <c r="C2" s="83"/>
    </row>
    <row r="3" spans="1:4" ht="12.75" customHeight="1">
      <c r="A3" s="59"/>
      <c r="B3" s="59"/>
      <c r="C3" s="84" t="s">
        <v>48</v>
      </c>
    </row>
    <row r="4" spans="1:4" ht="25.5" customHeight="1">
      <c r="A4" s="59"/>
      <c r="B4" s="189" t="s">
        <v>267</v>
      </c>
      <c r="C4" s="188">
        <v>2018</v>
      </c>
      <c r="D4" s="189" t="s">
        <v>266</v>
      </c>
    </row>
    <row r="5" spans="1:4">
      <c r="A5" s="60" t="s">
        <v>29</v>
      </c>
      <c r="B5" s="60"/>
      <c r="C5" s="57">
        <v>638910998</v>
      </c>
      <c r="D5" s="19"/>
    </row>
    <row r="6" spans="1:4">
      <c r="A6" s="60" t="s">
        <v>30</v>
      </c>
      <c r="B6" s="60"/>
      <c r="C6" s="57">
        <v>515412109</v>
      </c>
      <c r="D6" s="79"/>
    </row>
    <row r="7" spans="1:4">
      <c r="A7" s="78" t="s">
        <v>140</v>
      </c>
      <c r="B7" s="78"/>
      <c r="C7" s="79">
        <v>437595000</v>
      </c>
      <c r="D7" s="79"/>
    </row>
    <row r="8" spans="1:4">
      <c r="A8" s="78" t="s">
        <v>141</v>
      </c>
      <c r="B8" s="78"/>
      <c r="C8" s="79">
        <v>400100000</v>
      </c>
      <c r="D8" s="79"/>
    </row>
    <row r="9" spans="1:4">
      <c r="A9" s="78" t="s">
        <v>142</v>
      </c>
      <c r="B9" s="78"/>
      <c r="C9" s="79">
        <v>25730000</v>
      </c>
      <c r="D9" s="79"/>
    </row>
    <row r="10" spans="1:4">
      <c r="A10" s="80" t="s">
        <v>143</v>
      </c>
      <c r="B10" s="80"/>
      <c r="C10" s="79">
        <v>11765000</v>
      </c>
      <c r="D10" s="79"/>
    </row>
    <row r="11" spans="1:4">
      <c r="A11" s="80" t="s">
        <v>144</v>
      </c>
      <c r="B11" s="80"/>
      <c r="C11" s="79">
        <v>76128309</v>
      </c>
      <c r="D11" s="79"/>
    </row>
    <row r="12" spans="1:4">
      <c r="A12" s="80" t="s">
        <v>145</v>
      </c>
      <c r="B12" s="80"/>
      <c r="C12" s="79">
        <v>1688800</v>
      </c>
      <c r="D12" s="79"/>
    </row>
    <row r="13" spans="1:4">
      <c r="A13" s="53" t="s">
        <v>31</v>
      </c>
      <c r="B13" s="53"/>
      <c r="C13" s="57">
        <v>123498889</v>
      </c>
      <c r="D13" s="79"/>
    </row>
    <row r="14" spans="1:4">
      <c r="A14" s="80" t="s">
        <v>146</v>
      </c>
      <c r="B14" s="80"/>
      <c r="C14" s="79">
        <v>93199352</v>
      </c>
      <c r="D14" s="79"/>
    </row>
    <row r="15" spans="1:4">
      <c r="A15" s="80" t="s">
        <v>147</v>
      </c>
      <c r="B15" s="80"/>
      <c r="C15" s="79">
        <v>30299537</v>
      </c>
      <c r="D15" s="79"/>
    </row>
    <row r="16" spans="1:4">
      <c r="A16" s="53" t="s">
        <v>32</v>
      </c>
      <c r="B16" s="53"/>
      <c r="C16" s="57">
        <v>-576665660</v>
      </c>
      <c r="D16" s="79"/>
    </row>
    <row r="17" spans="1:4">
      <c r="A17" s="80" t="s">
        <v>148</v>
      </c>
      <c r="B17" s="80"/>
      <c r="C17" s="79">
        <v>-572665660</v>
      </c>
      <c r="D17" s="79"/>
    </row>
    <row r="18" spans="1:4">
      <c r="A18" s="80" t="s">
        <v>149</v>
      </c>
      <c r="B18" s="80"/>
      <c r="C18" s="79">
        <v>-4000000</v>
      </c>
      <c r="D18" s="79"/>
    </row>
    <row r="19" spans="1:4">
      <c r="A19" s="53" t="s">
        <v>33</v>
      </c>
      <c r="B19" s="53"/>
      <c r="C19" s="57">
        <v>62245338</v>
      </c>
      <c r="D19" s="79"/>
    </row>
    <row r="20" spans="1:4">
      <c r="A20" s="80"/>
      <c r="B20" s="80"/>
      <c r="C20" s="81"/>
      <c r="D20" s="79"/>
    </row>
    <row r="21" spans="1:4">
      <c r="A21" s="60" t="s">
        <v>34</v>
      </c>
      <c r="B21" s="60"/>
      <c r="C21" s="57">
        <v>10084616</v>
      </c>
      <c r="D21" s="79"/>
    </row>
    <row r="22" spans="1:4">
      <c r="A22" s="86" t="s">
        <v>150</v>
      </c>
      <c r="B22" s="86"/>
      <c r="C22" s="79">
        <v>2814616</v>
      </c>
      <c r="D22" s="79"/>
    </row>
    <row r="23" spans="1:4">
      <c r="A23" s="86" t="s">
        <v>151</v>
      </c>
      <c r="B23" s="86"/>
      <c r="C23" s="79">
        <v>7260000</v>
      </c>
      <c r="D23" s="79"/>
    </row>
    <row r="24" spans="1:4">
      <c r="A24" s="86" t="s">
        <v>152</v>
      </c>
      <c r="B24" s="86"/>
      <c r="C24" s="79">
        <v>10000</v>
      </c>
      <c r="D24" s="79"/>
    </row>
    <row r="25" spans="1:4">
      <c r="A25" s="53" t="s">
        <v>35</v>
      </c>
      <c r="B25" s="53"/>
      <c r="C25" s="57">
        <v>-87277934</v>
      </c>
      <c r="D25" s="79"/>
    </row>
    <row r="26" spans="1:4">
      <c r="A26" s="86" t="s">
        <v>153</v>
      </c>
      <c r="B26" s="86"/>
      <c r="C26" s="79">
        <v>-87277934</v>
      </c>
      <c r="D26" s="79"/>
    </row>
    <row r="27" spans="1:4">
      <c r="A27" s="53" t="s">
        <v>36</v>
      </c>
      <c r="B27" s="53"/>
      <c r="C27" s="57">
        <v>-77193318</v>
      </c>
      <c r="D27" s="79"/>
    </row>
    <row r="28" spans="1:4">
      <c r="A28" s="78"/>
      <c r="B28" s="78"/>
      <c r="C28" s="81"/>
      <c r="D28" s="79"/>
    </row>
    <row r="29" spans="1:4">
      <c r="A29" s="60" t="s">
        <v>37</v>
      </c>
      <c r="B29" s="60"/>
      <c r="C29" s="57">
        <v>30000000</v>
      </c>
      <c r="D29" s="79"/>
    </row>
    <row r="30" spans="1:4">
      <c r="A30" s="78" t="s">
        <v>154</v>
      </c>
      <c r="B30" s="78"/>
      <c r="C30" s="79">
        <v>30000000</v>
      </c>
      <c r="D30" s="79"/>
    </row>
    <row r="31" spans="1:4">
      <c r="A31" s="53" t="s">
        <v>38</v>
      </c>
      <c r="B31" s="53"/>
      <c r="C31" s="57">
        <v>-19132220</v>
      </c>
      <c r="D31" s="79"/>
    </row>
    <row r="32" spans="1:4">
      <c r="A32" s="61" t="s">
        <v>230</v>
      </c>
      <c r="B32" s="61"/>
      <c r="C32" s="79">
        <v>-18489583</v>
      </c>
      <c r="D32" s="79"/>
    </row>
    <row r="33" spans="1:4">
      <c r="A33" s="80" t="s">
        <v>155</v>
      </c>
      <c r="B33" s="80"/>
      <c r="C33" s="79">
        <v>-642637</v>
      </c>
      <c r="D33" s="79"/>
    </row>
    <row r="34" spans="1:4">
      <c r="A34" s="53" t="s">
        <v>39</v>
      </c>
      <c r="B34" s="53"/>
      <c r="C34" s="57">
        <v>10867780</v>
      </c>
      <c r="D34" s="79"/>
    </row>
    <row r="35" spans="1:4">
      <c r="A35" s="78"/>
      <c r="B35" s="78"/>
      <c r="C35" s="81"/>
      <c r="D35" s="79"/>
    </row>
    <row r="36" spans="1:4">
      <c r="A36" s="60" t="s">
        <v>40</v>
      </c>
      <c r="B36" s="60"/>
      <c r="C36" s="57">
        <v>678995614</v>
      </c>
      <c r="D36" s="79"/>
    </row>
    <row r="37" spans="1:4">
      <c r="A37" s="60" t="s">
        <v>41</v>
      </c>
      <c r="B37" s="60"/>
      <c r="C37" s="57">
        <v>-683075814</v>
      </c>
      <c r="D37" s="79"/>
    </row>
    <row r="38" spans="1:4">
      <c r="A38" s="60"/>
      <c r="B38" s="60"/>
      <c r="C38" s="111"/>
    </row>
    <row r="39" spans="1:4" s="81" customFormat="1">
      <c r="A39" s="60"/>
      <c r="B39" s="60"/>
      <c r="C39" s="111"/>
    </row>
    <row r="40" spans="1:4">
      <c r="A40" s="60"/>
      <c r="B40" s="60"/>
      <c r="C40" s="57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2"/>
  <sheetViews>
    <sheetView showZeros="0" zoomScaleNormal="100" workbookViewId="0">
      <selection activeCell="H4" sqref="H4"/>
    </sheetView>
  </sheetViews>
  <sheetFormatPr defaultRowHeight="12.75"/>
  <cols>
    <col min="1" max="1" width="36" customWidth="1"/>
    <col min="2" max="3" width="11.42578125" style="81" hidden="1" customWidth="1"/>
    <col min="4" max="4" width="11.42578125" style="81" customWidth="1"/>
    <col min="5" max="6" width="11.42578125" hidden="1" customWidth="1"/>
    <col min="7" max="7" width="11.42578125" customWidth="1"/>
    <col min="8" max="8" width="11.140625" bestFit="1" customWidth="1"/>
  </cols>
  <sheetData>
    <row r="1" spans="1:8" ht="15">
      <c r="A1" s="35" t="s">
        <v>86</v>
      </c>
      <c r="E1" s="35"/>
      <c r="F1" s="35"/>
    </row>
    <row r="2" spans="1:8" s="81" customFormat="1" ht="12.75" customHeight="1">
      <c r="A2" s="35"/>
      <c r="E2" s="35"/>
      <c r="F2" s="35"/>
    </row>
    <row r="3" spans="1:8">
      <c r="A3" s="14"/>
      <c r="B3" s="36"/>
      <c r="C3" s="36"/>
      <c r="D3" s="36"/>
      <c r="E3" s="14"/>
      <c r="F3" s="14"/>
      <c r="G3" s="36" t="s">
        <v>48</v>
      </c>
    </row>
    <row r="4" spans="1:8">
      <c r="H4" s="170"/>
    </row>
    <row r="5" spans="1:8" ht="25.5">
      <c r="A5" s="37" t="s">
        <v>87</v>
      </c>
      <c r="B5" s="274" t="s">
        <v>88</v>
      </c>
      <c r="C5" s="274" t="s">
        <v>89</v>
      </c>
      <c r="D5" s="188" t="s">
        <v>267</v>
      </c>
      <c r="E5" s="38" t="s">
        <v>88</v>
      </c>
      <c r="F5" s="38" t="s">
        <v>89</v>
      </c>
      <c r="G5" s="188" t="s">
        <v>278</v>
      </c>
      <c r="H5" s="189" t="s">
        <v>266</v>
      </c>
    </row>
    <row r="6" spans="1:8" ht="7.5" customHeight="1">
      <c r="A6" s="2"/>
      <c r="B6" s="2"/>
      <c r="C6" s="2"/>
      <c r="D6" s="2"/>
      <c r="E6" s="2"/>
      <c r="F6" s="2"/>
      <c r="G6" s="2"/>
    </row>
    <row r="7" spans="1:8">
      <c r="A7" s="39" t="s">
        <v>91</v>
      </c>
      <c r="B7" s="7" t="e">
        <f>B9+B13</f>
        <v>#REF!</v>
      </c>
      <c r="C7" s="7"/>
      <c r="D7" s="7" t="e">
        <f>B7+C7</f>
        <v>#REF!</v>
      </c>
      <c r="E7" s="7" t="e">
        <f>E9+E13</f>
        <v>#REF!</v>
      </c>
      <c r="F7" s="7"/>
      <c r="G7" s="7" t="e">
        <f>E7+F7</f>
        <v>#REF!</v>
      </c>
      <c r="H7" s="7" t="e">
        <f t="shared" ref="H7" si="0">H9+H13</f>
        <v>#REF!</v>
      </c>
    </row>
    <row r="8" spans="1:8">
      <c r="A8" s="2"/>
      <c r="B8" s="40"/>
      <c r="C8" s="40"/>
      <c r="D8" s="40">
        <f t="shared" ref="D8:D58" si="1">B8+C8</f>
        <v>0</v>
      </c>
      <c r="E8" s="40"/>
      <c r="F8" s="40"/>
      <c r="G8" s="40"/>
      <c r="H8" s="40"/>
    </row>
    <row r="9" spans="1:8">
      <c r="A9" s="72" t="s">
        <v>52</v>
      </c>
      <c r="B9" s="7" t="e">
        <f>B10+B11</f>
        <v>#REF!</v>
      </c>
      <c r="C9" s="7"/>
      <c r="D9" s="7" t="e">
        <f t="shared" si="1"/>
        <v>#REF!</v>
      </c>
      <c r="E9" s="7" t="e">
        <f>E10+E11</f>
        <v>#REF!</v>
      </c>
      <c r="F9" s="41"/>
      <c r="G9" s="7" t="e">
        <f>E9+F9</f>
        <v>#REF!</v>
      </c>
      <c r="H9" s="7" t="e">
        <f t="shared" ref="H9" si="2">H10+H11</f>
        <v>#REF!</v>
      </c>
    </row>
    <row r="10" spans="1:8">
      <c r="A10" s="73" t="s">
        <v>92</v>
      </c>
      <c r="B10" s="79" t="e">
        <f>#REF!</f>
        <v>#REF!</v>
      </c>
      <c r="C10" s="79"/>
      <c r="D10" s="79" t="e">
        <f t="shared" si="1"/>
        <v>#REF!</v>
      </c>
      <c r="E10" s="19" t="e">
        <f>#REF!</f>
        <v>#REF!</v>
      </c>
      <c r="F10" s="43"/>
      <c r="G10" s="19" t="e">
        <f>E10+F10</f>
        <v>#REF!</v>
      </c>
      <c r="H10" s="79" t="e">
        <f>#REF!</f>
        <v>#REF!</v>
      </c>
    </row>
    <row r="11" spans="1:8">
      <c r="A11" s="73" t="s">
        <v>93</v>
      </c>
      <c r="B11" s="79" t="e">
        <f>#REF!</f>
        <v>#REF!</v>
      </c>
      <c r="C11" s="79"/>
      <c r="D11" s="79" t="e">
        <f t="shared" si="1"/>
        <v>#REF!</v>
      </c>
      <c r="E11" s="19" t="e">
        <f>#REF!</f>
        <v>#REF!</v>
      </c>
      <c r="F11" s="43"/>
      <c r="G11" s="19" t="e">
        <f>E11+F11</f>
        <v>#REF!</v>
      </c>
      <c r="H11" s="79" t="e">
        <f>#REF!</f>
        <v>#REF!</v>
      </c>
    </row>
    <row r="12" spans="1:8" ht="7.5" customHeight="1">
      <c r="A12" s="55"/>
      <c r="B12" s="79"/>
      <c r="C12" s="79"/>
      <c r="D12" s="79">
        <f t="shared" si="1"/>
        <v>0</v>
      </c>
      <c r="E12" s="19"/>
      <c r="F12" s="44"/>
      <c r="G12" s="19"/>
      <c r="H12" s="79"/>
    </row>
    <row r="13" spans="1:8">
      <c r="A13" s="72" t="s">
        <v>53</v>
      </c>
      <c r="B13" s="7" t="e">
        <f>SUM(B14:B17)</f>
        <v>#REF!</v>
      </c>
      <c r="C13" s="7"/>
      <c r="D13" s="7" t="e">
        <f t="shared" si="1"/>
        <v>#REF!</v>
      </c>
      <c r="E13" s="7" t="e">
        <f>SUM(E14:E16)</f>
        <v>#REF!</v>
      </c>
      <c r="F13" s="41"/>
      <c r="G13" s="7" t="e">
        <f>E13+F13</f>
        <v>#REF!</v>
      </c>
      <c r="H13" s="7" t="e">
        <f t="shared" ref="H13" si="3">SUM(H14:H16)</f>
        <v>#REF!</v>
      </c>
    </row>
    <row r="14" spans="1:8" ht="12.75" customHeight="1">
      <c r="A14" s="73" t="s">
        <v>94</v>
      </c>
      <c r="B14" s="79" t="e">
        <f>#REF!</f>
        <v>#REF!</v>
      </c>
      <c r="C14" s="79"/>
      <c r="D14" s="79" t="e">
        <f t="shared" si="1"/>
        <v>#REF!</v>
      </c>
      <c r="E14" s="19" t="e">
        <f>#REF!</f>
        <v>#REF!</v>
      </c>
      <c r="F14" s="43"/>
      <c r="G14" s="19" t="e">
        <f>E14+F14</f>
        <v>#REF!</v>
      </c>
      <c r="H14" s="79" t="e">
        <f>#REF!</f>
        <v>#REF!</v>
      </c>
    </row>
    <row r="15" spans="1:8" ht="12.75" customHeight="1">
      <c r="A15" s="96" t="s">
        <v>130</v>
      </c>
      <c r="B15" s="79" t="e">
        <f>#REF!</f>
        <v>#REF!</v>
      </c>
      <c r="C15" s="79"/>
      <c r="D15" s="79" t="e">
        <f t="shared" si="1"/>
        <v>#REF!</v>
      </c>
      <c r="E15" s="19" t="e">
        <f>#REF!</f>
        <v>#REF!</v>
      </c>
      <c r="F15" s="43"/>
      <c r="G15" s="19" t="e">
        <f>E15+F15</f>
        <v>#REF!</v>
      </c>
      <c r="H15" s="79" t="e">
        <f>#REF!</f>
        <v>#REF!</v>
      </c>
    </row>
    <row r="16" spans="1:8">
      <c r="A16" s="73" t="s">
        <v>95</v>
      </c>
      <c r="B16" s="79" t="e">
        <f>#REF!</f>
        <v>#REF!</v>
      </c>
      <c r="C16" s="79"/>
      <c r="D16" s="79" t="e">
        <f t="shared" si="1"/>
        <v>#REF!</v>
      </c>
      <c r="E16" s="19" t="e">
        <f>#REF!</f>
        <v>#REF!</v>
      </c>
      <c r="F16" s="43"/>
      <c r="G16" s="19" t="e">
        <f>E16+F16</f>
        <v>#REF!</v>
      </c>
      <c r="H16" s="79" t="e">
        <f>#REF!</f>
        <v>#REF!</v>
      </c>
    </row>
    <row r="17" spans="1:8" s="81" customFormat="1">
      <c r="A17" s="96" t="s">
        <v>389</v>
      </c>
      <c r="B17" s="79" t="e">
        <f>#REF!</f>
        <v>#REF!</v>
      </c>
      <c r="C17" s="79"/>
      <c r="D17" s="79" t="e">
        <f t="shared" si="1"/>
        <v>#REF!</v>
      </c>
      <c r="E17" s="79"/>
      <c r="F17" s="43"/>
      <c r="G17" s="79"/>
      <c r="H17" s="79"/>
    </row>
    <row r="18" spans="1:8" ht="6.75" customHeight="1">
      <c r="A18" s="45"/>
      <c r="B18" s="79"/>
      <c r="C18" s="79"/>
      <c r="D18" s="79">
        <f t="shared" si="1"/>
        <v>0</v>
      </c>
      <c r="E18" s="19"/>
      <c r="F18" s="46"/>
      <c r="G18" s="19"/>
      <c r="H18" s="79" t="e">
        <f>H19+H25</f>
        <v>#REF!</v>
      </c>
    </row>
    <row r="19" spans="1:8" ht="13.5" customHeight="1">
      <c r="A19" s="39" t="s">
        <v>54</v>
      </c>
      <c r="B19" s="7" t="e">
        <f>#REF!</f>
        <v>#REF!</v>
      </c>
      <c r="C19" s="7"/>
      <c r="D19" s="7" t="e">
        <f t="shared" si="1"/>
        <v>#REF!</v>
      </c>
      <c r="E19" s="7" t="e">
        <f>#REF!</f>
        <v>#REF!</v>
      </c>
      <c r="F19" s="7"/>
      <c r="G19" s="7" t="e">
        <f>E19+F19</f>
        <v>#REF!</v>
      </c>
      <c r="H19" s="7" t="e">
        <f>#REF!</f>
        <v>#REF!</v>
      </c>
    </row>
    <row r="20" spans="1:8" ht="16.5" customHeight="1">
      <c r="A20" s="47"/>
      <c r="B20" s="79"/>
      <c r="C20" s="79"/>
      <c r="D20" s="79" t="e">
        <f>D21-D25</f>
        <v>#REF!</v>
      </c>
      <c r="E20" s="19"/>
      <c r="F20" s="48"/>
      <c r="G20" s="19"/>
      <c r="H20" s="79">
        <f ca="1">H22+H23+H26+H27</f>
        <v>210776</v>
      </c>
    </row>
    <row r="21" spans="1:8">
      <c r="A21" s="39" t="s">
        <v>55</v>
      </c>
      <c r="B21" s="7" t="e">
        <f>SUM(B22:B27)</f>
        <v>#REF!</v>
      </c>
      <c r="C21" s="7">
        <f>SUM(C22:C27)</f>
        <v>78626854.680000007</v>
      </c>
      <c r="D21" s="7" t="e">
        <f t="shared" si="1"/>
        <v>#REF!</v>
      </c>
      <c r="E21" s="7" t="e">
        <f>SUM(E22:E27)</f>
        <v>#REF!</v>
      </c>
      <c r="F21" s="7">
        <f ca="1">SUM(F22:F27)</f>
        <v>1517410</v>
      </c>
      <c r="G21" s="7" t="e">
        <f ca="1">E21+F21</f>
        <v>#REF!</v>
      </c>
      <c r="H21" s="7" t="e">
        <f ca="1">SUM(H22:H24)+H27</f>
        <v>#REF!</v>
      </c>
    </row>
    <row r="22" spans="1:8">
      <c r="A22" s="42" t="s">
        <v>45</v>
      </c>
      <c r="B22" s="79"/>
      <c r="C22" s="79">
        <f>Sheet2!B2</f>
        <v>63892294.770000003</v>
      </c>
      <c r="D22" s="79">
        <f t="shared" si="1"/>
        <v>63892294.770000003</v>
      </c>
      <c r="E22" s="19"/>
      <c r="F22" s="19">
        <f ca="1">Sheet2!C2</f>
        <v>1508043</v>
      </c>
      <c r="G22" s="19">
        <f ca="1">E22+F22</f>
        <v>1508043</v>
      </c>
      <c r="H22" s="277">
        <f ca="1">Sheet2!D2</f>
        <v>201127</v>
      </c>
    </row>
    <row r="23" spans="1:8">
      <c r="A23" s="42" t="s">
        <v>115</v>
      </c>
      <c r="B23" s="79"/>
      <c r="C23" s="79">
        <f>Sheet2!B16</f>
        <v>8438000.8300000019</v>
      </c>
      <c r="D23" s="79">
        <f t="shared" si="1"/>
        <v>8438000.8300000019</v>
      </c>
      <c r="E23" s="19"/>
      <c r="F23" s="19">
        <f ca="1">Sheet2!C16</f>
        <v>9367</v>
      </c>
      <c r="G23" s="19">
        <f ca="1">E23+F23</f>
        <v>9367</v>
      </c>
      <c r="H23" s="79">
        <f ca="1">Sheet2!D16</f>
        <v>9649</v>
      </c>
    </row>
    <row r="24" spans="1:8">
      <c r="A24" s="42" t="s">
        <v>122</v>
      </c>
      <c r="B24" s="79" t="e">
        <f>#REF!</f>
        <v>#REF!</v>
      </c>
      <c r="C24" s="79">
        <f>Sheet2!B15</f>
        <v>2385085.9600000004</v>
      </c>
      <c r="D24" s="79" t="e">
        <f t="shared" si="1"/>
        <v>#REF!</v>
      </c>
      <c r="E24" s="19" t="e">
        <f>#REF!</f>
        <v>#REF!</v>
      </c>
      <c r="F24" s="19">
        <f ca="1">Sheet2!C15</f>
        <v>0</v>
      </c>
      <c r="G24" s="19" t="e">
        <f ca="1">E24+F24</f>
        <v>#REF!</v>
      </c>
      <c r="H24" s="79" t="e">
        <f ca="1">H25+H26</f>
        <v>#REF!</v>
      </c>
    </row>
    <row r="25" spans="1:8" s="95" customFormat="1">
      <c r="A25" s="191" t="s">
        <v>268</v>
      </c>
      <c r="B25" s="190"/>
      <c r="C25" s="190"/>
      <c r="D25" s="190" t="e">
        <f>B24</f>
        <v>#REF!</v>
      </c>
      <c r="E25" s="190"/>
      <c r="F25" s="190"/>
      <c r="G25" s="190" t="e">
        <f>E24</f>
        <v>#REF!</v>
      </c>
      <c r="H25" s="79" t="e">
        <f>#REF!</f>
        <v>#REF!</v>
      </c>
    </row>
    <row r="26" spans="1:8" s="95" customFormat="1">
      <c r="A26" s="191" t="s">
        <v>139</v>
      </c>
      <c r="B26" s="190"/>
      <c r="C26" s="190"/>
      <c r="D26" s="190">
        <f>C24</f>
        <v>2385085.9600000004</v>
      </c>
      <c r="E26" s="190"/>
      <c r="F26" s="190"/>
      <c r="G26" s="190">
        <f ca="1">F24</f>
        <v>0</v>
      </c>
      <c r="H26" s="277">
        <f ca="1">Sheet2!D15</f>
        <v>0</v>
      </c>
    </row>
    <row r="27" spans="1:8">
      <c r="A27" s="42" t="s">
        <v>116</v>
      </c>
      <c r="B27" s="79"/>
      <c r="C27" s="79">
        <f>Sheet2!B14</f>
        <v>3911473.12</v>
      </c>
      <c r="D27" s="79">
        <f t="shared" si="1"/>
        <v>3911473.12</v>
      </c>
      <c r="E27" s="19"/>
      <c r="F27" s="19">
        <f ca="1">Sheet2!C14</f>
        <v>0</v>
      </c>
      <c r="G27" s="19">
        <f ca="1">E27+F27</f>
        <v>0</v>
      </c>
      <c r="H27" s="79">
        <f ca="1">Sheet2!D14</f>
        <v>0</v>
      </c>
    </row>
    <row r="28" spans="1:8" ht="7.5" customHeight="1">
      <c r="A28" s="2"/>
      <c r="B28" s="79"/>
      <c r="C28" s="40"/>
      <c r="D28" s="79" t="e">
        <f>D30+D32</f>
        <v>#REF!</v>
      </c>
      <c r="E28" s="79" t="e">
        <f t="shared" ref="E28:H28" si="4">E30+E32</f>
        <v>#REF!</v>
      </c>
      <c r="F28" s="79">
        <f t="shared" si="4"/>
        <v>0</v>
      </c>
      <c r="G28" s="79" t="e">
        <f t="shared" si="4"/>
        <v>#REF!</v>
      </c>
      <c r="H28" s="79" t="e">
        <f t="shared" si="4"/>
        <v>#REF!</v>
      </c>
    </row>
    <row r="29" spans="1:8">
      <c r="A29" s="39" t="s">
        <v>56</v>
      </c>
      <c r="B29" s="49" t="e">
        <f>SUM(B30:B31)</f>
        <v>#REF!</v>
      </c>
      <c r="C29" s="49">
        <f>SUM(C30:C31)</f>
        <v>187738.75999999998</v>
      </c>
      <c r="D29" s="49" t="e">
        <f t="shared" si="1"/>
        <v>#REF!</v>
      </c>
      <c r="E29" s="49" t="e">
        <f>SUM(E30:E31)</f>
        <v>#REF!</v>
      </c>
      <c r="F29" s="49">
        <f ca="1">SUM(F30:F31)</f>
        <v>0</v>
      </c>
      <c r="G29" s="49" t="e">
        <f ca="1">E29+F29</f>
        <v>#REF!</v>
      </c>
      <c r="H29" s="49" t="e">
        <f ca="1">H30+H31</f>
        <v>#REF!</v>
      </c>
    </row>
    <row r="30" spans="1:8">
      <c r="A30" s="42" t="s">
        <v>96</v>
      </c>
      <c r="B30" s="79" t="e">
        <f>#REF!</f>
        <v>#REF!</v>
      </c>
      <c r="C30" s="43"/>
      <c r="D30" s="79" t="e">
        <f t="shared" si="1"/>
        <v>#REF!</v>
      </c>
      <c r="E30" s="19" t="e">
        <f>#REF!</f>
        <v>#REF!</v>
      </c>
      <c r="F30" s="43"/>
      <c r="G30" s="19" t="e">
        <f>E30+F30</f>
        <v>#REF!</v>
      </c>
      <c r="H30" s="79" t="e">
        <f>#REF!</f>
        <v>#REF!</v>
      </c>
    </row>
    <row r="31" spans="1:8">
      <c r="A31" s="42" t="s">
        <v>121</v>
      </c>
      <c r="B31" s="79" t="e">
        <f>#REF!</f>
        <v>#REF!</v>
      </c>
      <c r="C31" s="79">
        <f>Sheet2!B13</f>
        <v>187738.75999999998</v>
      </c>
      <c r="D31" s="79" t="e">
        <f t="shared" si="1"/>
        <v>#REF!</v>
      </c>
      <c r="E31" s="19" t="e">
        <f>#REF!</f>
        <v>#REF!</v>
      </c>
      <c r="F31" s="19">
        <f ca="1">Sheet2!C13</f>
        <v>0</v>
      </c>
      <c r="G31" s="19" t="e">
        <f ca="1">E31+F31</f>
        <v>#REF!</v>
      </c>
      <c r="H31" s="79" t="e">
        <f ca="1">H32+H33</f>
        <v>#REF!</v>
      </c>
    </row>
    <row r="32" spans="1:8" s="95" customFormat="1">
      <c r="A32" s="191" t="s">
        <v>268</v>
      </c>
      <c r="B32" s="190"/>
      <c r="C32" s="190"/>
      <c r="D32" s="190" t="e">
        <f>B31</f>
        <v>#REF!</v>
      </c>
      <c r="E32" s="190"/>
      <c r="F32" s="190"/>
      <c r="G32" s="190" t="e">
        <f>E31</f>
        <v>#REF!</v>
      </c>
      <c r="H32" s="79" t="e">
        <f>#REF!</f>
        <v>#REF!</v>
      </c>
    </row>
    <row r="33" spans="1:8" s="95" customFormat="1">
      <c r="A33" s="191" t="s">
        <v>139</v>
      </c>
      <c r="B33" s="190"/>
      <c r="C33" s="190"/>
      <c r="D33" s="190">
        <f>C31</f>
        <v>187738.75999999998</v>
      </c>
      <c r="E33" s="190"/>
      <c r="F33" s="190"/>
      <c r="G33" s="190">
        <f ca="1">F31</f>
        <v>0</v>
      </c>
      <c r="H33" s="278">
        <f ca="1">Sheet2!D13</f>
        <v>0</v>
      </c>
    </row>
    <row r="34" spans="1:8" ht="8.25" customHeight="1">
      <c r="A34" s="2"/>
      <c r="B34" s="79"/>
      <c r="C34" s="40"/>
      <c r="D34" s="79">
        <f t="shared" si="1"/>
        <v>0</v>
      </c>
      <c r="E34" s="19"/>
      <c r="F34" s="40"/>
      <c r="G34" s="19"/>
      <c r="H34" s="79"/>
    </row>
    <row r="35" spans="1:8">
      <c r="A35" s="39" t="s">
        <v>57</v>
      </c>
      <c r="B35" s="49" t="e">
        <f>B36</f>
        <v>#REF!</v>
      </c>
      <c r="C35" s="7"/>
      <c r="D35" s="49" t="e">
        <f t="shared" si="1"/>
        <v>#REF!</v>
      </c>
      <c r="E35" s="49" t="e">
        <f>E36</f>
        <v>#REF!</v>
      </c>
      <c r="F35" s="7"/>
      <c r="G35" s="49" t="e">
        <f>E35+F35</f>
        <v>#REF!</v>
      </c>
      <c r="H35" s="49" t="e">
        <f t="shared" ref="H35" si="5">H36</f>
        <v>#REF!</v>
      </c>
    </row>
    <row r="36" spans="1:8">
      <c r="A36" s="42" t="s">
        <v>97</v>
      </c>
      <c r="B36" s="79" t="e">
        <f>#REF!</f>
        <v>#REF!</v>
      </c>
      <c r="C36" s="43"/>
      <c r="D36" s="79" t="e">
        <f t="shared" si="1"/>
        <v>#REF!</v>
      </c>
      <c r="E36" s="19" t="e">
        <f>#REF!</f>
        <v>#REF!</v>
      </c>
      <c r="F36" s="43"/>
      <c r="G36" s="19" t="e">
        <f>E36+F36</f>
        <v>#REF!</v>
      </c>
      <c r="H36" s="79" t="e">
        <f>#REF!</f>
        <v>#REF!</v>
      </c>
    </row>
    <row r="37" spans="1:8" ht="9" customHeight="1">
      <c r="A37" s="2"/>
      <c r="B37" s="79"/>
      <c r="C37" s="40"/>
      <c r="D37" s="79">
        <f t="shared" si="1"/>
        <v>0</v>
      </c>
      <c r="E37" s="19"/>
      <c r="F37" s="40"/>
      <c r="G37" s="19"/>
      <c r="H37" s="79"/>
    </row>
    <row r="38" spans="1:8">
      <c r="A38" s="39" t="s">
        <v>98</v>
      </c>
      <c r="B38" s="49" t="e">
        <f>SUM(B39:B41)</f>
        <v>#REF!</v>
      </c>
      <c r="C38" s="7"/>
      <c r="D38" s="49" t="e">
        <f t="shared" si="1"/>
        <v>#REF!</v>
      </c>
      <c r="E38" s="49" t="e">
        <f>SUM(E39:E41)</f>
        <v>#REF!</v>
      </c>
      <c r="F38" s="7"/>
      <c r="G38" s="49" t="e">
        <f>E38+F38</f>
        <v>#REF!</v>
      </c>
      <c r="H38" s="49" t="e">
        <f t="shared" ref="H38" si="6">SUM(H39:H41)</f>
        <v>#REF!</v>
      </c>
    </row>
    <row r="39" spans="1:8">
      <c r="A39" s="42" t="s">
        <v>103</v>
      </c>
      <c r="B39" s="79" t="e">
        <f>#REF!</f>
        <v>#REF!</v>
      </c>
      <c r="C39" s="40"/>
      <c r="D39" s="79" t="e">
        <f t="shared" si="1"/>
        <v>#REF!</v>
      </c>
      <c r="E39" s="19" t="e">
        <f>#REF!</f>
        <v>#REF!</v>
      </c>
      <c r="F39" s="40"/>
      <c r="G39" s="19" t="e">
        <f>E39+F39</f>
        <v>#REF!</v>
      </c>
      <c r="H39" s="79" t="e">
        <f>#REF!</f>
        <v>#REF!</v>
      </c>
    </row>
    <row r="40" spans="1:8">
      <c r="A40" s="42" t="s">
        <v>25</v>
      </c>
      <c r="B40" s="79" t="e">
        <f>#REF!</f>
        <v>#REF!</v>
      </c>
      <c r="C40" s="40"/>
      <c r="D40" s="79" t="e">
        <f t="shared" si="1"/>
        <v>#REF!</v>
      </c>
      <c r="E40" s="19" t="e">
        <f>#REF!</f>
        <v>#REF!</v>
      </c>
      <c r="F40" s="40"/>
      <c r="G40" s="19" t="e">
        <f>E40+F40</f>
        <v>#REF!</v>
      </c>
      <c r="H40" s="79" t="e">
        <f>#REF!</f>
        <v>#REF!</v>
      </c>
    </row>
    <row r="41" spans="1:8">
      <c r="A41" s="42" t="s">
        <v>60</v>
      </c>
      <c r="B41" s="79" t="e">
        <f>#REF!</f>
        <v>#REF!</v>
      </c>
      <c r="C41" s="40"/>
      <c r="D41" s="79" t="e">
        <f t="shared" si="1"/>
        <v>#REF!</v>
      </c>
      <c r="E41" s="19" t="e">
        <f>#REF!</f>
        <v>#REF!</v>
      </c>
      <c r="F41" s="40"/>
      <c r="G41" s="19" t="e">
        <f>E41+F41</f>
        <v>#REF!</v>
      </c>
      <c r="H41" s="79" t="e">
        <f>#REF!</f>
        <v>#REF!</v>
      </c>
    </row>
    <row r="42" spans="1:8" ht="9" customHeight="1">
      <c r="A42" s="2"/>
      <c r="B42" s="79"/>
      <c r="C42" s="40"/>
      <c r="D42" s="79">
        <f t="shared" si="1"/>
        <v>0</v>
      </c>
      <c r="E42" s="19"/>
      <c r="F42" s="40"/>
      <c r="G42" s="19"/>
      <c r="H42" s="79"/>
    </row>
    <row r="43" spans="1:8">
      <c r="A43" s="39" t="s">
        <v>61</v>
      </c>
      <c r="B43" s="49" t="e">
        <f>SUM(B44:B45)</f>
        <v>#REF!</v>
      </c>
      <c r="C43" s="7">
        <f>C46</f>
        <v>-39789.910000000003</v>
      </c>
      <c r="D43" s="49" t="e">
        <f t="shared" si="1"/>
        <v>#REF!</v>
      </c>
      <c r="E43" s="49" t="e">
        <f>SUM(E44:E45)</f>
        <v>#REF!</v>
      </c>
      <c r="F43" s="7">
        <f ca="1">F46</f>
        <v>0</v>
      </c>
      <c r="G43" s="49" t="e">
        <f ca="1">E43+F43</f>
        <v>#REF!</v>
      </c>
      <c r="H43" s="49" t="e">
        <f>SUM(H44:H46)</f>
        <v>#REF!</v>
      </c>
    </row>
    <row r="44" spans="1:8">
      <c r="A44" s="91" t="s">
        <v>131</v>
      </c>
      <c r="B44" s="79" t="e">
        <f>#REF!</f>
        <v>#REF!</v>
      </c>
      <c r="C44" s="43"/>
      <c r="D44" s="79" t="e">
        <f t="shared" si="1"/>
        <v>#REF!</v>
      </c>
      <c r="E44" s="19" t="e">
        <f>#REF!</f>
        <v>#REF!</v>
      </c>
      <c r="F44" s="43"/>
      <c r="G44" s="19" t="e">
        <f>E44+F44</f>
        <v>#REF!</v>
      </c>
      <c r="H44" s="79" t="e">
        <f>#REF!</f>
        <v>#REF!</v>
      </c>
    </row>
    <row r="45" spans="1:8">
      <c r="A45" s="42" t="s">
        <v>46</v>
      </c>
      <c r="B45" s="79" t="e">
        <f>#REF!</f>
        <v>#REF!</v>
      </c>
      <c r="C45" s="43"/>
      <c r="D45" s="79" t="e">
        <f t="shared" si="1"/>
        <v>#REF!</v>
      </c>
      <c r="E45" s="19" t="e">
        <f>#REF!</f>
        <v>#REF!</v>
      </c>
      <c r="F45" s="43"/>
      <c r="G45" s="19" t="e">
        <f>E45+F45</f>
        <v>#REF!</v>
      </c>
      <c r="H45" s="79" t="e">
        <f>#REF!</f>
        <v>#REF!</v>
      </c>
    </row>
    <row r="46" spans="1:8" s="81" customFormat="1">
      <c r="A46" s="91" t="s">
        <v>136</v>
      </c>
      <c r="B46" s="79"/>
      <c r="C46" s="87">
        <f>Sheet2!B18</f>
        <v>-39789.910000000003</v>
      </c>
      <c r="D46" s="79">
        <f t="shared" si="1"/>
        <v>-39789.910000000003</v>
      </c>
      <c r="E46" s="79"/>
      <c r="F46" s="87">
        <f ca="1">Sheet2!C18</f>
        <v>0</v>
      </c>
      <c r="G46" s="79">
        <f ca="1">E46+F46</f>
        <v>0</v>
      </c>
      <c r="H46" s="79">
        <f ca="1">Sheet2!D18</f>
        <v>0</v>
      </c>
    </row>
    <row r="47" spans="1:8" ht="8.25" customHeight="1">
      <c r="A47" s="2"/>
      <c r="B47" s="79"/>
      <c r="C47" s="40"/>
      <c r="D47" s="79">
        <f t="shared" si="1"/>
        <v>0</v>
      </c>
      <c r="E47" s="19"/>
      <c r="F47" s="40"/>
      <c r="G47" s="19"/>
      <c r="H47" s="79"/>
    </row>
    <row r="48" spans="1:8">
      <c r="A48" s="39" t="s">
        <v>62</v>
      </c>
      <c r="B48" s="7" t="e">
        <f>#REF!</f>
        <v>#REF!</v>
      </c>
      <c r="C48" s="7"/>
      <c r="D48" s="7" t="e">
        <f t="shared" si="1"/>
        <v>#REF!</v>
      </c>
      <c r="E48" s="7" t="e">
        <f>#REF!</f>
        <v>#REF!</v>
      </c>
      <c r="F48" s="7"/>
      <c r="G48" s="7" t="e">
        <f>E48+F48</f>
        <v>#REF!</v>
      </c>
      <c r="H48" s="7" t="e">
        <f>#REF!</f>
        <v>#REF!</v>
      </c>
    </row>
    <row r="49" spans="1:8" ht="8.25" customHeight="1">
      <c r="A49" s="39"/>
      <c r="B49" s="79"/>
      <c r="C49" s="7"/>
      <c r="D49" s="79">
        <f t="shared" si="1"/>
        <v>0</v>
      </c>
      <c r="E49" s="19"/>
      <c r="F49" s="7"/>
      <c r="G49" s="19"/>
      <c r="H49" s="79"/>
    </row>
    <row r="50" spans="1:8">
      <c r="A50" s="50" t="s">
        <v>99</v>
      </c>
      <c r="B50" s="49" t="e">
        <f>B7+B19+B21+B29+B35+B38+B43+B48</f>
        <v>#REF!</v>
      </c>
      <c r="C50" s="49">
        <f>C7+C19+C21+C29+C35+C38+C43+C48</f>
        <v>78774803.530000016</v>
      </c>
      <c r="D50" s="49" t="e">
        <f t="shared" si="1"/>
        <v>#REF!</v>
      </c>
      <c r="E50" s="49" t="e">
        <f>E7+E19+E21+E29+E35+E38+E43+E48</f>
        <v>#REF!</v>
      </c>
      <c r="F50" s="49">
        <f ca="1">F7+F19+F21+F29+F35+F38+F43+F48</f>
        <v>1517410</v>
      </c>
      <c r="G50" s="49" t="e">
        <f ca="1">G7+G19+G21+G29+G35+G38+G43+G48</f>
        <v>#REF!</v>
      </c>
      <c r="H50" s="49" t="e">
        <f t="shared" ref="H50" ca="1" si="7">H7+H19+H21+H29+H35+H38+H43+H48</f>
        <v>#REF!</v>
      </c>
    </row>
    <row r="51" spans="1:8" ht="8.25" customHeight="1">
      <c r="A51" s="39"/>
      <c r="B51" s="79"/>
      <c r="C51" s="7"/>
      <c r="D51" s="79">
        <f t="shared" si="1"/>
        <v>0</v>
      </c>
      <c r="E51" s="19"/>
      <c r="F51" s="7"/>
      <c r="G51" s="19"/>
      <c r="H51" s="79"/>
    </row>
    <row r="52" spans="1:8">
      <c r="A52" s="39" t="s">
        <v>100</v>
      </c>
      <c r="B52" s="49">
        <f>SUM(B53:B56)</f>
        <v>20200670.160000004</v>
      </c>
      <c r="C52" s="49">
        <f>SUM(C53:C56)</f>
        <v>99381102.759999916</v>
      </c>
      <c r="D52" s="49">
        <f t="shared" si="1"/>
        <v>119581772.91999993</v>
      </c>
      <c r="E52" s="49" t="e">
        <f>SUM(E53:E56)</f>
        <v>#REF!</v>
      </c>
      <c r="F52" s="49" t="e">
        <f>SUM(F53:F56)</f>
        <v>#REF!</v>
      </c>
      <c r="G52" s="49" t="e">
        <f>E52+F52</f>
        <v>#REF!</v>
      </c>
      <c r="H52" s="49" t="e">
        <f t="shared" ref="H52" si="8">SUM(H53:H55)</f>
        <v>#REF!</v>
      </c>
    </row>
    <row r="53" spans="1:8">
      <c r="A53" s="2" t="s">
        <v>101</v>
      </c>
      <c r="B53" s="79">
        <v>5023333.3000000007</v>
      </c>
      <c r="C53" s="40">
        <v>97268596.73999992</v>
      </c>
      <c r="D53" s="79">
        <f t="shared" si="1"/>
        <v>102291930.03999992</v>
      </c>
      <c r="E53" s="19">
        <f>'Toetused (4)'!F8</f>
        <v>0</v>
      </c>
      <c r="F53" s="40"/>
      <c r="G53" s="19">
        <f>E53+F53</f>
        <v>0</v>
      </c>
      <c r="H53" s="277">
        <f>'Toetused (4)'!G8</f>
        <v>0</v>
      </c>
    </row>
    <row r="54" spans="1:8">
      <c r="A54" s="42" t="s">
        <v>102</v>
      </c>
      <c r="B54" s="79">
        <v>15155477.76</v>
      </c>
      <c r="C54" s="79">
        <v>1852849.3099999998</v>
      </c>
      <c r="D54" s="79">
        <f t="shared" si="1"/>
        <v>17008327.07</v>
      </c>
      <c r="E54" s="19" t="e">
        <f>'Toetused (4)'!#REF!</f>
        <v>#REF!</v>
      </c>
      <c r="F54" s="19" t="e">
        <f>'Toetused (4)'!#REF!</f>
        <v>#REF!</v>
      </c>
      <c r="G54" s="79" t="e">
        <f t="shared" ref="G54:G56" si="9">E54+F54</f>
        <v>#REF!</v>
      </c>
      <c r="H54" s="277" t="e">
        <f>'Toetused (4)'!#REF!</f>
        <v>#REF!</v>
      </c>
    </row>
    <row r="55" spans="1:8" s="81" customFormat="1">
      <c r="A55" s="91" t="s">
        <v>134</v>
      </c>
      <c r="B55" s="79">
        <v>21859.1</v>
      </c>
      <c r="C55" s="40">
        <v>90759.75</v>
      </c>
      <c r="D55" s="79">
        <f t="shared" si="1"/>
        <v>112618.85</v>
      </c>
      <c r="E55" s="79" t="e">
        <f>'Toetused (4)'!#REF!</f>
        <v>#REF!</v>
      </c>
      <c r="F55" s="40"/>
      <c r="G55" s="79" t="e">
        <f t="shared" si="9"/>
        <v>#REF!</v>
      </c>
      <c r="H55" s="277" t="e">
        <f>'Toetused (4)'!#REF!</f>
        <v>#REF!</v>
      </c>
    </row>
    <row r="56" spans="1:8" s="81" customFormat="1">
      <c r="A56" s="91" t="s">
        <v>393</v>
      </c>
      <c r="B56" s="79"/>
      <c r="C56" s="40">
        <v>168896.96</v>
      </c>
      <c r="D56" s="79">
        <f t="shared" si="1"/>
        <v>168896.96</v>
      </c>
      <c r="E56" s="79" t="e">
        <f>'Toetused (4)'!#REF!</f>
        <v>#REF!</v>
      </c>
      <c r="F56" s="40"/>
      <c r="G56" s="79" t="e">
        <f t="shared" si="9"/>
        <v>#REF!</v>
      </c>
      <c r="H56" s="79"/>
    </row>
    <row r="57" spans="1:8" ht="9.75" customHeight="1">
      <c r="A57" s="2"/>
      <c r="B57" s="79"/>
      <c r="C57" s="40"/>
      <c r="D57" s="79">
        <f t="shared" si="1"/>
        <v>0</v>
      </c>
      <c r="E57" s="19"/>
      <c r="F57" s="40"/>
      <c r="G57" s="19"/>
      <c r="H57" s="79"/>
    </row>
    <row r="58" spans="1:8">
      <c r="A58" s="39" t="s">
        <v>90</v>
      </c>
      <c r="B58" s="49" t="e">
        <f>B50+B52</f>
        <v>#REF!</v>
      </c>
      <c r="C58" s="49">
        <f>C50+C52</f>
        <v>178155906.28999993</v>
      </c>
      <c r="D58" s="49" t="e">
        <f t="shared" si="1"/>
        <v>#REF!</v>
      </c>
      <c r="E58" s="49" t="e">
        <f t="shared" ref="E58:H58" si="10">E50+E52</f>
        <v>#REF!</v>
      </c>
      <c r="F58" s="49" t="e">
        <f t="shared" ca="1" si="10"/>
        <v>#REF!</v>
      </c>
      <c r="G58" s="49" t="e">
        <f t="shared" ca="1" si="10"/>
        <v>#REF!</v>
      </c>
      <c r="H58" s="49" t="e">
        <f t="shared" ca="1" si="10"/>
        <v>#REF!</v>
      </c>
    </row>
    <row r="59" spans="1:8">
      <c r="G59" s="79" t="e">
        <f ca="1">#REF!+Sheet2!C19+'Toetused (4)'!F6</f>
        <v>#REF!</v>
      </c>
      <c r="H59" s="79" t="e">
        <f>#REF!+'Omatulud (3)'!#REF!+'Toetused (4)'!G6</f>
        <v>#REF!</v>
      </c>
    </row>
    <row r="60" spans="1:8">
      <c r="D60" s="271"/>
      <c r="G60" s="79" t="e">
        <f ca="1">G58-G59</f>
        <v>#REF!</v>
      </c>
      <c r="H60" s="79"/>
    </row>
    <row r="61" spans="1:8">
      <c r="B61" s="170"/>
      <c r="C61" s="170"/>
      <c r="D61" s="170"/>
      <c r="G61" s="170" t="e">
        <f ca="1">G53/G58</f>
        <v>#REF!</v>
      </c>
      <c r="H61" s="170" t="e">
        <f ca="1">H53/H58</f>
        <v>#REF!</v>
      </c>
    </row>
    <row r="62" spans="1:8">
      <c r="H62" s="79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2"/>
  <sheetViews>
    <sheetView workbookViewId="0">
      <selection activeCell="E4" sqref="E4"/>
    </sheetView>
  </sheetViews>
  <sheetFormatPr defaultColWidth="9.140625" defaultRowHeight="12.75"/>
  <cols>
    <col min="1" max="1" width="40" style="33" bestFit="1" customWidth="1"/>
    <col min="2" max="3" width="11.7109375" style="33" bestFit="1" customWidth="1"/>
    <col min="4" max="7" width="10.140625" style="33" bestFit="1" customWidth="1"/>
    <col min="8" max="16384" width="9.140625" style="33"/>
  </cols>
  <sheetData>
    <row r="1" spans="1:7">
      <c r="B1" s="33">
        <v>2017</v>
      </c>
      <c r="C1" s="33">
        <v>2018</v>
      </c>
      <c r="D1" s="33">
        <v>2019</v>
      </c>
      <c r="E1" s="33">
        <v>2020</v>
      </c>
      <c r="F1" s="33">
        <v>2021</v>
      </c>
      <c r="G1" s="33">
        <v>2022</v>
      </c>
    </row>
    <row r="2" spans="1:7">
      <c r="A2" s="6" t="s">
        <v>45</v>
      </c>
      <c r="B2" s="11">
        <v>63892294.770000003</v>
      </c>
      <c r="C2" s="11">
        <f ca="1">SUM(C3:C12)</f>
        <v>1508043</v>
      </c>
      <c r="D2" s="11">
        <f t="shared" ref="D2:G2" ca="1" si="0">SUM(D3:D12)</f>
        <v>201127</v>
      </c>
      <c r="E2" s="11" t="e">
        <f t="shared" si="0"/>
        <v>#REF!</v>
      </c>
      <c r="F2" s="11" t="e">
        <f t="shared" si="0"/>
        <v>#REF!</v>
      </c>
      <c r="G2" s="11" t="e">
        <f t="shared" si="0"/>
        <v>#REF!</v>
      </c>
    </row>
    <row r="3" spans="1:7">
      <c r="A3" s="8" t="s">
        <v>118</v>
      </c>
      <c r="B3" s="11">
        <v>28592760.600000005</v>
      </c>
      <c r="C3" s="11">
        <f ca="1">SUMIF('Omatulud (3)'!$A$5:E$12,$A3,'Omatulud (3)'!E$5:E$12)</f>
        <v>0</v>
      </c>
      <c r="D3" s="11">
        <f ca="1">SUMIF('Omatulud (3)'!$A$5:F$12,$A3,'Omatulud (3)'!F$5:F$12)</f>
        <v>0</v>
      </c>
      <c r="E3" s="11" t="e">
        <f>SUMIF('Omatulud (3)'!$A$5:F$12,$A3,'Omatulud (3)'!#REF!)</f>
        <v>#REF!</v>
      </c>
      <c r="F3" s="11" t="e">
        <f>SUMIF('Omatulud (3)'!$A$5:F$12,$A3,'Omatulud (3)'!#REF!)</f>
        <v>#REF!</v>
      </c>
      <c r="G3" s="11" t="e">
        <f>SUMIF('Omatulud (3)'!$A$5:F$12,$A3,'Omatulud (3)'!#REF!)</f>
        <v>#REF!</v>
      </c>
    </row>
    <row r="4" spans="1:7">
      <c r="A4" s="8" t="s">
        <v>123</v>
      </c>
      <c r="B4" s="11">
        <v>3724902.4500000011</v>
      </c>
      <c r="C4" s="11">
        <f ca="1">SUMIF('Omatulud (3)'!$A$5:E$12,$A4,'Omatulud (3)'!E$5:E$12)</f>
        <v>0</v>
      </c>
      <c r="D4" s="11">
        <f ca="1">SUMIF('Omatulud (3)'!$A$5:F$12,$A4,'Omatulud (3)'!F$5:F$12)</f>
        <v>0</v>
      </c>
      <c r="E4" s="11" t="e">
        <f>SUMIF('Omatulud (3)'!$A$5:F$12,$A4,'Omatulud (3)'!#REF!)</f>
        <v>#REF!</v>
      </c>
      <c r="F4" s="11" t="e">
        <f>SUMIF('Omatulud (3)'!$A$5:F$12,$A4,'Omatulud (3)'!#REF!)</f>
        <v>#REF!</v>
      </c>
      <c r="G4" s="11" t="e">
        <f>SUMIF('Omatulud (3)'!$A$5:F$12,$A4,'Omatulud (3)'!#REF!)</f>
        <v>#REF!</v>
      </c>
    </row>
    <row r="5" spans="1:7">
      <c r="A5" s="8" t="s">
        <v>119</v>
      </c>
      <c r="B5" s="11">
        <v>4980118.51</v>
      </c>
      <c r="C5" s="11">
        <f ca="1">SUMIF('Omatulud (3)'!$A$5:E$12,$A5,'Omatulud (3)'!E$5:E$12)</f>
        <v>0</v>
      </c>
      <c r="D5" s="11">
        <f ca="1">SUMIF('Omatulud (3)'!$A$5:F$12,$A5,'Omatulud (3)'!F$5:F$12)</f>
        <v>0</v>
      </c>
      <c r="E5" s="11" t="e">
        <f>SUMIF('Omatulud (3)'!$A$5:F$12,$A5,'Omatulud (3)'!#REF!)</f>
        <v>#REF!</v>
      </c>
      <c r="F5" s="11" t="e">
        <f>SUMIF('Omatulud (3)'!$A$5:F$12,$A5,'Omatulud (3)'!#REF!)</f>
        <v>#REF!</v>
      </c>
      <c r="G5" s="11" t="e">
        <f>SUMIF('Omatulud (3)'!$A$5:F$12,$A5,'Omatulud (3)'!#REF!)</f>
        <v>#REF!</v>
      </c>
    </row>
    <row r="6" spans="1:7">
      <c r="A6" s="8" t="s">
        <v>128</v>
      </c>
      <c r="B6" s="11">
        <v>4648288.17</v>
      </c>
      <c r="C6" s="11">
        <f ca="1">SUMIF('Omatulud (3)'!$A$5:E$12,$A6,'Omatulud (3)'!E$5:E$12)</f>
        <v>0</v>
      </c>
      <c r="D6" s="11">
        <f ca="1">SUMIF('Omatulud (3)'!$A$5:F$12,$A6,'Omatulud (3)'!F$5:F$12)</f>
        <v>0</v>
      </c>
      <c r="E6" s="11" t="e">
        <f>SUMIF('Omatulud (3)'!$A$5:F$12,$A6,'Omatulud (3)'!#REF!)</f>
        <v>#REF!</v>
      </c>
      <c r="F6" s="11" t="e">
        <f>SUMIF('Omatulud (3)'!$A$5:F$12,$A6,'Omatulud (3)'!#REF!)</f>
        <v>#REF!</v>
      </c>
      <c r="G6" s="11" t="e">
        <f>SUMIF('Omatulud (3)'!$A$5:F$12,$A6,'Omatulud (3)'!#REF!)</f>
        <v>#REF!</v>
      </c>
    </row>
    <row r="7" spans="1:7">
      <c r="A7" s="8" t="s">
        <v>124</v>
      </c>
      <c r="B7" s="11">
        <v>6136.28</v>
      </c>
      <c r="C7" s="11">
        <f ca="1">SUMIF('Omatulud (3)'!$A$5:E$12,$A7,'Omatulud (3)'!E$5:E$12)</f>
        <v>0</v>
      </c>
      <c r="D7" s="11">
        <f ca="1">SUMIF('Omatulud (3)'!$A$5:F$12,$A7,'Omatulud (3)'!F$5:F$12)</f>
        <v>0</v>
      </c>
      <c r="E7" s="11" t="e">
        <f>SUMIF('Omatulud (3)'!$A$5:F$12,$A7,'Omatulud (3)'!#REF!)</f>
        <v>#REF!</v>
      </c>
      <c r="F7" s="11" t="e">
        <f>SUMIF('Omatulud (3)'!$A$5:F$12,$A7,'Omatulud (3)'!#REF!)</f>
        <v>#REF!</v>
      </c>
      <c r="G7" s="11" t="e">
        <f>SUMIF('Omatulud (3)'!$A$5:F$12,$A7,'Omatulud (3)'!#REF!)</f>
        <v>#REF!</v>
      </c>
    </row>
    <row r="8" spans="1:7">
      <c r="A8" s="8" t="s">
        <v>125</v>
      </c>
      <c r="B8" s="11">
        <v>7585732</v>
      </c>
      <c r="C8" s="11">
        <f ca="1">SUMIF('Omatulud (3)'!$A$5:E$12,$A8,'Omatulud (3)'!E$5:E$12)+1306472</f>
        <v>1306472</v>
      </c>
      <c r="D8" s="11">
        <f ca="1">SUMIF('Omatulud (3)'!$A$5:F$12,$A8,'Omatulud (3)'!F$5:F$12)</f>
        <v>0</v>
      </c>
      <c r="E8" s="11" t="e">
        <f>SUMIF('Omatulud (3)'!$A$5:F$12,$A8,'Omatulud (3)'!#REF!)</f>
        <v>#REF!</v>
      </c>
      <c r="F8" s="11" t="e">
        <f>SUMIF('Omatulud (3)'!$A$5:F$12,$A8,'Omatulud (3)'!#REF!)</f>
        <v>#REF!</v>
      </c>
      <c r="G8" s="11" t="e">
        <f>SUMIF('Omatulud (3)'!$A$5:F$12,$A8,'Omatulud (3)'!#REF!)</f>
        <v>#REF!</v>
      </c>
    </row>
    <row r="9" spans="1:7">
      <c r="A9" s="8" t="s">
        <v>120</v>
      </c>
      <c r="B9" s="11">
        <v>3923475.17</v>
      </c>
      <c r="C9" s="11">
        <f ca="1">SUMIF('Omatulud (3)'!$A$5:E$12,$A9,'Omatulud (3)'!E$5:E$12)</f>
        <v>0</v>
      </c>
      <c r="D9" s="11">
        <f ca="1">SUMIF('Omatulud (3)'!$A$5:F$12,$A9,'Omatulud (3)'!F$5:F$12)</f>
        <v>0</v>
      </c>
      <c r="E9" s="11" t="e">
        <f>SUMIF('Omatulud (3)'!$A$5:F$12,$A9,'Omatulud (3)'!#REF!)</f>
        <v>#REF!</v>
      </c>
      <c r="F9" s="11" t="e">
        <f>SUMIF('Omatulud (3)'!$A$5:F$12,$A9,'Omatulud (3)'!#REF!)</f>
        <v>#REF!</v>
      </c>
      <c r="G9" s="11" t="e">
        <f>SUMIF('Omatulud (3)'!$A$5:F$12,$A9,'Omatulud (3)'!#REF!)</f>
        <v>#REF!</v>
      </c>
    </row>
    <row r="10" spans="1:7">
      <c r="A10" s="8" t="s">
        <v>126</v>
      </c>
      <c r="B10" s="11">
        <v>9095523.5800000001</v>
      </c>
      <c r="C10" s="11">
        <f ca="1">SUMIF('Omatulud (3)'!$A$5:E$12,$A10,'Omatulud (3)'!E$5:E$12)</f>
        <v>0</v>
      </c>
      <c r="D10" s="11">
        <f ca="1">SUMIF('Omatulud (3)'!$A$5:F$12,$A10,'Omatulud (3)'!F$5:F$12)</f>
        <v>0</v>
      </c>
      <c r="E10" s="11" t="e">
        <f>SUMIF('Omatulud (3)'!$A$5:F$12,$A10,'Omatulud (3)'!#REF!)</f>
        <v>#REF!</v>
      </c>
      <c r="F10" s="11" t="e">
        <f>SUMIF('Omatulud (3)'!$A$5:F$12,$A10,'Omatulud (3)'!#REF!)</f>
        <v>#REF!</v>
      </c>
      <c r="G10" s="11" t="e">
        <f>SUMIF('Omatulud (3)'!$A$5:F$12,$A10,'Omatulud (3)'!#REF!)</f>
        <v>#REF!</v>
      </c>
    </row>
    <row r="11" spans="1:7">
      <c r="A11" s="8" t="s">
        <v>117</v>
      </c>
      <c r="B11" s="11">
        <v>174948.82</v>
      </c>
      <c r="C11" s="11">
        <f ca="1">SUMIF('Omatulud (3)'!$A$5:E$12,$A11,'Omatulud (3)'!E$5:E$12)</f>
        <v>201571</v>
      </c>
      <c r="D11" s="11">
        <f ca="1">SUMIF('Omatulud (3)'!$A$5:F$12,$A11,'Omatulud (3)'!F$5:F$12)</f>
        <v>201127</v>
      </c>
      <c r="E11" s="11" t="e">
        <f>SUMIF('Omatulud (3)'!$A$5:F$12,$A11,'Omatulud (3)'!#REF!)</f>
        <v>#REF!</v>
      </c>
      <c r="F11" s="11" t="e">
        <f>SUMIF('Omatulud (3)'!$A$5:F$12,$A11,'Omatulud (3)'!#REF!)</f>
        <v>#REF!</v>
      </c>
      <c r="G11" s="11" t="e">
        <f>SUMIF('Omatulud (3)'!$A$5:F$12,$A11,'Omatulud (3)'!#REF!)</f>
        <v>#REF!</v>
      </c>
    </row>
    <row r="12" spans="1:7">
      <c r="A12" s="9" t="s">
        <v>127</v>
      </c>
      <c r="B12" s="11">
        <v>1160409.19</v>
      </c>
      <c r="C12" s="11">
        <f ca="1">SUMIF('Omatulud (3)'!$A$5:E$12,$A12,'Omatulud (3)'!E$5:E$12)</f>
        <v>0</v>
      </c>
      <c r="D12" s="11">
        <f ca="1">SUMIF('Omatulud (3)'!$A$5:F$12,$A12,'Omatulud (3)'!F$5:F$12)</f>
        <v>0</v>
      </c>
      <c r="E12" s="11" t="e">
        <f>SUMIF('Omatulud (3)'!$A$5:F$12,$A12,'Omatulud (3)'!#REF!)</f>
        <v>#REF!</v>
      </c>
      <c r="F12" s="11" t="e">
        <f>SUMIF('Omatulud (3)'!$A$5:F$12,$A12,'Omatulud (3)'!#REF!)</f>
        <v>#REF!</v>
      </c>
      <c r="G12" s="11" t="e">
        <f>SUMIF('Omatulud (3)'!$A$5:F$12,$A12,'Omatulud (3)'!#REF!)</f>
        <v>#REF!</v>
      </c>
    </row>
    <row r="13" spans="1:7">
      <c r="A13" s="6" t="s">
        <v>121</v>
      </c>
      <c r="B13" s="11">
        <v>187738.75999999998</v>
      </c>
      <c r="C13" s="11">
        <f ca="1">SUMIF('Omatulud (3)'!$A$5:E$12,$A13,'Omatulud (3)'!E$5:E$12)</f>
        <v>0</v>
      </c>
      <c r="D13" s="11">
        <f ca="1">SUMIF('Omatulud (3)'!$A$5:F$12,$A13,'Omatulud (3)'!F$5:F$12)</f>
        <v>0</v>
      </c>
      <c r="E13" s="11" t="e">
        <f>SUMIF('Omatulud (3)'!$A$5:F$12,$A13,'Omatulud (3)'!#REF!)</f>
        <v>#REF!</v>
      </c>
      <c r="F13" s="11" t="e">
        <f>SUMIF('Omatulud (3)'!$A$5:F$12,$A13,'Omatulud (3)'!#REF!)</f>
        <v>#REF!</v>
      </c>
      <c r="G13" s="11" t="e">
        <f>SUMIF('Omatulud (3)'!$A$5:F$12,$A13,'Omatulud (3)'!#REF!)</f>
        <v>#REF!</v>
      </c>
    </row>
    <row r="14" spans="1:7">
      <c r="A14" s="6" t="s">
        <v>116</v>
      </c>
      <c r="B14" s="11">
        <v>3911473.12</v>
      </c>
      <c r="C14" s="11">
        <f ca="1">SUMIF('Omatulud (3)'!$A$5:E$12,$A14,'Omatulud (3)'!E$5:E$12)</f>
        <v>0</v>
      </c>
      <c r="D14" s="11">
        <f ca="1">SUMIF('Omatulud (3)'!$A$5:F$12,$A14,'Omatulud (3)'!F$5:F$12)</f>
        <v>0</v>
      </c>
      <c r="E14" s="11" t="e">
        <f>SUMIF('Omatulud (3)'!$A$5:F$12,$A14,'Omatulud (3)'!#REF!)</f>
        <v>#REF!</v>
      </c>
      <c r="F14" s="11" t="e">
        <f>SUMIF('Omatulud (3)'!$A$5:F$12,$A14,'Omatulud (3)'!#REF!)</f>
        <v>#REF!</v>
      </c>
      <c r="G14" s="11" t="e">
        <f>SUMIF('Omatulud (3)'!$A$5:F$12,$A14,'Omatulud (3)'!#REF!)</f>
        <v>#REF!</v>
      </c>
    </row>
    <row r="15" spans="1:7">
      <c r="A15" s="6" t="s">
        <v>122</v>
      </c>
      <c r="B15" s="11">
        <v>2385085.9600000004</v>
      </c>
      <c r="C15" s="11">
        <f ca="1">SUMIF('Omatulud (3)'!$A$5:E$12,$A15,'Omatulud (3)'!E$5:E$12)</f>
        <v>0</v>
      </c>
      <c r="D15" s="11">
        <f ca="1">SUMIF('Omatulud (3)'!$A$5:F$12,$A15,'Omatulud (3)'!F$5:F$12)</f>
        <v>0</v>
      </c>
      <c r="E15" s="11" t="e">
        <f>SUMIF('Omatulud (3)'!$A$5:F$12,$A15,'Omatulud (3)'!#REF!)</f>
        <v>#REF!</v>
      </c>
      <c r="F15" s="11" t="e">
        <f>SUMIF('Omatulud (3)'!$A$5:F$12,$A15,'Omatulud (3)'!#REF!)</f>
        <v>#REF!</v>
      </c>
      <c r="G15" s="11" t="e">
        <f>SUMIF('Omatulud (3)'!$A$5:F$12,$A15,'Omatulud (3)'!#REF!)</f>
        <v>#REF!</v>
      </c>
    </row>
    <row r="16" spans="1:7">
      <c r="A16" s="6" t="s">
        <v>115</v>
      </c>
      <c r="B16" s="11">
        <v>8438000.8300000019</v>
      </c>
      <c r="C16" s="11">
        <f ca="1">SUMIF('Omatulud (3)'!$A$5:E$12,$A16,'Omatulud (3)'!E$5:E$12)</f>
        <v>9367</v>
      </c>
      <c r="D16" s="11">
        <f ca="1">SUMIF('Omatulud (3)'!$A$5:F$12,$A16,'Omatulud (3)'!F$5:F$12)</f>
        <v>9649</v>
      </c>
      <c r="E16" s="11" t="e">
        <f>SUMIF('Omatulud (3)'!$A$5:F$12,$A16,'Omatulud (3)'!#REF!)</f>
        <v>#REF!</v>
      </c>
      <c r="F16" s="11" t="e">
        <f>SUMIF('Omatulud (3)'!$A$5:F$12,$A16,'Omatulud (3)'!#REF!)</f>
        <v>#REF!</v>
      </c>
      <c r="G16" s="11" t="e">
        <f>SUMIF('Omatulud (3)'!$A$5:F$12,$A16,'Omatulud (3)'!#REF!)</f>
        <v>#REF!</v>
      </c>
    </row>
    <row r="17" spans="1:7">
      <c r="A17" s="102" t="s">
        <v>46</v>
      </c>
      <c r="B17" s="11">
        <v>0</v>
      </c>
      <c r="C17" s="11">
        <f ca="1">SUMIF('Omatulud (3)'!$A$5:E$12,$A17,'Omatulud (3)'!E$5:E$12)</f>
        <v>0</v>
      </c>
      <c r="D17" s="11">
        <f ca="1">SUMIF('Omatulud (3)'!$A$5:F$12,$A17,'Omatulud (3)'!F$5:F$12)</f>
        <v>0</v>
      </c>
      <c r="E17" s="11" t="e">
        <f>SUMIF('Omatulud (3)'!$A$5:F$12,$A17,'Omatulud (3)'!#REF!)</f>
        <v>#REF!</v>
      </c>
      <c r="F17" s="11" t="e">
        <f>SUMIF('Omatulud (3)'!$A$5:F$12,$A17,'Omatulud (3)'!#REF!)</f>
        <v>#REF!</v>
      </c>
      <c r="G17" s="11" t="e">
        <f>SUMIF('Omatulud (3)'!$A$5:F$12,$A17,'Omatulud (3)'!#REF!)</f>
        <v>#REF!</v>
      </c>
    </row>
    <row r="18" spans="1:7">
      <c r="A18" s="93" t="s">
        <v>136</v>
      </c>
      <c r="B18" s="11">
        <v>-39789.910000000003</v>
      </c>
      <c r="C18" s="11">
        <f ca="1">SUMIF('Omatulud (3)'!$A$5:E$12,$A18,'Omatulud (3)'!E$5:E$12)</f>
        <v>0</v>
      </c>
      <c r="D18" s="11">
        <f ca="1">SUMIF('Omatulud (3)'!$A$5:F$12,$A18,'Omatulud (3)'!F$5:F$12)</f>
        <v>0</v>
      </c>
      <c r="E18" s="11" t="e">
        <f>SUMIF('Omatulud (3)'!$A$5:F$12,$A18,'Omatulud (3)'!#REF!)</f>
        <v>#REF!</v>
      </c>
      <c r="F18" s="11" t="e">
        <f>SUMIF('Omatulud (3)'!$A$5:F$12,$A18,'Omatulud (3)'!#REF!)</f>
        <v>#REF!</v>
      </c>
      <c r="G18" s="11" t="e">
        <f>SUMIF('Omatulud (3)'!$A$5:F$12,$A18,'Omatulud (3)'!#REF!)</f>
        <v>#REF!</v>
      </c>
    </row>
    <row r="19" spans="1:7">
      <c r="A19" s="3" t="s">
        <v>47</v>
      </c>
      <c r="B19" s="12">
        <v>78774803.530000001</v>
      </c>
      <c r="C19" s="12">
        <f ca="1">C13+C14+C15+C16+C2+C18</f>
        <v>1517410</v>
      </c>
      <c r="D19" s="12">
        <f t="shared" ref="D19:G19" ca="1" si="1">D13+D14+D15+D16+D2+D18</f>
        <v>210776</v>
      </c>
      <c r="E19" s="12" t="e">
        <f t="shared" si="1"/>
        <v>#REF!</v>
      </c>
      <c r="F19" s="12" t="e">
        <f t="shared" si="1"/>
        <v>#REF!</v>
      </c>
      <c r="G19" s="12" t="e">
        <f t="shared" si="1"/>
        <v>#REF!</v>
      </c>
    </row>
    <row r="20" spans="1:7">
      <c r="A20" s="6"/>
      <c r="B20" s="88"/>
      <c r="C20" s="88" t="e">
        <f ca="1">C19-'Omatulud (3)'!#REF!</f>
        <v>#REF!</v>
      </c>
      <c r="D20" s="88" t="e">
        <f ca="1">D19-'Omatulud (3)'!#REF!</f>
        <v>#REF!</v>
      </c>
      <c r="E20" s="88" t="e">
        <f>E19-'Omatulud (3)'!#REF!</f>
        <v>#REF!</v>
      </c>
      <c r="F20" s="88" t="e">
        <f>F19-'Omatulud (3)'!#REF!</f>
        <v>#REF!</v>
      </c>
      <c r="G20" s="88" t="e">
        <f>G19-'Omatulud (3)'!#REF!</f>
        <v>#REF!</v>
      </c>
    </row>
    <row r="21" spans="1:7">
      <c r="D21" s="6"/>
    </row>
    <row r="22" spans="1:7">
      <c r="D22" s="6"/>
    </row>
    <row r="24" spans="1:7">
      <c r="A24" s="106"/>
      <c r="B24" s="107"/>
      <c r="C24" s="107"/>
    </row>
    <row r="25" spans="1:7">
      <c r="A25" s="103"/>
      <c r="B25" s="5"/>
      <c r="C25" s="5"/>
    </row>
    <row r="26" spans="1:7">
      <c r="A26" s="92"/>
      <c r="B26" s="66"/>
      <c r="C26" s="66"/>
    </row>
    <row r="30" spans="1:7">
      <c r="A30" s="106"/>
      <c r="B30" s="107"/>
      <c r="C30" s="107"/>
    </row>
    <row r="31" spans="1:7">
      <c r="A31" s="104"/>
      <c r="B31" s="66"/>
      <c r="C31" s="66"/>
    </row>
    <row r="32" spans="1:7">
      <c r="A32" s="105"/>
      <c r="B32" s="66"/>
      <c r="C32" s="66"/>
    </row>
  </sheetData>
  <phoneticPr fontId="3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6" tint="0.59999389629810485"/>
  </sheetPr>
  <dimension ref="A1:K12"/>
  <sheetViews>
    <sheetView showZeros="0" zoomScaleNormal="100" workbookViewId="0">
      <pane xSplit="1" ySplit="4" topLeftCell="B5" activePane="bottomRight" state="frozen"/>
      <selection activeCell="J31" sqref="J31"/>
      <selection pane="topRight" activeCell="J31" sqref="J31"/>
      <selection pane="bottomLeft" activeCell="J31" sqref="J31"/>
      <selection pane="bottomRight" activeCell="A13" sqref="A13:XFD1048576"/>
    </sheetView>
  </sheetViews>
  <sheetFormatPr defaultColWidth="9.140625" defaultRowHeight="12.75"/>
  <cols>
    <col min="1" max="1" width="38.5703125" style="54" customWidth="1"/>
    <col min="2" max="5" width="11.7109375" style="99" customWidth="1"/>
    <col min="6" max="6" width="10.85546875" style="370" customWidth="1"/>
    <col min="7" max="7" width="10.7109375" style="85" bestFit="1" customWidth="1"/>
    <col min="8" max="8" width="10.140625" style="85" hidden="1" customWidth="1"/>
    <col min="9" max="9" width="9.7109375" style="85" bestFit="1" customWidth="1"/>
    <col min="10" max="10" width="9.140625" style="359"/>
    <col min="11" max="11" width="27.42578125" style="85" customWidth="1"/>
    <col min="12" max="12" width="12.28515625" style="85" bestFit="1" customWidth="1"/>
    <col min="13" max="13" width="9.7109375" style="85" bestFit="1" customWidth="1"/>
    <col min="14" max="16384" width="9.140625" style="85"/>
  </cols>
  <sheetData>
    <row r="1" spans="1:11" ht="15">
      <c r="A1" s="53" t="s">
        <v>113</v>
      </c>
      <c r="B1" s="10"/>
      <c r="C1" s="10"/>
      <c r="D1" s="10"/>
      <c r="E1" s="10"/>
      <c r="J1" s="358" t="s">
        <v>512</v>
      </c>
    </row>
    <row r="2" spans="1:11" ht="12.75" customHeight="1">
      <c r="A2" s="1"/>
      <c r="B2" s="10"/>
      <c r="C2" s="10"/>
      <c r="D2" s="10"/>
      <c r="E2" s="10"/>
      <c r="F2" s="371"/>
      <c r="G2" s="10"/>
      <c r="H2" s="10"/>
      <c r="I2" s="10"/>
      <c r="J2" s="360" t="s">
        <v>509</v>
      </c>
    </row>
    <row r="3" spans="1:11" ht="12.75" customHeight="1">
      <c r="B3" s="704" t="s">
        <v>267</v>
      </c>
      <c r="C3" s="704" t="s">
        <v>669</v>
      </c>
      <c r="D3" s="710" t="s">
        <v>667</v>
      </c>
      <c r="E3" s="704" t="s">
        <v>668</v>
      </c>
      <c r="F3" s="705" t="s">
        <v>510</v>
      </c>
      <c r="G3" s="706" t="s">
        <v>507</v>
      </c>
      <c r="H3" s="708" t="s">
        <v>511</v>
      </c>
      <c r="I3" s="703" t="s">
        <v>508</v>
      </c>
      <c r="J3" s="703"/>
      <c r="K3" s="703"/>
    </row>
    <row r="4" spans="1:11" ht="29.25" customHeight="1">
      <c r="B4" s="704"/>
      <c r="C4" s="704"/>
      <c r="D4" s="710"/>
      <c r="E4" s="704"/>
      <c r="F4" s="705"/>
      <c r="G4" s="707"/>
      <c r="H4" s="709"/>
      <c r="I4" s="354" t="s">
        <v>48</v>
      </c>
      <c r="J4" s="361" t="s">
        <v>506</v>
      </c>
      <c r="K4" s="646" t="s">
        <v>659</v>
      </c>
    </row>
    <row r="5" spans="1:11">
      <c r="A5" s="114" t="s">
        <v>161</v>
      </c>
      <c r="B5" s="115">
        <f>B6+B9</f>
        <v>177550.17</v>
      </c>
      <c r="C5" s="115">
        <f t="shared" ref="C5" si="0">C6+C9</f>
        <v>210938</v>
      </c>
      <c r="D5" s="115"/>
      <c r="E5" s="115">
        <f t="shared" ref="E5:E12" si="1">C5+D5</f>
        <v>210938</v>
      </c>
      <c r="F5" s="372">
        <f t="shared" ref="F5" si="2">F6+F9</f>
        <v>210776</v>
      </c>
      <c r="G5" s="115">
        <f t="shared" ref="G5" si="3">G6+G9</f>
        <v>210776</v>
      </c>
      <c r="H5" s="115">
        <f t="shared" ref="H5:H12" si="4">G5-F5</f>
        <v>0</v>
      </c>
      <c r="I5" s="115">
        <f t="shared" ref="I5:I12" si="5">IF(G5=0,0,G5-E5)</f>
        <v>-162</v>
      </c>
      <c r="J5" s="362">
        <f t="shared" ref="J5:J12" si="6">IF(E5=0,"",I5/E5)</f>
        <v>-7.6799817955987065E-4</v>
      </c>
    </row>
    <row r="6" spans="1:11">
      <c r="A6" s="112" t="s">
        <v>117</v>
      </c>
      <c r="B6" s="116">
        <f>B7+B8</f>
        <v>153921.04</v>
      </c>
      <c r="C6" s="116">
        <f>C7+C8</f>
        <v>201571</v>
      </c>
      <c r="D6" s="116"/>
      <c r="E6" s="116">
        <f t="shared" si="1"/>
        <v>201571</v>
      </c>
      <c r="F6" s="373">
        <f>F7+F8</f>
        <v>201127</v>
      </c>
      <c r="G6" s="116">
        <f>G7+G8</f>
        <v>201127</v>
      </c>
      <c r="H6" s="116">
        <f t="shared" si="4"/>
        <v>0</v>
      </c>
      <c r="I6" s="116">
        <f t="shared" si="5"/>
        <v>-444</v>
      </c>
      <c r="J6" s="356">
        <f t="shared" si="6"/>
        <v>-2.2026978087125626E-3</v>
      </c>
    </row>
    <row r="7" spans="1:11">
      <c r="A7" s="113" t="s">
        <v>160</v>
      </c>
      <c r="B7" s="117">
        <v>153921.04</v>
      </c>
      <c r="C7" s="117">
        <v>190321</v>
      </c>
      <c r="D7" s="117"/>
      <c r="E7" s="117">
        <f t="shared" si="1"/>
        <v>190321</v>
      </c>
      <c r="F7" s="374">
        <v>190627</v>
      </c>
      <c r="G7" s="117">
        <v>190627</v>
      </c>
      <c r="H7" s="117">
        <f t="shared" si="4"/>
        <v>0</v>
      </c>
      <c r="I7" s="117">
        <f t="shared" si="5"/>
        <v>306</v>
      </c>
      <c r="J7" s="357">
        <f t="shared" si="6"/>
        <v>1.6078099631674906E-3</v>
      </c>
    </row>
    <row r="8" spans="1:11">
      <c r="A8" s="113" t="s">
        <v>168</v>
      </c>
      <c r="B8" s="289"/>
      <c r="C8" s="117">
        <v>11250</v>
      </c>
      <c r="D8" s="117"/>
      <c r="E8" s="117">
        <f t="shared" si="1"/>
        <v>11250</v>
      </c>
      <c r="F8" s="374">
        <v>10500</v>
      </c>
      <c r="G8" s="117">
        <v>10500</v>
      </c>
      <c r="H8" s="117">
        <f t="shared" si="4"/>
        <v>0</v>
      </c>
      <c r="I8" s="117">
        <f t="shared" si="5"/>
        <v>-750</v>
      </c>
      <c r="J8" s="357">
        <f t="shared" si="6"/>
        <v>-6.6666666666666666E-2</v>
      </c>
    </row>
    <row r="9" spans="1:11">
      <c r="A9" s="112" t="s">
        <v>115</v>
      </c>
      <c r="B9" s="98">
        <f>B10+B11</f>
        <v>23629.129999999997</v>
      </c>
      <c r="C9" s="116">
        <f t="shared" ref="C9" si="7">C10+C11</f>
        <v>9367</v>
      </c>
      <c r="D9" s="116"/>
      <c r="E9" s="116">
        <f t="shared" si="1"/>
        <v>9367</v>
      </c>
      <c r="F9" s="373">
        <f t="shared" ref="F9:G9" si="8">F10+F11</f>
        <v>9649</v>
      </c>
      <c r="G9" s="116">
        <f t="shared" si="8"/>
        <v>9649</v>
      </c>
      <c r="H9" s="116">
        <f t="shared" si="4"/>
        <v>0</v>
      </c>
      <c r="I9" s="116">
        <f t="shared" si="5"/>
        <v>282</v>
      </c>
      <c r="J9" s="356">
        <f t="shared" si="6"/>
        <v>3.0105690188961247E-2</v>
      </c>
    </row>
    <row r="10" spans="1:11">
      <c r="A10" s="113" t="s">
        <v>158</v>
      </c>
      <c r="B10" s="98">
        <v>21658.87</v>
      </c>
      <c r="C10" s="117">
        <v>7937</v>
      </c>
      <c r="D10" s="117"/>
      <c r="E10" s="117">
        <f t="shared" si="1"/>
        <v>7937</v>
      </c>
      <c r="F10" s="374">
        <v>8104</v>
      </c>
      <c r="G10" s="117">
        <v>8104</v>
      </c>
      <c r="H10" s="117">
        <f t="shared" si="4"/>
        <v>0</v>
      </c>
      <c r="I10" s="117">
        <f t="shared" si="5"/>
        <v>167</v>
      </c>
      <c r="J10" s="357">
        <f t="shared" si="6"/>
        <v>2.1040695476880433E-2</v>
      </c>
    </row>
    <row r="11" spans="1:11">
      <c r="A11" s="113" t="s">
        <v>159</v>
      </c>
      <c r="B11" s="98">
        <v>1970.26</v>
      </c>
      <c r="C11" s="117">
        <v>1430</v>
      </c>
      <c r="D11" s="117"/>
      <c r="E11" s="117">
        <f t="shared" si="1"/>
        <v>1430</v>
      </c>
      <c r="F11" s="374">
        <v>1545</v>
      </c>
      <c r="G11" s="117">
        <v>1545</v>
      </c>
      <c r="H11" s="117">
        <f t="shared" si="4"/>
        <v>0</v>
      </c>
      <c r="I11" s="117">
        <f t="shared" si="5"/>
        <v>115</v>
      </c>
      <c r="J11" s="357">
        <f t="shared" si="6"/>
        <v>8.0419580419580416E-2</v>
      </c>
    </row>
    <row r="12" spans="1:11" s="97" customFormat="1">
      <c r="A12" s="113"/>
      <c r="B12" s="117"/>
      <c r="C12" s="117"/>
      <c r="D12" s="117"/>
      <c r="E12" s="117">
        <f t="shared" si="1"/>
        <v>0</v>
      </c>
      <c r="F12" s="375"/>
      <c r="G12" s="365"/>
      <c r="H12" s="365">
        <f t="shared" si="4"/>
        <v>0</v>
      </c>
      <c r="I12" s="365">
        <f t="shared" si="5"/>
        <v>0</v>
      </c>
      <c r="J12" s="363" t="str">
        <f t="shared" si="6"/>
        <v/>
      </c>
    </row>
  </sheetData>
  <mergeCells count="8">
    <mergeCell ref="I3:K3"/>
    <mergeCell ref="E3:E4"/>
    <mergeCell ref="B3:B4"/>
    <mergeCell ref="F3:F4"/>
    <mergeCell ref="G3:G4"/>
    <mergeCell ref="H3:H4"/>
    <mergeCell ref="C3:C4"/>
    <mergeCell ref="D3:D4"/>
  </mergeCells>
  <phoneticPr fontId="26" type="noConversion"/>
  <pageMargins left="0.39370078740157483" right="0.39370078740157483" top="0.74803149606299213" bottom="0.74803149606299213" header="0.31496062992125984" footer="0.31496062992125984"/>
  <pageSetup paperSize="9" scale="80" orientation="portrait" r:id="rId1"/>
  <headerFooter alignWithMargins="0">
    <oddFooter>&amp;C&amp;P/&amp;N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75"/>
  <cols>
    <col min="1" max="1" width="5.140625" style="663" customWidth="1"/>
    <col min="2" max="2" width="22.85546875" style="663" customWidth="1"/>
    <col min="3" max="3" width="18.85546875" style="663" customWidth="1"/>
    <col min="4" max="4" width="18.42578125" style="663" customWidth="1"/>
    <col min="5" max="5" width="18.5703125" style="663" customWidth="1"/>
    <col min="6" max="6" width="14.28515625" style="663" customWidth="1"/>
    <col min="7" max="8" width="8.85546875" style="663" customWidth="1"/>
    <col min="9" max="9" width="15.42578125" style="663" customWidth="1"/>
    <col min="10" max="10" width="9.140625" style="663"/>
    <col min="11" max="11" width="9.7109375" style="663" customWidth="1"/>
    <col min="12" max="12" width="12.5703125" style="663" customWidth="1"/>
    <col min="13" max="13" width="15.42578125" style="663" customWidth="1"/>
    <col min="14" max="15" width="12" style="663" customWidth="1"/>
    <col min="16" max="16" width="24.42578125" style="663" customWidth="1"/>
    <col min="17" max="256" width="9.140625" style="663"/>
    <col min="257" max="257" width="5.140625" style="663" customWidth="1"/>
    <col min="258" max="258" width="22.85546875" style="663" customWidth="1"/>
    <col min="259" max="259" width="18.85546875" style="663" customWidth="1"/>
    <col min="260" max="260" width="18.42578125" style="663" customWidth="1"/>
    <col min="261" max="261" width="18.5703125" style="663" customWidth="1"/>
    <col min="262" max="262" width="14.28515625" style="663" customWidth="1"/>
    <col min="263" max="264" width="8.85546875" style="663" customWidth="1"/>
    <col min="265" max="265" width="15.42578125" style="663" customWidth="1"/>
    <col min="266" max="266" width="9.140625" style="663"/>
    <col min="267" max="267" width="9.7109375" style="663" customWidth="1"/>
    <col min="268" max="268" width="12.5703125" style="663" customWidth="1"/>
    <col min="269" max="269" width="15.42578125" style="663" customWidth="1"/>
    <col min="270" max="271" width="12" style="663" customWidth="1"/>
    <col min="272" max="272" width="24.42578125" style="663" customWidth="1"/>
    <col min="273" max="512" width="9.140625" style="663"/>
    <col min="513" max="513" width="5.140625" style="663" customWidth="1"/>
    <col min="514" max="514" width="22.85546875" style="663" customWidth="1"/>
    <col min="515" max="515" width="18.85546875" style="663" customWidth="1"/>
    <col min="516" max="516" width="18.42578125" style="663" customWidth="1"/>
    <col min="517" max="517" width="18.5703125" style="663" customWidth="1"/>
    <col min="518" max="518" width="14.28515625" style="663" customWidth="1"/>
    <col min="519" max="520" width="8.85546875" style="663" customWidth="1"/>
    <col min="521" max="521" width="15.42578125" style="663" customWidth="1"/>
    <col min="522" max="522" width="9.140625" style="663"/>
    <col min="523" max="523" width="9.7109375" style="663" customWidth="1"/>
    <col min="524" max="524" width="12.5703125" style="663" customWidth="1"/>
    <col min="525" max="525" width="15.42578125" style="663" customWidth="1"/>
    <col min="526" max="527" width="12" style="663" customWidth="1"/>
    <col min="528" max="528" width="24.42578125" style="663" customWidth="1"/>
    <col min="529" max="768" width="9.140625" style="663"/>
    <col min="769" max="769" width="5.140625" style="663" customWidth="1"/>
    <col min="770" max="770" width="22.85546875" style="663" customWidth="1"/>
    <col min="771" max="771" width="18.85546875" style="663" customWidth="1"/>
    <col min="772" max="772" width="18.42578125" style="663" customWidth="1"/>
    <col min="773" max="773" width="18.5703125" style="663" customWidth="1"/>
    <col min="774" max="774" width="14.28515625" style="663" customWidth="1"/>
    <col min="775" max="776" width="8.85546875" style="663" customWidth="1"/>
    <col min="777" max="777" width="15.42578125" style="663" customWidth="1"/>
    <col min="778" max="778" width="9.140625" style="663"/>
    <col min="779" max="779" width="9.7109375" style="663" customWidth="1"/>
    <col min="780" max="780" width="12.5703125" style="663" customWidth="1"/>
    <col min="781" max="781" width="15.42578125" style="663" customWidth="1"/>
    <col min="782" max="783" width="12" style="663" customWidth="1"/>
    <col min="784" max="784" width="24.42578125" style="663" customWidth="1"/>
    <col min="785" max="1024" width="9.140625" style="663"/>
    <col min="1025" max="1025" width="5.140625" style="663" customWidth="1"/>
    <col min="1026" max="1026" width="22.85546875" style="663" customWidth="1"/>
    <col min="1027" max="1027" width="18.85546875" style="663" customWidth="1"/>
    <col min="1028" max="1028" width="18.42578125" style="663" customWidth="1"/>
    <col min="1029" max="1029" width="18.5703125" style="663" customWidth="1"/>
    <col min="1030" max="1030" width="14.28515625" style="663" customWidth="1"/>
    <col min="1031" max="1032" width="8.85546875" style="663" customWidth="1"/>
    <col min="1033" max="1033" width="15.42578125" style="663" customWidth="1"/>
    <col min="1034" max="1034" width="9.140625" style="663"/>
    <col min="1035" max="1035" width="9.7109375" style="663" customWidth="1"/>
    <col min="1036" max="1036" width="12.5703125" style="663" customWidth="1"/>
    <col min="1037" max="1037" width="15.42578125" style="663" customWidth="1"/>
    <col min="1038" max="1039" width="12" style="663" customWidth="1"/>
    <col min="1040" max="1040" width="24.42578125" style="663" customWidth="1"/>
    <col min="1041" max="1280" width="9.140625" style="663"/>
    <col min="1281" max="1281" width="5.140625" style="663" customWidth="1"/>
    <col min="1282" max="1282" width="22.85546875" style="663" customWidth="1"/>
    <col min="1283" max="1283" width="18.85546875" style="663" customWidth="1"/>
    <col min="1284" max="1284" width="18.42578125" style="663" customWidth="1"/>
    <col min="1285" max="1285" width="18.5703125" style="663" customWidth="1"/>
    <col min="1286" max="1286" width="14.28515625" style="663" customWidth="1"/>
    <col min="1287" max="1288" width="8.85546875" style="663" customWidth="1"/>
    <col min="1289" max="1289" width="15.42578125" style="663" customWidth="1"/>
    <col min="1290" max="1290" width="9.140625" style="663"/>
    <col min="1291" max="1291" width="9.7109375" style="663" customWidth="1"/>
    <col min="1292" max="1292" width="12.5703125" style="663" customWidth="1"/>
    <col min="1293" max="1293" width="15.42578125" style="663" customWidth="1"/>
    <col min="1294" max="1295" width="12" style="663" customWidth="1"/>
    <col min="1296" max="1296" width="24.42578125" style="663" customWidth="1"/>
    <col min="1297" max="1536" width="9.140625" style="663"/>
    <col min="1537" max="1537" width="5.140625" style="663" customWidth="1"/>
    <col min="1538" max="1538" width="22.85546875" style="663" customWidth="1"/>
    <col min="1539" max="1539" width="18.85546875" style="663" customWidth="1"/>
    <col min="1540" max="1540" width="18.42578125" style="663" customWidth="1"/>
    <col min="1541" max="1541" width="18.5703125" style="663" customWidth="1"/>
    <col min="1542" max="1542" width="14.28515625" style="663" customWidth="1"/>
    <col min="1543" max="1544" width="8.85546875" style="663" customWidth="1"/>
    <col min="1545" max="1545" width="15.42578125" style="663" customWidth="1"/>
    <col min="1546" max="1546" width="9.140625" style="663"/>
    <col min="1547" max="1547" width="9.7109375" style="663" customWidth="1"/>
    <col min="1548" max="1548" width="12.5703125" style="663" customWidth="1"/>
    <col min="1549" max="1549" width="15.42578125" style="663" customWidth="1"/>
    <col min="1550" max="1551" width="12" style="663" customWidth="1"/>
    <col min="1552" max="1552" width="24.42578125" style="663" customWidth="1"/>
    <col min="1553" max="1792" width="9.140625" style="663"/>
    <col min="1793" max="1793" width="5.140625" style="663" customWidth="1"/>
    <col min="1794" max="1794" width="22.85546875" style="663" customWidth="1"/>
    <col min="1795" max="1795" width="18.85546875" style="663" customWidth="1"/>
    <col min="1796" max="1796" width="18.42578125" style="663" customWidth="1"/>
    <col min="1797" max="1797" width="18.5703125" style="663" customWidth="1"/>
    <col min="1798" max="1798" width="14.28515625" style="663" customWidth="1"/>
    <col min="1799" max="1800" width="8.85546875" style="663" customWidth="1"/>
    <col min="1801" max="1801" width="15.42578125" style="663" customWidth="1"/>
    <col min="1802" max="1802" width="9.140625" style="663"/>
    <col min="1803" max="1803" width="9.7109375" style="663" customWidth="1"/>
    <col min="1804" max="1804" width="12.5703125" style="663" customWidth="1"/>
    <col min="1805" max="1805" width="15.42578125" style="663" customWidth="1"/>
    <col min="1806" max="1807" width="12" style="663" customWidth="1"/>
    <col min="1808" max="1808" width="24.42578125" style="663" customWidth="1"/>
    <col min="1809" max="2048" width="9.140625" style="663"/>
    <col min="2049" max="2049" width="5.140625" style="663" customWidth="1"/>
    <col min="2050" max="2050" width="22.85546875" style="663" customWidth="1"/>
    <col min="2051" max="2051" width="18.85546875" style="663" customWidth="1"/>
    <col min="2052" max="2052" width="18.42578125" style="663" customWidth="1"/>
    <col min="2053" max="2053" width="18.5703125" style="663" customWidth="1"/>
    <col min="2054" max="2054" width="14.28515625" style="663" customWidth="1"/>
    <col min="2055" max="2056" width="8.85546875" style="663" customWidth="1"/>
    <col min="2057" max="2057" width="15.42578125" style="663" customWidth="1"/>
    <col min="2058" max="2058" width="9.140625" style="663"/>
    <col min="2059" max="2059" width="9.7109375" style="663" customWidth="1"/>
    <col min="2060" max="2060" width="12.5703125" style="663" customWidth="1"/>
    <col min="2061" max="2061" width="15.42578125" style="663" customWidth="1"/>
    <col min="2062" max="2063" width="12" style="663" customWidth="1"/>
    <col min="2064" max="2064" width="24.42578125" style="663" customWidth="1"/>
    <col min="2065" max="2304" width="9.140625" style="663"/>
    <col min="2305" max="2305" width="5.140625" style="663" customWidth="1"/>
    <col min="2306" max="2306" width="22.85546875" style="663" customWidth="1"/>
    <col min="2307" max="2307" width="18.85546875" style="663" customWidth="1"/>
    <col min="2308" max="2308" width="18.42578125" style="663" customWidth="1"/>
    <col min="2309" max="2309" width="18.5703125" style="663" customWidth="1"/>
    <col min="2310" max="2310" width="14.28515625" style="663" customWidth="1"/>
    <col min="2311" max="2312" width="8.85546875" style="663" customWidth="1"/>
    <col min="2313" max="2313" width="15.42578125" style="663" customWidth="1"/>
    <col min="2314" max="2314" width="9.140625" style="663"/>
    <col min="2315" max="2315" width="9.7109375" style="663" customWidth="1"/>
    <col min="2316" max="2316" width="12.5703125" style="663" customWidth="1"/>
    <col min="2317" max="2317" width="15.42578125" style="663" customWidth="1"/>
    <col min="2318" max="2319" width="12" style="663" customWidth="1"/>
    <col min="2320" max="2320" width="24.42578125" style="663" customWidth="1"/>
    <col min="2321" max="2560" width="9.140625" style="663"/>
    <col min="2561" max="2561" width="5.140625" style="663" customWidth="1"/>
    <col min="2562" max="2562" width="22.85546875" style="663" customWidth="1"/>
    <col min="2563" max="2563" width="18.85546875" style="663" customWidth="1"/>
    <col min="2564" max="2564" width="18.42578125" style="663" customWidth="1"/>
    <col min="2565" max="2565" width="18.5703125" style="663" customWidth="1"/>
    <col min="2566" max="2566" width="14.28515625" style="663" customWidth="1"/>
    <col min="2567" max="2568" width="8.85546875" style="663" customWidth="1"/>
    <col min="2569" max="2569" width="15.42578125" style="663" customWidth="1"/>
    <col min="2570" max="2570" width="9.140625" style="663"/>
    <col min="2571" max="2571" width="9.7109375" style="663" customWidth="1"/>
    <col min="2572" max="2572" width="12.5703125" style="663" customWidth="1"/>
    <col min="2573" max="2573" width="15.42578125" style="663" customWidth="1"/>
    <col min="2574" max="2575" width="12" style="663" customWidth="1"/>
    <col min="2576" max="2576" width="24.42578125" style="663" customWidth="1"/>
    <col min="2577" max="2816" width="9.140625" style="663"/>
    <col min="2817" max="2817" width="5.140625" style="663" customWidth="1"/>
    <col min="2818" max="2818" width="22.85546875" style="663" customWidth="1"/>
    <col min="2819" max="2819" width="18.85546875" style="663" customWidth="1"/>
    <col min="2820" max="2820" width="18.42578125" style="663" customWidth="1"/>
    <col min="2821" max="2821" width="18.5703125" style="663" customWidth="1"/>
    <col min="2822" max="2822" width="14.28515625" style="663" customWidth="1"/>
    <col min="2823" max="2824" width="8.85546875" style="663" customWidth="1"/>
    <col min="2825" max="2825" width="15.42578125" style="663" customWidth="1"/>
    <col min="2826" max="2826" width="9.140625" style="663"/>
    <col min="2827" max="2827" width="9.7109375" style="663" customWidth="1"/>
    <col min="2828" max="2828" width="12.5703125" style="663" customWidth="1"/>
    <col min="2829" max="2829" width="15.42578125" style="663" customWidth="1"/>
    <col min="2830" max="2831" width="12" style="663" customWidth="1"/>
    <col min="2832" max="2832" width="24.42578125" style="663" customWidth="1"/>
    <col min="2833" max="3072" width="9.140625" style="663"/>
    <col min="3073" max="3073" width="5.140625" style="663" customWidth="1"/>
    <col min="3074" max="3074" width="22.85546875" style="663" customWidth="1"/>
    <col min="3075" max="3075" width="18.85546875" style="663" customWidth="1"/>
    <col min="3076" max="3076" width="18.42578125" style="663" customWidth="1"/>
    <col min="3077" max="3077" width="18.5703125" style="663" customWidth="1"/>
    <col min="3078" max="3078" width="14.28515625" style="663" customWidth="1"/>
    <col min="3079" max="3080" width="8.85546875" style="663" customWidth="1"/>
    <col min="3081" max="3081" width="15.42578125" style="663" customWidth="1"/>
    <col min="3082" max="3082" width="9.140625" style="663"/>
    <col min="3083" max="3083" width="9.7109375" style="663" customWidth="1"/>
    <col min="3084" max="3084" width="12.5703125" style="663" customWidth="1"/>
    <col min="3085" max="3085" width="15.42578125" style="663" customWidth="1"/>
    <col min="3086" max="3087" width="12" style="663" customWidth="1"/>
    <col min="3088" max="3088" width="24.42578125" style="663" customWidth="1"/>
    <col min="3089" max="3328" width="9.140625" style="663"/>
    <col min="3329" max="3329" width="5.140625" style="663" customWidth="1"/>
    <col min="3330" max="3330" width="22.85546875" style="663" customWidth="1"/>
    <col min="3331" max="3331" width="18.85546875" style="663" customWidth="1"/>
    <col min="3332" max="3332" width="18.42578125" style="663" customWidth="1"/>
    <col min="3333" max="3333" width="18.5703125" style="663" customWidth="1"/>
    <col min="3334" max="3334" width="14.28515625" style="663" customWidth="1"/>
    <col min="3335" max="3336" width="8.85546875" style="663" customWidth="1"/>
    <col min="3337" max="3337" width="15.42578125" style="663" customWidth="1"/>
    <col min="3338" max="3338" width="9.140625" style="663"/>
    <col min="3339" max="3339" width="9.7109375" style="663" customWidth="1"/>
    <col min="3340" max="3340" width="12.5703125" style="663" customWidth="1"/>
    <col min="3341" max="3341" width="15.42578125" style="663" customWidth="1"/>
    <col min="3342" max="3343" width="12" style="663" customWidth="1"/>
    <col min="3344" max="3344" width="24.42578125" style="663" customWidth="1"/>
    <col min="3345" max="3584" width="9.140625" style="663"/>
    <col min="3585" max="3585" width="5.140625" style="663" customWidth="1"/>
    <col min="3586" max="3586" width="22.85546875" style="663" customWidth="1"/>
    <col min="3587" max="3587" width="18.85546875" style="663" customWidth="1"/>
    <col min="3588" max="3588" width="18.42578125" style="663" customWidth="1"/>
    <col min="3589" max="3589" width="18.5703125" style="663" customWidth="1"/>
    <col min="3590" max="3590" width="14.28515625" style="663" customWidth="1"/>
    <col min="3591" max="3592" width="8.85546875" style="663" customWidth="1"/>
    <col min="3593" max="3593" width="15.42578125" style="663" customWidth="1"/>
    <col min="3594" max="3594" width="9.140625" style="663"/>
    <col min="3595" max="3595" width="9.7109375" style="663" customWidth="1"/>
    <col min="3596" max="3596" width="12.5703125" style="663" customWidth="1"/>
    <col min="3597" max="3597" width="15.42578125" style="663" customWidth="1"/>
    <col min="3598" max="3599" width="12" style="663" customWidth="1"/>
    <col min="3600" max="3600" width="24.42578125" style="663" customWidth="1"/>
    <col min="3601" max="3840" width="9.140625" style="663"/>
    <col min="3841" max="3841" width="5.140625" style="663" customWidth="1"/>
    <col min="3842" max="3842" width="22.85546875" style="663" customWidth="1"/>
    <col min="3843" max="3843" width="18.85546875" style="663" customWidth="1"/>
    <col min="3844" max="3844" width="18.42578125" style="663" customWidth="1"/>
    <col min="3845" max="3845" width="18.5703125" style="663" customWidth="1"/>
    <col min="3846" max="3846" width="14.28515625" style="663" customWidth="1"/>
    <col min="3847" max="3848" width="8.85546875" style="663" customWidth="1"/>
    <col min="3849" max="3849" width="15.42578125" style="663" customWidth="1"/>
    <col min="3850" max="3850" width="9.140625" style="663"/>
    <col min="3851" max="3851" width="9.7109375" style="663" customWidth="1"/>
    <col min="3852" max="3852" width="12.5703125" style="663" customWidth="1"/>
    <col min="3853" max="3853" width="15.42578125" style="663" customWidth="1"/>
    <col min="3854" max="3855" width="12" style="663" customWidth="1"/>
    <col min="3856" max="3856" width="24.42578125" style="663" customWidth="1"/>
    <col min="3857" max="4096" width="9.140625" style="663"/>
    <col min="4097" max="4097" width="5.140625" style="663" customWidth="1"/>
    <col min="4098" max="4098" width="22.85546875" style="663" customWidth="1"/>
    <col min="4099" max="4099" width="18.85546875" style="663" customWidth="1"/>
    <col min="4100" max="4100" width="18.42578125" style="663" customWidth="1"/>
    <col min="4101" max="4101" width="18.5703125" style="663" customWidth="1"/>
    <col min="4102" max="4102" width="14.28515625" style="663" customWidth="1"/>
    <col min="4103" max="4104" width="8.85546875" style="663" customWidth="1"/>
    <col min="4105" max="4105" width="15.42578125" style="663" customWidth="1"/>
    <col min="4106" max="4106" width="9.140625" style="663"/>
    <col min="4107" max="4107" width="9.7109375" style="663" customWidth="1"/>
    <col min="4108" max="4108" width="12.5703125" style="663" customWidth="1"/>
    <col min="4109" max="4109" width="15.42578125" style="663" customWidth="1"/>
    <col min="4110" max="4111" width="12" style="663" customWidth="1"/>
    <col min="4112" max="4112" width="24.42578125" style="663" customWidth="1"/>
    <col min="4113" max="4352" width="9.140625" style="663"/>
    <col min="4353" max="4353" width="5.140625" style="663" customWidth="1"/>
    <col min="4354" max="4354" width="22.85546875" style="663" customWidth="1"/>
    <col min="4355" max="4355" width="18.85546875" style="663" customWidth="1"/>
    <col min="4356" max="4356" width="18.42578125" style="663" customWidth="1"/>
    <col min="4357" max="4357" width="18.5703125" style="663" customWidth="1"/>
    <col min="4358" max="4358" width="14.28515625" style="663" customWidth="1"/>
    <col min="4359" max="4360" width="8.85546875" style="663" customWidth="1"/>
    <col min="4361" max="4361" width="15.42578125" style="663" customWidth="1"/>
    <col min="4362" max="4362" width="9.140625" style="663"/>
    <col min="4363" max="4363" width="9.7109375" style="663" customWidth="1"/>
    <col min="4364" max="4364" width="12.5703125" style="663" customWidth="1"/>
    <col min="4365" max="4365" width="15.42578125" style="663" customWidth="1"/>
    <col min="4366" max="4367" width="12" style="663" customWidth="1"/>
    <col min="4368" max="4368" width="24.42578125" style="663" customWidth="1"/>
    <col min="4369" max="4608" width="9.140625" style="663"/>
    <col min="4609" max="4609" width="5.140625" style="663" customWidth="1"/>
    <col min="4610" max="4610" width="22.85546875" style="663" customWidth="1"/>
    <col min="4611" max="4611" width="18.85546875" style="663" customWidth="1"/>
    <col min="4612" max="4612" width="18.42578125" style="663" customWidth="1"/>
    <col min="4613" max="4613" width="18.5703125" style="663" customWidth="1"/>
    <col min="4614" max="4614" width="14.28515625" style="663" customWidth="1"/>
    <col min="4615" max="4616" width="8.85546875" style="663" customWidth="1"/>
    <col min="4617" max="4617" width="15.42578125" style="663" customWidth="1"/>
    <col min="4618" max="4618" width="9.140625" style="663"/>
    <col min="4619" max="4619" width="9.7109375" style="663" customWidth="1"/>
    <col min="4620" max="4620" width="12.5703125" style="663" customWidth="1"/>
    <col min="4621" max="4621" width="15.42578125" style="663" customWidth="1"/>
    <col min="4622" max="4623" width="12" style="663" customWidth="1"/>
    <col min="4624" max="4624" width="24.42578125" style="663" customWidth="1"/>
    <col min="4625" max="4864" width="9.140625" style="663"/>
    <col min="4865" max="4865" width="5.140625" style="663" customWidth="1"/>
    <col min="4866" max="4866" width="22.85546875" style="663" customWidth="1"/>
    <col min="4867" max="4867" width="18.85546875" style="663" customWidth="1"/>
    <col min="4868" max="4868" width="18.42578125" style="663" customWidth="1"/>
    <col min="4869" max="4869" width="18.5703125" style="663" customWidth="1"/>
    <col min="4870" max="4870" width="14.28515625" style="663" customWidth="1"/>
    <col min="4871" max="4872" width="8.85546875" style="663" customWidth="1"/>
    <col min="4873" max="4873" width="15.42578125" style="663" customWidth="1"/>
    <col min="4874" max="4874" width="9.140625" style="663"/>
    <col min="4875" max="4875" width="9.7109375" style="663" customWidth="1"/>
    <col min="4876" max="4876" width="12.5703125" style="663" customWidth="1"/>
    <col min="4877" max="4877" width="15.42578125" style="663" customWidth="1"/>
    <col min="4878" max="4879" width="12" style="663" customWidth="1"/>
    <col min="4880" max="4880" width="24.42578125" style="663" customWidth="1"/>
    <col min="4881" max="5120" width="9.140625" style="663"/>
    <col min="5121" max="5121" width="5.140625" style="663" customWidth="1"/>
    <col min="5122" max="5122" width="22.85546875" style="663" customWidth="1"/>
    <col min="5123" max="5123" width="18.85546875" style="663" customWidth="1"/>
    <col min="5124" max="5124" width="18.42578125" style="663" customWidth="1"/>
    <col min="5125" max="5125" width="18.5703125" style="663" customWidth="1"/>
    <col min="5126" max="5126" width="14.28515625" style="663" customWidth="1"/>
    <col min="5127" max="5128" width="8.85546875" style="663" customWidth="1"/>
    <col min="5129" max="5129" width="15.42578125" style="663" customWidth="1"/>
    <col min="5130" max="5130" width="9.140625" style="663"/>
    <col min="5131" max="5131" width="9.7109375" style="663" customWidth="1"/>
    <col min="5132" max="5132" width="12.5703125" style="663" customWidth="1"/>
    <col min="5133" max="5133" width="15.42578125" style="663" customWidth="1"/>
    <col min="5134" max="5135" width="12" style="663" customWidth="1"/>
    <col min="5136" max="5136" width="24.42578125" style="663" customWidth="1"/>
    <col min="5137" max="5376" width="9.140625" style="663"/>
    <col min="5377" max="5377" width="5.140625" style="663" customWidth="1"/>
    <col min="5378" max="5378" width="22.85546875" style="663" customWidth="1"/>
    <col min="5379" max="5379" width="18.85546875" style="663" customWidth="1"/>
    <col min="5380" max="5380" width="18.42578125" style="663" customWidth="1"/>
    <col min="5381" max="5381" width="18.5703125" style="663" customWidth="1"/>
    <col min="5382" max="5382" width="14.28515625" style="663" customWidth="1"/>
    <col min="5383" max="5384" width="8.85546875" style="663" customWidth="1"/>
    <col min="5385" max="5385" width="15.42578125" style="663" customWidth="1"/>
    <col min="5386" max="5386" width="9.140625" style="663"/>
    <col min="5387" max="5387" width="9.7109375" style="663" customWidth="1"/>
    <col min="5388" max="5388" width="12.5703125" style="663" customWidth="1"/>
    <col min="5389" max="5389" width="15.42578125" style="663" customWidth="1"/>
    <col min="5390" max="5391" width="12" style="663" customWidth="1"/>
    <col min="5392" max="5392" width="24.42578125" style="663" customWidth="1"/>
    <col min="5393" max="5632" width="9.140625" style="663"/>
    <col min="5633" max="5633" width="5.140625" style="663" customWidth="1"/>
    <col min="5634" max="5634" width="22.85546875" style="663" customWidth="1"/>
    <col min="5635" max="5635" width="18.85546875" style="663" customWidth="1"/>
    <col min="5636" max="5636" width="18.42578125" style="663" customWidth="1"/>
    <col min="5637" max="5637" width="18.5703125" style="663" customWidth="1"/>
    <col min="5638" max="5638" width="14.28515625" style="663" customWidth="1"/>
    <col min="5639" max="5640" width="8.85546875" style="663" customWidth="1"/>
    <col min="5641" max="5641" width="15.42578125" style="663" customWidth="1"/>
    <col min="5642" max="5642" width="9.140625" style="663"/>
    <col min="5643" max="5643" width="9.7109375" style="663" customWidth="1"/>
    <col min="5644" max="5644" width="12.5703125" style="663" customWidth="1"/>
    <col min="5645" max="5645" width="15.42578125" style="663" customWidth="1"/>
    <col min="5646" max="5647" width="12" style="663" customWidth="1"/>
    <col min="5648" max="5648" width="24.42578125" style="663" customWidth="1"/>
    <col min="5649" max="5888" width="9.140625" style="663"/>
    <col min="5889" max="5889" width="5.140625" style="663" customWidth="1"/>
    <col min="5890" max="5890" width="22.85546875" style="663" customWidth="1"/>
    <col min="5891" max="5891" width="18.85546875" style="663" customWidth="1"/>
    <col min="5892" max="5892" width="18.42578125" style="663" customWidth="1"/>
    <col min="5893" max="5893" width="18.5703125" style="663" customWidth="1"/>
    <col min="5894" max="5894" width="14.28515625" style="663" customWidth="1"/>
    <col min="5895" max="5896" width="8.85546875" style="663" customWidth="1"/>
    <col min="5897" max="5897" width="15.42578125" style="663" customWidth="1"/>
    <col min="5898" max="5898" width="9.140625" style="663"/>
    <col min="5899" max="5899" width="9.7109375" style="663" customWidth="1"/>
    <col min="5900" max="5900" width="12.5703125" style="663" customWidth="1"/>
    <col min="5901" max="5901" width="15.42578125" style="663" customWidth="1"/>
    <col min="5902" max="5903" width="12" style="663" customWidth="1"/>
    <col min="5904" max="5904" width="24.42578125" style="663" customWidth="1"/>
    <col min="5905" max="6144" width="9.140625" style="663"/>
    <col min="6145" max="6145" width="5.140625" style="663" customWidth="1"/>
    <col min="6146" max="6146" width="22.85546875" style="663" customWidth="1"/>
    <col min="6147" max="6147" width="18.85546875" style="663" customWidth="1"/>
    <col min="6148" max="6148" width="18.42578125" style="663" customWidth="1"/>
    <col min="6149" max="6149" width="18.5703125" style="663" customWidth="1"/>
    <col min="6150" max="6150" width="14.28515625" style="663" customWidth="1"/>
    <col min="6151" max="6152" width="8.85546875" style="663" customWidth="1"/>
    <col min="6153" max="6153" width="15.42578125" style="663" customWidth="1"/>
    <col min="6154" max="6154" width="9.140625" style="663"/>
    <col min="6155" max="6155" width="9.7109375" style="663" customWidth="1"/>
    <col min="6156" max="6156" width="12.5703125" style="663" customWidth="1"/>
    <col min="6157" max="6157" width="15.42578125" style="663" customWidth="1"/>
    <col min="6158" max="6159" width="12" style="663" customWidth="1"/>
    <col min="6160" max="6160" width="24.42578125" style="663" customWidth="1"/>
    <col min="6161" max="6400" width="9.140625" style="663"/>
    <col min="6401" max="6401" width="5.140625" style="663" customWidth="1"/>
    <col min="6402" max="6402" width="22.85546875" style="663" customWidth="1"/>
    <col min="6403" max="6403" width="18.85546875" style="663" customWidth="1"/>
    <col min="6404" max="6404" width="18.42578125" style="663" customWidth="1"/>
    <col min="6405" max="6405" width="18.5703125" style="663" customWidth="1"/>
    <col min="6406" max="6406" width="14.28515625" style="663" customWidth="1"/>
    <col min="6407" max="6408" width="8.85546875" style="663" customWidth="1"/>
    <col min="6409" max="6409" width="15.42578125" style="663" customWidth="1"/>
    <col min="6410" max="6410" width="9.140625" style="663"/>
    <col min="6411" max="6411" width="9.7109375" style="663" customWidth="1"/>
    <col min="6412" max="6412" width="12.5703125" style="663" customWidth="1"/>
    <col min="6413" max="6413" width="15.42578125" style="663" customWidth="1"/>
    <col min="6414" max="6415" width="12" style="663" customWidth="1"/>
    <col min="6416" max="6416" width="24.42578125" style="663" customWidth="1"/>
    <col min="6417" max="6656" width="9.140625" style="663"/>
    <col min="6657" max="6657" width="5.140625" style="663" customWidth="1"/>
    <col min="6658" max="6658" width="22.85546875" style="663" customWidth="1"/>
    <col min="6659" max="6659" width="18.85546875" style="663" customWidth="1"/>
    <col min="6660" max="6660" width="18.42578125" style="663" customWidth="1"/>
    <col min="6661" max="6661" width="18.5703125" style="663" customWidth="1"/>
    <col min="6662" max="6662" width="14.28515625" style="663" customWidth="1"/>
    <col min="6663" max="6664" width="8.85546875" style="663" customWidth="1"/>
    <col min="6665" max="6665" width="15.42578125" style="663" customWidth="1"/>
    <col min="6666" max="6666" width="9.140625" style="663"/>
    <col min="6667" max="6667" width="9.7109375" style="663" customWidth="1"/>
    <col min="6668" max="6668" width="12.5703125" style="663" customWidth="1"/>
    <col min="6669" max="6669" width="15.42578125" style="663" customWidth="1"/>
    <col min="6670" max="6671" width="12" style="663" customWidth="1"/>
    <col min="6672" max="6672" width="24.42578125" style="663" customWidth="1"/>
    <col min="6673" max="6912" width="9.140625" style="663"/>
    <col min="6913" max="6913" width="5.140625" style="663" customWidth="1"/>
    <col min="6914" max="6914" width="22.85546875" style="663" customWidth="1"/>
    <col min="6915" max="6915" width="18.85546875" style="663" customWidth="1"/>
    <col min="6916" max="6916" width="18.42578125" style="663" customWidth="1"/>
    <col min="6917" max="6917" width="18.5703125" style="663" customWidth="1"/>
    <col min="6918" max="6918" width="14.28515625" style="663" customWidth="1"/>
    <col min="6919" max="6920" width="8.85546875" style="663" customWidth="1"/>
    <col min="6921" max="6921" width="15.42578125" style="663" customWidth="1"/>
    <col min="6922" max="6922" width="9.140625" style="663"/>
    <col min="6923" max="6923" width="9.7109375" style="663" customWidth="1"/>
    <col min="6924" max="6924" width="12.5703125" style="663" customWidth="1"/>
    <col min="6925" max="6925" width="15.42578125" style="663" customWidth="1"/>
    <col min="6926" max="6927" width="12" style="663" customWidth="1"/>
    <col min="6928" max="6928" width="24.42578125" style="663" customWidth="1"/>
    <col min="6929" max="7168" width="9.140625" style="663"/>
    <col min="7169" max="7169" width="5.140625" style="663" customWidth="1"/>
    <col min="7170" max="7170" width="22.85546875" style="663" customWidth="1"/>
    <col min="7171" max="7171" width="18.85546875" style="663" customWidth="1"/>
    <col min="7172" max="7172" width="18.42578125" style="663" customWidth="1"/>
    <col min="7173" max="7173" width="18.5703125" style="663" customWidth="1"/>
    <col min="7174" max="7174" width="14.28515625" style="663" customWidth="1"/>
    <col min="7175" max="7176" width="8.85546875" style="663" customWidth="1"/>
    <col min="7177" max="7177" width="15.42578125" style="663" customWidth="1"/>
    <col min="7178" max="7178" width="9.140625" style="663"/>
    <col min="7179" max="7179" width="9.7109375" style="663" customWidth="1"/>
    <col min="7180" max="7180" width="12.5703125" style="663" customWidth="1"/>
    <col min="7181" max="7181" width="15.42578125" style="663" customWidth="1"/>
    <col min="7182" max="7183" width="12" style="663" customWidth="1"/>
    <col min="7184" max="7184" width="24.42578125" style="663" customWidth="1"/>
    <col min="7185" max="7424" width="9.140625" style="663"/>
    <col min="7425" max="7425" width="5.140625" style="663" customWidth="1"/>
    <col min="7426" max="7426" width="22.85546875" style="663" customWidth="1"/>
    <col min="7427" max="7427" width="18.85546875" style="663" customWidth="1"/>
    <col min="7428" max="7428" width="18.42578125" style="663" customWidth="1"/>
    <col min="7429" max="7429" width="18.5703125" style="663" customWidth="1"/>
    <col min="7430" max="7430" width="14.28515625" style="663" customWidth="1"/>
    <col min="7431" max="7432" width="8.85546875" style="663" customWidth="1"/>
    <col min="7433" max="7433" width="15.42578125" style="663" customWidth="1"/>
    <col min="7434" max="7434" width="9.140625" style="663"/>
    <col min="7435" max="7435" width="9.7109375" style="663" customWidth="1"/>
    <col min="7436" max="7436" width="12.5703125" style="663" customWidth="1"/>
    <col min="7437" max="7437" width="15.42578125" style="663" customWidth="1"/>
    <col min="7438" max="7439" width="12" style="663" customWidth="1"/>
    <col min="7440" max="7440" width="24.42578125" style="663" customWidth="1"/>
    <col min="7441" max="7680" width="9.140625" style="663"/>
    <col min="7681" max="7681" width="5.140625" style="663" customWidth="1"/>
    <col min="7682" max="7682" width="22.85546875" style="663" customWidth="1"/>
    <col min="7683" max="7683" width="18.85546875" style="663" customWidth="1"/>
    <col min="7684" max="7684" width="18.42578125" style="663" customWidth="1"/>
    <col min="7685" max="7685" width="18.5703125" style="663" customWidth="1"/>
    <col min="7686" max="7686" width="14.28515625" style="663" customWidth="1"/>
    <col min="7687" max="7688" width="8.85546875" style="663" customWidth="1"/>
    <col min="7689" max="7689" width="15.42578125" style="663" customWidth="1"/>
    <col min="7690" max="7690" width="9.140625" style="663"/>
    <col min="7691" max="7691" width="9.7109375" style="663" customWidth="1"/>
    <col min="7692" max="7692" width="12.5703125" style="663" customWidth="1"/>
    <col min="7693" max="7693" width="15.42578125" style="663" customWidth="1"/>
    <col min="7694" max="7695" width="12" style="663" customWidth="1"/>
    <col min="7696" max="7696" width="24.42578125" style="663" customWidth="1"/>
    <col min="7697" max="7936" width="9.140625" style="663"/>
    <col min="7937" max="7937" width="5.140625" style="663" customWidth="1"/>
    <col min="7938" max="7938" width="22.85546875" style="663" customWidth="1"/>
    <col min="7939" max="7939" width="18.85546875" style="663" customWidth="1"/>
    <col min="7940" max="7940" width="18.42578125" style="663" customWidth="1"/>
    <col min="7941" max="7941" width="18.5703125" style="663" customWidth="1"/>
    <col min="7942" max="7942" width="14.28515625" style="663" customWidth="1"/>
    <col min="7943" max="7944" width="8.85546875" style="663" customWidth="1"/>
    <col min="7945" max="7945" width="15.42578125" style="663" customWidth="1"/>
    <col min="7946" max="7946" width="9.140625" style="663"/>
    <col min="7947" max="7947" width="9.7109375" style="663" customWidth="1"/>
    <col min="7948" max="7948" width="12.5703125" style="663" customWidth="1"/>
    <col min="7949" max="7949" width="15.42578125" style="663" customWidth="1"/>
    <col min="7950" max="7951" width="12" style="663" customWidth="1"/>
    <col min="7952" max="7952" width="24.42578125" style="663" customWidth="1"/>
    <col min="7953" max="8192" width="9.140625" style="663"/>
    <col min="8193" max="8193" width="5.140625" style="663" customWidth="1"/>
    <col min="8194" max="8194" width="22.85546875" style="663" customWidth="1"/>
    <col min="8195" max="8195" width="18.85546875" style="663" customWidth="1"/>
    <col min="8196" max="8196" width="18.42578125" style="663" customWidth="1"/>
    <col min="8197" max="8197" width="18.5703125" style="663" customWidth="1"/>
    <col min="8198" max="8198" width="14.28515625" style="663" customWidth="1"/>
    <col min="8199" max="8200" width="8.85546875" style="663" customWidth="1"/>
    <col min="8201" max="8201" width="15.42578125" style="663" customWidth="1"/>
    <col min="8202" max="8202" width="9.140625" style="663"/>
    <col min="8203" max="8203" width="9.7109375" style="663" customWidth="1"/>
    <col min="8204" max="8204" width="12.5703125" style="663" customWidth="1"/>
    <col min="8205" max="8205" width="15.42578125" style="663" customWidth="1"/>
    <col min="8206" max="8207" width="12" style="663" customWidth="1"/>
    <col min="8208" max="8208" width="24.42578125" style="663" customWidth="1"/>
    <col min="8209" max="8448" width="9.140625" style="663"/>
    <col min="8449" max="8449" width="5.140625" style="663" customWidth="1"/>
    <col min="8450" max="8450" width="22.85546875" style="663" customWidth="1"/>
    <col min="8451" max="8451" width="18.85546875" style="663" customWidth="1"/>
    <col min="8452" max="8452" width="18.42578125" style="663" customWidth="1"/>
    <col min="8453" max="8453" width="18.5703125" style="663" customWidth="1"/>
    <col min="8454" max="8454" width="14.28515625" style="663" customWidth="1"/>
    <col min="8455" max="8456" width="8.85546875" style="663" customWidth="1"/>
    <col min="8457" max="8457" width="15.42578125" style="663" customWidth="1"/>
    <col min="8458" max="8458" width="9.140625" style="663"/>
    <col min="8459" max="8459" width="9.7109375" style="663" customWidth="1"/>
    <col min="8460" max="8460" width="12.5703125" style="663" customWidth="1"/>
    <col min="8461" max="8461" width="15.42578125" style="663" customWidth="1"/>
    <col min="8462" max="8463" width="12" style="663" customWidth="1"/>
    <col min="8464" max="8464" width="24.42578125" style="663" customWidth="1"/>
    <col min="8465" max="8704" width="9.140625" style="663"/>
    <col min="8705" max="8705" width="5.140625" style="663" customWidth="1"/>
    <col min="8706" max="8706" width="22.85546875" style="663" customWidth="1"/>
    <col min="8707" max="8707" width="18.85546875" style="663" customWidth="1"/>
    <col min="8708" max="8708" width="18.42578125" style="663" customWidth="1"/>
    <col min="8709" max="8709" width="18.5703125" style="663" customWidth="1"/>
    <col min="8710" max="8710" width="14.28515625" style="663" customWidth="1"/>
    <col min="8711" max="8712" width="8.85546875" style="663" customWidth="1"/>
    <col min="8713" max="8713" width="15.42578125" style="663" customWidth="1"/>
    <col min="8714" max="8714" width="9.140625" style="663"/>
    <col min="8715" max="8715" width="9.7109375" style="663" customWidth="1"/>
    <col min="8716" max="8716" width="12.5703125" style="663" customWidth="1"/>
    <col min="8717" max="8717" width="15.42578125" style="663" customWidth="1"/>
    <col min="8718" max="8719" width="12" style="663" customWidth="1"/>
    <col min="8720" max="8720" width="24.42578125" style="663" customWidth="1"/>
    <col min="8721" max="8960" width="9.140625" style="663"/>
    <col min="8961" max="8961" width="5.140625" style="663" customWidth="1"/>
    <col min="8962" max="8962" width="22.85546875" style="663" customWidth="1"/>
    <col min="8963" max="8963" width="18.85546875" style="663" customWidth="1"/>
    <col min="8964" max="8964" width="18.42578125" style="663" customWidth="1"/>
    <col min="8965" max="8965" width="18.5703125" style="663" customWidth="1"/>
    <col min="8966" max="8966" width="14.28515625" style="663" customWidth="1"/>
    <col min="8967" max="8968" width="8.85546875" style="663" customWidth="1"/>
    <col min="8969" max="8969" width="15.42578125" style="663" customWidth="1"/>
    <col min="8970" max="8970" width="9.140625" style="663"/>
    <col min="8971" max="8971" width="9.7109375" style="663" customWidth="1"/>
    <col min="8972" max="8972" width="12.5703125" style="663" customWidth="1"/>
    <col min="8973" max="8973" width="15.42578125" style="663" customWidth="1"/>
    <col min="8974" max="8975" width="12" style="663" customWidth="1"/>
    <col min="8976" max="8976" width="24.42578125" style="663" customWidth="1"/>
    <col min="8977" max="9216" width="9.140625" style="663"/>
    <col min="9217" max="9217" width="5.140625" style="663" customWidth="1"/>
    <col min="9218" max="9218" width="22.85546875" style="663" customWidth="1"/>
    <col min="9219" max="9219" width="18.85546875" style="663" customWidth="1"/>
    <col min="9220" max="9220" width="18.42578125" style="663" customWidth="1"/>
    <col min="9221" max="9221" width="18.5703125" style="663" customWidth="1"/>
    <col min="9222" max="9222" width="14.28515625" style="663" customWidth="1"/>
    <col min="9223" max="9224" width="8.85546875" style="663" customWidth="1"/>
    <col min="9225" max="9225" width="15.42578125" style="663" customWidth="1"/>
    <col min="9226" max="9226" width="9.140625" style="663"/>
    <col min="9227" max="9227" width="9.7109375" style="663" customWidth="1"/>
    <col min="9228" max="9228" width="12.5703125" style="663" customWidth="1"/>
    <col min="9229" max="9229" width="15.42578125" style="663" customWidth="1"/>
    <col min="9230" max="9231" width="12" style="663" customWidth="1"/>
    <col min="9232" max="9232" width="24.42578125" style="663" customWidth="1"/>
    <col min="9233" max="9472" width="9.140625" style="663"/>
    <col min="9473" max="9473" width="5.140625" style="663" customWidth="1"/>
    <col min="9474" max="9474" width="22.85546875" style="663" customWidth="1"/>
    <col min="9475" max="9475" width="18.85546875" style="663" customWidth="1"/>
    <col min="9476" max="9476" width="18.42578125" style="663" customWidth="1"/>
    <col min="9477" max="9477" width="18.5703125" style="663" customWidth="1"/>
    <col min="9478" max="9478" width="14.28515625" style="663" customWidth="1"/>
    <col min="9479" max="9480" width="8.85546875" style="663" customWidth="1"/>
    <col min="9481" max="9481" width="15.42578125" style="663" customWidth="1"/>
    <col min="9482" max="9482" width="9.140625" style="663"/>
    <col min="9483" max="9483" width="9.7109375" style="663" customWidth="1"/>
    <col min="9484" max="9484" width="12.5703125" style="663" customWidth="1"/>
    <col min="9485" max="9485" width="15.42578125" style="663" customWidth="1"/>
    <col min="9486" max="9487" width="12" style="663" customWidth="1"/>
    <col min="9488" max="9488" width="24.42578125" style="663" customWidth="1"/>
    <col min="9489" max="9728" width="9.140625" style="663"/>
    <col min="9729" max="9729" width="5.140625" style="663" customWidth="1"/>
    <col min="9730" max="9730" width="22.85546875" style="663" customWidth="1"/>
    <col min="9731" max="9731" width="18.85546875" style="663" customWidth="1"/>
    <col min="9732" max="9732" width="18.42578125" style="663" customWidth="1"/>
    <col min="9733" max="9733" width="18.5703125" style="663" customWidth="1"/>
    <col min="9734" max="9734" width="14.28515625" style="663" customWidth="1"/>
    <col min="9735" max="9736" width="8.85546875" style="663" customWidth="1"/>
    <col min="9737" max="9737" width="15.42578125" style="663" customWidth="1"/>
    <col min="9738" max="9738" width="9.140625" style="663"/>
    <col min="9739" max="9739" width="9.7109375" style="663" customWidth="1"/>
    <col min="9740" max="9740" width="12.5703125" style="663" customWidth="1"/>
    <col min="9741" max="9741" width="15.42578125" style="663" customWidth="1"/>
    <col min="9742" max="9743" width="12" style="663" customWidth="1"/>
    <col min="9744" max="9744" width="24.42578125" style="663" customWidth="1"/>
    <col min="9745" max="9984" width="9.140625" style="663"/>
    <col min="9985" max="9985" width="5.140625" style="663" customWidth="1"/>
    <col min="9986" max="9986" width="22.85546875" style="663" customWidth="1"/>
    <col min="9987" max="9987" width="18.85546875" style="663" customWidth="1"/>
    <col min="9988" max="9988" width="18.42578125" style="663" customWidth="1"/>
    <col min="9989" max="9989" width="18.5703125" style="663" customWidth="1"/>
    <col min="9990" max="9990" width="14.28515625" style="663" customWidth="1"/>
    <col min="9991" max="9992" width="8.85546875" style="663" customWidth="1"/>
    <col min="9993" max="9993" width="15.42578125" style="663" customWidth="1"/>
    <col min="9994" max="9994" width="9.140625" style="663"/>
    <col min="9995" max="9995" width="9.7109375" style="663" customWidth="1"/>
    <col min="9996" max="9996" width="12.5703125" style="663" customWidth="1"/>
    <col min="9997" max="9997" width="15.42578125" style="663" customWidth="1"/>
    <col min="9998" max="9999" width="12" style="663" customWidth="1"/>
    <col min="10000" max="10000" width="24.42578125" style="663" customWidth="1"/>
    <col min="10001" max="10240" width="9.140625" style="663"/>
    <col min="10241" max="10241" width="5.140625" style="663" customWidth="1"/>
    <col min="10242" max="10242" width="22.85546875" style="663" customWidth="1"/>
    <col min="10243" max="10243" width="18.85546875" style="663" customWidth="1"/>
    <col min="10244" max="10244" width="18.42578125" style="663" customWidth="1"/>
    <col min="10245" max="10245" width="18.5703125" style="663" customWidth="1"/>
    <col min="10246" max="10246" width="14.28515625" style="663" customWidth="1"/>
    <col min="10247" max="10248" width="8.85546875" style="663" customWidth="1"/>
    <col min="10249" max="10249" width="15.42578125" style="663" customWidth="1"/>
    <col min="10250" max="10250" width="9.140625" style="663"/>
    <col min="10251" max="10251" width="9.7109375" style="663" customWidth="1"/>
    <col min="10252" max="10252" width="12.5703125" style="663" customWidth="1"/>
    <col min="10253" max="10253" width="15.42578125" style="663" customWidth="1"/>
    <col min="10254" max="10255" width="12" style="663" customWidth="1"/>
    <col min="10256" max="10256" width="24.42578125" style="663" customWidth="1"/>
    <col min="10257" max="10496" width="9.140625" style="663"/>
    <col min="10497" max="10497" width="5.140625" style="663" customWidth="1"/>
    <col min="10498" max="10498" width="22.85546875" style="663" customWidth="1"/>
    <col min="10499" max="10499" width="18.85546875" style="663" customWidth="1"/>
    <col min="10500" max="10500" width="18.42578125" style="663" customWidth="1"/>
    <col min="10501" max="10501" width="18.5703125" style="663" customWidth="1"/>
    <col min="10502" max="10502" width="14.28515625" style="663" customWidth="1"/>
    <col min="10503" max="10504" width="8.85546875" style="663" customWidth="1"/>
    <col min="10505" max="10505" width="15.42578125" style="663" customWidth="1"/>
    <col min="10506" max="10506" width="9.140625" style="663"/>
    <col min="10507" max="10507" width="9.7109375" style="663" customWidth="1"/>
    <col min="10508" max="10508" width="12.5703125" style="663" customWidth="1"/>
    <col min="10509" max="10509" width="15.42578125" style="663" customWidth="1"/>
    <col min="10510" max="10511" width="12" style="663" customWidth="1"/>
    <col min="10512" max="10512" width="24.42578125" style="663" customWidth="1"/>
    <col min="10513" max="10752" width="9.140625" style="663"/>
    <col min="10753" max="10753" width="5.140625" style="663" customWidth="1"/>
    <col min="10754" max="10754" width="22.85546875" style="663" customWidth="1"/>
    <col min="10755" max="10755" width="18.85546875" style="663" customWidth="1"/>
    <col min="10756" max="10756" width="18.42578125" style="663" customWidth="1"/>
    <col min="10757" max="10757" width="18.5703125" style="663" customWidth="1"/>
    <col min="10758" max="10758" width="14.28515625" style="663" customWidth="1"/>
    <col min="10759" max="10760" width="8.85546875" style="663" customWidth="1"/>
    <col min="10761" max="10761" width="15.42578125" style="663" customWidth="1"/>
    <col min="10762" max="10762" width="9.140625" style="663"/>
    <col min="10763" max="10763" width="9.7109375" style="663" customWidth="1"/>
    <col min="10764" max="10764" width="12.5703125" style="663" customWidth="1"/>
    <col min="10765" max="10765" width="15.42578125" style="663" customWidth="1"/>
    <col min="10766" max="10767" width="12" style="663" customWidth="1"/>
    <col min="10768" max="10768" width="24.42578125" style="663" customWidth="1"/>
    <col min="10769" max="11008" width="9.140625" style="663"/>
    <col min="11009" max="11009" width="5.140625" style="663" customWidth="1"/>
    <col min="11010" max="11010" width="22.85546875" style="663" customWidth="1"/>
    <col min="11011" max="11011" width="18.85546875" style="663" customWidth="1"/>
    <col min="11012" max="11012" width="18.42578125" style="663" customWidth="1"/>
    <col min="11013" max="11013" width="18.5703125" style="663" customWidth="1"/>
    <col min="11014" max="11014" width="14.28515625" style="663" customWidth="1"/>
    <col min="11015" max="11016" width="8.85546875" style="663" customWidth="1"/>
    <col min="11017" max="11017" width="15.42578125" style="663" customWidth="1"/>
    <col min="11018" max="11018" width="9.140625" style="663"/>
    <col min="11019" max="11019" width="9.7109375" style="663" customWidth="1"/>
    <col min="11020" max="11020" width="12.5703125" style="663" customWidth="1"/>
    <col min="11021" max="11021" width="15.42578125" style="663" customWidth="1"/>
    <col min="11022" max="11023" width="12" style="663" customWidth="1"/>
    <col min="11024" max="11024" width="24.42578125" style="663" customWidth="1"/>
    <col min="11025" max="11264" width="9.140625" style="663"/>
    <col min="11265" max="11265" width="5.140625" style="663" customWidth="1"/>
    <col min="11266" max="11266" width="22.85546875" style="663" customWidth="1"/>
    <col min="11267" max="11267" width="18.85546875" style="663" customWidth="1"/>
    <col min="11268" max="11268" width="18.42578125" style="663" customWidth="1"/>
    <col min="11269" max="11269" width="18.5703125" style="663" customWidth="1"/>
    <col min="11270" max="11270" width="14.28515625" style="663" customWidth="1"/>
    <col min="11271" max="11272" width="8.85546875" style="663" customWidth="1"/>
    <col min="11273" max="11273" width="15.42578125" style="663" customWidth="1"/>
    <col min="11274" max="11274" width="9.140625" style="663"/>
    <col min="11275" max="11275" width="9.7109375" style="663" customWidth="1"/>
    <col min="11276" max="11276" width="12.5703125" style="663" customWidth="1"/>
    <col min="11277" max="11277" width="15.42578125" style="663" customWidth="1"/>
    <col min="11278" max="11279" width="12" style="663" customWidth="1"/>
    <col min="11280" max="11280" width="24.42578125" style="663" customWidth="1"/>
    <col min="11281" max="11520" width="9.140625" style="663"/>
    <col min="11521" max="11521" width="5.140625" style="663" customWidth="1"/>
    <col min="11522" max="11522" width="22.85546875" style="663" customWidth="1"/>
    <col min="11523" max="11523" width="18.85546875" style="663" customWidth="1"/>
    <col min="11524" max="11524" width="18.42578125" style="663" customWidth="1"/>
    <col min="11525" max="11525" width="18.5703125" style="663" customWidth="1"/>
    <col min="11526" max="11526" width="14.28515625" style="663" customWidth="1"/>
    <col min="11527" max="11528" width="8.85546875" style="663" customWidth="1"/>
    <col min="11529" max="11529" width="15.42578125" style="663" customWidth="1"/>
    <col min="11530" max="11530" width="9.140625" style="663"/>
    <col min="11531" max="11531" width="9.7109375" style="663" customWidth="1"/>
    <col min="11532" max="11532" width="12.5703125" style="663" customWidth="1"/>
    <col min="11533" max="11533" width="15.42578125" style="663" customWidth="1"/>
    <col min="11534" max="11535" width="12" style="663" customWidth="1"/>
    <col min="11536" max="11536" width="24.42578125" style="663" customWidth="1"/>
    <col min="11537" max="11776" width="9.140625" style="663"/>
    <col min="11777" max="11777" width="5.140625" style="663" customWidth="1"/>
    <col min="11778" max="11778" width="22.85546875" style="663" customWidth="1"/>
    <col min="11779" max="11779" width="18.85546875" style="663" customWidth="1"/>
    <col min="11780" max="11780" width="18.42578125" style="663" customWidth="1"/>
    <col min="11781" max="11781" width="18.5703125" style="663" customWidth="1"/>
    <col min="11782" max="11782" width="14.28515625" style="663" customWidth="1"/>
    <col min="11783" max="11784" width="8.85546875" style="663" customWidth="1"/>
    <col min="11785" max="11785" width="15.42578125" style="663" customWidth="1"/>
    <col min="11786" max="11786" width="9.140625" style="663"/>
    <col min="11787" max="11787" width="9.7109375" style="663" customWidth="1"/>
    <col min="11788" max="11788" width="12.5703125" style="663" customWidth="1"/>
    <col min="11789" max="11789" width="15.42578125" style="663" customWidth="1"/>
    <col min="11790" max="11791" width="12" style="663" customWidth="1"/>
    <col min="11792" max="11792" width="24.42578125" style="663" customWidth="1"/>
    <col min="11793" max="12032" width="9.140625" style="663"/>
    <col min="12033" max="12033" width="5.140625" style="663" customWidth="1"/>
    <col min="12034" max="12034" width="22.85546875" style="663" customWidth="1"/>
    <col min="12035" max="12035" width="18.85546875" style="663" customWidth="1"/>
    <col min="12036" max="12036" width="18.42578125" style="663" customWidth="1"/>
    <col min="12037" max="12037" width="18.5703125" style="663" customWidth="1"/>
    <col min="12038" max="12038" width="14.28515625" style="663" customWidth="1"/>
    <col min="12039" max="12040" width="8.85546875" style="663" customWidth="1"/>
    <col min="12041" max="12041" width="15.42578125" style="663" customWidth="1"/>
    <col min="12042" max="12042" width="9.140625" style="663"/>
    <col min="12043" max="12043" width="9.7109375" style="663" customWidth="1"/>
    <col min="12044" max="12044" width="12.5703125" style="663" customWidth="1"/>
    <col min="12045" max="12045" width="15.42578125" style="663" customWidth="1"/>
    <col min="12046" max="12047" width="12" style="663" customWidth="1"/>
    <col min="12048" max="12048" width="24.42578125" style="663" customWidth="1"/>
    <col min="12049" max="12288" width="9.140625" style="663"/>
    <col min="12289" max="12289" width="5.140625" style="663" customWidth="1"/>
    <col min="12290" max="12290" width="22.85546875" style="663" customWidth="1"/>
    <col min="12291" max="12291" width="18.85546875" style="663" customWidth="1"/>
    <col min="12292" max="12292" width="18.42578125" style="663" customWidth="1"/>
    <col min="12293" max="12293" width="18.5703125" style="663" customWidth="1"/>
    <col min="12294" max="12294" width="14.28515625" style="663" customWidth="1"/>
    <col min="12295" max="12296" width="8.85546875" style="663" customWidth="1"/>
    <col min="12297" max="12297" width="15.42578125" style="663" customWidth="1"/>
    <col min="12298" max="12298" width="9.140625" style="663"/>
    <col min="12299" max="12299" width="9.7109375" style="663" customWidth="1"/>
    <col min="12300" max="12300" width="12.5703125" style="663" customWidth="1"/>
    <col min="12301" max="12301" width="15.42578125" style="663" customWidth="1"/>
    <col min="12302" max="12303" width="12" style="663" customWidth="1"/>
    <col min="12304" max="12304" width="24.42578125" style="663" customWidth="1"/>
    <col min="12305" max="12544" width="9.140625" style="663"/>
    <col min="12545" max="12545" width="5.140625" style="663" customWidth="1"/>
    <col min="12546" max="12546" width="22.85546875" style="663" customWidth="1"/>
    <col min="12547" max="12547" width="18.85546875" style="663" customWidth="1"/>
    <col min="12548" max="12548" width="18.42578125" style="663" customWidth="1"/>
    <col min="12549" max="12549" width="18.5703125" style="663" customWidth="1"/>
    <col min="12550" max="12550" width="14.28515625" style="663" customWidth="1"/>
    <col min="12551" max="12552" width="8.85546875" style="663" customWidth="1"/>
    <col min="12553" max="12553" width="15.42578125" style="663" customWidth="1"/>
    <col min="12554" max="12554" width="9.140625" style="663"/>
    <col min="12555" max="12555" width="9.7109375" style="663" customWidth="1"/>
    <col min="12556" max="12556" width="12.5703125" style="663" customWidth="1"/>
    <col min="12557" max="12557" width="15.42578125" style="663" customWidth="1"/>
    <col min="12558" max="12559" width="12" style="663" customWidth="1"/>
    <col min="12560" max="12560" width="24.42578125" style="663" customWidth="1"/>
    <col min="12561" max="12800" width="9.140625" style="663"/>
    <col min="12801" max="12801" width="5.140625" style="663" customWidth="1"/>
    <col min="12802" max="12802" width="22.85546875" style="663" customWidth="1"/>
    <col min="12803" max="12803" width="18.85546875" style="663" customWidth="1"/>
    <col min="12804" max="12804" width="18.42578125" style="663" customWidth="1"/>
    <col min="12805" max="12805" width="18.5703125" style="663" customWidth="1"/>
    <col min="12806" max="12806" width="14.28515625" style="663" customWidth="1"/>
    <col min="12807" max="12808" width="8.85546875" style="663" customWidth="1"/>
    <col min="12809" max="12809" width="15.42578125" style="663" customWidth="1"/>
    <col min="12810" max="12810" width="9.140625" style="663"/>
    <col min="12811" max="12811" width="9.7109375" style="663" customWidth="1"/>
    <col min="12812" max="12812" width="12.5703125" style="663" customWidth="1"/>
    <col min="12813" max="12813" width="15.42578125" style="663" customWidth="1"/>
    <col min="12814" max="12815" width="12" style="663" customWidth="1"/>
    <col min="12816" max="12816" width="24.42578125" style="663" customWidth="1"/>
    <col min="12817" max="13056" width="9.140625" style="663"/>
    <col min="13057" max="13057" width="5.140625" style="663" customWidth="1"/>
    <col min="13058" max="13058" width="22.85546875" style="663" customWidth="1"/>
    <col min="13059" max="13059" width="18.85546875" style="663" customWidth="1"/>
    <col min="13060" max="13060" width="18.42578125" style="663" customWidth="1"/>
    <col min="13061" max="13061" width="18.5703125" style="663" customWidth="1"/>
    <col min="13062" max="13062" width="14.28515625" style="663" customWidth="1"/>
    <col min="13063" max="13064" width="8.85546875" style="663" customWidth="1"/>
    <col min="13065" max="13065" width="15.42578125" style="663" customWidth="1"/>
    <col min="13066" max="13066" width="9.140625" style="663"/>
    <col min="13067" max="13067" width="9.7109375" style="663" customWidth="1"/>
    <col min="13068" max="13068" width="12.5703125" style="663" customWidth="1"/>
    <col min="13069" max="13069" width="15.42578125" style="663" customWidth="1"/>
    <col min="13070" max="13071" width="12" style="663" customWidth="1"/>
    <col min="13072" max="13072" width="24.42578125" style="663" customWidth="1"/>
    <col min="13073" max="13312" width="9.140625" style="663"/>
    <col min="13313" max="13313" width="5.140625" style="663" customWidth="1"/>
    <col min="13314" max="13314" width="22.85546875" style="663" customWidth="1"/>
    <col min="13315" max="13315" width="18.85546875" style="663" customWidth="1"/>
    <col min="13316" max="13316" width="18.42578125" style="663" customWidth="1"/>
    <col min="13317" max="13317" width="18.5703125" style="663" customWidth="1"/>
    <col min="13318" max="13318" width="14.28515625" style="663" customWidth="1"/>
    <col min="13319" max="13320" width="8.85546875" style="663" customWidth="1"/>
    <col min="13321" max="13321" width="15.42578125" style="663" customWidth="1"/>
    <col min="13322" max="13322" width="9.140625" style="663"/>
    <col min="13323" max="13323" width="9.7109375" style="663" customWidth="1"/>
    <col min="13324" max="13324" width="12.5703125" style="663" customWidth="1"/>
    <col min="13325" max="13325" width="15.42578125" style="663" customWidth="1"/>
    <col min="13326" max="13327" width="12" style="663" customWidth="1"/>
    <col min="13328" max="13328" width="24.42578125" style="663" customWidth="1"/>
    <col min="13329" max="13568" width="9.140625" style="663"/>
    <col min="13569" max="13569" width="5.140625" style="663" customWidth="1"/>
    <col min="13570" max="13570" width="22.85546875" style="663" customWidth="1"/>
    <col min="13571" max="13571" width="18.85546875" style="663" customWidth="1"/>
    <col min="13572" max="13572" width="18.42578125" style="663" customWidth="1"/>
    <col min="13573" max="13573" width="18.5703125" style="663" customWidth="1"/>
    <col min="13574" max="13574" width="14.28515625" style="663" customWidth="1"/>
    <col min="13575" max="13576" width="8.85546875" style="663" customWidth="1"/>
    <col min="13577" max="13577" width="15.42578125" style="663" customWidth="1"/>
    <col min="13578" max="13578" width="9.140625" style="663"/>
    <col min="13579" max="13579" width="9.7109375" style="663" customWidth="1"/>
    <col min="13580" max="13580" width="12.5703125" style="663" customWidth="1"/>
    <col min="13581" max="13581" width="15.42578125" style="663" customWidth="1"/>
    <col min="13582" max="13583" width="12" style="663" customWidth="1"/>
    <col min="13584" max="13584" width="24.42578125" style="663" customWidth="1"/>
    <col min="13585" max="13824" width="9.140625" style="663"/>
    <col min="13825" max="13825" width="5.140625" style="663" customWidth="1"/>
    <col min="13826" max="13826" width="22.85546875" style="663" customWidth="1"/>
    <col min="13827" max="13827" width="18.85546875" style="663" customWidth="1"/>
    <col min="13828" max="13828" width="18.42578125" style="663" customWidth="1"/>
    <col min="13829" max="13829" width="18.5703125" style="663" customWidth="1"/>
    <col min="13830" max="13830" width="14.28515625" style="663" customWidth="1"/>
    <col min="13831" max="13832" width="8.85546875" style="663" customWidth="1"/>
    <col min="13833" max="13833" width="15.42578125" style="663" customWidth="1"/>
    <col min="13834" max="13834" width="9.140625" style="663"/>
    <col min="13835" max="13835" width="9.7109375" style="663" customWidth="1"/>
    <col min="13836" max="13836" width="12.5703125" style="663" customWidth="1"/>
    <col min="13837" max="13837" width="15.42578125" style="663" customWidth="1"/>
    <col min="13838" max="13839" width="12" style="663" customWidth="1"/>
    <col min="13840" max="13840" width="24.42578125" style="663" customWidth="1"/>
    <col min="13841" max="14080" width="9.140625" style="663"/>
    <col min="14081" max="14081" width="5.140625" style="663" customWidth="1"/>
    <col min="14082" max="14082" width="22.85546875" style="663" customWidth="1"/>
    <col min="14083" max="14083" width="18.85546875" style="663" customWidth="1"/>
    <col min="14084" max="14084" width="18.42578125" style="663" customWidth="1"/>
    <col min="14085" max="14085" width="18.5703125" style="663" customWidth="1"/>
    <col min="14086" max="14086" width="14.28515625" style="663" customWidth="1"/>
    <col min="14087" max="14088" width="8.85546875" style="663" customWidth="1"/>
    <col min="14089" max="14089" width="15.42578125" style="663" customWidth="1"/>
    <col min="14090" max="14090" width="9.140625" style="663"/>
    <col min="14091" max="14091" width="9.7109375" style="663" customWidth="1"/>
    <col min="14092" max="14092" width="12.5703125" style="663" customWidth="1"/>
    <col min="14093" max="14093" width="15.42578125" style="663" customWidth="1"/>
    <col min="14094" max="14095" width="12" style="663" customWidth="1"/>
    <col min="14096" max="14096" width="24.42578125" style="663" customWidth="1"/>
    <col min="14097" max="14336" width="9.140625" style="663"/>
    <col min="14337" max="14337" width="5.140625" style="663" customWidth="1"/>
    <col min="14338" max="14338" width="22.85546875" style="663" customWidth="1"/>
    <col min="14339" max="14339" width="18.85546875" style="663" customWidth="1"/>
    <col min="14340" max="14340" width="18.42578125" style="663" customWidth="1"/>
    <col min="14341" max="14341" width="18.5703125" style="663" customWidth="1"/>
    <col min="14342" max="14342" width="14.28515625" style="663" customWidth="1"/>
    <col min="14343" max="14344" width="8.85546875" style="663" customWidth="1"/>
    <col min="14345" max="14345" width="15.42578125" style="663" customWidth="1"/>
    <col min="14346" max="14346" width="9.140625" style="663"/>
    <col min="14347" max="14347" width="9.7109375" style="663" customWidth="1"/>
    <col min="14348" max="14348" width="12.5703125" style="663" customWidth="1"/>
    <col min="14349" max="14349" width="15.42578125" style="663" customWidth="1"/>
    <col min="14350" max="14351" width="12" style="663" customWidth="1"/>
    <col min="14352" max="14352" width="24.42578125" style="663" customWidth="1"/>
    <col min="14353" max="14592" width="9.140625" style="663"/>
    <col min="14593" max="14593" width="5.140625" style="663" customWidth="1"/>
    <col min="14594" max="14594" width="22.85546875" style="663" customWidth="1"/>
    <col min="14595" max="14595" width="18.85546875" style="663" customWidth="1"/>
    <col min="14596" max="14596" width="18.42578125" style="663" customWidth="1"/>
    <col min="14597" max="14597" width="18.5703125" style="663" customWidth="1"/>
    <col min="14598" max="14598" width="14.28515625" style="663" customWidth="1"/>
    <col min="14599" max="14600" width="8.85546875" style="663" customWidth="1"/>
    <col min="14601" max="14601" width="15.42578125" style="663" customWidth="1"/>
    <col min="14602" max="14602" width="9.140625" style="663"/>
    <col min="14603" max="14603" width="9.7109375" style="663" customWidth="1"/>
    <col min="14604" max="14604" width="12.5703125" style="663" customWidth="1"/>
    <col min="14605" max="14605" width="15.42578125" style="663" customWidth="1"/>
    <col min="14606" max="14607" width="12" style="663" customWidth="1"/>
    <col min="14608" max="14608" width="24.42578125" style="663" customWidth="1"/>
    <col min="14609" max="14848" width="9.140625" style="663"/>
    <col min="14849" max="14849" width="5.140625" style="663" customWidth="1"/>
    <col min="14850" max="14850" width="22.85546875" style="663" customWidth="1"/>
    <col min="14851" max="14851" width="18.85546875" style="663" customWidth="1"/>
    <col min="14852" max="14852" width="18.42578125" style="663" customWidth="1"/>
    <col min="14853" max="14853" width="18.5703125" style="663" customWidth="1"/>
    <col min="14854" max="14854" width="14.28515625" style="663" customWidth="1"/>
    <col min="14855" max="14856" width="8.85546875" style="663" customWidth="1"/>
    <col min="14857" max="14857" width="15.42578125" style="663" customWidth="1"/>
    <col min="14858" max="14858" width="9.140625" style="663"/>
    <col min="14859" max="14859" width="9.7109375" style="663" customWidth="1"/>
    <col min="14860" max="14860" width="12.5703125" style="663" customWidth="1"/>
    <col min="14861" max="14861" width="15.42578125" style="663" customWidth="1"/>
    <col min="14862" max="14863" width="12" style="663" customWidth="1"/>
    <col min="14864" max="14864" width="24.42578125" style="663" customWidth="1"/>
    <col min="14865" max="15104" width="9.140625" style="663"/>
    <col min="15105" max="15105" width="5.140625" style="663" customWidth="1"/>
    <col min="15106" max="15106" width="22.85546875" style="663" customWidth="1"/>
    <col min="15107" max="15107" width="18.85546875" style="663" customWidth="1"/>
    <col min="15108" max="15108" width="18.42578125" style="663" customWidth="1"/>
    <col min="15109" max="15109" width="18.5703125" style="663" customWidth="1"/>
    <col min="15110" max="15110" width="14.28515625" style="663" customWidth="1"/>
    <col min="15111" max="15112" width="8.85546875" style="663" customWidth="1"/>
    <col min="15113" max="15113" width="15.42578125" style="663" customWidth="1"/>
    <col min="15114" max="15114" width="9.140625" style="663"/>
    <col min="15115" max="15115" width="9.7109375" style="663" customWidth="1"/>
    <col min="15116" max="15116" width="12.5703125" style="663" customWidth="1"/>
    <col min="15117" max="15117" width="15.42578125" style="663" customWidth="1"/>
    <col min="15118" max="15119" width="12" style="663" customWidth="1"/>
    <col min="15120" max="15120" width="24.42578125" style="663" customWidth="1"/>
    <col min="15121" max="15360" width="9.140625" style="663"/>
    <col min="15361" max="15361" width="5.140625" style="663" customWidth="1"/>
    <col min="15362" max="15362" width="22.85546875" style="663" customWidth="1"/>
    <col min="15363" max="15363" width="18.85546875" style="663" customWidth="1"/>
    <col min="15364" max="15364" width="18.42578125" style="663" customWidth="1"/>
    <col min="15365" max="15365" width="18.5703125" style="663" customWidth="1"/>
    <col min="15366" max="15366" width="14.28515625" style="663" customWidth="1"/>
    <col min="15367" max="15368" width="8.85546875" style="663" customWidth="1"/>
    <col min="15369" max="15369" width="15.42578125" style="663" customWidth="1"/>
    <col min="15370" max="15370" width="9.140625" style="663"/>
    <col min="15371" max="15371" width="9.7109375" style="663" customWidth="1"/>
    <col min="15372" max="15372" width="12.5703125" style="663" customWidth="1"/>
    <col min="15373" max="15373" width="15.42578125" style="663" customWidth="1"/>
    <col min="15374" max="15375" width="12" style="663" customWidth="1"/>
    <col min="15376" max="15376" width="24.42578125" style="663" customWidth="1"/>
    <col min="15377" max="15616" width="9.140625" style="663"/>
    <col min="15617" max="15617" width="5.140625" style="663" customWidth="1"/>
    <col min="15618" max="15618" width="22.85546875" style="663" customWidth="1"/>
    <col min="15619" max="15619" width="18.85546875" style="663" customWidth="1"/>
    <col min="15620" max="15620" width="18.42578125" style="663" customWidth="1"/>
    <col min="15621" max="15621" width="18.5703125" style="663" customWidth="1"/>
    <col min="15622" max="15622" width="14.28515625" style="663" customWidth="1"/>
    <col min="15623" max="15624" width="8.85546875" style="663" customWidth="1"/>
    <col min="15625" max="15625" width="15.42578125" style="663" customWidth="1"/>
    <col min="15626" max="15626" width="9.140625" style="663"/>
    <col min="15627" max="15627" width="9.7109375" style="663" customWidth="1"/>
    <col min="15628" max="15628" width="12.5703125" style="663" customWidth="1"/>
    <col min="15629" max="15629" width="15.42578125" style="663" customWidth="1"/>
    <col min="15630" max="15631" width="12" style="663" customWidth="1"/>
    <col min="15632" max="15632" width="24.42578125" style="663" customWidth="1"/>
    <col min="15633" max="15872" width="9.140625" style="663"/>
    <col min="15873" max="15873" width="5.140625" style="663" customWidth="1"/>
    <col min="15874" max="15874" width="22.85546875" style="663" customWidth="1"/>
    <col min="15875" max="15875" width="18.85546875" style="663" customWidth="1"/>
    <col min="15876" max="15876" width="18.42578125" style="663" customWidth="1"/>
    <col min="15877" max="15877" width="18.5703125" style="663" customWidth="1"/>
    <col min="15878" max="15878" width="14.28515625" style="663" customWidth="1"/>
    <col min="15879" max="15880" width="8.85546875" style="663" customWidth="1"/>
    <col min="15881" max="15881" width="15.42578125" style="663" customWidth="1"/>
    <col min="15882" max="15882" width="9.140625" style="663"/>
    <col min="15883" max="15883" width="9.7109375" style="663" customWidth="1"/>
    <col min="15884" max="15884" width="12.5703125" style="663" customWidth="1"/>
    <col min="15885" max="15885" width="15.42578125" style="663" customWidth="1"/>
    <col min="15886" max="15887" width="12" style="663" customWidth="1"/>
    <col min="15888" max="15888" width="24.42578125" style="663" customWidth="1"/>
    <col min="15889" max="16128" width="9.140625" style="663"/>
    <col min="16129" max="16129" width="5.140625" style="663" customWidth="1"/>
    <col min="16130" max="16130" width="22.85546875" style="663" customWidth="1"/>
    <col min="16131" max="16131" width="18.85546875" style="663" customWidth="1"/>
    <col min="16132" max="16132" width="18.42578125" style="663" customWidth="1"/>
    <col min="16133" max="16133" width="18.5703125" style="663" customWidth="1"/>
    <col min="16134" max="16134" width="14.28515625" style="663" customWidth="1"/>
    <col min="16135" max="16136" width="8.85546875" style="663" customWidth="1"/>
    <col min="16137" max="16137" width="15.42578125" style="663" customWidth="1"/>
    <col min="16138" max="16138" width="9.140625" style="663"/>
    <col min="16139" max="16139" width="9.7109375" style="663" customWidth="1"/>
    <col min="16140" max="16140" width="12.5703125" style="663" customWidth="1"/>
    <col min="16141" max="16141" width="15.42578125" style="663" customWidth="1"/>
    <col min="16142" max="16143" width="12" style="663" customWidth="1"/>
    <col min="16144" max="16144" width="24.42578125" style="663" customWidth="1"/>
    <col min="16145" max="16384" width="9.140625" style="663"/>
  </cols>
  <sheetData>
    <row r="1" spans="1:16" ht="15">
      <c r="A1" s="664" t="s">
        <v>697</v>
      </c>
      <c r="P1" s="358" t="s">
        <v>696</v>
      </c>
    </row>
    <row r="2" spans="1:16" ht="15">
      <c r="D2" s="664"/>
    </row>
    <row r="3" spans="1:16" ht="15">
      <c r="A3" s="681" t="s">
        <v>675</v>
      </c>
      <c r="D3" s="664"/>
    </row>
    <row r="4" spans="1:16" ht="15">
      <c r="F4" s="681"/>
      <c r="G4" s="681"/>
      <c r="H4" s="681"/>
      <c r="I4" s="681"/>
      <c r="J4" s="681"/>
      <c r="K4" s="681"/>
      <c r="L4" s="681"/>
      <c r="M4" s="681"/>
      <c r="N4" s="681"/>
    </row>
    <row r="6" spans="1:16" ht="17.25" customHeight="1">
      <c r="A6" s="711" t="s">
        <v>676</v>
      </c>
      <c r="B6" s="711" t="s">
        <v>677</v>
      </c>
      <c r="C6" s="711" t="s">
        <v>678</v>
      </c>
      <c r="D6" s="711" t="s">
        <v>679</v>
      </c>
      <c r="E6" s="711" t="s">
        <v>680</v>
      </c>
      <c r="F6" s="711" t="s">
        <v>681</v>
      </c>
      <c r="G6" s="713" t="s">
        <v>682</v>
      </c>
      <c r="H6" s="714"/>
      <c r="I6" s="711" t="s">
        <v>683</v>
      </c>
      <c r="J6" s="715" t="s">
        <v>684</v>
      </c>
      <c r="K6" s="716"/>
      <c r="L6" s="711" t="s">
        <v>685</v>
      </c>
      <c r="M6" s="711" t="s">
        <v>686</v>
      </c>
      <c r="N6" s="713" t="s">
        <v>687</v>
      </c>
      <c r="O6" s="714"/>
      <c r="P6" s="711" t="s">
        <v>386</v>
      </c>
    </row>
    <row r="7" spans="1:16" ht="25.5">
      <c r="A7" s="712"/>
      <c r="B7" s="712"/>
      <c r="C7" s="712"/>
      <c r="D7" s="712"/>
      <c r="E7" s="712"/>
      <c r="F7" s="712"/>
      <c r="G7" s="665" t="s">
        <v>688</v>
      </c>
      <c r="H7" s="665" t="s">
        <v>689</v>
      </c>
      <c r="I7" s="712"/>
      <c r="J7" s="666">
        <v>2018</v>
      </c>
      <c r="K7" s="666" t="s">
        <v>690</v>
      </c>
      <c r="L7" s="712"/>
      <c r="M7" s="712"/>
      <c r="N7" s="667" t="s">
        <v>691</v>
      </c>
      <c r="O7" s="667" t="s">
        <v>692</v>
      </c>
      <c r="P7" s="712"/>
    </row>
    <row r="8" spans="1:16">
      <c r="A8" s="668" t="s">
        <v>625</v>
      </c>
      <c r="B8" s="668"/>
      <c r="C8" s="668"/>
      <c r="D8" s="669"/>
      <c r="E8" s="668"/>
      <c r="F8" s="670"/>
      <c r="G8" s="671"/>
      <c r="H8" s="671"/>
      <c r="I8" s="670"/>
      <c r="J8" s="670"/>
      <c r="K8" s="670"/>
      <c r="L8" s="671"/>
      <c r="M8" s="672"/>
      <c r="N8" s="672"/>
      <c r="O8" s="671"/>
      <c r="P8" s="672"/>
    </row>
    <row r="9" spans="1:16">
      <c r="A9" s="668" t="s">
        <v>407</v>
      </c>
      <c r="B9" s="668"/>
      <c r="C9" s="668"/>
      <c r="D9" s="669"/>
      <c r="E9" s="668"/>
      <c r="F9" s="670"/>
      <c r="G9" s="671"/>
      <c r="H9" s="671"/>
      <c r="I9" s="670"/>
      <c r="J9" s="670"/>
      <c r="K9" s="670"/>
      <c r="L9" s="671"/>
      <c r="M9" s="672"/>
      <c r="N9" s="672"/>
      <c r="O9" s="671"/>
      <c r="P9" s="672"/>
    </row>
    <row r="10" spans="1:16">
      <c r="A10" s="668" t="s">
        <v>408</v>
      </c>
      <c r="B10" s="668"/>
      <c r="C10" s="668"/>
      <c r="D10" s="669"/>
      <c r="E10" s="668"/>
      <c r="F10" s="670"/>
      <c r="G10" s="671"/>
      <c r="H10" s="671"/>
      <c r="I10" s="670"/>
      <c r="J10" s="670"/>
      <c r="K10" s="670"/>
      <c r="L10" s="671"/>
      <c r="M10" s="672"/>
      <c r="N10" s="672"/>
      <c r="O10" s="671"/>
      <c r="P10" s="672"/>
    </row>
    <row r="11" spans="1:16">
      <c r="A11" s="668" t="s">
        <v>409</v>
      </c>
      <c r="B11" s="668"/>
      <c r="C11" s="668"/>
      <c r="D11" s="669"/>
      <c r="E11" s="668"/>
      <c r="F11" s="670"/>
      <c r="G11" s="671"/>
      <c r="H11" s="671"/>
      <c r="I11" s="670"/>
      <c r="J11" s="670"/>
      <c r="K11" s="670"/>
      <c r="L11" s="671"/>
      <c r="M11" s="672"/>
      <c r="N11" s="672"/>
      <c r="O11" s="671"/>
      <c r="P11" s="672"/>
    </row>
    <row r="12" spans="1:16">
      <c r="A12" s="668" t="s">
        <v>410</v>
      </c>
      <c r="B12" s="668"/>
      <c r="C12" s="668"/>
      <c r="D12" s="669"/>
      <c r="E12" s="668"/>
      <c r="F12" s="670"/>
      <c r="G12" s="671"/>
      <c r="H12" s="671"/>
      <c r="I12" s="670"/>
      <c r="J12" s="670"/>
      <c r="K12" s="670"/>
      <c r="L12" s="671"/>
      <c r="M12" s="672"/>
      <c r="N12" s="672"/>
      <c r="O12" s="671"/>
      <c r="P12" s="672"/>
    </row>
    <row r="13" spans="1:16">
      <c r="A13" s="668" t="s">
        <v>643</v>
      </c>
      <c r="B13" s="668"/>
      <c r="C13" s="668"/>
      <c r="D13" s="669"/>
      <c r="E13" s="668"/>
      <c r="F13" s="670"/>
      <c r="G13" s="671"/>
      <c r="H13" s="671"/>
      <c r="I13" s="670"/>
      <c r="J13" s="670"/>
      <c r="K13" s="670"/>
      <c r="L13" s="671"/>
      <c r="M13" s="672"/>
      <c r="N13" s="672"/>
      <c r="O13" s="671"/>
      <c r="P13" s="672"/>
    </row>
    <row r="14" spans="1:16">
      <c r="A14" s="668" t="s">
        <v>644</v>
      </c>
      <c r="B14" s="668"/>
      <c r="C14" s="668"/>
      <c r="D14" s="669"/>
      <c r="E14" s="668"/>
      <c r="F14" s="670"/>
      <c r="G14" s="671"/>
      <c r="H14" s="671"/>
      <c r="I14" s="670"/>
      <c r="J14" s="670"/>
      <c r="K14" s="670"/>
      <c r="L14" s="671"/>
      <c r="M14" s="672"/>
      <c r="N14" s="672"/>
      <c r="O14" s="671"/>
      <c r="P14" s="672"/>
    </row>
    <row r="15" spans="1:16">
      <c r="A15" s="668" t="s">
        <v>645</v>
      </c>
      <c r="B15" s="668"/>
      <c r="C15" s="668"/>
      <c r="D15" s="669"/>
      <c r="E15" s="668"/>
      <c r="F15" s="670"/>
      <c r="G15" s="671"/>
      <c r="H15" s="671"/>
      <c r="I15" s="670"/>
      <c r="J15" s="670"/>
      <c r="K15" s="670"/>
      <c r="L15" s="671"/>
      <c r="M15" s="672"/>
      <c r="N15" s="672"/>
      <c r="O15" s="671"/>
      <c r="P15" s="672"/>
    </row>
    <row r="16" spans="1:16">
      <c r="A16" s="668" t="s">
        <v>411</v>
      </c>
      <c r="B16" s="668"/>
      <c r="C16" s="668"/>
      <c r="D16" s="669"/>
      <c r="E16" s="668"/>
      <c r="F16" s="670"/>
      <c r="G16" s="671"/>
      <c r="H16" s="671"/>
      <c r="I16" s="670"/>
      <c r="J16" s="670"/>
      <c r="K16" s="670"/>
      <c r="L16" s="671"/>
      <c r="M16" s="672"/>
      <c r="N16" s="672"/>
      <c r="O16" s="671"/>
      <c r="P16" s="672"/>
    </row>
    <row r="17" spans="1:16">
      <c r="A17" s="668" t="s">
        <v>412</v>
      </c>
      <c r="B17" s="668"/>
      <c r="C17" s="668"/>
      <c r="D17" s="669"/>
      <c r="E17" s="668"/>
      <c r="F17" s="670"/>
      <c r="G17" s="671"/>
      <c r="H17" s="671"/>
      <c r="I17" s="670"/>
      <c r="J17" s="670"/>
      <c r="K17" s="670"/>
      <c r="L17" s="671"/>
      <c r="M17" s="672"/>
      <c r="N17" s="672"/>
      <c r="O17" s="671"/>
      <c r="P17" s="672"/>
    </row>
    <row r="18" spans="1:16">
      <c r="A18" s="668" t="s">
        <v>413</v>
      </c>
      <c r="B18" s="668"/>
      <c r="C18" s="668"/>
      <c r="D18" s="669"/>
      <c r="E18" s="668"/>
      <c r="F18" s="670"/>
      <c r="G18" s="671"/>
      <c r="H18" s="671"/>
      <c r="I18" s="670"/>
      <c r="J18" s="670"/>
      <c r="K18" s="670"/>
      <c r="L18" s="671"/>
      <c r="M18" s="672"/>
      <c r="N18" s="672"/>
      <c r="O18" s="671"/>
      <c r="P18" s="672"/>
    </row>
    <row r="19" spans="1:16">
      <c r="A19" s="668" t="s">
        <v>414</v>
      </c>
      <c r="B19" s="668"/>
      <c r="C19" s="668"/>
      <c r="D19" s="669"/>
      <c r="E19" s="668"/>
      <c r="F19" s="670"/>
      <c r="G19" s="671"/>
      <c r="H19" s="671"/>
      <c r="I19" s="670"/>
      <c r="J19" s="670"/>
      <c r="K19" s="670"/>
      <c r="L19" s="671"/>
      <c r="M19" s="672"/>
      <c r="N19" s="672"/>
      <c r="O19" s="671"/>
      <c r="P19" s="672"/>
    </row>
    <row r="20" spans="1:16">
      <c r="A20" s="668" t="s">
        <v>646</v>
      </c>
      <c r="B20" s="668"/>
      <c r="C20" s="668"/>
      <c r="D20" s="669"/>
      <c r="E20" s="668"/>
      <c r="F20" s="670"/>
      <c r="G20" s="671"/>
      <c r="H20" s="671"/>
      <c r="I20" s="670"/>
      <c r="J20" s="670"/>
      <c r="K20" s="670"/>
      <c r="L20" s="671"/>
      <c r="M20" s="672"/>
      <c r="N20" s="672"/>
      <c r="O20" s="671"/>
      <c r="P20" s="672"/>
    </row>
    <row r="21" spans="1:16">
      <c r="A21" s="668" t="s">
        <v>415</v>
      </c>
      <c r="B21" s="668"/>
      <c r="C21" s="668"/>
      <c r="D21" s="669"/>
      <c r="E21" s="668"/>
      <c r="F21" s="670"/>
      <c r="G21" s="671"/>
      <c r="H21" s="671"/>
      <c r="I21" s="670"/>
      <c r="J21" s="670"/>
      <c r="K21" s="670"/>
      <c r="L21" s="671"/>
      <c r="M21" s="672"/>
      <c r="N21" s="672"/>
      <c r="O21" s="671"/>
      <c r="P21" s="672"/>
    </row>
    <row r="22" spans="1:16">
      <c r="A22" s="668" t="s">
        <v>647</v>
      </c>
      <c r="B22" s="668"/>
      <c r="C22" s="668"/>
      <c r="D22" s="669"/>
      <c r="E22" s="668"/>
      <c r="F22" s="670"/>
      <c r="G22" s="671"/>
      <c r="H22" s="671"/>
      <c r="I22" s="670"/>
      <c r="J22" s="670"/>
      <c r="K22" s="670"/>
      <c r="L22" s="671"/>
      <c r="M22" s="672"/>
      <c r="N22" s="672"/>
      <c r="O22" s="671"/>
      <c r="P22" s="672"/>
    </row>
    <row r="23" spans="1:16">
      <c r="A23" s="668" t="s">
        <v>648</v>
      </c>
      <c r="B23" s="668"/>
      <c r="C23" s="668"/>
      <c r="D23" s="669"/>
      <c r="E23" s="668"/>
      <c r="F23" s="673"/>
      <c r="G23" s="671"/>
      <c r="H23" s="671"/>
      <c r="I23" s="670"/>
      <c r="J23" s="670"/>
      <c r="K23" s="670"/>
      <c r="L23" s="671"/>
      <c r="M23" s="672"/>
      <c r="N23" s="672"/>
      <c r="O23" s="671"/>
      <c r="P23" s="672"/>
    </row>
    <row r="24" spans="1:16" ht="15">
      <c r="A24" s="674"/>
      <c r="B24" s="674"/>
      <c r="C24" s="674"/>
      <c r="D24" s="675"/>
      <c r="E24" s="675" t="s">
        <v>114</v>
      </c>
      <c r="F24" s="676">
        <f>SUM(F8:F23)</f>
        <v>0</v>
      </c>
      <c r="G24" s="677" t="s">
        <v>394</v>
      </c>
      <c r="H24" s="677" t="s">
        <v>394</v>
      </c>
      <c r="I24" s="677" t="s">
        <v>394</v>
      </c>
      <c r="J24" s="676">
        <f>SUM(J8:J23)</f>
        <v>0</v>
      </c>
      <c r="K24" s="676">
        <f>SUM(K8:K23)</f>
        <v>0</v>
      </c>
      <c r="L24" s="677" t="s">
        <v>394</v>
      </c>
      <c r="M24" s="677" t="s">
        <v>394</v>
      </c>
      <c r="N24" s="678">
        <f>SUM(N8:N23)</f>
        <v>0</v>
      </c>
      <c r="O24" s="677" t="s">
        <v>394</v>
      </c>
      <c r="P24" s="677" t="s">
        <v>394</v>
      </c>
    </row>
    <row r="25" spans="1:16" ht="17.25">
      <c r="A25" s="679">
        <v>1</v>
      </c>
      <c r="B25" s="663" t="s">
        <v>693</v>
      </c>
    </row>
    <row r="26" spans="1:16" ht="17.25">
      <c r="A26" s="679">
        <v>2</v>
      </c>
      <c r="B26" s="663" t="s">
        <v>694</v>
      </c>
    </row>
    <row r="27" spans="1:16" ht="17.25">
      <c r="A27" s="679">
        <v>3</v>
      </c>
      <c r="B27" s="663" t="s">
        <v>695</v>
      </c>
    </row>
    <row r="28" spans="1:16" ht="17.25">
      <c r="A28" s="680"/>
    </row>
    <row r="29" spans="1:16">
      <c r="A29" s="196" t="s">
        <v>698</v>
      </c>
    </row>
  </sheetData>
  <mergeCells count="13">
    <mergeCell ref="L6:L7"/>
    <mergeCell ref="M6:M7"/>
    <mergeCell ref="N6:O6"/>
    <mergeCell ref="P6:P7"/>
    <mergeCell ref="A6:A7"/>
    <mergeCell ref="B6:B7"/>
    <mergeCell ref="C6:C7"/>
    <mergeCell ref="D6:D7"/>
    <mergeCell ref="E6:E7"/>
    <mergeCell ref="F6:F7"/>
    <mergeCell ref="G6:H6"/>
    <mergeCell ref="I6:I7"/>
    <mergeCell ref="J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K13"/>
  <sheetViews>
    <sheetView showZeros="0" zoomScaleNormal="100" workbookViewId="0">
      <selection activeCell="F24" sqref="F24"/>
    </sheetView>
  </sheetViews>
  <sheetFormatPr defaultColWidth="9.140625" defaultRowHeight="12.75"/>
  <cols>
    <col min="1" max="1" width="41.7109375" style="78" customWidth="1"/>
    <col min="2" max="2" width="12.28515625" style="78" bestFit="1" customWidth="1"/>
    <col min="3" max="3" width="11.140625" style="78" bestFit="1" customWidth="1"/>
    <col min="4" max="4" width="11.140625" style="78" hidden="1" customWidth="1"/>
    <col min="5" max="7" width="11.140625" style="78" bestFit="1" customWidth="1"/>
    <col min="8" max="8" width="12.140625" style="78" customWidth="1"/>
    <col min="9" max="9" width="10.42578125" style="78" bestFit="1" customWidth="1"/>
    <col min="10" max="10" width="8.140625" style="78" bestFit="1" customWidth="1"/>
    <col min="11" max="11" width="24.140625" style="78" customWidth="1"/>
    <col min="12" max="16384" width="9.140625" style="78"/>
  </cols>
  <sheetData>
    <row r="1" spans="1:11">
      <c r="A1" s="39" t="s">
        <v>1</v>
      </c>
      <c r="G1" s="89"/>
      <c r="J1" s="39" t="s">
        <v>514</v>
      </c>
    </row>
    <row r="2" spans="1:11" ht="12.75" customHeight="1">
      <c r="A2" s="51"/>
      <c r="G2" s="366"/>
      <c r="H2" s="367" t="s">
        <v>505</v>
      </c>
      <c r="I2" s="185"/>
      <c r="J2" s="368"/>
    </row>
    <row r="3" spans="1:11" ht="12.75" customHeight="1">
      <c r="A3" s="70"/>
      <c r="B3" s="704" t="s">
        <v>267</v>
      </c>
      <c r="C3" s="704" t="s">
        <v>666</v>
      </c>
      <c r="D3" s="704" t="s">
        <v>670</v>
      </c>
      <c r="E3" s="710" t="s">
        <v>667</v>
      </c>
      <c r="F3" s="704" t="s">
        <v>668</v>
      </c>
      <c r="G3" s="717" t="s">
        <v>513</v>
      </c>
      <c r="H3" s="706" t="s">
        <v>507</v>
      </c>
      <c r="I3" s="703" t="s">
        <v>508</v>
      </c>
      <c r="J3" s="703"/>
      <c r="K3" s="703"/>
    </row>
    <row r="4" spans="1:11" ht="29.25" customHeight="1">
      <c r="A4" s="70"/>
      <c r="B4" s="704"/>
      <c r="C4" s="704"/>
      <c r="D4" s="704"/>
      <c r="E4" s="710"/>
      <c r="F4" s="704"/>
      <c r="G4" s="718"/>
      <c r="H4" s="707"/>
      <c r="I4" s="354" t="s">
        <v>48</v>
      </c>
      <c r="J4" s="354" t="s">
        <v>506</v>
      </c>
      <c r="K4" s="646" t="s">
        <v>659</v>
      </c>
    </row>
    <row r="5" spans="1:11">
      <c r="A5" s="61"/>
      <c r="B5" s="89"/>
      <c r="C5" s="89"/>
      <c r="D5" s="89"/>
      <c r="E5" s="89"/>
      <c r="F5" s="89"/>
      <c r="G5" s="89"/>
    </row>
    <row r="6" spans="1:11">
      <c r="A6" s="108" t="s">
        <v>435</v>
      </c>
      <c r="B6" s="71"/>
      <c r="C6" s="71"/>
      <c r="D6" s="71"/>
      <c r="E6" s="71"/>
      <c r="F6" s="71"/>
      <c r="G6" s="377"/>
      <c r="H6" s="71"/>
      <c r="I6" s="71"/>
      <c r="J6" s="385"/>
      <c r="K6" s="71"/>
    </row>
    <row r="7" spans="1:11">
      <c r="A7" s="108"/>
      <c r="B7" s="71"/>
      <c r="C7" s="71"/>
      <c r="D7" s="71"/>
      <c r="E7" s="71"/>
      <c r="F7" s="71"/>
      <c r="G7" s="378"/>
      <c r="H7" s="384"/>
      <c r="I7" s="384"/>
      <c r="J7" s="386"/>
      <c r="K7" s="384"/>
    </row>
    <row r="8" spans="1:11">
      <c r="A8" s="39" t="s">
        <v>63</v>
      </c>
      <c r="B8" s="100"/>
      <c r="C8" s="100"/>
      <c r="D8" s="100"/>
      <c r="E8" s="100"/>
      <c r="F8" s="100"/>
      <c r="G8" s="379"/>
      <c r="H8" s="100"/>
      <c r="I8" s="100"/>
      <c r="J8" s="387"/>
      <c r="K8" s="100"/>
    </row>
    <row r="9" spans="1:11">
      <c r="A9" s="90" t="s">
        <v>2</v>
      </c>
      <c r="B9" s="94"/>
      <c r="C9" s="94"/>
      <c r="D9" s="94"/>
      <c r="E9" s="94"/>
      <c r="F9" s="94"/>
      <c r="G9" s="380"/>
      <c r="H9" s="94"/>
      <c r="I9" s="94"/>
      <c r="J9" s="388"/>
      <c r="K9" s="94"/>
    </row>
    <row r="10" spans="1:11">
      <c r="A10" s="382" t="s">
        <v>516</v>
      </c>
      <c r="B10" s="139">
        <f t="shared" ref="B10:G10" si="0">B11+B12+B13</f>
        <v>500867</v>
      </c>
      <c r="C10" s="139">
        <f t="shared" ref="C10" si="1">C11+C12+C13</f>
        <v>654602</v>
      </c>
      <c r="D10" s="139"/>
      <c r="E10" s="139"/>
      <c r="F10" s="139">
        <f t="shared" ref="F10:F13" si="2">C10+E10+D10</f>
        <v>654602</v>
      </c>
      <c r="G10" s="305">
        <f t="shared" si="0"/>
        <v>654602</v>
      </c>
      <c r="H10" s="139">
        <f t="shared" ref="H10" si="3">H11+H12+H13</f>
        <v>654602</v>
      </c>
      <c r="I10" s="139">
        <f t="shared" ref="I10:I13" si="4">IF(H10=0,0,H10-F10)</f>
        <v>0</v>
      </c>
      <c r="J10" s="389">
        <f t="shared" ref="J10:J13" si="5">IF(F10=0,"",I10/F10)</f>
        <v>0</v>
      </c>
      <c r="K10" s="139"/>
    </row>
    <row r="11" spans="1:11">
      <c r="A11" s="383" t="s">
        <v>420</v>
      </c>
      <c r="B11" s="138">
        <v>356000</v>
      </c>
      <c r="C11" s="138">
        <v>508602</v>
      </c>
      <c r="D11" s="138"/>
      <c r="E11" s="138"/>
      <c r="F11" s="138">
        <f t="shared" si="2"/>
        <v>508602</v>
      </c>
      <c r="G11" s="306">
        <v>508602</v>
      </c>
      <c r="H11" s="138">
        <v>508602</v>
      </c>
      <c r="I11" s="138">
        <f t="shared" si="4"/>
        <v>0</v>
      </c>
      <c r="J11" s="390">
        <f t="shared" si="5"/>
        <v>0</v>
      </c>
      <c r="K11" s="138"/>
    </row>
    <row r="12" spans="1:11">
      <c r="A12" s="383" t="s">
        <v>421</v>
      </c>
      <c r="B12" s="138">
        <v>95867</v>
      </c>
      <c r="C12" s="138">
        <v>96000</v>
      </c>
      <c r="D12" s="138"/>
      <c r="E12" s="138"/>
      <c r="F12" s="138">
        <f t="shared" si="2"/>
        <v>96000</v>
      </c>
      <c r="G12" s="306">
        <v>96000</v>
      </c>
      <c r="H12" s="138">
        <v>96000</v>
      </c>
      <c r="I12" s="138">
        <f t="shared" si="4"/>
        <v>0</v>
      </c>
      <c r="J12" s="390">
        <f t="shared" si="5"/>
        <v>0</v>
      </c>
      <c r="K12" s="138"/>
    </row>
    <row r="13" spans="1:11">
      <c r="A13" s="383" t="s">
        <v>422</v>
      </c>
      <c r="B13" s="381">
        <v>49000</v>
      </c>
      <c r="C13" s="381">
        <v>50000</v>
      </c>
      <c r="D13" s="381"/>
      <c r="E13" s="381"/>
      <c r="F13" s="381">
        <f t="shared" si="2"/>
        <v>50000</v>
      </c>
      <c r="G13" s="307">
        <v>50000</v>
      </c>
      <c r="H13" s="381">
        <v>50000</v>
      </c>
      <c r="I13" s="381">
        <f t="shared" si="4"/>
        <v>0</v>
      </c>
      <c r="J13" s="391">
        <f t="shared" si="5"/>
        <v>0</v>
      </c>
      <c r="K13" s="381"/>
    </row>
  </sheetData>
  <mergeCells count="8">
    <mergeCell ref="B3:B4"/>
    <mergeCell ref="C3:C4"/>
    <mergeCell ref="E3:E4"/>
    <mergeCell ref="I3:K3"/>
    <mergeCell ref="D3:D4"/>
    <mergeCell ref="G3:G4"/>
    <mergeCell ref="H3:H4"/>
    <mergeCell ref="F3:F4"/>
  </mergeCells>
  <phoneticPr fontId="30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9"/>
  <sheetViews>
    <sheetView showZeros="0" zoomScaleNormal="100" workbookViewId="0">
      <selection activeCell="B1" sqref="B1"/>
    </sheetView>
  </sheetViews>
  <sheetFormatPr defaultRowHeight="12.75"/>
  <cols>
    <col min="1" max="1" width="4.28515625" style="185" bestFit="1" customWidth="1"/>
    <col min="2" max="2" width="27.28515625" style="185" customWidth="1"/>
    <col min="3" max="3" width="11.140625" style="185" customWidth="1"/>
    <col min="4" max="4" width="9.85546875" style="185" bestFit="1" customWidth="1"/>
    <col min="5" max="5" width="10.85546875" style="185" bestFit="1" customWidth="1"/>
    <col min="6" max="6" width="8.85546875" style="185" bestFit="1" customWidth="1"/>
    <col min="7" max="7" width="2.7109375" style="185" customWidth="1"/>
    <col min="8" max="8" width="12.7109375" style="185" hidden="1" customWidth="1"/>
    <col min="9" max="9" width="10.140625" style="185" hidden="1" customWidth="1"/>
    <col min="10" max="10" width="0" style="185" hidden="1" customWidth="1"/>
    <col min="11" max="254" width="9.140625" style="185"/>
    <col min="255" max="255" width="4.28515625" style="185" bestFit="1" customWidth="1"/>
    <col min="256" max="256" width="35.42578125" style="185" customWidth="1"/>
    <col min="257" max="259" width="11.140625" style="185" bestFit="1" customWidth="1"/>
    <col min="260" max="260" width="12.7109375" style="185" bestFit="1" customWidth="1"/>
    <col min="261" max="261" width="12.42578125" style="185" customWidth="1"/>
    <col min="262" max="262" width="12.7109375" style="185" customWidth="1"/>
    <col min="263" max="263" width="2.7109375" style="185" customWidth="1"/>
    <col min="264" max="510" width="9.140625" style="185"/>
    <col min="511" max="511" width="4.28515625" style="185" bestFit="1" customWidth="1"/>
    <col min="512" max="512" width="35.42578125" style="185" customWidth="1"/>
    <col min="513" max="515" width="11.140625" style="185" bestFit="1" customWidth="1"/>
    <col min="516" max="516" width="12.7109375" style="185" bestFit="1" customWidth="1"/>
    <col min="517" max="517" width="12.42578125" style="185" customWidth="1"/>
    <col min="518" max="518" width="12.7109375" style="185" customWidth="1"/>
    <col min="519" max="519" width="2.7109375" style="185" customWidth="1"/>
    <col min="520" max="766" width="9.140625" style="185"/>
    <col min="767" max="767" width="4.28515625" style="185" bestFit="1" customWidth="1"/>
    <col min="768" max="768" width="35.42578125" style="185" customWidth="1"/>
    <col min="769" max="771" width="11.140625" style="185" bestFit="1" customWidth="1"/>
    <col min="772" max="772" width="12.7109375" style="185" bestFit="1" customWidth="1"/>
    <col min="773" max="773" width="12.42578125" style="185" customWidth="1"/>
    <col min="774" max="774" width="12.7109375" style="185" customWidth="1"/>
    <col min="775" max="775" width="2.7109375" style="185" customWidth="1"/>
    <col min="776" max="1022" width="9.140625" style="185"/>
    <col min="1023" max="1023" width="4.28515625" style="185" bestFit="1" customWidth="1"/>
    <col min="1024" max="1024" width="35.42578125" style="185" customWidth="1"/>
    <col min="1025" max="1027" width="11.140625" style="185" bestFit="1" customWidth="1"/>
    <col min="1028" max="1028" width="12.7109375" style="185" bestFit="1" customWidth="1"/>
    <col min="1029" max="1029" width="12.42578125" style="185" customWidth="1"/>
    <col min="1030" max="1030" width="12.7109375" style="185" customWidth="1"/>
    <col min="1031" max="1031" width="2.7109375" style="185" customWidth="1"/>
    <col min="1032" max="1278" width="9.140625" style="185"/>
    <col min="1279" max="1279" width="4.28515625" style="185" bestFit="1" customWidth="1"/>
    <col min="1280" max="1280" width="35.42578125" style="185" customWidth="1"/>
    <col min="1281" max="1283" width="11.140625" style="185" bestFit="1" customWidth="1"/>
    <col min="1284" max="1284" width="12.7109375" style="185" bestFit="1" customWidth="1"/>
    <col min="1285" max="1285" width="12.42578125" style="185" customWidth="1"/>
    <col min="1286" max="1286" width="12.7109375" style="185" customWidth="1"/>
    <col min="1287" max="1287" width="2.7109375" style="185" customWidth="1"/>
    <col min="1288" max="1534" width="9.140625" style="185"/>
    <col min="1535" max="1535" width="4.28515625" style="185" bestFit="1" customWidth="1"/>
    <col min="1536" max="1536" width="35.42578125" style="185" customWidth="1"/>
    <col min="1537" max="1539" width="11.140625" style="185" bestFit="1" customWidth="1"/>
    <col min="1540" max="1540" width="12.7109375" style="185" bestFit="1" customWidth="1"/>
    <col min="1541" max="1541" width="12.42578125" style="185" customWidth="1"/>
    <col min="1542" max="1542" width="12.7109375" style="185" customWidth="1"/>
    <col min="1543" max="1543" width="2.7109375" style="185" customWidth="1"/>
    <col min="1544" max="1790" width="9.140625" style="185"/>
    <col min="1791" max="1791" width="4.28515625" style="185" bestFit="1" customWidth="1"/>
    <col min="1792" max="1792" width="35.42578125" style="185" customWidth="1"/>
    <col min="1793" max="1795" width="11.140625" style="185" bestFit="1" customWidth="1"/>
    <col min="1796" max="1796" width="12.7109375" style="185" bestFit="1" customWidth="1"/>
    <col min="1797" max="1797" width="12.42578125" style="185" customWidth="1"/>
    <col min="1798" max="1798" width="12.7109375" style="185" customWidth="1"/>
    <col min="1799" max="1799" width="2.7109375" style="185" customWidth="1"/>
    <col min="1800" max="2046" width="9.140625" style="185"/>
    <col min="2047" max="2047" width="4.28515625" style="185" bestFit="1" customWidth="1"/>
    <col min="2048" max="2048" width="35.42578125" style="185" customWidth="1"/>
    <col min="2049" max="2051" width="11.140625" style="185" bestFit="1" customWidth="1"/>
    <col min="2052" max="2052" width="12.7109375" style="185" bestFit="1" customWidth="1"/>
    <col min="2053" max="2053" width="12.42578125" style="185" customWidth="1"/>
    <col min="2054" max="2054" width="12.7109375" style="185" customWidth="1"/>
    <col min="2055" max="2055" width="2.7109375" style="185" customWidth="1"/>
    <col min="2056" max="2302" width="9.140625" style="185"/>
    <col min="2303" max="2303" width="4.28515625" style="185" bestFit="1" customWidth="1"/>
    <col min="2304" max="2304" width="35.42578125" style="185" customWidth="1"/>
    <col min="2305" max="2307" width="11.140625" style="185" bestFit="1" customWidth="1"/>
    <col min="2308" max="2308" width="12.7109375" style="185" bestFit="1" customWidth="1"/>
    <col min="2309" max="2309" width="12.42578125" style="185" customWidth="1"/>
    <col min="2310" max="2310" width="12.7109375" style="185" customWidth="1"/>
    <col min="2311" max="2311" width="2.7109375" style="185" customWidth="1"/>
    <col min="2312" max="2558" width="9.140625" style="185"/>
    <col min="2559" max="2559" width="4.28515625" style="185" bestFit="1" customWidth="1"/>
    <col min="2560" max="2560" width="35.42578125" style="185" customWidth="1"/>
    <col min="2561" max="2563" width="11.140625" style="185" bestFit="1" customWidth="1"/>
    <col min="2564" max="2564" width="12.7109375" style="185" bestFit="1" customWidth="1"/>
    <col min="2565" max="2565" width="12.42578125" style="185" customWidth="1"/>
    <col min="2566" max="2566" width="12.7109375" style="185" customWidth="1"/>
    <col min="2567" max="2567" width="2.7109375" style="185" customWidth="1"/>
    <col min="2568" max="2814" width="9.140625" style="185"/>
    <col min="2815" max="2815" width="4.28515625" style="185" bestFit="1" customWidth="1"/>
    <col min="2816" max="2816" width="35.42578125" style="185" customWidth="1"/>
    <col min="2817" max="2819" width="11.140625" style="185" bestFit="1" customWidth="1"/>
    <col min="2820" max="2820" width="12.7109375" style="185" bestFit="1" customWidth="1"/>
    <col min="2821" max="2821" width="12.42578125" style="185" customWidth="1"/>
    <col min="2822" max="2822" width="12.7109375" style="185" customWidth="1"/>
    <col min="2823" max="2823" width="2.7109375" style="185" customWidth="1"/>
    <col min="2824" max="3070" width="9.140625" style="185"/>
    <col min="3071" max="3071" width="4.28515625" style="185" bestFit="1" customWidth="1"/>
    <col min="3072" max="3072" width="35.42578125" style="185" customWidth="1"/>
    <col min="3073" max="3075" width="11.140625" style="185" bestFit="1" customWidth="1"/>
    <col min="3076" max="3076" width="12.7109375" style="185" bestFit="1" customWidth="1"/>
    <col min="3077" max="3077" width="12.42578125" style="185" customWidth="1"/>
    <col min="3078" max="3078" width="12.7109375" style="185" customWidth="1"/>
    <col min="3079" max="3079" width="2.7109375" style="185" customWidth="1"/>
    <col min="3080" max="3326" width="9.140625" style="185"/>
    <col min="3327" max="3327" width="4.28515625" style="185" bestFit="1" customWidth="1"/>
    <col min="3328" max="3328" width="35.42578125" style="185" customWidth="1"/>
    <col min="3329" max="3331" width="11.140625" style="185" bestFit="1" customWidth="1"/>
    <col min="3332" max="3332" width="12.7109375" style="185" bestFit="1" customWidth="1"/>
    <col min="3333" max="3333" width="12.42578125" style="185" customWidth="1"/>
    <col min="3334" max="3334" width="12.7109375" style="185" customWidth="1"/>
    <col min="3335" max="3335" width="2.7109375" style="185" customWidth="1"/>
    <col min="3336" max="3582" width="9.140625" style="185"/>
    <col min="3583" max="3583" width="4.28515625" style="185" bestFit="1" customWidth="1"/>
    <col min="3584" max="3584" width="35.42578125" style="185" customWidth="1"/>
    <col min="3585" max="3587" width="11.140625" style="185" bestFit="1" customWidth="1"/>
    <col min="3588" max="3588" width="12.7109375" style="185" bestFit="1" customWidth="1"/>
    <col min="3589" max="3589" width="12.42578125" style="185" customWidth="1"/>
    <col min="3590" max="3590" width="12.7109375" style="185" customWidth="1"/>
    <col min="3591" max="3591" width="2.7109375" style="185" customWidth="1"/>
    <col min="3592" max="3838" width="9.140625" style="185"/>
    <col min="3839" max="3839" width="4.28515625" style="185" bestFit="1" customWidth="1"/>
    <col min="3840" max="3840" width="35.42578125" style="185" customWidth="1"/>
    <col min="3841" max="3843" width="11.140625" style="185" bestFit="1" customWidth="1"/>
    <col min="3844" max="3844" width="12.7109375" style="185" bestFit="1" customWidth="1"/>
    <col min="3845" max="3845" width="12.42578125" style="185" customWidth="1"/>
    <col min="3846" max="3846" width="12.7109375" style="185" customWidth="1"/>
    <col min="3847" max="3847" width="2.7109375" style="185" customWidth="1"/>
    <col min="3848" max="4094" width="9.140625" style="185"/>
    <col min="4095" max="4095" width="4.28515625" style="185" bestFit="1" customWidth="1"/>
    <col min="4096" max="4096" width="35.42578125" style="185" customWidth="1"/>
    <col min="4097" max="4099" width="11.140625" style="185" bestFit="1" customWidth="1"/>
    <col min="4100" max="4100" width="12.7109375" style="185" bestFit="1" customWidth="1"/>
    <col min="4101" max="4101" width="12.42578125" style="185" customWidth="1"/>
    <col min="4102" max="4102" width="12.7109375" style="185" customWidth="1"/>
    <col min="4103" max="4103" width="2.7109375" style="185" customWidth="1"/>
    <col min="4104" max="4350" width="9.140625" style="185"/>
    <col min="4351" max="4351" width="4.28515625" style="185" bestFit="1" customWidth="1"/>
    <col min="4352" max="4352" width="35.42578125" style="185" customWidth="1"/>
    <col min="4353" max="4355" width="11.140625" style="185" bestFit="1" customWidth="1"/>
    <col min="4356" max="4356" width="12.7109375" style="185" bestFit="1" customWidth="1"/>
    <col min="4357" max="4357" width="12.42578125" style="185" customWidth="1"/>
    <col min="4358" max="4358" width="12.7109375" style="185" customWidth="1"/>
    <col min="4359" max="4359" width="2.7109375" style="185" customWidth="1"/>
    <col min="4360" max="4606" width="9.140625" style="185"/>
    <col min="4607" max="4607" width="4.28515625" style="185" bestFit="1" customWidth="1"/>
    <col min="4608" max="4608" width="35.42578125" style="185" customWidth="1"/>
    <col min="4609" max="4611" width="11.140625" style="185" bestFit="1" customWidth="1"/>
    <col min="4612" max="4612" width="12.7109375" style="185" bestFit="1" customWidth="1"/>
    <col min="4613" max="4613" width="12.42578125" style="185" customWidth="1"/>
    <col min="4614" max="4614" width="12.7109375" style="185" customWidth="1"/>
    <col min="4615" max="4615" width="2.7109375" style="185" customWidth="1"/>
    <col min="4616" max="4862" width="9.140625" style="185"/>
    <col min="4863" max="4863" width="4.28515625" style="185" bestFit="1" customWidth="1"/>
    <col min="4864" max="4864" width="35.42578125" style="185" customWidth="1"/>
    <col min="4865" max="4867" width="11.140625" style="185" bestFit="1" customWidth="1"/>
    <col min="4868" max="4868" width="12.7109375" style="185" bestFit="1" customWidth="1"/>
    <col min="4869" max="4869" width="12.42578125" style="185" customWidth="1"/>
    <col min="4870" max="4870" width="12.7109375" style="185" customWidth="1"/>
    <col min="4871" max="4871" width="2.7109375" style="185" customWidth="1"/>
    <col min="4872" max="5118" width="9.140625" style="185"/>
    <col min="5119" max="5119" width="4.28515625" style="185" bestFit="1" customWidth="1"/>
    <col min="5120" max="5120" width="35.42578125" style="185" customWidth="1"/>
    <col min="5121" max="5123" width="11.140625" style="185" bestFit="1" customWidth="1"/>
    <col min="5124" max="5124" width="12.7109375" style="185" bestFit="1" customWidth="1"/>
    <col min="5125" max="5125" width="12.42578125" style="185" customWidth="1"/>
    <col min="5126" max="5126" width="12.7109375" style="185" customWidth="1"/>
    <col min="5127" max="5127" width="2.7109375" style="185" customWidth="1"/>
    <col min="5128" max="5374" width="9.140625" style="185"/>
    <col min="5375" max="5375" width="4.28515625" style="185" bestFit="1" customWidth="1"/>
    <col min="5376" max="5376" width="35.42578125" style="185" customWidth="1"/>
    <col min="5377" max="5379" width="11.140625" style="185" bestFit="1" customWidth="1"/>
    <col min="5380" max="5380" width="12.7109375" style="185" bestFit="1" customWidth="1"/>
    <col min="5381" max="5381" width="12.42578125" style="185" customWidth="1"/>
    <col min="5382" max="5382" width="12.7109375" style="185" customWidth="1"/>
    <col min="5383" max="5383" width="2.7109375" style="185" customWidth="1"/>
    <col min="5384" max="5630" width="9.140625" style="185"/>
    <col min="5631" max="5631" width="4.28515625" style="185" bestFit="1" customWidth="1"/>
    <col min="5632" max="5632" width="35.42578125" style="185" customWidth="1"/>
    <col min="5633" max="5635" width="11.140625" style="185" bestFit="1" customWidth="1"/>
    <col min="5636" max="5636" width="12.7109375" style="185" bestFit="1" customWidth="1"/>
    <col min="5637" max="5637" width="12.42578125" style="185" customWidth="1"/>
    <col min="5638" max="5638" width="12.7109375" style="185" customWidth="1"/>
    <col min="5639" max="5639" width="2.7109375" style="185" customWidth="1"/>
    <col min="5640" max="5886" width="9.140625" style="185"/>
    <col min="5887" max="5887" width="4.28515625" style="185" bestFit="1" customWidth="1"/>
    <col min="5888" max="5888" width="35.42578125" style="185" customWidth="1"/>
    <col min="5889" max="5891" width="11.140625" style="185" bestFit="1" customWidth="1"/>
    <col min="5892" max="5892" width="12.7109375" style="185" bestFit="1" customWidth="1"/>
    <col min="5893" max="5893" width="12.42578125" style="185" customWidth="1"/>
    <col min="5894" max="5894" width="12.7109375" style="185" customWidth="1"/>
    <col min="5895" max="5895" width="2.7109375" style="185" customWidth="1"/>
    <col min="5896" max="6142" width="9.140625" style="185"/>
    <col min="6143" max="6143" width="4.28515625" style="185" bestFit="1" customWidth="1"/>
    <col min="6144" max="6144" width="35.42578125" style="185" customWidth="1"/>
    <col min="6145" max="6147" width="11.140625" style="185" bestFit="1" customWidth="1"/>
    <col min="6148" max="6148" width="12.7109375" style="185" bestFit="1" customWidth="1"/>
    <col min="6149" max="6149" width="12.42578125" style="185" customWidth="1"/>
    <col min="6150" max="6150" width="12.7109375" style="185" customWidth="1"/>
    <col min="6151" max="6151" width="2.7109375" style="185" customWidth="1"/>
    <col min="6152" max="6398" width="9.140625" style="185"/>
    <col min="6399" max="6399" width="4.28515625" style="185" bestFit="1" customWidth="1"/>
    <col min="6400" max="6400" width="35.42578125" style="185" customWidth="1"/>
    <col min="6401" max="6403" width="11.140625" style="185" bestFit="1" customWidth="1"/>
    <col min="6404" max="6404" width="12.7109375" style="185" bestFit="1" customWidth="1"/>
    <col min="6405" max="6405" width="12.42578125" style="185" customWidth="1"/>
    <col min="6406" max="6406" width="12.7109375" style="185" customWidth="1"/>
    <col min="6407" max="6407" width="2.7109375" style="185" customWidth="1"/>
    <col min="6408" max="6654" width="9.140625" style="185"/>
    <col min="6655" max="6655" width="4.28515625" style="185" bestFit="1" customWidth="1"/>
    <col min="6656" max="6656" width="35.42578125" style="185" customWidth="1"/>
    <col min="6657" max="6659" width="11.140625" style="185" bestFit="1" customWidth="1"/>
    <col min="6660" max="6660" width="12.7109375" style="185" bestFit="1" customWidth="1"/>
    <col min="6661" max="6661" width="12.42578125" style="185" customWidth="1"/>
    <col min="6662" max="6662" width="12.7109375" style="185" customWidth="1"/>
    <col min="6663" max="6663" width="2.7109375" style="185" customWidth="1"/>
    <col min="6664" max="6910" width="9.140625" style="185"/>
    <col min="6911" max="6911" width="4.28515625" style="185" bestFit="1" customWidth="1"/>
    <col min="6912" max="6912" width="35.42578125" style="185" customWidth="1"/>
    <col min="6913" max="6915" width="11.140625" style="185" bestFit="1" customWidth="1"/>
    <col min="6916" max="6916" width="12.7109375" style="185" bestFit="1" customWidth="1"/>
    <col min="6917" max="6917" width="12.42578125" style="185" customWidth="1"/>
    <col min="6918" max="6918" width="12.7109375" style="185" customWidth="1"/>
    <col min="6919" max="6919" width="2.7109375" style="185" customWidth="1"/>
    <col min="6920" max="7166" width="9.140625" style="185"/>
    <col min="7167" max="7167" width="4.28515625" style="185" bestFit="1" customWidth="1"/>
    <col min="7168" max="7168" width="35.42578125" style="185" customWidth="1"/>
    <col min="7169" max="7171" width="11.140625" style="185" bestFit="1" customWidth="1"/>
    <col min="7172" max="7172" width="12.7109375" style="185" bestFit="1" customWidth="1"/>
    <col min="7173" max="7173" width="12.42578125" style="185" customWidth="1"/>
    <col min="7174" max="7174" width="12.7109375" style="185" customWidth="1"/>
    <col min="7175" max="7175" width="2.7109375" style="185" customWidth="1"/>
    <col min="7176" max="7422" width="9.140625" style="185"/>
    <col min="7423" max="7423" width="4.28515625" style="185" bestFit="1" customWidth="1"/>
    <col min="7424" max="7424" width="35.42578125" style="185" customWidth="1"/>
    <col min="7425" max="7427" width="11.140625" style="185" bestFit="1" customWidth="1"/>
    <col min="7428" max="7428" width="12.7109375" style="185" bestFit="1" customWidth="1"/>
    <col min="7429" max="7429" width="12.42578125" style="185" customWidth="1"/>
    <col min="7430" max="7430" width="12.7109375" style="185" customWidth="1"/>
    <col min="7431" max="7431" width="2.7109375" style="185" customWidth="1"/>
    <col min="7432" max="7678" width="9.140625" style="185"/>
    <col min="7679" max="7679" width="4.28515625" style="185" bestFit="1" customWidth="1"/>
    <col min="7680" max="7680" width="35.42578125" style="185" customWidth="1"/>
    <col min="7681" max="7683" width="11.140625" style="185" bestFit="1" customWidth="1"/>
    <col min="7684" max="7684" width="12.7109375" style="185" bestFit="1" customWidth="1"/>
    <col min="7685" max="7685" width="12.42578125" style="185" customWidth="1"/>
    <col min="7686" max="7686" width="12.7109375" style="185" customWidth="1"/>
    <col min="7687" max="7687" width="2.7109375" style="185" customWidth="1"/>
    <col min="7688" max="7934" width="9.140625" style="185"/>
    <col min="7935" max="7935" width="4.28515625" style="185" bestFit="1" customWidth="1"/>
    <col min="7936" max="7936" width="35.42578125" style="185" customWidth="1"/>
    <col min="7937" max="7939" width="11.140625" style="185" bestFit="1" customWidth="1"/>
    <col min="7940" max="7940" width="12.7109375" style="185" bestFit="1" customWidth="1"/>
    <col min="7941" max="7941" width="12.42578125" style="185" customWidth="1"/>
    <col min="7942" max="7942" width="12.7109375" style="185" customWidth="1"/>
    <col min="7943" max="7943" width="2.7109375" style="185" customWidth="1"/>
    <col min="7944" max="8190" width="9.140625" style="185"/>
    <col min="8191" max="8191" width="4.28515625" style="185" bestFit="1" customWidth="1"/>
    <col min="8192" max="8192" width="35.42578125" style="185" customWidth="1"/>
    <col min="8193" max="8195" width="11.140625" style="185" bestFit="1" customWidth="1"/>
    <col min="8196" max="8196" width="12.7109375" style="185" bestFit="1" customWidth="1"/>
    <col min="8197" max="8197" width="12.42578125" style="185" customWidth="1"/>
    <col min="8198" max="8198" width="12.7109375" style="185" customWidth="1"/>
    <col min="8199" max="8199" width="2.7109375" style="185" customWidth="1"/>
    <col min="8200" max="8446" width="9.140625" style="185"/>
    <col min="8447" max="8447" width="4.28515625" style="185" bestFit="1" customWidth="1"/>
    <col min="8448" max="8448" width="35.42578125" style="185" customWidth="1"/>
    <col min="8449" max="8451" width="11.140625" style="185" bestFit="1" customWidth="1"/>
    <col min="8452" max="8452" width="12.7109375" style="185" bestFit="1" customWidth="1"/>
    <col min="8453" max="8453" width="12.42578125" style="185" customWidth="1"/>
    <col min="8454" max="8454" width="12.7109375" style="185" customWidth="1"/>
    <col min="8455" max="8455" width="2.7109375" style="185" customWidth="1"/>
    <col min="8456" max="8702" width="9.140625" style="185"/>
    <col min="8703" max="8703" width="4.28515625" style="185" bestFit="1" customWidth="1"/>
    <col min="8704" max="8704" width="35.42578125" style="185" customWidth="1"/>
    <col min="8705" max="8707" width="11.140625" style="185" bestFit="1" customWidth="1"/>
    <col min="8708" max="8708" width="12.7109375" style="185" bestFit="1" customWidth="1"/>
    <col min="8709" max="8709" width="12.42578125" style="185" customWidth="1"/>
    <col min="8710" max="8710" width="12.7109375" style="185" customWidth="1"/>
    <col min="8711" max="8711" width="2.7109375" style="185" customWidth="1"/>
    <col min="8712" max="8958" width="9.140625" style="185"/>
    <col min="8959" max="8959" width="4.28515625" style="185" bestFit="1" customWidth="1"/>
    <col min="8960" max="8960" width="35.42578125" style="185" customWidth="1"/>
    <col min="8961" max="8963" width="11.140625" style="185" bestFit="1" customWidth="1"/>
    <col min="8964" max="8964" width="12.7109375" style="185" bestFit="1" customWidth="1"/>
    <col min="8965" max="8965" width="12.42578125" style="185" customWidth="1"/>
    <col min="8966" max="8966" width="12.7109375" style="185" customWidth="1"/>
    <col min="8967" max="8967" width="2.7109375" style="185" customWidth="1"/>
    <col min="8968" max="9214" width="9.140625" style="185"/>
    <col min="9215" max="9215" width="4.28515625" style="185" bestFit="1" customWidth="1"/>
    <col min="9216" max="9216" width="35.42578125" style="185" customWidth="1"/>
    <col min="9217" max="9219" width="11.140625" style="185" bestFit="1" customWidth="1"/>
    <col min="9220" max="9220" width="12.7109375" style="185" bestFit="1" customWidth="1"/>
    <col min="9221" max="9221" width="12.42578125" style="185" customWidth="1"/>
    <col min="9222" max="9222" width="12.7109375" style="185" customWidth="1"/>
    <col min="9223" max="9223" width="2.7109375" style="185" customWidth="1"/>
    <col min="9224" max="9470" width="9.140625" style="185"/>
    <col min="9471" max="9471" width="4.28515625" style="185" bestFit="1" customWidth="1"/>
    <col min="9472" max="9472" width="35.42578125" style="185" customWidth="1"/>
    <col min="9473" max="9475" width="11.140625" style="185" bestFit="1" customWidth="1"/>
    <col min="9476" max="9476" width="12.7109375" style="185" bestFit="1" customWidth="1"/>
    <col min="9477" max="9477" width="12.42578125" style="185" customWidth="1"/>
    <col min="9478" max="9478" width="12.7109375" style="185" customWidth="1"/>
    <col min="9479" max="9479" width="2.7109375" style="185" customWidth="1"/>
    <col min="9480" max="9726" width="9.140625" style="185"/>
    <col min="9727" max="9727" width="4.28515625" style="185" bestFit="1" customWidth="1"/>
    <col min="9728" max="9728" width="35.42578125" style="185" customWidth="1"/>
    <col min="9729" max="9731" width="11.140625" style="185" bestFit="1" customWidth="1"/>
    <col min="9732" max="9732" width="12.7109375" style="185" bestFit="1" customWidth="1"/>
    <col min="9733" max="9733" width="12.42578125" style="185" customWidth="1"/>
    <col min="9734" max="9734" width="12.7109375" style="185" customWidth="1"/>
    <col min="9735" max="9735" width="2.7109375" style="185" customWidth="1"/>
    <col min="9736" max="9982" width="9.140625" style="185"/>
    <col min="9983" max="9983" width="4.28515625" style="185" bestFit="1" customWidth="1"/>
    <col min="9984" max="9984" width="35.42578125" style="185" customWidth="1"/>
    <col min="9985" max="9987" width="11.140625" style="185" bestFit="1" customWidth="1"/>
    <col min="9988" max="9988" width="12.7109375" style="185" bestFit="1" customWidth="1"/>
    <col min="9989" max="9989" width="12.42578125" style="185" customWidth="1"/>
    <col min="9990" max="9990" width="12.7109375" style="185" customWidth="1"/>
    <col min="9991" max="9991" width="2.7109375" style="185" customWidth="1"/>
    <col min="9992" max="10238" width="9.140625" style="185"/>
    <col min="10239" max="10239" width="4.28515625" style="185" bestFit="1" customWidth="1"/>
    <col min="10240" max="10240" width="35.42578125" style="185" customWidth="1"/>
    <col min="10241" max="10243" width="11.140625" style="185" bestFit="1" customWidth="1"/>
    <col min="10244" max="10244" width="12.7109375" style="185" bestFit="1" customWidth="1"/>
    <col min="10245" max="10245" width="12.42578125" style="185" customWidth="1"/>
    <col min="10246" max="10246" width="12.7109375" style="185" customWidth="1"/>
    <col min="10247" max="10247" width="2.7109375" style="185" customWidth="1"/>
    <col min="10248" max="10494" width="9.140625" style="185"/>
    <col min="10495" max="10495" width="4.28515625" style="185" bestFit="1" customWidth="1"/>
    <col min="10496" max="10496" width="35.42578125" style="185" customWidth="1"/>
    <col min="10497" max="10499" width="11.140625" style="185" bestFit="1" customWidth="1"/>
    <col min="10500" max="10500" width="12.7109375" style="185" bestFit="1" customWidth="1"/>
    <col min="10501" max="10501" width="12.42578125" style="185" customWidth="1"/>
    <col min="10502" max="10502" width="12.7109375" style="185" customWidth="1"/>
    <col min="10503" max="10503" width="2.7109375" style="185" customWidth="1"/>
    <col min="10504" max="10750" width="9.140625" style="185"/>
    <col min="10751" max="10751" width="4.28515625" style="185" bestFit="1" customWidth="1"/>
    <col min="10752" max="10752" width="35.42578125" style="185" customWidth="1"/>
    <col min="10753" max="10755" width="11.140625" style="185" bestFit="1" customWidth="1"/>
    <col min="10756" max="10756" width="12.7109375" style="185" bestFit="1" customWidth="1"/>
    <col min="10757" max="10757" width="12.42578125" style="185" customWidth="1"/>
    <col min="10758" max="10758" width="12.7109375" style="185" customWidth="1"/>
    <col min="10759" max="10759" width="2.7109375" style="185" customWidth="1"/>
    <col min="10760" max="11006" width="9.140625" style="185"/>
    <col min="11007" max="11007" width="4.28515625" style="185" bestFit="1" customWidth="1"/>
    <col min="11008" max="11008" width="35.42578125" style="185" customWidth="1"/>
    <col min="11009" max="11011" width="11.140625" style="185" bestFit="1" customWidth="1"/>
    <col min="11012" max="11012" width="12.7109375" style="185" bestFit="1" customWidth="1"/>
    <col min="11013" max="11013" width="12.42578125" style="185" customWidth="1"/>
    <col min="11014" max="11014" width="12.7109375" style="185" customWidth="1"/>
    <col min="11015" max="11015" width="2.7109375" style="185" customWidth="1"/>
    <col min="11016" max="11262" width="9.140625" style="185"/>
    <col min="11263" max="11263" width="4.28515625" style="185" bestFit="1" customWidth="1"/>
    <col min="11264" max="11264" width="35.42578125" style="185" customWidth="1"/>
    <col min="11265" max="11267" width="11.140625" style="185" bestFit="1" customWidth="1"/>
    <col min="11268" max="11268" width="12.7109375" style="185" bestFit="1" customWidth="1"/>
    <col min="11269" max="11269" width="12.42578125" style="185" customWidth="1"/>
    <col min="11270" max="11270" width="12.7109375" style="185" customWidth="1"/>
    <col min="11271" max="11271" width="2.7109375" style="185" customWidth="1"/>
    <col min="11272" max="11518" width="9.140625" style="185"/>
    <col min="11519" max="11519" width="4.28515625" style="185" bestFit="1" customWidth="1"/>
    <col min="11520" max="11520" width="35.42578125" style="185" customWidth="1"/>
    <col min="11521" max="11523" width="11.140625" style="185" bestFit="1" customWidth="1"/>
    <col min="11524" max="11524" width="12.7109375" style="185" bestFit="1" customWidth="1"/>
    <col min="11525" max="11525" width="12.42578125" style="185" customWidth="1"/>
    <col min="11526" max="11526" width="12.7109375" style="185" customWidth="1"/>
    <col min="11527" max="11527" width="2.7109375" style="185" customWidth="1"/>
    <col min="11528" max="11774" width="9.140625" style="185"/>
    <col min="11775" max="11775" width="4.28515625" style="185" bestFit="1" customWidth="1"/>
    <col min="11776" max="11776" width="35.42578125" style="185" customWidth="1"/>
    <col min="11777" max="11779" width="11.140625" style="185" bestFit="1" customWidth="1"/>
    <col min="11780" max="11780" width="12.7109375" style="185" bestFit="1" customWidth="1"/>
    <col min="11781" max="11781" width="12.42578125" style="185" customWidth="1"/>
    <col min="11782" max="11782" width="12.7109375" style="185" customWidth="1"/>
    <col min="11783" max="11783" width="2.7109375" style="185" customWidth="1"/>
    <col min="11784" max="12030" width="9.140625" style="185"/>
    <col min="12031" max="12031" width="4.28515625" style="185" bestFit="1" customWidth="1"/>
    <col min="12032" max="12032" width="35.42578125" style="185" customWidth="1"/>
    <col min="12033" max="12035" width="11.140625" style="185" bestFit="1" customWidth="1"/>
    <col min="12036" max="12036" width="12.7109375" style="185" bestFit="1" customWidth="1"/>
    <col min="12037" max="12037" width="12.42578125" style="185" customWidth="1"/>
    <col min="12038" max="12038" width="12.7109375" style="185" customWidth="1"/>
    <col min="12039" max="12039" width="2.7109375" style="185" customWidth="1"/>
    <col min="12040" max="12286" width="9.140625" style="185"/>
    <col min="12287" max="12287" width="4.28515625" style="185" bestFit="1" customWidth="1"/>
    <col min="12288" max="12288" width="35.42578125" style="185" customWidth="1"/>
    <col min="12289" max="12291" width="11.140625" style="185" bestFit="1" customWidth="1"/>
    <col min="12292" max="12292" width="12.7109375" style="185" bestFit="1" customWidth="1"/>
    <col min="12293" max="12293" width="12.42578125" style="185" customWidth="1"/>
    <col min="12294" max="12294" width="12.7109375" style="185" customWidth="1"/>
    <col min="12295" max="12295" width="2.7109375" style="185" customWidth="1"/>
    <col min="12296" max="12542" width="9.140625" style="185"/>
    <col min="12543" max="12543" width="4.28515625" style="185" bestFit="1" customWidth="1"/>
    <col min="12544" max="12544" width="35.42578125" style="185" customWidth="1"/>
    <col min="12545" max="12547" width="11.140625" style="185" bestFit="1" customWidth="1"/>
    <col min="12548" max="12548" width="12.7109375" style="185" bestFit="1" customWidth="1"/>
    <col min="12549" max="12549" width="12.42578125" style="185" customWidth="1"/>
    <col min="12550" max="12550" width="12.7109375" style="185" customWidth="1"/>
    <col min="12551" max="12551" width="2.7109375" style="185" customWidth="1"/>
    <col min="12552" max="12798" width="9.140625" style="185"/>
    <col min="12799" max="12799" width="4.28515625" style="185" bestFit="1" customWidth="1"/>
    <col min="12800" max="12800" width="35.42578125" style="185" customWidth="1"/>
    <col min="12801" max="12803" width="11.140625" style="185" bestFit="1" customWidth="1"/>
    <col min="12804" max="12804" width="12.7109375" style="185" bestFit="1" customWidth="1"/>
    <col min="12805" max="12805" width="12.42578125" style="185" customWidth="1"/>
    <col min="12806" max="12806" width="12.7109375" style="185" customWidth="1"/>
    <col min="12807" max="12807" width="2.7109375" style="185" customWidth="1"/>
    <col min="12808" max="13054" width="9.140625" style="185"/>
    <col min="13055" max="13055" width="4.28515625" style="185" bestFit="1" customWidth="1"/>
    <col min="13056" max="13056" width="35.42578125" style="185" customWidth="1"/>
    <col min="13057" max="13059" width="11.140625" style="185" bestFit="1" customWidth="1"/>
    <col min="13060" max="13060" width="12.7109375" style="185" bestFit="1" customWidth="1"/>
    <col min="13061" max="13061" width="12.42578125" style="185" customWidth="1"/>
    <col min="13062" max="13062" width="12.7109375" style="185" customWidth="1"/>
    <col min="13063" max="13063" width="2.7109375" style="185" customWidth="1"/>
    <col min="13064" max="13310" width="9.140625" style="185"/>
    <col min="13311" max="13311" width="4.28515625" style="185" bestFit="1" customWidth="1"/>
    <col min="13312" max="13312" width="35.42578125" style="185" customWidth="1"/>
    <col min="13313" max="13315" width="11.140625" style="185" bestFit="1" customWidth="1"/>
    <col min="13316" max="13316" width="12.7109375" style="185" bestFit="1" customWidth="1"/>
    <col min="13317" max="13317" width="12.42578125" style="185" customWidth="1"/>
    <col min="13318" max="13318" width="12.7109375" style="185" customWidth="1"/>
    <col min="13319" max="13319" width="2.7109375" style="185" customWidth="1"/>
    <col min="13320" max="13566" width="9.140625" style="185"/>
    <col min="13567" max="13567" width="4.28515625" style="185" bestFit="1" customWidth="1"/>
    <col min="13568" max="13568" width="35.42578125" style="185" customWidth="1"/>
    <col min="13569" max="13571" width="11.140625" style="185" bestFit="1" customWidth="1"/>
    <col min="13572" max="13572" width="12.7109375" style="185" bestFit="1" customWidth="1"/>
    <col min="13573" max="13573" width="12.42578125" style="185" customWidth="1"/>
    <col min="13574" max="13574" width="12.7109375" style="185" customWidth="1"/>
    <col min="13575" max="13575" width="2.7109375" style="185" customWidth="1"/>
    <col min="13576" max="13822" width="9.140625" style="185"/>
    <col min="13823" max="13823" width="4.28515625" style="185" bestFit="1" customWidth="1"/>
    <col min="13824" max="13824" width="35.42578125" style="185" customWidth="1"/>
    <col min="13825" max="13827" width="11.140625" style="185" bestFit="1" customWidth="1"/>
    <col min="13828" max="13828" width="12.7109375" style="185" bestFit="1" customWidth="1"/>
    <col min="13829" max="13829" width="12.42578125" style="185" customWidth="1"/>
    <col min="13830" max="13830" width="12.7109375" style="185" customWidth="1"/>
    <col min="13831" max="13831" width="2.7109375" style="185" customWidth="1"/>
    <col min="13832" max="14078" width="9.140625" style="185"/>
    <col min="14079" max="14079" width="4.28515625" style="185" bestFit="1" customWidth="1"/>
    <col min="14080" max="14080" width="35.42578125" style="185" customWidth="1"/>
    <col min="14081" max="14083" width="11.140625" style="185" bestFit="1" customWidth="1"/>
    <col min="14084" max="14084" width="12.7109375" style="185" bestFit="1" customWidth="1"/>
    <col min="14085" max="14085" width="12.42578125" style="185" customWidth="1"/>
    <col min="14086" max="14086" width="12.7109375" style="185" customWidth="1"/>
    <col min="14087" max="14087" width="2.7109375" style="185" customWidth="1"/>
    <col min="14088" max="14334" width="9.140625" style="185"/>
    <col min="14335" max="14335" width="4.28515625" style="185" bestFit="1" customWidth="1"/>
    <col min="14336" max="14336" width="35.42578125" style="185" customWidth="1"/>
    <col min="14337" max="14339" width="11.140625" style="185" bestFit="1" customWidth="1"/>
    <col min="14340" max="14340" width="12.7109375" style="185" bestFit="1" customWidth="1"/>
    <col min="14341" max="14341" width="12.42578125" style="185" customWidth="1"/>
    <col min="14342" max="14342" width="12.7109375" style="185" customWidth="1"/>
    <col min="14343" max="14343" width="2.7109375" style="185" customWidth="1"/>
    <col min="14344" max="14590" width="9.140625" style="185"/>
    <col min="14591" max="14591" width="4.28515625" style="185" bestFit="1" customWidth="1"/>
    <col min="14592" max="14592" width="35.42578125" style="185" customWidth="1"/>
    <col min="14593" max="14595" width="11.140625" style="185" bestFit="1" customWidth="1"/>
    <col min="14596" max="14596" width="12.7109375" style="185" bestFit="1" customWidth="1"/>
    <col min="14597" max="14597" width="12.42578125" style="185" customWidth="1"/>
    <col min="14598" max="14598" width="12.7109375" style="185" customWidth="1"/>
    <col min="14599" max="14599" width="2.7109375" style="185" customWidth="1"/>
    <col min="14600" max="14846" width="9.140625" style="185"/>
    <col min="14847" max="14847" width="4.28515625" style="185" bestFit="1" customWidth="1"/>
    <col min="14848" max="14848" width="35.42578125" style="185" customWidth="1"/>
    <col min="14849" max="14851" width="11.140625" style="185" bestFit="1" customWidth="1"/>
    <col min="14852" max="14852" width="12.7109375" style="185" bestFit="1" customWidth="1"/>
    <col min="14853" max="14853" width="12.42578125" style="185" customWidth="1"/>
    <col min="14854" max="14854" width="12.7109375" style="185" customWidth="1"/>
    <col min="14855" max="14855" width="2.7109375" style="185" customWidth="1"/>
    <col min="14856" max="15102" width="9.140625" style="185"/>
    <col min="15103" max="15103" width="4.28515625" style="185" bestFit="1" customWidth="1"/>
    <col min="15104" max="15104" width="35.42578125" style="185" customWidth="1"/>
    <col min="15105" max="15107" width="11.140625" style="185" bestFit="1" customWidth="1"/>
    <col min="15108" max="15108" width="12.7109375" style="185" bestFit="1" customWidth="1"/>
    <col min="15109" max="15109" width="12.42578125" style="185" customWidth="1"/>
    <col min="15110" max="15110" width="12.7109375" style="185" customWidth="1"/>
    <col min="15111" max="15111" width="2.7109375" style="185" customWidth="1"/>
    <col min="15112" max="15358" width="9.140625" style="185"/>
    <col min="15359" max="15359" width="4.28515625" style="185" bestFit="1" customWidth="1"/>
    <col min="15360" max="15360" width="35.42578125" style="185" customWidth="1"/>
    <col min="15361" max="15363" width="11.140625" style="185" bestFit="1" customWidth="1"/>
    <col min="15364" max="15364" width="12.7109375" style="185" bestFit="1" customWidth="1"/>
    <col min="15365" max="15365" width="12.42578125" style="185" customWidth="1"/>
    <col min="15366" max="15366" width="12.7109375" style="185" customWidth="1"/>
    <col min="15367" max="15367" width="2.7109375" style="185" customWidth="1"/>
    <col min="15368" max="15614" width="9.140625" style="185"/>
    <col min="15615" max="15615" width="4.28515625" style="185" bestFit="1" customWidth="1"/>
    <col min="15616" max="15616" width="35.42578125" style="185" customWidth="1"/>
    <col min="15617" max="15619" width="11.140625" style="185" bestFit="1" customWidth="1"/>
    <col min="15620" max="15620" width="12.7109375" style="185" bestFit="1" customWidth="1"/>
    <col min="15621" max="15621" width="12.42578125" style="185" customWidth="1"/>
    <col min="15622" max="15622" width="12.7109375" style="185" customWidth="1"/>
    <col min="15623" max="15623" width="2.7109375" style="185" customWidth="1"/>
    <col min="15624" max="15870" width="9.140625" style="185"/>
    <col min="15871" max="15871" width="4.28515625" style="185" bestFit="1" customWidth="1"/>
    <col min="15872" max="15872" width="35.42578125" style="185" customWidth="1"/>
    <col min="15873" max="15875" width="11.140625" style="185" bestFit="1" customWidth="1"/>
    <col min="15876" max="15876" width="12.7109375" style="185" bestFit="1" customWidth="1"/>
    <col min="15877" max="15877" width="12.42578125" style="185" customWidth="1"/>
    <col min="15878" max="15878" width="12.7109375" style="185" customWidth="1"/>
    <col min="15879" max="15879" width="2.7109375" style="185" customWidth="1"/>
    <col min="15880" max="16126" width="9.140625" style="185"/>
    <col min="16127" max="16127" width="4.28515625" style="185" bestFit="1" customWidth="1"/>
    <col min="16128" max="16128" width="35.42578125" style="185" customWidth="1"/>
    <col min="16129" max="16131" width="11.140625" style="185" bestFit="1" customWidth="1"/>
    <col min="16132" max="16132" width="12.7109375" style="185" bestFit="1" customWidth="1"/>
    <col min="16133" max="16133" width="12.42578125" style="185" customWidth="1"/>
    <col min="16134" max="16134" width="12.7109375" style="185" customWidth="1"/>
    <col min="16135" max="16135" width="2.7109375" style="185" customWidth="1"/>
    <col min="16136" max="16384" width="9.140625" style="185"/>
  </cols>
  <sheetData>
    <row r="1" spans="1:13" ht="15.75">
      <c r="A1" s="588" t="s">
        <v>649</v>
      </c>
    </row>
    <row r="2" spans="1:13" ht="15.75">
      <c r="B2" s="588"/>
    </row>
    <row r="3" spans="1:13" ht="15.75">
      <c r="A3" s="589"/>
      <c r="B3" s="589"/>
      <c r="C3" s="589"/>
      <c r="D3" s="589"/>
      <c r="E3" s="589"/>
      <c r="F3" s="590" t="s">
        <v>48</v>
      </c>
      <c r="H3" s="719" t="s">
        <v>635</v>
      </c>
      <c r="I3" s="719"/>
    </row>
    <row r="4" spans="1:13" ht="15">
      <c r="A4" s="591" t="s">
        <v>636</v>
      </c>
      <c r="B4" s="592" t="s">
        <v>637</v>
      </c>
      <c r="C4" s="720" t="s">
        <v>650</v>
      </c>
      <c r="D4" s="722" t="s">
        <v>638</v>
      </c>
      <c r="E4" s="723"/>
      <c r="F4" s="724"/>
      <c r="H4" s="725"/>
      <c r="I4" s="725"/>
    </row>
    <row r="5" spans="1:13" ht="45">
      <c r="A5" s="593" t="s">
        <v>639</v>
      </c>
      <c r="B5" s="594"/>
      <c r="C5" s="721"/>
      <c r="D5" s="595" t="s">
        <v>640</v>
      </c>
      <c r="E5" s="595" t="s">
        <v>641</v>
      </c>
      <c r="F5" s="595" t="s">
        <v>642</v>
      </c>
      <c r="H5" s="726"/>
      <c r="I5" s="726"/>
    </row>
    <row r="6" spans="1:13">
      <c r="A6" s="599" t="s">
        <v>409</v>
      </c>
      <c r="B6" s="599" t="s">
        <v>163</v>
      </c>
      <c r="C6" s="596">
        <f t="shared" ref="C6" si="0">D6+E6+F6</f>
        <v>1140052</v>
      </c>
      <c r="D6" s="596">
        <v>210776</v>
      </c>
      <c r="E6" s="596">
        <v>274674</v>
      </c>
      <c r="F6" s="596">
        <v>654602</v>
      </c>
      <c r="G6" s="597"/>
      <c r="H6" s="596"/>
      <c r="I6" s="596"/>
      <c r="J6" s="598"/>
      <c r="K6" s="598"/>
      <c r="L6" s="598"/>
      <c r="M6" s="598"/>
    </row>
    <row r="7" spans="1:13" s="437" customFormat="1">
      <c r="A7" s="597"/>
      <c r="B7" s="185"/>
      <c r="C7" s="600"/>
      <c r="D7" s="598"/>
      <c r="E7" s="598"/>
      <c r="F7" s="598"/>
    </row>
    <row r="8" spans="1:13" s="437" customFormat="1">
      <c r="A8" s="597"/>
      <c r="B8" s="185"/>
      <c r="C8" s="600" t="e">
        <f>SUM(#REF!)</f>
        <v>#REF!</v>
      </c>
      <c r="D8" s="185"/>
      <c r="E8" s="598"/>
      <c r="F8" s="598"/>
    </row>
    <row r="9" spans="1:13" s="437" customFormat="1">
      <c r="A9" s="597"/>
      <c r="B9" s="185"/>
      <c r="C9" s="600"/>
      <c r="D9" s="185"/>
      <c r="E9" s="598"/>
      <c r="F9" s="598"/>
    </row>
    <row r="10" spans="1:13" ht="12" customHeight="1">
      <c r="A10" s="597"/>
      <c r="C10" s="601"/>
      <c r="E10" s="598"/>
    </row>
    <row r="11" spans="1:13">
      <c r="A11" s="597"/>
      <c r="C11" s="598"/>
    </row>
    <row r="12" spans="1:13" ht="15.75">
      <c r="A12" s="597"/>
      <c r="B12" s="602"/>
    </row>
    <row r="13" spans="1:13" ht="15.75">
      <c r="A13" s="597"/>
      <c r="B13" s="603"/>
    </row>
    <row r="14" spans="1:13">
      <c r="A14" s="597"/>
    </row>
    <row r="15" spans="1:13">
      <c r="A15" s="597"/>
    </row>
    <row r="16" spans="1:13">
      <c r="A16" s="597"/>
    </row>
    <row r="17" spans="1:1">
      <c r="A17" s="597"/>
    </row>
    <row r="18" spans="1:1">
      <c r="A18" s="597"/>
    </row>
    <row r="19" spans="1:1">
      <c r="A19" s="597"/>
    </row>
    <row r="20" spans="1:1">
      <c r="A20" s="597"/>
    </row>
    <row r="21" spans="1:1">
      <c r="A21" s="597"/>
    </row>
    <row r="22" spans="1:1">
      <c r="A22" s="597"/>
    </row>
    <row r="23" spans="1:1">
      <c r="A23" s="597"/>
    </row>
    <row r="24" spans="1:1">
      <c r="A24" s="597"/>
    </row>
    <row r="25" spans="1:1">
      <c r="A25" s="597"/>
    </row>
    <row r="26" spans="1:1">
      <c r="A26" s="597"/>
    </row>
    <row r="27" spans="1:1">
      <c r="A27" s="597"/>
    </row>
    <row r="28" spans="1:1">
      <c r="A28" s="597"/>
    </row>
    <row r="29" spans="1:1">
      <c r="A29" s="597"/>
    </row>
    <row r="30" spans="1:1">
      <c r="A30" s="597"/>
    </row>
    <row r="31" spans="1:1">
      <c r="A31" s="597"/>
    </row>
    <row r="32" spans="1:1">
      <c r="A32" s="597"/>
    </row>
    <row r="33" spans="1:1">
      <c r="A33" s="597"/>
    </row>
    <row r="34" spans="1:1">
      <c r="A34" s="597"/>
    </row>
    <row r="35" spans="1:1">
      <c r="A35" s="597"/>
    </row>
    <row r="36" spans="1:1">
      <c r="A36" s="597"/>
    </row>
    <row r="37" spans="1:1">
      <c r="A37" s="597"/>
    </row>
    <row r="38" spans="1:1">
      <c r="A38" s="597"/>
    </row>
    <row r="39" spans="1:1">
      <c r="A39" s="597"/>
    </row>
  </sheetData>
  <mergeCells count="5">
    <mergeCell ref="H3:I3"/>
    <mergeCell ref="C4:C5"/>
    <mergeCell ref="D4:F4"/>
    <mergeCell ref="H4:H5"/>
    <mergeCell ref="I4:I5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Koondvorm (1)</vt:lpstr>
      <vt:lpstr>1 KOONDEELARVE</vt:lpstr>
      <vt:lpstr>6 RAHAKÄIVE</vt:lpstr>
      <vt:lpstr>2 TULUDE KOOND</vt:lpstr>
      <vt:lpstr>Sheet2</vt:lpstr>
      <vt:lpstr>Omatulud (3)</vt:lpstr>
      <vt:lpstr>Üüritulu (3a)</vt:lpstr>
      <vt:lpstr>Toetused (4)</vt:lpstr>
      <vt:lpstr>Piirsumma</vt:lpstr>
      <vt:lpstr>Kulud (5)</vt:lpstr>
      <vt:lpstr>Inv koond - põhitaotlus (6a)</vt:lpstr>
      <vt:lpstr>Inv koond - lisa (6a-lisa)</vt:lpstr>
      <vt:lpstr>5 FIN.TEH</vt:lpstr>
      <vt:lpstr>7 LIIGENDUS</vt:lpstr>
      <vt:lpstr>Inv infokaart (6b)</vt:lpstr>
      <vt:lpstr>Inv infokaardi lisa(6c)</vt:lpstr>
      <vt:lpstr>välisprojektid (7)</vt:lpstr>
      <vt:lpstr>Valdkonnad</vt:lpstr>
      <vt:lpstr>'2 TULUDE KOOND'!Print_Titles</vt:lpstr>
      <vt:lpstr>'Inv koond - lisa (6a-lisa)'!Print_Titles</vt:lpstr>
      <vt:lpstr>'Inv koond - põhitaotlus (6a)'!Print_Titles</vt:lpstr>
      <vt:lpstr>'Kulud (5)'!Print_Titles</vt:lpstr>
      <vt:lpstr>'Omatulud (3)'!Print_Titles</vt:lpstr>
      <vt:lpstr>'Toetused (4)'!Print_Titles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2018-06-04T07:19:13Z</cp:lastPrinted>
  <dcterms:created xsi:type="dcterms:W3CDTF">2011-11-17T06:19:29Z</dcterms:created>
  <dcterms:modified xsi:type="dcterms:W3CDTF">2018-07-16T08:55:42Z</dcterms:modified>
</cp:coreProperties>
</file>