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tsteenistus\EELARVE OSAKOND\2019\Vormid\Kodulehele\Ametid\"/>
    </mc:Choice>
  </mc:AlternateContent>
  <bookViews>
    <workbookView xWindow="-15" yWindow="45" windowWidth="11520" windowHeight="6855" tabRatio="870"/>
  </bookViews>
  <sheets>
    <sheet name="Koondvorm (1)" sheetId="43" r:id="rId1"/>
    <sheet name="1 KOONDEELARVE" sheetId="5" state="hidden" r:id="rId2"/>
    <sheet name="6 RAHAKÄIVE" sheetId="10" state="hidden" r:id="rId3"/>
    <sheet name="2 TULUDE KOOND" sheetId="6" state="hidden" r:id="rId4"/>
    <sheet name="Sheet2" sheetId="15" state="hidden" r:id="rId5"/>
    <sheet name="Omatulud (3)" sheetId="4" r:id="rId6"/>
    <sheet name="Üüritulu (3a)" sheetId="48" r:id="rId7"/>
    <sheet name="Toetused (4)" sheetId="12" r:id="rId8"/>
    <sheet name="Piirsumma" sheetId="47" r:id="rId9"/>
    <sheet name="Kulud (5)" sheetId="8" r:id="rId10"/>
    <sheet name="Lisanduvad kulud (5a)" sheetId="20" r:id="rId11"/>
    <sheet name="Vähenevad kulud (5b)" sheetId="19" r:id="rId12"/>
    <sheet name="Inv koond - põhitaotlus (6a)" sheetId="16" r:id="rId13"/>
    <sheet name="Inv koond - lisa (6a-lisa)" sheetId="50" r:id="rId14"/>
    <sheet name="5 FIN.TEH" sheetId="11" state="hidden" r:id="rId15"/>
    <sheet name="7 LIIGENDUS" sheetId="13" state="hidden" r:id="rId16"/>
    <sheet name="Inv infokaart (6b)" sheetId="44" r:id="rId17"/>
    <sheet name="Inv infokaardi lisa(6c)" sheetId="45" r:id="rId18"/>
    <sheet name="Koosseisunimestik(STA) 8c" sheetId="51" r:id="rId19"/>
    <sheet name="Planeerimine(STA) 8d" sheetId="52" r:id="rId20"/>
    <sheet name="välisprojektid (7)" sheetId="46" r:id="rId21"/>
    <sheet name="Valdkonnad" sheetId="17" state="hidden" r:id="rId22"/>
  </sheets>
  <externalReferences>
    <externalReference r:id="rId23"/>
    <externalReference r:id="rId24"/>
  </externalReferences>
  <definedNames>
    <definedName name="_xlnm._FilterDatabase" localSheetId="1" hidden="1">'1 KOONDEELARVE'!#REF!</definedName>
    <definedName name="_xlnm._FilterDatabase" localSheetId="13" hidden="1">'Inv koond - lisa (6a-lisa)'!$A$4:$M$32</definedName>
    <definedName name="_xlnm._FilterDatabase" localSheetId="12" hidden="1">'Inv koond - põhitaotlus (6a)'!$C$4:$T$306</definedName>
    <definedName name="_xlnm._FilterDatabase" localSheetId="9" hidden="1">'Kulud (5)'!$C$4:$S$303</definedName>
    <definedName name="_xlnm._FilterDatabase" localSheetId="10" hidden="1">'Lisanduvad kulud (5a)'!$A$3:$G$15</definedName>
    <definedName name="_xlnm._FilterDatabase" localSheetId="5" hidden="1">'Omatulud (3)'!$A$5:$E$100</definedName>
    <definedName name="_xlnm._FilterDatabase" localSheetId="7" hidden="1">'Toetused (4)'!$A$8:$F$15</definedName>
    <definedName name="a" localSheetId="13">'[1]8 KULUD'!#REF!</definedName>
    <definedName name="a" localSheetId="0">'[1]8 KULUD'!#REF!</definedName>
    <definedName name="a" localSheetId="8">'[1]8 KULUD'!#REF!</definedName>
    <definedName name="a">'[1]8 KULUD'!#REF!</definedName>
    <definedName name="job_levels" localSheetId="17">OFFSET(job_levels_range,0,0,COUNTA(job_levels_range),1)</definedName>
    <definedName name="job_levels" localSheetId="16">OFFSET(job_levels_range,0,0,COUNTA(job_levels_range),1)</definedName>
    <definedName name="job_levels" localSheetId="13">OFFSET(job_levels_range,0,0,COUNTA(job_levels_range),1)</definedName>
    <definedName name="job_levels" localSheetId="0">OFFSET(job_levels_range,0,0,COUNTA(job_levels_range),1)</definedName>
    <definedName name="job_levels" localSheetId="8">OFFSET(job_levels_range,0,0,COUNTA(job_levels_range),1)</definedName>
    <definedName name="job_levels" localSheetId="20">OFFSET(job_levels_range,0,0,COUNTA(job_levels_range),1)</definedName>
    <definedName name="job_levels">OFFSET(job_levels_range,0,0,COUNTA(job_levels_range),1)</definedName>
    <definedName name="job_names" localSheetId="17">OFFSET(job_names_range,0,0,COUNTA(job_names_range),1)</definedName>
    <definedName name="job_names" localSheetId="16">OFFSET(job_names_range,0,0,COUNTA(job_names_range),1)</definedName>
    <definedName name="job_names" localSheetId="13">OFFSET(job_names_range,0,0,COUNTA(job_names_range),1)</definedName>
    <definedName name="job_names" localSheetId="0">OFFSET(job_names_range,0,0,COUNTA(job_names_range),1)</definedName>
    <definedName name="job_names" localSheetId="8">OFFSET(job_names_range,0,0,COUNTA(job_names_range),1)</definedName>
    <definedName name="job_names" localSheetId="20">OFFSET(job_names_range,0,0,COUNTA(job_names_range),1)</definedName>
    <definedName name="job_names">OFFSET(job_names_range,0,0,COUNTA(job_names_range),1)</definedName>
    <definedName name="joblevels" localSheetId="0">'[2]Job Names'!$H$9:$H$35</definedName>
    <definedName name="joblevels" localSheetId="8">'[2]Job Names'!$H$9:$H$35</definedName>
    <definedName name="joblevels">'[2]Job Names'!$H$9:$H$35</definedName>
    <definedName name="jobnames">#N/A</definedName>
    <definedName name="language_list" localSheetId="0">'[2]Job Names'!$E$2:$E$5</definedName>
    <definedName name="language_list" localSheetId="8">'[2]Job Names'!$E$2:$E$5</definedName>
    <definedName name="language_list">'[2]Job Names'!$E$2:$E$5</definedName>
    <definedName name="Maalist" localSheetId="0">[2]Maakonnad!$A$1:$A$15</definedName>
    <definedName name="Maalist" localSheetId="8">[2]Maakonnad!$A$1:$A$15</definedName>
    <definedName name="Maalist">[2]Maakonnad!$A$1:$A$15</definedName>
    <definedName name="OLE_LINK1" localSheetId="9">'Kulud (5)'!#REF!</definedName>
    <definedName name="_xlnm.Print_Titles" localSheetId="3">'2 TULUDE KOOND'!$5:$5</definedName>
    <definedName name="_xlnm.Print_Titles" localSheetId="13">'Inv koond - lisa (6a-lisa)'!$4:$5</definedName>
    <definedName name="_xlnm.Print_Titles" localSheetId="12">'Inv koond - põhitaotlus (6a)'!$4:$5</definedName>
    <definedName name="_xlnm.Print_Titles" localSheetId="0">'Koondvorm (1)'!#REF!</definedName>
    <definedName name="_xlnm.Print_Titles" localSheetId="9">'Kulud (5)'!$3:$4</definedName>
    <definedName name="_xlnm.Print_Titles" localSheetId="10">'Lisanduvad kulud (5a)'!$3:$3</definedName>
    <definedName name="_xlnm.Print_Titles" localSheetId="5">'Omatulud (3)'!$3:$4</definedName>
    <definedName name="_xlnm.Print_Titles" localSheetId="7">'Toetused (4)'!$3:$4</definedName>
    <definedName name="_xlnm.Print_Titles" localSheetId="11">'Vähenevad kulud (5b)'!$3:$3</definedName>
    <definedName name="zJob" localSheetId="0">'[2]Job Families'!$D$1:$D$481</definedName>
    <definedName name="zJob" localSheetId="8">'[2]Job Families'!$D$1:$D$481</definedName>
    <definedName name="zJob">'[2]Job Families'!$D$1:$D$481</definedName>
    <definedName name="zLev" localSheetId="0">'[2]Job Families'!$E$1:$E$481</definedName>
    <definedName name="zLev" localSheetId="8">'[2]Job Families'!$E$1:$E$481</definedName>
    <definedName name="zLev">'[2]Job Families'!$E$1:$E$481</definedName>
    <definedName name="zPnt" localSheetId="0">'[2]Job Families'!$F$1:$F$481</definedName>
    <definedName name="zPnt" localSheetId="8">'[2]Job Families'!$F$1:$F$481</definedName>
    <definedName name="zPnt">'[2]Job Families'!$F$1:$F$481</definedName>
    <definedName name="zPntH" localSheetId="0">'[2]Job Families'!$H$1:$H$481</definedName>
    <definedName name="zPntH" localSheetId="8">'[2]Job Families'!$H$1:$H$481</definedName>
    <definedName name="zPntH">'[2]Job Families'!$H$1:$H$481</definedName>
    <definedName name="zPntL" localSheetId="0">'[2]Job Families'!$G$1:$G$481</definedName>
    <definedName name="zPntL" localSheetId="8">'[2]Job Families'!$G$1:$G$481</definedName>
    <definedName name="zPntL">'[2]Job Families'!$G$1:$G$481</definedName>
    <definedName name="test" localSheetId="13">OFFSET(job_levels_range,0,0,COUNTA(job_levels_range),1)</definedName>
    <definedName name="test" localSheetId="8">OFFSET(job_levels_range,0,0,COUNTA(job_levels_range),1)</definedName>
    <definedName name="test">OFFSET(job_levels_range,0,0,COUNTA(job_levels_range),1)</definedName>
  </definedNames>
  <calcPr calcId="162913"/>
</workbook>
</file>

<file path=xl/calcChain.xml><?xml version="1.0" encoding="utf-8"?>
<calcChain xmlns="http://schemas.openxmlformats.org/spreadsheetml/2006/main">
  <c r="K301" i="8" l="1"/>
  <c r="K300" i="8"/>
  <c r="K299" i="8"/>
  <c r="K298" i="8"/>
  <c r="K297" i="8"/>
  <c r="K296" i="8"/>
  <c r="K295" i="8"/>
  <c r="K294" i="8"/>
  <c r="K293" i="8"/>
  <c r="K292" i="8"/>
  <c r="K291" i="8"/>
  <c r="K290" i="8"/>
  <c r="K289" i="8"/>
  <c r="K288" i="8"/>
  <c r="K287" i="8"/>
  <c r="K286" i="8"/>
  <c r="K285" i="8"/>
  <c r="K284" i="8"/>
  <c r="K283" i="8"/>
  <c r="K282" i="8"/>
  <c r="K281" i="8"/>
  <c r="K280" i="8"/>
  <c r="K279" i="8"/>
  <c r="K278" i="8"/>
  <c r="K277" i="8"/>
  <c r="K276" i="8"/>
  <c r="K275" i="8"/>
  <c r="K274" i="8"/>
  <c r="K273" i="8"/>
  <c r="K272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D11" i="8" l="1"/>
  <c r="N30" i="43" l="1"/>
  <c r="N29" i="43"/>
  <c r="N28" i="43"/>
  <c r="N27" i="43"/>
  <c r="N26" i="43"/>
  <c r="N25" i="43"/>
  <c r="N24" i="43"/>
  <c r="N23" i="43"/>
  <c r="N22" i="43"/>
  <c r="N21" i="43"/>
  <c r="N20" i="43"/>
  <c r="N19" i="43"/>
  <c r="N18" i="43"/>
  <c r="N17" i="43"/>
  <c r="N16" i="43"/>
  <c r="N15" i="43"/>
  <c r="N14" i="43"/>
  <c r="N13" i="43"/>
  <c r="N12" i="43"/>
  <c r="N11" i="43"/>
  <c r="N9" i="43"/>
  <c r="N8" i="43"/>
  <c r="N10" i="43"/>
  <c r="B9" i="43"/>
  <c r="B10" i="43"/>
  <c r="B11" i="43"/>
  <c r="B12" i="43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8" i="43"/>
  <c r="D31" i="52" l="1"/>
  <c r="B31" i="52"/>
  <c r="D21" i="52"/>
  <c r="C18" i="52"/>
  <c r="C15" i="52"/>
  <c r="B15" i="52"/>
  <c r="B18" i="52" s="1"/>
  <c r="D13" i="52"/>
  <c r="D14" i="52" s="1"/>
  <c r="D10" i="52"/>
  <c r="T14" i="51"/>
  <c r="S14" i="51"/>
  <c r="R14" i="51"/>
  <c r="Q14" i="51"/>
  <c r="N14" i="51"/>
  <c r="K14" i="51"/>
  <c r="J14" i="51"/>
  <c r="I14" i="51"/>
  <c r="H14" i="51"/>
  <c r="F14" i="51"/>
  <c r="C14" i="51"/>
  <c r="P13" i="51"/>
  <c r="G13" i="51"/>
  <c r="E13" i="51"/>
  <c r="P12" i="51"/>
  <c r="G12" i="51"/>
  <c r="E12" i="51"/>
  <c r="P11" i="51"/>
  <c r="G11" i="51"/>
  <c r="E11" i="51"/>
  <c r="P10" i="51"/>
  <c r="G10" i="51"/>
  <c r="E10" i="51"/>
  <c r="P9" i="51"/>
  <c r="P14" i="51" s="1"/>
  <c r="G9" i="51"/>
  <c r="G14" i="51" s="1"/>
  <c r="E9" i="51"/>
  <c r="E14" i="51" s="1"/>
  <c r="P8" i="51"/>
  <c r="G8" i="51"/>
  <c r="E8" i="51"/>
  <c r="D17" i="52" l="1"/>
  <c r="D16" i="52"/>
  <c r="O46" i="16"/>
  <c r="O48" i="16"/>
  <c r="D15" i="52" l="1"/>
  <c r="D18" i="52" s="1"/>
  <c r="P303" i="8"/>
  <c r="P302" i="8"/>
  <c r="P301" i="8"/>
  <c r="P300" i="8"/>
  <c r="P299" i="8"/>
  <c r="P298" i="8"/>
  <c r="P297" i="8"/>
  <c r="P296" i="8"/>
  <c r="P295" i="8"/>
  <c r="P294" i="8"/>
  <c r="P293" i="8"/>
  <c r="P292" i="8"/>
  <c r="P291" i="8"/>
  <c r="P290" i="8"/>
  <c r="P289" i="8"/>
  <c r="P288" i="8"/>
  <c r="P287" i="8"/>
  <c r="P286" i="8"/>
  <c r="P285" i="8"/>
  <c r="P284" i="8"/>
  <c r="P283" i="8"/>
  <c r="P281" i="8"/>
  <c r="P280" i="8"/>
  <c r="P279" i="8"/>
  <c r="P278" i="8"/>
  <c r="P277" i="8"/>
  <c r="P276" i="8"/>
  <c r="P275" i="8"/>
  <c r="P274" i="8"/>
  <c r="P273" i="8"/>
  <c r="P272" i="8"/>
  <c r="P271" i="8"/>
  <c r="P270" i="8"/>
  <c r="P269" i="8"/>
  <c r="P268" i="8"/>
  <c r="P265" i="8"/>
  <c r="P264" i="8"/>
  <c r="P263" i="8"/>
  <c r="P262" i="8"/>
  <c r="P260" i="8"/>
  <c r="P259" i="8"/>
  <c r="P258" i="8"/>
  <c r="P257" i="8"/>
  <c r="P256" i="8"/>
  <c r="P255" i="8"/>
  <c r="P254" i="8"/>
  <c r="P253" i="8"/>
  <c r="P252" i="8"/>
  <c r="P251" i="8"/>
  <c r="P250" i="8"/>
  <c r="P249" i="8"/>
  <c r="P248" i="8"/>
  <c r="P247" i="8"/>
  <c r="P246" i="8"/>
  <c r="P244" i="8"/>
  <c r="P243" i="8"/>
  <c r="P242" i="8"/>
  <c r="P241" i="8"/>
  <c r="P240" i="8"/>
  <c r="P239" i="8"/>
  <c r="P238" i="8"/>
  <c r="P236" i="8"/>
  <c r="P235" i="8"/>
  <c r="P234" i="8"/>
  <c r="P233" i="8"/>
  <c r="P232" i="8"/>
  <c r="P231" i="8"/>
  <c r="P229" i="8"/>
  <c r="P228" i="8"/>
  <c r="P227" i="8"/>
  <c r="P224" i="8"/>
  <c r="P223" i="8"/>
  <c r="P222" i="8"/>
  <c r="P221" i="8"/>
  <c r="P220" i="8"/>
  <c r="P219" i="8"/>
  <c r="P217" i="8"/>
  <c r="P215" i="8"/>
  <c r="P214" i="8"/>
  <c r="P213" i="8"/>
  <c r="P212" i="8"/>
  <c r="P211" i="8"/>
  <c r="P210" i="8"/>
  <c r="P209" i="8"/>
  <c r="P208" i="8"/>
  <c r="P207" i="8"/>
  <c r="P205" i="8"/>
  <c r="P203" i="8"/>
  <c r="P202" i="8"/>
  <c r="P201" i="8"/>
  <c r="P200" i="8"/>
  <c r="P199" i="8"/>
  <c r="P198" i="8"/>
  <c r="P197" i="8"/>
  <c r="P196" i="8"/>
  <c r="P195" i="8"/>
  <c r="P194" i="8"/>
  <c r="P193" i="8"/>
  <c r="P192" i="8"/>
  <c r="P191" i="8"/>
  <c r="P190" i="8"/>
  <c r="P189" i="8"/>
  <c r="P188" i="8"/>
  <c r="P187" i="8"/>
  <c r="P185" i="8"/>
  <c r="P184" i="8"/>
  <c r="P183" i="8"/>
  <c r="P182" i="8"/>
  <c r="P181" i="8"/>
  <c r="P180" i="8"/>
  <c r="P179" i="8"/>
  <c r="P178" i="8"/>
  <c r="P177" i="8"/>
  <c r="P176" i="8"/>
  <c r="P175" i="8"/>
  <c r="P174" i="8"/>
  <c r="P173" i="8"/>
  <c r="P172" i="8"/>
  <c r="P171" i="8"/>
  <c r="P170" i="8"/>
  <c r="P169" i="8"/>
  <c r="P166" i="8"/>
  <c r="P165" i="8"/>
  <c r="P164" i="8"/>
  <c r="P163" i="8"/>
  <c r="P162" i="8"/>
  <c r="P161" i="8"/>
  <c r="P160" i="8"/>
  <c r="P159" i="8"/>
  <c r="P158" i="8"/>
  <c r="P157" i="8"/>
  <c r="P156" i="8"/>
  <c r="P155" i="8"/>
  <c r="P154" i="8"/>
  <c r="P153" i="8"/>
  <c r="P152" i="8"/>
  <c r="P151" i="8"/>
  <c r="P150" i="8"/>
  <c r="P149" i="8"/>
  <c r="P148" i="8"/>
  <c r="P147" i="8"/>
  <c r="P146" i="8"/>
  <c r="P145" i="8"/>
  <c r="P144" i="8"/>
  <c r="P143" i="8"/>
  <c r="P142" i="8"/>
  <c r="P140" i="8"/>
  <c r="P139" i="8"/>
  <c r="P138" i="8"/>
  <c r="P137" i="8"/>
  <c r="P136" i="8"/>
  <c r="P135" i="8"/>
  <c r="P134" i="8"/>
  <c r="P133" i="8"/>
  <c r="P132" i="8"/>
  <c r="P130" i="8"/>
  <c r="P128" i="8"/>
  <c r="P126" i="8"/>
  <c r="P125" i="8"/>
  <c r="P124" i="8"/>
  <c r="P123" i="8"/>
  <c r="P122" i="8"/>
  <c r="P121" i="8"/>
  <c r="P120" i="8"/>
  <c r="P119" i="8"/>
  <c r="P118" i="8"/>
  <c r="P117" i="8"/>
  <c r="P116" i="8"/>
  <c r="P115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P102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5" i="8"/>
  <c r="P84" i="8"/>
  <c r="P83" i="8"/>
  <c r="P80" i="8"/>
  <c r="P79" i="8"/>
  <c r="P78" i="8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60" i="8"/>
  <c r="P58" i="8"/>
  <c r="P57" i="8"/>
  <c r="P56" i="8"/>
  <c r="P55" i="8"/>
  <c r="P54" i="8"/>
  <c r="P52" i="8"/>
  <c r="P51" i="8"/>
  <c r="P50" i="8"/>
  <c r="P49" i="8"/>
  <c r="P48" i="8"/>
  <c r="P46" i="8"/>
  <c r="P45" i="8"/>
  <c r="P44" i="8"/>
  <c r="P43" i="8"/>
  <c r="P42" i="8"/>
  <c r="P40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5" i="8"/>
  <c r="P12" i="8"/>
  <c r="P11" i="8"/>
  <c r="P9" i="8"/>
  <c r="P7" i="8"/>
  <c r="P6" i="8"/>
  <c r="P5" i="8"/>
  <c r="D130" i="8" l="1"/>
  <c r="R261" i="8" l="1"/>
  <c r="O261" i="8"/>
  <c r="E261" i="8"/>
  <c r="F261" i="8"/>
  <c r="G261" i="8"/>
  <c r="I261" i="8"/>
  <c r="D268" i="8" l="1"/>
  <c r="U126" i="8" l="1"/>
  <c r="U125" i="8"/>
  <c r="U124" i="8"/>
  <c r="U123" i="8"/>
  <c r="U122" i="8"/>
  <c r="U121" i="8"/>
  <c r="U120" i="8"/>
  <c r="U119" i="8"/>
  <c r="W83" i="8"/>
  <c r="V83" i="8"/>
  <c r="U83" i="8"/>
  <c r="O282" i="8" l="1"/>
  <c r="P282" i="8" s="1"/>
  <c r="H282" i="8"/>
  <c r="T282" i="8" s="1"/>
  <c r="H281" i="8"/>
  <c r="H280" i="8"/>
  <c r="H279" i="8"/>
  <c r="H278" i="8"/>
  <c r="H277" i="8"/>
  <c r="H276" i="8"/>
  <c r="H275" i="8"/>
  <c r="H274" i="8"/>
  <c r="S274" i="8" s="1"/>
  <c r="U274" i="8" s="1"/>
  <c r="H273" i="8"/>
  <c r="H272" i="8"/>
  <c r="H271" i="8"/>
  <c r="H270" i="8"/>
  <c r="H269" i="8"/>
  <c r="D266" i="8"/>
  <c r="H266" i="8" s="1"/>
  <c r="O267" i="8"/>
  <c r="P267" i="8" s="1"/>
  <c r="D267" i="8"/>
  <c r="H267" i="8" s="1"/>
  <c r="Q266" i="8"/>
  <c r="Q261" i="8" s="1"/>
  <c r="N266" i="8"/>
  <c r="N261" i="8" s="1"/>
  <c r="M266" i="8"/>
  <c r="M261" i="8" s="1"/>
  <c r="L266" i="8"/>
  <c r="J266" i="8"/>
  <c r="O141" i="8"/>
  <c r="P141" i="8" s="1"/>
  <c r="H141" i="8"/>
  <c r="W141" i="8" s="1"/>
  <c r="H140" i="8"/>
  <c r="H139" i="8"/>
  <c r="H138" i="8"/>
  <c r="H137" i="8"/>
  <c r="H136" i="8"/>
  <c r="H135" i="8"/>
  <c r="H134" i="8"/>
  <c r="S134" i="8" s="1"/>
  <c r="U134" i="8" s="1"/>
  <c r="H133" i="8"/>
  <c r="V133" i="8" s="1"/>
  <c r="W133" i="8" s="1"/>
  <c r="H132" i="8"/>
  <c r="Q131" i="8"/>
  <c r="O131" i="8"/>
  <c r="N131" i="8"/>
  <c r="M131" i="8"/>
  <c r="M129" i="8" s="1"/>
  <c r="P129" i="8" s="1"/>
  <c r="L131" i="8"/>
  <c r="J131" i="8"/>
  <c r="I131" i="8"/>
  <c r="G131" i="8"/>
  <c r="F131" i="8"/>
  <c r="E131" i="8"/>
  <c r="D131" i="8"/>
  <c r="H130" i="8"/>
  <c r="H129" i="8"/>
  <c r="H142" i="8"/>
  <c r="H143" i="8"/>
  <c r="O127" i="8"/>
  <c r="P127" i="8" s="1"/>
  <c r="H127" i="8"/>
  <c r="W127" i="8" s="1"/>
  <c r="H126" i="8"/>
  <c r="H125" i="8"/>
  <c r="H124" i="8"/>
  <c r="H123" i="8"/>
  <c r="H122" i="8"/>
  <c r="H121" i="8"/>
  <c r="H120" i="8"/>
  <c r="H119" i="8"/>
  <c r="H128" i="8"/>
  <c r="O82" i="8"/>
  <c r="P82" i="8" s="1"/>
  <c r="H82" i="8"/>
  <c r="O81" i="8"/>
  <c r="P81" i="8" s="1"/>
  <c r="H81" i="8"/>
  <c r="O59" i="8"/>
  <c r="P59" i="8" s="1"/>
  <c r="H59" i="8"/>
  <c r="W59" i="8" s="1"/>
  <c r="H58" i="8"/>
  <c r="H57" i="8"/>
  <c r="O53" i="8"/>
  <c r="P53" i="8" s="1"/>
  <c r="H53" i="8"/>
  <c r="H52" i="8"/>
  <c r="H51" i="8"/>
  <c r="H50" i="8"/>
  <c r="H49" i="8"/>
  <c r="O41" i="8"/>
  <c r="P41" i="8" s="1"/>
  <c r="H41" i="8"/>
  <c r="W41" i="8" s="1"/>
  <c r="H40" i="8"/>
  <c r="O39" i="8"/>
  <c r="P39" i="8" s="1"/>
  <c r="H39" i="8"/>
  <c r="V39" i="8" s="1"/>
  <c r="W39" i="8" s="1"/>
  <c r="P131" i="8" l="1"/>
  <c r="P266" i="8"/>
  <c r="L261" i="8"/>
  <c r="P261" i="8" s="1"/>
  <c r="V270" i="8"/>
  <c r="W270" i="8" s="1"/>
  <c r="S273" i="8"/>
  <c r="U273" i="8" s="1"/>
  <c r="V273" i="8"/>
  <c r="W273" i="8" s="1"/>
  <c r="S276" i="8"/>
  <c r="U276" i="8" s="1"/>
  <c r="V276" i="8"/>
  <c r="W276" i="8" s="1"/>
  <c r="S279" i="8"/>
  <c r="U279" i="8" s="1"/>
  <c r="V279" i="8"/>
  <c r="W279" i="8" s="1"/>
  <c r="S40" i="8"/>
  <c r="U40" i="8" s="1"/>
  <c r="V40" i="8"/>
  <c r="W40" i="8" s="1"/>
  <c r="S50" i="8"/>
  <c r="U50" i="8" s="1"/>
  <c r="V50" i="8"/>
  <c r="W50" i="8" s="1"/>
  <c r="V120" i="8"/>
  <c r="W120" i="8" s="1"/>
  <c r="V124" i="8"/>
  <c r="W124" i="8" s="1"/>
  <c r="S142" i="8"/>
  <c r="U142" i="8" s="1"/>
  <c r="W142" i="8"/>
  <c r="V142" i="8"/>
  <c r="S132" i="8"/>
  <c r="U132" i="8" s="1"/>
  <c r="V132" i="8"/>
  <c r="W132" i="8" s="1"/>
  <c r="S138" i="8"/>
  <c r="U138" i="8" s="1"/>
  <c r="V138" i="8"/>
  <c r="W138" i="8" s="1"/>
  <c r="R141" i="8"/>
  <c r="T141" i="8" s="1"/>
  <c r="S270" i="8"/>
  <c r="U270" i="8" s="1"/>
  <c r="V274" i="8"/>
  <c r="W274" i="8" s="1"/>
  <c r="S277" i="8"/>
  <c r="U277" i="8" s="1"/>
  <c r="V277" i="8"/>
  <c r="W277" i="8"/>
  <c r="S280" i="8"/>
  <c r="U280" i="8" s="1"/>
  <c r="V280" i="8"/>
  <c r="W280" i="8" s="1"/>
  <c r="V119" i="8"/>
  <c r="W119" i="8" s="1"/>
  <c r="V123" i="8"/>
  <c r="W123" i="8" s="1"/>
  <c r="V134" i="8"/>
  <c r="W134" i="8" s="1"/>
  <c r="W121" i="8"/>
  <c r="V121" i="8"/>
  <c r="W125" i="8"/>
  <c r="V125" i="8"/>
  <c r="S135" i="8"/>
  <c r="U135" i="8" s="1"/>
  <c r="V135" i="8"/>
  <c r="W135" i="8" s="1"/>
  <c r="S139" i="8"/>
  <c r="U139" i="8" s="1"/>
  <c r="V139" i="8"/>
  <c r="W139" i="8" s="1"/>
  <c r="S271" i="8"/>
  <c r="U271" i="8" s="1"/>
  <c r="V271" i="8"/>
  <c r="W271" i="8" s="1"/>
  <c r="V278" i="8"/>
  <c r="W278" i="8" s="1"/>
  <c r="S281" i="8"/>
  <c r="U281" i="8" s="1"/>
  <c r="V281" i="8"/>
  <c r="W281" i="8" s="1"/>
  <c r="S49" i="8"/>
  <c r="U49" i="8" s="1"/>
  <c r="V49" i="8"/>
  <c r="W49" i="8" s="1"/>
  <c r="S53" i="8"/>
  <c r="U53" i="8" s="1"/>
  <c r="V53" i="8"/>
  <c r="W53" i="8" s="1"/>
  <c r="S137" i="8"/>
  <c r="U137" i="8" s="1"/>
  <c r="V137" i="8"/>
  <c r="W137" i="8" s="1"/>
  <c r="V282" i="8"/>
  <c r="W282" i="8" s="1"/>
  <c r="T266" i="8"/>
  <c r="V266" i="8" s="1"/>
  <c r="S51" i="8"/>
  <c r="U51" i="8" s="1"/>
  <c r="V51" i="8"/>
  <c r="W51" i="8" s="1"/>
  <c r="S57" i="8"/>
  <c r="U57" i="8" s="1"/>
  <c r="V57" i="8"/>
  <c r="W57" i="8" s="1"/>
  <c r="S52" i="8"/>
  <c r="U52" i="8" s="1"/>
  <c r="V52" i="8"/>
  <c r="W52" i="8" s="1"/>
  <c r="S58" i="8"/>
  <c r="U58" i="8" s="1"/>
  <c r="V58" i="8"/>
  <c r="W58" i="8" s="1"/>
  <c r="S128" i="8"/>
  <c r="U128" i="8" s="1"/>
  <c r="W128" i="8"/>
  <c r="V128" i="8"/>
  <c r="W122" i="8"/>
  <c r="V122" i="8"/>
  <c r="V126" i="8"/>
  <c r="W126" i="8"/>
  <c r="W143" i="8"/>
  <c r="V143" i="8"/>
  <c r="S133" i="8"/>
  <c r="U133" i="8" s="1"/>
  <c r="S136" i="8"/>
  <c r="U136" i="8" s="1"/>
  <c r="V136" i="8"/>
  <c r="W136" i="8" s="1"/>
  <c r="S140" i="8"/>
  <c r="U140" i="8" s="1"/>
  <c r="V140" i="8"/>
  <c r="W140" i="8" s="1"/>
  <c r="S269" i="8"/>
  <c r="V269" i="8"/>
  <c r="W269" i="8" s="1"/>
  <c r="S272" i="8"/>
  <c r="U272" i="8" s="1"/>
  <c r="V272" i="8"/>
  <c r="W272" i="8" s="1"/>
  <c r="S275" i="8"/>
  <c r="U275" i="8" s="1"/>
  <c r="V275" i="8"/>
  <c r="W275" i="8" s="1"/>
  <c r="S278" i="8"/>
  <c r="U278" i="8" s="1"/>
  <c r="U282" i="8"/>
  <c r="T267" i="8"/>
  <c r="H268" i="8"/>
  <c r="H131" i="8"/>
  <c r="T130" i="8"/>
  <c r="T129" i="8"/>
  <c r="S143" i="8"/>
  <c r="U143" i="8" s="1"/>
  <c r="T82" i="8"/>
  <c r="T81" i="8"/>
  <c r="R59" i="8"/>
  <c r="T59" i="8" s="1"/>
  <c r="S39" i="8"/>
  <c r="U39" i="8" s="1"/>
  <c r="R41" i="8"/>
  <c r="T41" i="8" s="1"/>
  <c r="U59" i="8" l="1"/>
  <c r="V59" i="8"/>
  <c r="V81" i="8"/>
  <c r="W81" i="8" s="1"/>
  <c r="U81" i="8"/>
  <c r="V130" i="8"/>
  <c r="W130" i="8" s="1"/>
  <c r="U130" i="8"/>
  <c r="U129" i="8"/>
  <c r="V129" i="8"/>
  <c r="W129" i="8" s="1"/>
  <c r="U41" i="8"/>
  <c r="V41" i="8"/>
  <c r="U82" i="8"/>
  <c r="V82" i="8"/>
  <c r="W82" i="8" s="1"/>
  <c r="S131" i="8"/>
  <c r="U131" i="8" s="1"/>
  <c r="V131" i="8"/>
  <c r="W131" i="8" s="1"/>
  <c r="V127" i="8"/>
  <c r="U127" i="8"/>
  <c r="U269" i="8"/>
  <c r="V141" i="8"/>
  <c r="U141" i="8"/>
  <c r="V267" i="8"/>
  <c r="W267" i="8" s="1"/>
  <c r="U267" i="8"/>
  <c r="W266" i="8"/>
  <c r="S268" i="8"/>
  <c r="S266" i="8" s="1"/>
  <c r="U266" i="8" s="1"/>
  <c r="U268" i="8" l="1"/>
  <c r="V268" i="8"/>
  <c r="W268" i="8" s="1"/>
  <c r="M245" i="8" l="1"/>
  <c r="P245" i="8" s="1"/>
  <c r="S132" i="16"/>
  <c r="N24" i="48" l="1"/>
  <c r="K24" i="48"/>
  <c r="J24" i="48"/>
  <c r="F24" i="48"/>
  <c r="P175" i="16"/>
  <c r="P165" i="16" s="1"/>
  <c r="P116" i="16"/>
  <c r="P59" i="16"/>
  <c r="P77" i="16"/>
  <c r="P14" i="16"/>
  <c r="P32" i="16"/>
  <c r="P55" i="16" l="1"/>
  <c r="P6" i="16" s="1"/>
  <c r="R306" i="16" l="1"/>
  <c r="R305" i="16"/>
  <c r="R304" i="16"/>
  <c r="R303" i="16"/>
  <c r="R302" i="16"/>
  <c r="R301" i="16"/>
  <c r="R300" i="16"/>
  <c r="R299" i="16"/>
  <c r="R298" i="16"/>
  <c r="R297" i="16"/>
  <c r="R296" i="16"/>
  <c r="R294" i="16"/>
  <c r="R292" i="16"/>
  <c r="R291" i="16"/>
  <c r="R290" i="16"/>
  <c r="R289" i="16"/>
  <c r="R288" i="16"/>
  <c r="R287" i="16"/>
  <c r="R286" i="16"/>
  <c r="R285" i="16"/>
  <c r="R284" i="16"/>
  <c r="R283" i="16"/>
  <c r="R282" i="16"/>
  <c r="R280" i="16"/>
  <c r="R279" i="16"/>
  <c r="R277" i="16"/>
  <c r="R276" i="16"/>
  <c r="R275" i="16"/>
  <c r="R274" i="16"/>
  <c r="R273" i="16"/>
  <c r="R272" i="16"/>
  <c r="R271" i="16"/>
  <c r="R269" i="16"/>
  <c r="R268" i="16"/>
  <c r="R267" i="16"/>
  <c r="R266" i="16"/>
  <c r="R265" i="16"/>
  <c r="R264" i="16"/>
  <c r="R263" i="16"/>
  <c r="R260" i="16"/>
  <c r="R258" i="16"/>
  <c r="R257" i="16"/>
  <c r="R256" i="16"/>
  <c r="R254" i="16"/>
  <c r="R253" i="16"/>
  <c r="R251" i="16"/>
  <c r="R250" i="16"/>
  <c r="R249" i="16"/>
  <c r="R247" i="16"/>
  <c r="R246" i="16"/>
  <c r="R244" i="16"/>
  <c r="R237" i="16"/>
  <c r="R236" i="16"/>
  <c r="R235" i="16"/>
  <c r="R234" i="16"/>
  <c r="R233" i="16"/>
  <c r="R230" i="16"/>
  <c r="R229" i="16"/>
  <c r="R228" i="16"/>
  <c r="R227" i="16"/>
  <c r="R226" i="16"/>
  <c r="R225" i="16"/>
  <c r="R224" i="16"/>
  <c r="R223" i="16"/>
  <c r="R222" i="16"/>
  <c r="R221" i="16"/>
  <c r="R220" i="16"/>
  <c r="R219" i="16"/>
  <c r="R216" i="16"/>
  <c r="R215" i="16"/>
  <c r="R214" i="16"/>
  <c r="R213" i="16"/>
  <c r="R212" i="16"/>
  <c r="R211" i="16"/>
  <c r="R210" i="16"/>
  <c r="R209" i="16"/>
  <c r="R208" i="16"/>
  <c r="R207" i="16"/>
  <c r="R206" i="16"/>
  <c r="R205" i="16"/>
  <c r="R204" i="16"/>
  <c r="R202" i="16"/>
  <c r="R201" i="16"/>
  <c r="R200" i="16"/>
  <c r="R199" i="16"/>
  <c r="R198" i="16"/>
  <c r="R197" i="16"/>
  <c r="R196" i="16"/>
  <c r="R195" i="16"/>
  <c r="R193" i="16"/>
  <c r="R192" i="16"/>
  <c r="R191" i="16"/>
  <c r="R189" i="16"/>
  <c r="R188" i="16"/>
  <c r="R187" i="16"/>
  <c r="R186" i="16"/>
  <c r="R185" i="16"/>
  <c r="R184" i="16"/>
  <c r="R183" i="16"/>
  <c r="R182" i="16"/>
  <c r="R181" i="16"/>
  <c r="R180" i="16"/>
  <c r="R179" i="16"/>
  <c r="R178" i="16"/>
  <c r="R177" i="16"/>
  <c r="R176" i="16"/>
  <c r="R173" i="16"/>
  <c r="R172" i="16"/>
  <c r="R171" i="16"/>
  <c r="R169" i="16"/>
  <c r="R168" i="16"/>
  <c r="R167" i="16"/>
  <c r="R164" i="16"/>
  <c r="R163" i="16"/>
  <c r="R162" i="16"/>
  <c r="R159" i="16"/>
  <c r="R158" i="16"/>
  <c r="R157" i="16"/>
  <c r="R156" i="16"/>
  <c r="R155" i="16"/>
  <c r="R153" i="16"/>
  <c r="R151" i="16"/>
  <c r="R150" i="16"/>
  <c r="R148" i="16"/>
  <c r="R147" i="16"/>
  <c r="R146" i="16"/>
  <c r="R145" i="16"/>
  <c r="R144" i="16"/>
  <c r="R143" i="16"/>
  <c r="R141" i="16"/>
  <c r="R140" i="16"/>
  <c r="R139" i="16"/>
  <c r="R138" i="16"/>
  <c r="R135" i="16"/>
  <c r="R132" i="16"/>
  <c r="R131" i="16"/>
  <c r="R130" i="16"/>
  <c r="R129" i="16"/>
  <c r="R128" i="16"/>
  <c r="R127" i="16"/>
  <c r="R126" i="16"/>
  <c r="R125" i="16"/>
  <c r="R124" i="16"/>
  <c r="R122" i="16"/>
  <c r="R121" i="16"/>
  <c r="R119" i="16"/>
  <c r="R118" i="16"/>
  <c r="R115" i="16"/>
  <c r="R114" i="16"/>
  <c r="R113" i="16"/>
  <c r="R111" i="16"/>
  <c r="R110" i="16"/>
  <c r="R109" i="16"/>
  <c r="R108" i="16"/>
  <c r="R106" i="16"/>
  <c r="R104" i="16"/>
  <c r="R103" i="16"/>
  <c r="R102" i="16"/>
  <c r="R101" i="16"/>
  <c r="R100" i="16"/>
  <c r="R99" i="16"/>
  <c r="R98" i="16"/>
  <c r="R97" i="16"/>
  <c r="R96" i="16"/>
  <c r="R95" i="16"/>
  <c r="R94" i="16"/>
  <c r="R93" i="16"/>
  <c r="R91" i="16"/>
  <c r="R90" i="16"/>
  <c r="R89" i="16"/>
  <c r="R88" i="16"/>
  <c r="R86" i="16"/>
  <c r="R85" i="16"/>
  <c r="R84" i="16"/>
  <c r="R83" i="16"/>
  <c r="R82" i="16"/>
  <c r="R81" i="16"/>
  <c r="R80" i="16"/>
  <c r="R79" i="16"/>
  <c r="R78" i="16"/>
  <c r="R76" i="16"/>
  <c r="R74" i="16"/>
  <c r="R73" i="16"/>
  <c r="R71" i="16"/>
  <c r="R70" i="16"/>
  <c r="R68" i="16"/>
  <c r="R67" i="16"/>
  <c r="R65" i="16"/>
  <c r="R64" i="16"/>
  <c r="R63" i="16"/>
  <c r="R60" i="16"/>
  <c r="R58" i="16"/>
  <c r="R57" i="16"/>
  <c r="R54" i="16"/>
  <c r="R53" i="16"/>
  <c r="R52" i="16"/>
  <c r="R51" i="16"/>
  <c r="R50" i="16"/>
  <c r="R47" i="16"/>
  <c r="R45" i="16"/>
  <c r="R44" i="16"/>
  <c r="R43" i="16"/>
  <c r="R42" i="16"/>
  <c r="R41" i="16"/>
  <c r="R40" i="16"/>
  <c r="R39" i="16"/>
  <c r="R38" i="16"/>
  <c r="R37" i="16"/>
  <c r="R36" i="16"/>
  <c r="R35" i="16"/>
  <c r="R34" i="16"/>
  <c r="R31" i="16"/>
  <c r="R30" i="16"/>
  <c r="R29" i="16"/>
  <c r="R28" i="16"/>
  <c r="R27" i="16"/>
  <c r="R26" i="16"/>
  <c r="R25" i="16"/>
  <c r="R24" i="16"/>
  <c r="R23" i="16"/>
  <c r="R21" i="16"/>
  <c r="R20" i="16"/>
  <c r="R18" i="16"/>
  <c r="R17" i="16"/>
  <c r="R13" i="16"/>
  <c r="O358" i="16"/>
  <c r="O354" i="16"/>
  <c r="O351" i="16"/>
  <c r="O295" i="16"/>
  <c r="O359" i="16" s="1"/>
  <c r="O293" i="16"/>
  <c r="O338" i="16" s="1"/>
  <c r="O281" i="16"/>
  <c r="R281" i="16" s="1"/>
  <c r="O278" i="16"/>
  <c r="R278" i="16" s="1"/>
  <c r="O270" i="16"/>
  <c r="R270" i="16" s="1"/>
  <c r="O262" i="16"/>
  <c r="R262" i="16" s="1"/>
  <c r="O259" i="16"/>
  <c r="R259" i="16" s="1"/>
  <c r="O255" i="16"/>
  <c r="R255" i="16" s="1"/>
  <c r="O252" i="16"/>
  <c r="R252" i="16" s="1"/>
  <c r="O248" i="16"/>
  <c r="R248" i="16" s="1"/>
  <c r="O245" i="16"/>
  <c r="R245" i="16" s="1"/>
  <c r="O243" i="16"/>
  <c r="R243" i="16" s="1"/>
  <c r="O242" i="16"/>
  <c r="R242" i="16" s="1"/>
  <c r="O241" i="16"/>
  <c r="O232" i="16"/>
  <c r="O231" i="16" s="1"/>
  <c r="O336" i="16" s="1"/>
  <c r="O218" i="16"/>
  <c r="R218" i="16" s="1"/>
  <c r="O203" i="16"/>
  <c r="R203" i="16" s="1"/>
  <c r="O194" i="16"/>
  <c r="R194" i="16" s="1"/>
  <c r="O190" i="16"/>
  <c r="R190" i="16" s="1"/>
  <c r="O175" i="16"/>
  <c r="R175" i="16" s="1"/>
  <c r="O174" i="16"/>
  <c r="R174" i="16" s="1"/>
  <c r="O170" i="16"/>
  <c r="R170" i="16" s="1"/>
  <c r="O166" i="16"/>
  <c r="R166" i="16" s="1"/>
  <c r="O161" i="16"/>
  <c r="O160" i="16" s="1"/>
  <c r="O334" i="16" s="1"/>
  <c r="O154" i="16"/>
  <c r="O152" i="16" s="1"/>
  <c r="O149" i="16"/>
  <c r="R149" i="16" s="1"/>
  <c r="O142" i="16"/>
  <c r="R142" i="16" s="1"/>
  <c r="O137" i="16"/>
  <c r="R137" i="16" s="1"/>
  <c r="O134" i="16"/>
  <c r="O133" i="16" s="1"/>
  <c r="O331" i="16" s="1"/>
  <c r="O123" i="16"/>
  <c r="R123" i="16" s="1"/>
  <c r="O120" i="16"/>
  <c r="R120" i="16" s="1"/>
  <c r="O117" i="16"/>
  <c r="O112" i="16"/>
  <c r="R112" i="16" s="1"/>
  <c r="O107" i="16"/>
  <c r="R107" i="16" s="1"/>
  <c r="O92" i="16"/>
  <c r="R92" i="16" s="1"/>
  <c r="O87" i="16"/>
  <c r="R87" i="16" s="1"/>
  <c r="O77" i="16"/>
  <c r="R77" i="16" s="1"/>
  <c r="O75" i="16"/>
  <c r="R75" i="16" s="1"/>
  <c r="O72" i="16"/>
  <c r="R72" i="16" s="1"/>
  <c r="O69" i="16"/>
  <c r="R69" i="16" s="1"/>
  <c r="O66" i="16"/>
  <c r="R66" i="16" s="1"/>
  <c r="O63" i="16"/>
  <c r="O62" i="16"/>
  <c r="O61" i="16" s="1"/>
  <c r="R61" i="16" s="1"/>
  <c r="O59" i="16"/>
  <c r="R59" i="16" s="1"/>
  <c r="O56" i="16"/>
  <c r="R56" i="16" s="1"/>
  <c r="O49" i="16"/>
  <c r="R49" i="16" s="1"/>
  <c r="R48" i="16"/>
  <c r="O22" i="16"/>
  <c r="R22" i="16" s="1"/>
  <c r="O19" i="16"/>
  <c r="R19" i="16" s="1"/>
  <c r="O16" i="16"/>
  <c r="O15" i="16" l="1"/>
  <c r="R15" i="16" s="1"/>
  <c r="O116" i="16"/>
  <c r="O330" i="16" s="1"/>
  <c r="O217" i="16"/>
  <c r="R217" i="16" s="1"/>
  <c r="O105" i="16"/>
  <c r="O329" i="16" s="1"/>
  <c r="R295" i="16"/>
  <c r="R161" i="16"/>
  <c r="O339" i="16"/>
  <c r="R133" i="16"/>
  <c r="R231" i="16"/>
  <c r="O240" i="16"/>
  <c r="R240" i="16" s="1"/>
  <c r="O261" i="16"/>
  <c r="R261" i="16" s="1"/>
  <c r="R134" i="16"/>
  <c r="R232" i="16"/>
  <c r="O333" i="16"/>
  <c r="R152" i="16"/>
  <c r="R105" i="16"/>
  <c r="R16" i="16"/>
  <c r="R241" i="16"/>
  <c r="R293" i="16"/>
  <c r="R117" i="16"/>
  <c r="O136" i="16"/>
  <c r="R154" i="16"/>
  <c r="O33" i="16"/>
  <c r="R33" i="16" s="1"/>
  <c r="R46" i="16"/>
  <c r="R62" i="16"/>
  <c r="R160" i="16"/>
  <c r="R116" i="16"/>
  <c r="O55" i="16"/>
  <c r="O165" i="16"/>
  <c r="O14" i="16" l="1"/>
  <c r="R14" i="16" s="1"/>
  <c r="O238" i="16"/>
  <c r="O239" i="16"/>
  <c r="R239" i="16" s="1"/>
  <c r="O32" i="16"/>
  <c r="R32" i="16" s="1"/>
  <c r="O337" i="16"/>
  <c r="R238" i="16"/>
  <c r="O332" i="16"/>
  <c r="R136" i="16"/>
  <c r="O335" i="16"/>
  <c r="R165" i="16"/>
  <c r="O328" i="16"/>
  <c r="R55" i="16"/>
  <c r="O6" i="16"/>
  <c r="R6" i="16" s="1"/>
  <c r="O327" i="16"/>
  <c r="O326" i="16" l="1"/>
  <c r="F15" i="12" l="1"/>
  <c r="F14" i="12"/>
  <c r="F13" i="12"/>
  <c r="F12" i="12"/>
  <c r="F10" i="12"/>
  <c r="F8" i="12"/>
  <c r="F7" i="12"/>
  <c r="C11" i="12" l="1"/>
  <c r="F11" i="12" s="1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4" i="4"/>
  <c r="E83" i="4"/>
  <c r="E82" i="4"/>
  <c r="E81" i="4"/>
  <c r="E78" i="4"/>
  <c r="E77" i="4"/>
  <c r="E76" i="4"/>
  <c r="E75" i="4"/>
  <c r="E73" i="4"/>
  <c r="E72" i="4"/>
  <c r="E70" i="4"/>
  <c r="E69" i="4"/>
  <c r="E68" i="4"/>
  <c r="E67" i="4"/>
  <c r="E66" i="4"/>
  <c r="E65" i="4"/>
  <c r="E62" i="4"/>
  <c r="E61" i="4"/>
  <c r="E60" i="4"/>
  <c r="E59" i="4"/>
  <c r="E57" i="4"/>
  <c r="E56" i="4"/>
  <c r="E55" i="4"/>
  <c r="E53" i="4"/>
  <c r="E52" i="4"/>
  <c r="E49" i="4"/>
  <c r="E48" i="4"/>
  <c r="E47" i="4"/>
  <c r="E46" i="4"/>
  <c r="E45" i="4"/>
  <c r="E44" i="4"/>
  <c r="E43" i="4"/>
  <c r="E42" i="4"/>
  <c r="E39" i="4"/>
  <c r="E38" i="4"/>
  <c r="E37" i="4"/>
  <c r="E35" i="4"/>
  <c r="E34" i="4"/>
  <c r="E31" i="4"/>
  <c r="E30" i="4"/>
  <c r="E29" i="4"/>
  <c r="E28" i="4"/>
  <c r="E27" i="4"/>
  <c r="E25" i="4"/>
  <c r="E24" i="4"/>
  <c r="E23" i="4"/>
  <c r="E22" i="4"/>
  <c r="E21" i="4"/>
  <c r="E20" i="4"/>
  <c r="E17" i="4"/>
  <c r="E16" i="4"/>
  <c r="E15" i="4"/>
  <c r="E14" i="4"/>
  <c r="E13" i="4"/>
  <c r="E12" i="4"/>
  <c r="E10" i="4"/>
  <c r="E9" i="4"/>
  <c r="E7" i="4"/>
  <c r="E5" i="4"/>
  <c r="C86" i="4"/>
  <c r="C80" i="4"/>
  <c r="C74" i="4"/>
  <c r="E74" i="4" s="1"/>
  <c r="C71" i="4"/>
  <c r="E71" i="4" s="1"/>
  <c r="C64" i="4"/>
  <c r="C58" i="4"/>
  <c r="E58" i="4" s="1"/>
  <c r="C54" i="4"/>
  <c r="C51" i="4"/>
  <c r="E51" i="4" s="1"/>
  <c r="C41" i="4"/>
  <c r="C36" i="4"/>
  <c r="C33" i="4"/>
  <c r="E33" i="4" s="1"/>
  <c r="C26" i="4"/>
  <c r="E26" i="4" s="1"/>
  <c r="C19" i="4"/>
  <c r="C11" i="4"/>
  <c r="H303" i="8"/>
  <c r="H302" i="8"/>
  <c r="H301" i="8"/>
  <c r="V301" i="8" s="1"/>
  <c r="W301" i="8" s="1"/>
  <c r="H300" i="8"/>
  <c r="V300" i="8" s="1"/>
  <c r="W300" i="8" s="1"/>
  <c r="H299" i="8"/>
  <c r="H298" i="8"/>
  <c r="H297" i="8"/>
  <c r="H296" i="8"/>
  <c r="V296" i="8" s="1"/>
  <c r="W296" i="8" s="1"/>
  <c r="H295" i="8"/>
  <c r="H294" i="8"/>
  <c r="H293" i="8"/>
  <c r="H292" i="8"/>
  <c r="V292" i="8" s="1"/>
  <c r="W292" i="8" s="1"/>
  <c r="H291" i="8"/>
  <c r="H289" i="8"/>
  <c r="H288" i="8"/>
  <c r="V288" i="8" s="1"/>
  <c r="W288" i="8" s="1"/>
  <c r="H287" i="8"/>
  <c r="H286" i="8"/>
  <c r="H285" i="8"/>
  <c r="H284" i="8"/>
  <c r="V284" i="8" s="1"/>
  <c r="W284" i="8" s="1"/>
  <c r="H283" i="8"/>
  <c r="H265" i="8"/>
  <c r="H264" i="8"/>
  <c r="V264" i="8" s="1"/>
  <c r="W264" i="8" s="1"/>
  <c r="H262" i="8"/>
  <c r="H260" i="8"/>
  <c r="H259" i="8"/>
  <c r="H258" i="8"/>
  <c r="H257" i="8"/>
  <c r="V257" i="8" s="1"/>
  <c r="W257" i="8" s="1"/>
  <c r="H256" i="8"/>
  <c r="H255" i="8"/>
  <c r="V255" i="8" s="1"/>
  <c r="W255" i="8" s="1"/>
  <c r="H254" i="8"/>
  <c r="H253" i="8"/>
  <c r="H252" i="8"/>
  <c r="H251" i="8"/>
  <c r="V251" i="8" s="1"/>
  <c r="W251" i="8" s="1"/>
  <c r="H250" i="8"/>
  <c r="H249" i="8"/>
  <c r="V249" i="8" s="1"/>
  <c r="W249" i="8" s="1"/>
  <c r="H248" i="8"/>
  <c r="V248" i="8" s="1"/>
  <c r="W248" i="8" s="1"/>
  <c r="H247" i="8"/>
  <c r="H246" i="8"/>
  <c r="H245" i="8"/>
  <c r="V245" i="8" s="1"/>
  <c r="W245" i="8" s="1"/>
  <c r="H244" i="8"/>
  <c r="H243" i="8"/>
  <c r="V243" i="8" s="1"/>
  <c r="W243" i="8" s="1"/>
  <c r="H242" i="8"/>
  <c r="H241" i="8"/>
  <c r="V241" i="8" s="1"/>
  <c r="W241" i="8" s="1"/>
  <c r="H240" i="8"/>
  <c r="V240" i="8" s="1"/>
  <c r="W240" i="8" s="1"/>
  <c r="H239" i="8"/>
  <c r="V239" i="8" s="1"/>
  <c r="W239" i="8" s="1"/>
  <c r="H238" i="8"/>
  <c r="H236" i="8"/>
  <c r="H235" i="8"/>
  <c r="V235" i="8" s="1"/>
  <c r="W235" i="8" s="1"/>
  <c r="H234" i="8"/>
  <c r="H233" i="8"/>
  <c r="H232" i="8"/>
  <c r="V232" i="8" s="1"/>
  <c r="W232" i="8" s="1"/>
  <c r="H231" i="8"/>
  <c r="V231" i="8" s="1"/>
  <c r="W231" i="8" s="1"/>
  <c r="H229" i="8"/>
  <c r="H228" i="8"/>
  <c r="V228" i="8" s="1"/>
  <c r="W228" i="8" s="1"/>
  <c r="H227" i="8"/>
  <c r="V227" i="8" s="1"/>
  <c r="W227" i="8" s="1"/>
  <c r="H224" i="8"/>
  <c r="H223" i="8"/>
  <c r="V223" i="8" s="1"/>
  <c r="W223" i="8" s="1"/>
  <c r="H222" i="8"/>
  <c r="H221" i="8"/>
  <c r="V221" i="8" s="1"/>
  <c r="W221" i="8" s="1"/>
  <c r="H220" i="8"/>
  <c r="H219" i="8"/>
  <c r="V219" i="8" s="1"/>
  <c r="W219" i="8" s="1"/>
  <c r="H217" i="8"/>
  <c r="H215" i="8"/>
  <c r="H214" i="8"/>
  <c r="H213" i="8"/>
  <c r="H212" i="8"/>
  <c r="H211" i="8"/>
  <c r="V211" i="8" s="1"/>
  <c r="W211" i="8" s="1"/>
  <c r="H210" i="8"/>
  <c r="H209" i="8"/>
  <c r="V209" i="8" s="1"/>
  <c r="W209" i="8" s="1"/>
  <c r="H208" i="8"/>
  <c r="V208" i="8" s="1"/>
  <c r="W208" i="8" s="1"/>
  <c r="H207" i="8"/>
  <c r="H205" i="8"/>
  <c r="H203" i="8"/>
  <c r="H202" i="8"/>
  <c r="H201" i="8"/>
  <c r="V201" i="8" s="1"/>
  <c r="W201" i="8" s="1"/>
  <c r="H200" i="8"/>
  <c r="V200" i="8" s="1"/>
  <c r="W200" i="8" s="1"/>
  <c r="H199" i="8"/>
  <c r="H198" i="8"/>
  <c r="H197" i="8"/>
  <c r="H196" i="8"/>
  <c r="V196" i="8" s="1"/>
  <c r="W196" i="8" s="1"/>
  <c r="H195" i="8"/>
  <c r="H194" i="8"/>
  <c r="H193" i="8"/>
  <c r="H192" i="8"/>
  <c r="V192" i="8" s="1"/>
  <c r="W192" i="8" s="1"/>
  <c r="H191" i="8"/>
  <c r="H190" i="8"/>
  <c r="H189" i="8"/>
  <c r="H187" i="8"/>
  <c r="V187" i="8" s="1"/>
  <c r="W187" i="8" s="1"/>
  <c r="H185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1" i="8"/>
  <c r="H170" i="8"/>
  <c r="H169" i="8"/>
  <c r="H166" i="8"/>
  <c r="H165" i="8"/>
  <c r="H164" i="8"/>
  <c r="H163" i="8"/>
  <c r="V163" i="8" s="1"/>
  <c r="W163" i="8" s="1"/>
  <c r="H162" i="8"/>
  <c r="H161" i="8"/>
  <c r="H160" i="8"/>
  <c r="H159" i="8"/>
  <c r="V159" i="8" s="1"/>
  <c r="W159" i="8" s="1"/>
  <c r="H158" i="8"/>
  <c r="H157" i="8"/>
  <c r="H156" i="8"/>
  <c r="H155" i="8"/>
  <c r="H154" i="8"/>
  <c r="H153" i="8"/>
  <c r="V153" i="8" s="1"/>
  <c r="W153" i="8" s="1"/>
  <c r="H152" i="8"/>
  <c r="H151" i="8"/>
  <c r="H150" i="8"/>
  <c r="H149" i="8"/>
  <c r="V149" i="8" s="1"/>
  <c r="W149" i="8" s="1"/>
  <c r="H148" i="8"/>
  <c r="V148" i="8" s="1"/>
  <c r="W148" i="8" s="1"/>
  <c r="H147" i="8"/>
  <c r="H146" i="8"/>
  <c r="H118" i="8"/>
  <c r="H116" i="8"/>
  <c r="H115" i="8"/>
  <c r="H114" i="8"/>
  <c r="H113" i="8"/>
  <c r="V113" i="8" s="1"/>
  <c r="W113" i="8" s="1"/>
  <c r="H112" i="8"/>
  <c r="H111" i="8"/>
  <c r="H110" i="8"/>
  <c r="H109" i="8"/>
  <c r="H108" i="8"/>
  <c r="H107" i="8"/>
  <c r="V107" i="8" s="1"/>
  <c r="W107" i="8" s="1"/>
  <c r="H106" i="8"/>
  <c r="H105" i="8"/>
  <c r="H104" i="8"/>
  <c r="H103" i="8"/>
  <c r="V103" i="8" s="1"/>
  <c r="W103" i="8" s="1"/>
  <c r="H102" i="8"/>
  <c r="H99" i="8"/>
  <c r="H98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0" i="8"/>
  <c r="V80" i="8" s="1"/>
  <c r="W80" i="8" s="1"/>
  <c r="H79" i="8"/>
  <c r="V79" i="8" s="1"/>
  <c r="W79" i="8" s="1"/>
  <c r="H78" i="8"/>
  <c r="H75" i="8"/>
  <c r="H74" i="8"/>
  <c r="H73" i="8"/>
  <c r="V73" i="8" s="1"/>
  <c r="W73" i="8" s="1"/>
  <c r="H72" i="8"/>
  <c r="V72" i="8" s="1"/>
  <c r="W72" i="8" s="1"/>
  <c r="H71" i="8"/>
  <c r="H70" i="8"/>
  <c r="H69" i="8"/>
  <c r="H68" i="8"/>
  <c r="V68" i="8" s="1"/>
  <c r="W68" i="8" s="1"/>
  <c r="H67" i="8"/>
  <c r="V67" i="8" s="1"/>
  <c r="W67" i="8" s="1"/>
  <c r="H66" i="8"/>
  <c r="H65" i="8"/>
  <c r="H64" i="8"/>
  <c r="H61" i="8"/>
  <c r="H60" i="8"/>
  <c r="H56" i="8"/>
  <c r="H55" i="8"/>
  <c r="H54" i="8"/>
  <c r="H46" i="8"/>
  <c r="H45" i="8"/>
  <c r="H44" i="8"/>
  <c r="H43" i="8"/>
  <c r="V43" i="8" s="1"/>
  <c r="W43" i="8" s="1"/>
  <c r="H42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5" i="8"/>
  <c r="H9" i="8"/>
  <c r="H7" i="8"/>
  <c r="H6" i="8"/>
  <c r="H5" i="8"/>
  <c r="V21" i="8" l="1"/>
  <c r="W21" i="8"/>
  <c r="V33" i="8"/>
  <c r="W33" i="8" s="1"/>
  <c r="W44" i="8"/>
  <c r="V44" i="8"/>
  <c r="V89" i="8"/>
  <c r="W89" i="8" s="1"/>
  <c r="V108" i="8"/>
  <c r="W108" i="8" s="1"/>
  <c r="W160" i="8"/>
  <c r="V160" i="8"/>
  <c r="V174" i="8"/>
  <c r="W174" i="8" s="1"/>
  <c r="V182" i="8"/>
  <c r="W182" i="8" s="1"/>
  <c r="W205" i="8"/>
  <c r="V205" i="8"/>
  <c r="V9" i="8"/>
  <c r="W9" i="8" s="1"/>
  <c r="V25" i="8"/>
  <c r="W25" i="8"/>
  <c r="V37" i="8"/>
  <c r="W37" i="8"/>
  <c r="W55" i="8"/>
  <c r="V55" i="8"/>
  <c r="W64" i="8"/>
  <c r="V64" i="8"/>
  <c r="W78" i="8"/>
  <c r="V78" i="8"/>
  <c r="V93" i="8"/>
  <c r="W93" i="8" s="1"/>
  <c r="W104" i="8"/>
  <c r="V104" i="8"/>
  <c r="V112" i="8"/>
  <c r="W112" i="8" s="1"/>
  <c r="W152" i="8"/>
  <c r="V152" i="8"/>
  <c r="V164" i="8"/>
  <c r="W164" i="8" s="1"/>
  <c r="V214" i="8"/>
  <c r="W214" i="8" s="1"/>
  <c r="V220" i="8"/>
  <c r="W220" i="8" s="1"/>
  <c r="V224" i="8"/>
  <c r="W224" i="8"/>
  <c r="W244" i="8"/>
  <c r="V244" i="8"/>
  <c r="V252" i="8"/>
  <c r="W252" i="8"/>
  <c r="W260" i="8"/>
  <c r="V260" i="8"/>
  <c r="V5" i="8"/>
  <c r="W5" i="8"/>
  <c r="V38" i="8"/>
  <c r="W38" i="8" s="1"/>
  <c r="W90" i="8"/>
  <c r="V90" i="8"/>
  <c r="W165" i="8"/>
  <c r="V165" i="8"/>
  <c r="V29" i="8"/>
  <c r="W29" i="8" s="1"/>
  <c r="V85" i="8"/>
  <c r="W85" i="8" s="1"/>
  <c r="W98" i="8"/>
  <c r="V98" i="8"/>
  <c r="W116" i="8"/>
  <c r="V116" i="8"/>
  <c r="V156" i="8"/>
  <c r="W156" i="8"/>
  <c r="V170" i="8"/>
  <c r="W170" i="8" s="1"/>
  <c r="V178" i="8"/>
  <c r="W178" i="8" s="1"/>
  <c r="W210" i="8"/>
  <c r="V210" i="8"/>
  <c r="W256" i="8"/>
  <c r="V256" i="8"/>
  <c r="V283" i="8"/>
  <c r="W283" i="8"/>
  <c r="W287" i="8"/>
  <c r="V287" i="8"/>
  <c r="W15" i="8"/>
  <c r="V15" i="8"/>
  <c r="W22" i="8"/>
  <c r="V22" i="8"/>
  <c r="V34" i="8"/>
  <c r="W34" i="8" s="1"/>
  <c r="V45" i="8"/>
  <c r="W45" i="8"/>
  <c r="V65" i="8"/>
  <c r="W65" i="8"/>
  <c r="W86" i="8"/>
  <c r="V86" i="8"/>
  <c r="W99" i="8"/>
  <c r="V99" i="8"/>
  <c r="W109" i="8"/>
  <c r="V109" i="8"/>
  <c r="V118" i="8"/>
  <c r="W118" i="8" s="1"/>
  <c r="W161" i="8"/>
  <c r="V161" i="8"/>
  <c r="W175" i="8"/>
  <c r="V175" i="8"/>
  <c r="W183" i="8"/>
  <c r="V183" i="8"/>
  <c r="W197" i="8"/>
  <c r="V197" i="8"/>
  <c r="W215" i="8"/>
  <c r="V215" i="8"/>
  <c r="V253" i="8"/>
  <c r="W253" i="8" s="1"/>
  <c r="V262" i="8"/>
  <c r="W262" i="8"/>
  <c r="W293" i="8"/>
  <c r="V293" i="8"/>
  <c r="W6" i="8"/>
  <c r="V6" i="8"/>
  <c r="V19" i="8"/>
  <c r="W19" i="8"/>
  <c r="V23" i="8"/>
  <c r="W23" i="8"/>
  <c r="V27" i="8"/>
  <c r="W27" i="8"/>
  <c r="V31" i="8"/>
  <c r="W31" i="8"/>
  <c r="V35" i="8"/>
  <c r="W35" i="8"/>
  <c r="V42" i="8"/>
  <c r="W42" i="8"/>
  <c r="W46" i="8"/>
  <c r="V46" i="8"/>
  <c r="V60" i="8"/>
  <c r="W60" i="8"/>
  <c r="W66" i="8"/>
  <c r="V66" i="8"/>
  <c r="W70" i="8"/>
  <c r="V70" i="8"/>
  <c r="W74" i="8"/>
  <c r="V74" i="8"/>
  <c r="V87" i="8"/>
  <c r="W87" i="8"/>
  <c r="V91" i="8"/>
  <c r="W91" i="8"/>
  <c r="W95" i="8"/>
  <c r="V95" i="8"/>
  <c r="V102" i="8"/>
  <c r="W102" i="8"/>
  <c r="W106" i="8"/>
  <c r="V106" i="8"/>
  <c r="W110" i="8"/>
  <c r="V110" i="8"/>
  <c r="W114" i="8"/>
  <c r="V114" i="8"/>
  <c r="W146" i="8"/>
  <c r="V146" i="8"/>
  <c r="W150" i="8"/>
  <c r="V150" i="8"/>
  <c r="V154" i="8"/>
  <c r="W154" i="8" s="1"/>
  <c r="V158" i="8"/>
  <c r="W158" i="8" s="1"/>
  <c r="W162" i="8"/>
  <c r="V162" i="8"/>
  <c r="V166" i="8"/>
  <c r="W166" i="8"/>
  <c r="V172" i="8"/>
  <c r="W172" i="8"/>
  <c r="V176" i="8"/>
  <c r="W176" i="8"/>
  <c r="V180" i="8"/>
  <c r="W180" i="8"/>
  <c r="V184" i="8"/>
  <c r="W184" i="8"/>
  <c r="V190" i="8"/>
  <c r="W190" i="8"/>
  <c r="W194" i="8"/>
  <c r="V194" i="8"/>
  <c r="W198" i="8"/>
  <c r="V198" i="8"/>
  <c r="V202" i="8"/>
  <c r="W202" i="8"/>
  <c r="V212" i="8"/>
  <c r="W212" i="8"/>
  <c r="W217" i="8"/>
  <c r="V217" i="8"/>
  <c r="V222" i="8"/>
  <c r="W222" i="8" s="1"/>
  <c r="V233" i="8"/>
  <c r="W233" i="8" s="1"/>
  <c r="V238" i="8"/>
  <c r="W238" i="8" s="1"/>
  <c r="V242" i="8"/>
  <c r="W242" i="8"/>
  <c r="V246" i="8"/>
  <c r="W246" i="8" s="1"/>
  <c r="W250" i="8"/>
  <c r="V250" i="8"/>
  <c r="V254" i="8"/>
  <c r="W254" i="8"/>
  <c r="V258" i="8"/>
  <c r="W258" i="8"/>
  <c r="W285" i="8"/>
  <c r="V285" i="8"/>
  <c r="V289" i="8"/>
  <c r="W289" i="8"/>
  <c r="V294" i="8"/>
  <c r="W294" i="8" s="1"/>
  <c r="V298" i="8"/>
  <c r="W298" i="8" s="1"/>
  <c r="W302" i="8"/>
  <c r="V302" i="8"/>
  <c r="W26" i="8"/>
  <c r="V26" i="8"/>
  <c r="W30" i="8"/>
  <c r="V30" i="8"/>
  <c r="V56" i="8"/>
  <c r="W56" i="8" s="1"/>
  <c r="V69" i="8"/>
  <c r="W69" i="8"/>
  <c r="W94" i="8"/>
  <c r="V94" i="8"/>
  <c r="V105" i="8"/>
  <c r="W105" i="8"/>
  <c r="W157" i="8"/>
  <c r="V157" i="8"/>
  <c r="W171" i="8"/>
  <c r="V171" i="8"/>
  <c r="W179" i="8"/>
  <c r="V179" i="8"/>
  <c r="W189" i="8"/>
  <c r="V189" i="8"/>
  <c r="V193" i="8"/>
  <c r="W193" i="8"/>
  <c r="V207" i="8"/>
  <c r="W207" i="8"/>
  <c r="W236" i="8"/>
  <c r="V236" i="8"/>
  <c r="V297" i="8"/>
  <c r="W297" i="8"/>
  <c r="V7" i="8"/>
  <c r="W7" i="8"/>
  <c r="V20" i="8"/>
  <c r="W20" i="8" s="1"/>
  <c r="V24" i="8"/>
  <c r="W24" i="8" s="1"/>
  <c r="V28" i="8"/>
  <c r="W28" i="8" s="1"/>
  <c r="W32" i="8"/>
  <c r="V32" i="8"/>
  <c r="W36" i="8"/>
  <c r="V36" i="8"/>
  <c r="V54" i="8"/>
  <c r="W54" i="8"/>
  <c r="W61" i="8"/>
  <c r="V61" i="8"/>
  <c r="V71" i="8"/>
  <c r="W71" i="8"/>
  <c r="V75" i="8"/>
  <c r="W75" i="8"/>
  <c r="W84" i="8"/>
  <c r="V84" i="8"/>
  <c r="W88" i="8"/>
  <c r="V88" i="8"/>
  <c r="W92" i="8"/>
  <c r="V92" i="8"/>
  <c r="V96" i="8"/>
  <c r="W96" i="8"/>
  <c r="W111" i="8"/>
  <c r="V111" i="8"/>
  <c r="V115" i="8"/>
  <c r="W115" i="8"/>
  <c r="V147" i="8"/>
  <c r="W147" i="8"/>
  <c r="W151" i="8"/>
  <c r="V151" i="8"/>
  <c r="W155" i="8"/>
  <c r="V155" i="8"/>
  <c r="W169" i="8"/>
  <c r="V169" i="8"/>
  <c r="W173" i="8"/>
  <c r="V173" i="8"/>
  <c r="W177" i="8"/>
  <c r="V177" i="8"/>
  <c r="W181" i="8"/>
  <c r="V181" i="8"/>
  <c r="W185" i="8"/>
  <c r="V185" i="8"/>
  <c r="W191" i="8"/>
  <c r="V191" i="8"/>
  <c r="W195" i="8"/>
  <c r="V195" i="8"/>
  <c r="W199" i="8"/>
  <c r="V199" i="8"/>
  <c r="W203" i="8"/>
  <c r="V203" i="8"/>
  <c r="V213" i="8"/>
  <c r="W213" i="8" s="1"/>
  <c r="V229" i="8"/>
  <c r="W229" i="8"/>
  <c r="W234" i="8"/>
  <c r="V234" i="8"/>
  <c r="W247" i="8"/>
  <c r="V247" i="8"/>
  <c r="V259" i="8"/>
  <c r="W259" i="8" s="1"/>
  <c r="W265" i="8"/>
  <c r="V265" i="8"/>
  <c r="V286" i="8"/>
  <c r="W286" i="8" s="1"/>
  <c r="V291" i="8"/>
  <c r="W291" i="8"/>
  <c r="W295" i="8"/>
  <c r="V295" i="8"/>
  <c r="V299" i="8"/>
  <c r="W299" i="8"/>
  <c r="V303" i="8"/>
  <c r="W303" i="8"/>
  <c r="C50" i="4"/>
  <c r="E50" i="4" s="1"/>
  <c r="E54" i="4"/>
  <c r="C8" i="4"/>
  <c r="E8" i="4" s="1"/>
  <c r="E11" i="4"/>
  <c r="C32" i="4"/>
  <c r="E32" i="4" s="1"/>
  <c r="E36" i="4"/>
  <c r="C79" i="4"/>
  <c r="E79" i="4" s="1"/>
  <c r="E80" i="4"/>
  <c r="C18" i="4"/>
  <c r="E18" i="4" s="1"/>
  <c r="E19" i="4"/>
  <c r="C40" i="4"/>
  <c r="E40" i="4" s="1"/>
  <c r="E41" i="4"/>
  <c r="C63" i="4"/>
  <c r="E63" i="4" s="1"/>
  <c r="E64" i="4"/>
  <c r="C85" i="4"/>
  <c r="E85" i="4" s="1"/>
  <c r="E86" i="4"/>
  <c r="C6" i="4" l="1"/>
  <c r="E6" i="4" s="1"/>
  <c r="S152" i="16" l="1"/>
  <c r="S242" i="16"/>
  <c r="H242" i="16"/>
  <c r="S255" i="16"/>
  <c r="H255" i="16"/>
  <c r="H87" i="16"/>
  <c r="S75" i="16"/>
  <c r="S64" i="16"/>
  <c r="H64" i="16"/>
  <c r="T306" i="16"/>
  <c r="A158" i="16"/>
  <c r="B158" i="16"/>
  <c r="A159" i="16"/>
  <c r="A113" i="16"/>
  <c r="A103" i="16"/>
  <c r="H235" i="16"/>
  <c r="H258" i="16"/>
  <c r="B38" i="44" l="1"/>
  <c r="B37" i="44"/>
  <c r="B36" i="44"/>
  <c r="B35" i="44"/>
  <c r="B34" i="44"/>
  <c r="B33" i="44"/>
  <c r="B32" i="44"/>
  <c r="B31" i="44"/>
  <c r="B30" i="44"/>
  <c r="G29" i="44"/>
  <c r="F29" i="44"/>
  <c r="E29" i="44"/>
  <c r="D29" i="44"/>
  <c r="C29" i="44"/>
  <c r="B29" i="44"/>
  <c r="G26" i="44"/>
  <c r="F26" i="44"/>
  <c r="E26" i="44"/>
  <c r="D26" i="44"/>
  <c r="C26" i="44"/>
  <c r="B26" i="44"/>
  <c r="G24" i="44"/>
  <c r="F24" i="44"/>
  <c r="E24" i="44"/>
  <c r="D24" i="44"/>
  <c r="C24" i="44"/>
  <c r="B24" i="44"/>
  <c r="B22" i="44" s="1"/>
  <c r="B23" i="44"/>
  <c r="G22" i="44"/>
  <c r="F22" i="44"/>
  <c r="E22" i="44"/>
  <c r="D22" i="44"/>
  <c r="C22" i="44"/>
  <c r="R12" i="43"/>
  <c r="Q12" i="43"/>
  <c r="P12" i="43"/>
  <c r="O12" i="43"/>
  <c r="F12" i="43"/>
  <c r="E12" i="43"/>
  <c r="D12" i="43"/>
  <c r="C12" i="43"/>
  <c r="F5" i="19" l="1"/>
  <c r="T17" i="8" l="1"/>
  <c r="T18" i="8"/>
  <c r="T76" i="8"/>
  <c r="T77" i="8"/>
  <c r="T100" i="8"/>
  <c r="T101" i="8"/>
  <c r="T167" i="8"/>
  <c r="T168" i="8"/>
  <c r="T218" i="8"/>
  <c r="T225" i="8"/>
  <c r="T230" i="8"/>
  <c r="T237" i="8"/>
  <c r="T261" i="8"/>
  <c r="I7" i="12"/>
  <c r="J7" i="12"/>
  <c r="I8" i="12"/>
  <c r="J8" i="12"/>
  <c r="I10" i="12"/>
  <c r="J10" i="12"/>
  <c r="I12" i="12"/>
  <c r="J12" i="12"/>
  <c r="I13" i="12"/>
  <c r="J13" i="12" s="1"/>
  <c r="I14" i="12"/>
  <c r="J14" i="12"/>
  <c r="I15" i="12"/>
  <c r="J15" i="12"/>
  <c r="H11" i="12"/>
  <c r="I11" i="12" s="1"/>
  <c r="J11" i="12" s="1"/>
  <c r="H100" i="4"/>
  <c r="H99" i="4"/>
  <c r="H98" i="4"/>
  <c r="H95" i="4"/>
  <c r="H94" i="4"/>
  <c r="H93" i="4"/>
  <c r="H90" i="4"/>
  <c r="H89" i="4"/>
  <c r="H88" i="4"/>
  <c r="H87" i="4"/>
  <c r="H84" i="4"/>
  <c r="H83" i="4"/>
  <c r="H82" i="4"/>
  <c r="H81" i="4"/>
  <c r="H78" i="4"/>
  <c r="H77" i="4"/>
  <c r="H76" i="4"/>
  <c r="H75" i="4"/>
  <c r="H73" i="4"/>
  <c r="H72" i="4"/>
  <c r="H70" i="4"/>
  <c r="H69" i="4"/>
  <c r="H68" i="4"/>
  <c r="H67" i="4"/>
  <c r="H66" i="4"/>
  <c r="H65" i="4"/>
  <c r="H62" i="4"/>
  <c r="H61" i="4"/>
  <c r="H60" i="4"/>
  <c r="H59" i="4"/>
  <c r="H57" i="4"/>
  <c r="H56" i="4"/>
  <c r="H55" i="4"/>
  <c r="H52" i="4"/>
  <c r="H49" i="4"/>
  <c r="H48" i="4"/>
  <c r="H47" i="4"/>
  <c r="H46" i="4"/>
  <c r="H45" i="4"/>
  <c r="H44" i="4"/>
  <c r="H43" i="4"/>
  <c r="H42" i="4"/>
  <c r="H39" i="4"/>
  <c r="H38" i="4"/>
  <c r="H37" i="4"/>
  <c r="H35" i="4"/>
  <c r="H34" i="4"/>
  <c r="H31" i="4"/>
  <c r="H30" i="4"/>
  <c r="H29" i="4"/>
  <c r="H28" i="4"/>
  <c r="H27" i="4"/>
  <c r="H25" i="4"/>
  <c r="H24" i="4"/>
  <c r="H23" i="4"/>
  <c r="H22" i="4"/>
  <c r="H21" i="4"/>
  <c r="H20" i="4"/>
  <c r="H17" i="4"/>
  <c r="H16" i="4"/>
  <c r="H15" i="4"/>
  <c r="H14" i="4"/>
  <c r="H13" i="4"/>
  <c r="H12" i="4"/>
  <c r="H10" i="4"/>
  <c r="H7" i="4"/>
  <c r="H5" i="4"/>
  <c r="G97" i="4"/>
  <c r="G96" i="4" s="1"/>
  <c r="G92" i="4"/>
  <c r="G91" i="4" s="1"/>
  <c r="G86" i="4"/>
  <c r="G85" i="4" s="1"/>
  <c r="I85" i="4" s="1"/>
  <c r="J85" i="4" s="1"/>
  <c r="G80" i="4"/>
  <c r="G79" i="4" s="1"/>
  <c r="I79" i="4" s="1"/>
  <c r="J79" i="4" s="1"/>
  <c r="G74" i="4"/>
  <c r="G71" i="4"/>
  <c r="G64" i="4"/>
  <c r="G58" i="4"/>
  <c r="I58" i="4" s="1"/>
  <c r="J58" i="4" s="1"/>
  <c r="G54" i="4"/>
  <c r="G53" i="4"/>
  <c r="G51" i="4" s="1"/>
  <c r="G41" i="4"/>
  <c r="I41" i="4" s="1"/>
  <c r="J41" i="4" s="1"/>
  <c r="G36" i="4"/>
  <c r="I36" i="4" s="1"/>
  <c r="J36" i="4" s="1"/>
  <c r="G33" i="4"/>
  <c r="G26" i="4"/>
  <c r="G19" i="4"/>
  <c r="G18" i="4"/>
  <c r="I18" i="4" s="1"/>
  <c r="J18" i="4" s="1"/>
  <c r="G11" i="4"/>
  <c r="G8" i="4" s="1"/>
  <c r="G9" i="4"/>
  <c r="J100" i="4"/>
  <c r="I100" i="4"/>
  <c r="J99" i="4"/>
  <c r="I99" i="4"/>
  <c r="J98" i="4"/>
  <c r="I98" i="4"/>
  <c r="J97" i="4"/>
  <c r="I97" i="4"/>
  <c r="J96" i="4"/>
  <c r="I96" i="4"/>
  <c r="J95" i="4"/>
  <c r="I95" i="4"/>
  <c r="J94" i="4"/>
  <c r="I94" i="4"/>
  <c r="J93" i="4"/>
  <c r="I93" i="4"/>
  <c r="J92" i="4"/>
  <c r="I92" i="4"/>
  <c r="J91" i="4"/>
  <c r="I91" i="4"/>
  <c r="J90" i="4"/>
  <c r="I90" i="4"/>
  <c r="J89" i="4"/>
  <c r="I89" i="4"/>
  <c r="J88" i="4"/>
  <c r="I88" i="4"/>
  <c r="I87" i="4"/>
  <c r="J87" i="4" s="1"/>
  <c r="J84" i="4"/>
  <c r="I84" i="4"/>
  <c r="I83" i="4"/>
  <c r="J83" i="4" s="1"/>
  <c r="I82" i="4"/>
  <c r="J82" i="4" s="1"/>
  <c r="I81" i="4"/>
  <c r="J81" i="4" s="1"/>
  <c r="J78" i="4"/>
  <c r="I78" i="4"/>
  <c r="J77" i="4"/>
  <c r="I77" i="4"/>
  <c r="J76" i="4"/>
  <c r="I76" i="4"/>
  <c r="I75" i="4"/>
  <c r="J75" i="4" s="1"/>
  <c r="I74" i="4"/>
  <c r="J74" i="4" s="1"/>
  <c r="I73" i="4"/>
  <c r="J73" i="4" s="1"/>
  <c r="I72" i="4"/>
  <c r="J72" i="4" s="1"/>
  <c r="I71" i="4"/>
  <c r="J71" i="4" s="1"/>
  <c r="I70" i="4"/>
  <c r="J70" i="4" s="1"/>
  <c r="I69" i="4"/>
  <c r="J69" i="4" s="1"/>
  <c r="I68" i="4"/>
  <c r="J68" i="4" s="1"/>
  <c r="I67" i="4"/>
  <c r="J67" i="4" s="1"/>
  <c r="J66" i="4"/>
  <c r="I66" i="4"/>
  <c r="I65" i="4"/>
  <c r="J65" i="4" s="1"/>
  <c r="I64" i="4"/>
  <c r="J64" i="4" s="1"/>
  <c r="J62" i="4"/>
  <c r="I62" i="4"/>
  <c r="J61" i="4"/>
  <c r="I61" i="4"/>
  <c r="J60" i="4"/>
  <c r="I60" i="4"/>
  <c r="I59" i="4"/>
  <c r="J59" i="4" s="1"/>
  <c r="J57" i="4"/>
  <c r="I57" i="4"/>
  <c r="I56" i="4"/>
  <c r="J56" i="4" s="1"/>
  <c r="I55" i="4"/>
  <c r="J55" i="4" s="1"/>
  <c r="I54" i="4"/>
  <c r="J54" i="4" s="1"/>
  <c r="I53" i="4"/>
  <c r="J53" i="4" s="1"/>
  <c r="I52" i="4"/>
  <c r="J52" i="4" s="1"/>
  <c r="I51" i="4"/>
  <c r="J51" i="4" s="1"/>
  <c r="J49" i="4"/>
  <c r="I49" i="4"/>
  <c r="J48" i="4"/>
  <c r="I48" i="4"/>
  <c r="J47" i="4"/>
  <c r="I47" i="4"/>
  <c r="J46" i="4"/>
  <c r="I46" i="4"/>
  <c r="I45" i="4"/>
  <c r="J45" i="4" s="1"/>
  <c r="I44" i="4"/>
  <c r="J44" i="4" s="1"/>
  <c r="J43" i="4"/>
  <c r="I43" i="4"/>
  <c r="I42" i="4"/>
  <c r="J42" i="4" s="1"/>
  <c r="J39" i="4"/>
  <c r="I39" i="4"/>
  <c r="I38" i="4"/>
  <c r="J38" i="4" s="1"/>
  <c r="I37" i="4"/>
  <c r="J37" i="4" s="1"/>
  <c r="I35" i="4"/>
  <c r="J35" i="4" s="1"/>
  <c r="I34" i="4"/>
  <c r="J34" i="4" s="1"/>
  <c r="J31" i="4"/>
  <c r="I31" i="4"/>
  <c r="J30" i="4"/>
  <c r="I30" i="4"/>
  <c r="J29" i="4"/>
  <c r="I29" i="4"/>
  <c r="I28" i="4"/>
  <c r="J28" i="4" s="1"/>
  <c r="I27" i="4"/>
  <c r="J27" i="4" s="1"/>
  <c r="I26" i="4"/>
  <c r="J26" i="4" s="1"/>
  <c r="J25" i="4"/>
  <c r="I25" i="4"/>
  <c r="I24" i="4"/>
  <c r="J24" i="4" s="1"/>
  <c r="I23" i="4"/>
  <c r="J23" i="4" s="1"/>
  <c r="I22" i="4"/>
  <c r="J22" i="4" s="1"/>
  <c r="I21" i="4"/>
  <c r="J21" i="4" s="1"/>
  <c r="J20" i="4"/>
  <c r="I20" i="4"/>
  <c r="I19" i="4"/>
  <c r="J19" i="4" s="1"/>
  <c r="J17" i="4"/>
  <c r="I17" i="4"/>
  <c r="J16" i="4"/>
  <c r="I16" i="4"/>
  <c r="J15" i="4"/>
  <c r="I15" i="4"/>
  <c r="I14" i="4"/>
  <c r="J14" i="4" s="1"/>
  <c r="I13" i="4"/>
  <c r="J13" i="4" s="1"/>
  <c r="I12" i="4"/>
  <c r="J12" i="4" s="1"/>
  <c r="I11" i="4"/>
  <c r="J11" i="4" s="1"/>
  <c r="J10" i="4"/>
  <c r="I10" i="4"/>
  <c r="J9" i="4"/>
  <c r="I9" i="4"/>
  <c r="I8" i="4"/>
  <c r="J8" i="4" s="1"/>
  <c r="J7" i="4"/>
  <c r="I7" i="4"/>
  <c r="J5" i="4"/>
  <c r="I5" i="4"/>
  <c r="G50" i="4" l="1"/>
  <c r="I50" i="4" s="1"/>
  <c r="J50" i="4" s="1"/>
  <c r="I80" i="4"/>
  <c r="J80" i="4" s="1"/>
  <c r="T14" i="8"/>
  <c r="G40" i="4"/>
  <c r="G32" i="4"/>
  <c r="G63" i="4"/>
  <c r="T16" i="8"/>
  <c r="T216" i="8"/>
  <c r="I33" i="4"/>
  <c r="J33" i="4" s="1"/>
  <c r="I86" i="4"/>
  <c r="J86" i="4" s="1"/>
  <c r="G6" i="4" l="1"/>
  <c r="I63" i="4"/>
  <c r="J63" i="4" s="1"/>
  <c r="I40" i="4"/>
  <c r="J40" i="4" s="1"/>
  <c r="I32" i="4"/>
  <c r="J32" i="4" s="1"/>
  <c r="T206" i="8"/>
  <c r="I6" i="4" l="1"/>
  <c r="J6" i="4" s="1"/>
  <c r="T204" i="8"/>
  <c r="T8" i="8" l="1"/>
  <c r="T13" i="8" l="1"/>
  <c r="T10" i="8" l="1"/>
  <c r="C44" i="5" l="1"/>
  <c r="B6" i="5" l="1"/>
  <c r="B62" i="5" l="1"/>
  <c r="B69" i="5" s="1"/>
  <c r="E56" i="6" l="1"/>
  <c r="G56" i="6" s="1"/>
  <c r="C22" i="5" s="1"/>
  <c r="C28" i="5"/>
  <c r="C29" i="5" l="1"/>
  <c r="H46" i="16"/>
  <c r="F28" i="6"/>
  <c r="H346" i="16" l="1"/>
  <c r="S358" i="16"/>
  <c r="R358" i="16"/>
  <c r="S354" i="16"/>
  <c r="R354" i="16"/>
  <c r="S351" i="16"/>
  <c r="R351" i="16"/>
  <c r="S262" i="16" l="1"/>
  <c r="S261" i="16" l="1"/>
  <c r="A149" i="16" l="1"/>
  <c r="R331" i="16"/>
  <c r="A218" i="16"/>
  <c r="R334" i="16"/>
  <c r="R339" i="16"/>
  <c r="R359" i="16"/>
  <c r="R338" i="16"/>
  <c r="H39" i="16"/>
  <c r="R332" i="16" l="1"/>
  <c r="R335" i="16"/>
  <c r="R333" i="16"/>
  <c r="R328" i="16"/>
  <c r="R329" i="16"/>
  <c r="R336" i="16"/>
  <c r="R330" i="16"/>
  <c r="R327" i="16" l="1"/>
  <c r="R337" i="16"/>
  <c r="R326" i="16" l="1"/>
  <c r="R237" i="8" l="1"/>
  <c r="Q237" i="8"/>
  <c r="O237" i="8"/>
  <c r="M237" i="8"/>
  <c r="L237" i="8"/>
  <c r="R230" i="8"/>
  <c r="Q230" i="8"/>
  <c r="O230" i="8"/>
  <c r="M230" i="8"/>
  <c r="L230" i="8"/>
  <c r="L226" i="8"/>
  <c r="P226" i="8" s="1"/>
  <c r="R225" i="8"/>
  <c r="Q225" i="8"/>
  <c r="O225" i="8"/>
  <c r="M225" i="8"/>
  <c r="R218" i="8"/>
  <c r="Q218" i="8"/>
  <c r="O218" i="8"/>
  <c r="M218" i="8"/>
  <c r="L218" i="8"/>
  <c r="R186" i="8"/>
  <c r="R167" i="8" s="1"/>
  <c r="Q186" i="8"/>
  <c r="Q167" i="8" s="1"/>
  <c r="O186" i="8"/>
  <c r="O167" i="8" s="1"/>
  <c r="M186" i="8"/>
  <c r="M167" i="8" s="1"/>
  <c r="L186" i="8"/>
  <c r="R168" i="8"/>
  <c r="Q168" i="8"/>
  <c r="O168" i="8"/>
  <c r="M168" i="8"/>
  <c r="L168" i="8"/>
  <c r="R101" i="8"/>
  <c r="Q101" i="8"/>
  <c r="O101" i="8"/>
  <c r="M101" i="8"/>
  <c r="L101" i="8"/>
  <c r="P101" i="8" s="1"/>
  <c r="R100" i="8"/>
  <c r="Q100" i="8"/>
  <c r="O100" i="8"/>
  <c r="M100" i="8"/>
  <c r="L100" i="8"/>
  <c r="R77" i="8"/>
  <c r="Q77" i="8"/>
  <c r="O77" i="8"/>
  <c r="M77" i="8"/>
  <c r="L77" i="8"/>
  <c r="R76" i="8"/>
  <c r="Q76" i="8"/>
  <c r="O76" i="8"/>
  <c r="M76" i="8"/>
  <c r="L76" i="8"/>
  <c r="M47" i="8"/>
  <c r="P47" i="8" s="1"/>
  <c r="R18" i="8"/>
  <c r="Q18" i="8"/>
  <c r="O18" i="8"/>
  <c r="M18" i="8"/>
  <c r="L18" i="8"/>
  <c r="R17" i="8"/>
  <c r="Q17" i="8"/>
  <c r="O17" i="8"/>
  <c r="L17" i="8"/>
  <c r="R12" i="8"/>
  <c r="R10" i="8" s="1"/>
  <c r="O10" i="8"/>
  <c r="F86" i="4"/>
  <c r="F80" i="4"/>
  <c r="F74" i="4"/>
  <c r="H74" i="4" s="1"/>
  <c r="F71" i="4"/>
  <c r="H71" i="4" s="1"/>
  <c r="F64" i="4"/>
  <c r="F58" i="4"/>
  <c r="H58" i="4" s="1"/>
  <c r="F54" i="4"/>
  <c r="H54" i="4" s="1"/>
  <c r="F53" i="4"/>
  <c r="F41" i="4"/>
  <c r="F36" i="4"/>
  <c r="H36" i="4" s="1"/>
  <c r="F33" i="4"/>
  <c r="H33" i="4" s="1"/>
  <c r="F26" i="4"/>
  <c r="H26" i="4" s="1"/>
  <c r="F19" i="4"/>
  <c r="F11" i="4"/>
  <c r="H11" i="4" s="1"/>
  <c r="F9" i="4"/>
  <c r="H9" i="4" s="1"/>
  <c r="P76" i="8" l="1"/>
  <c r="P168" i="8"/>
  <c r="P230" i="8"/>
  <c r="P77" i="8"/>
  <c r="P186" i="8"/>
  <c r="P237" i="8"/>
  <c r="P18" i="8"/>
  <c r="P100" i="8"/>
  <c r="P218" i="8"/>
  <c r="M17" i="8"/>
  <c r="P17" i="8" s="1"/>
  <c r="F8" i="4"/>
  <c r="H8" i="4" s="1"/>
  <c r="F51" i="4"/>
  <c r="H53" i="4"/>
  <c r="F79" i="4"/>
  <c r="H79" i="4" s="1"/>
  <c r="H80" i="4"/>
  <c r="F18" i="4"/>
  <c r="H18" i="4" s="1"/>
  <c r="H19" i="4"/>
  <c r="F40" i="4"/>
  <c r="H40" i="4" s="1"/>
  <c r="H41" i="4"/>
  <c r="F63" i="4"/>
  <c r="H63" i="4" s="1"/>
  <c r="H64" i="4"/>
  <c r="F85" i="4"/>
  <c r="H85" i="4" s="1"/>
  <c r="H86" i="4"/>
  <c r="L167" i="8"/>
  <c r="P167" i="8" s="1"/>
  <c r="L225" i="8"/>
  <c r="P225" i="8" s="1"/>
  <c r="O14" i="8"/>
  <c r="M216" i="8"/>
  <c r="M206" i="8" s="1"/>
  <c r="M204" i="8" s="1"/>
  <c r="M14" i="8"/>
  <c r="R216" i="8"/>
  <c r="R206" i="8" s="1"/>
  <c r="R204" i="8" s="1"/>
  <c r="Q14" i="8"/>
  <c r="M16" i="8"/>
  <c r="R14" i="8"/>
  <c r="O16" i="8"/>
  <c r="O216" i="8"/>
  <c r="O206" i="8" s="1"/>
  <c r="O204" i="8" s="1"/>
  <c r="Q16" i="8"/>
  <c r="Q216" i="8"/>
  <c r="Q206" i="8" s="1"/>
  <c r="Q204" i="8" s="1"/>
  <c r="L14" i="8"/>
  <c r="P14" i="8" s="1"/>
  <c r="R16" i="8"/>
  <c r="F32" i="4"/>
  <c r="H32" i="4" s="1"/>
  <c r="L16" i="8" l="1"/>
  <c r="P16" i="8" s="1"/>
  <c r="F50" i="4"/>
  <c r="H50" i="4" s="1"/>
  <c r="H51" i="4"/>
  <c r="L216" i="8"/>
  <c r="P216" i="8" s="1"/>
  <c r="R8" i="8"/>
  <c r="M8" i="8"/>
  <c r="M13" i="8" s="1"/>
  <c r="M10" i="8" s="1"/>
  <c r="Q11" i="8"/>
  <c r="Q10" i="8" s="1"/>
  <c r="O8" i="8"/>
  <c r="Q8" i="8"/>
  <c r="S258" i="16"/>
  <c r="S77" i="16"/>
  <c r="H77" i="16"/>
  <c r="S203" i="16"/>
  <c r="S89" i="16"/>
  <c r="H44" i="16"/>
  <c r="H40" i="16"/>
  <c r="S34" i="16"/>
  <c r="S44" i="16"/>
  <c r="S40" i="16"/>
  <c r="S39" i="16"/>
  <c r="S112" i="16"/>
  <c r="H112" i="16"/>
  <c r="S111" i="16"/>
  <c r="D29" i="13"/>
  <c r="B113" i="16"/>
  <c r="B103" i="16"/>
  <c r="B159" i="16"/>
  <c r="D46" i="5"/>
  <c r="D56" i="5"/>
  <c r="S85" i="16"/>
  <c r="H76" i="16"/>
  <c r="S68" i="16"/>
  <c r="S67" i="16"/>
  <c r="S149" i="16"/>
  <c r="H149" i="16"/>
  <c r="H141" i="16"/>
  <c r="S141" i="16"/>
  <c r="H58" i="16"/>
  <c r="H57" i="16"/>
  <c r="S58" i="16"/>
  <c r="S57" i="16"/>
  <c r="H294" i="16"/>
  <c r="H292" i="16"/>
  <c r="H291" i="16"/>
  <c r="H290" i="16"/>
  <c r="S281" i="16"/>
  <c r="H281" i="16"/>
  <c r="S275" i="16"/>
  <c r="H275" i="16"/>
  <c r="H262" i="16"/>
  <c r="S252" i="16"/>
  <c r="H252" i="16"/>
  <c r="S248" i="16"/>
  <c r="S245" i="16"/>
  <c r="H245" i="16"/>
  <c r="S243" i="16"/>
  <c r="H243" i="16"/>
  <c r="S241" i="16"/>
  <c r="S236" i="16"/>
  <c r="H232" i="16"/>
  <c r="O356" i="16" s="1"/>
  <c r="S231" i="16"/>
  <c r="S218" i="16"/>
  <c r="H218" i="16"/>
  <c r="C7" i="17"/>
  <c r="S217" i="16"/>
  <c r="H217" i="16"/>
  <c r="S201" i="16"/>
  <c r="S194" i="16"/>
  <c r="H194" i="16"/>
  <c r="S190" i="16"/>
  <c r="H190" i="16"/>
  <c r="S174" i="16"/>
  <c r="H174" i="16"/>
  <c r="S170" i="16"/>
  <c r="H170" i="16"/>
  <c r="S166" i="16"/>
  <c r="H166" i="16"/>
  <c r="S161" i="16"/>
  <c r="H161" i="16"/>
  <c r="H159" i="16"/>
  <c r="H154" i="16"/>
  <c r="H144" i="16"/>
  <c r="S142" i="16"/>
  <c r="H142" i="16"/>
  <c r="S123" i="16"/>
  <c r="H121" i="16"/>
  <c r="S120" i="16"/>
  <c r="H118" i="16"/>
  <c r="S117" i="16"/>
  <c r="S101" i="16"/>
  <c r="S92" i="16"/>
  <c r="H53" i="6"/>
  <c r="G11" i="12"/>
  <c r="F97" i="4"/>
  <c r="H97" i="4" s="1"/>
  <c r="F92" i="4"/>
  <c r="H92" i="4" s="1"/>
  <c r="H53" i="16"/>
  <c r="S54" i="16"/>
  <c r="S17" i="16"/>
  <c r="H17" i="16"/>
  <c r="H48" i="16"/>
  <c r="B5" i="13"/>
  <c r="B33" i="13"/>
  <c r="B20" i="13"/>
  <c r="B12" i="13"/>
  <c r="B45" i="13"/>
  <c r="C81" i="5"/>
  <c r="D81" i="5"/>
  <c r="C82" i="5"/>
  <c r="D82" i="5"/>
  <c r="C83" i="5"/>
  <c r="D83" i="5"/>
  <c r="B82" i="5"/>
  <c r="B83" i="5"/>
  <c r="B81" i="5"/>
  <c r="B89" i="5"/>
  <c r="B88" i="5"/>
  <c r="C85" i="5"/>
  <c r="D85" i="5"/>
  <c r="B86" i="5"/>
  <c r="B85" i="5"/>
  <c r="D79" i="5"/>
  <c r="D80" i="5"/>
  <c r="B80" i="5"/>
  <c r="B79" i="5"/>
  <c r="J263" i="8"/>
  <c r="J261" i="8" s="1"/>
  <c r="J237" i="8"/>
  <c r="J230" i="8"/>
  <c r="J226" i="8"/>
  <c r="J225" i="8" s="1"/>
  <c r="J218" i="8"/>
  <c r="J186" i="8"/>
  <c r="J167" i="8" s="1"/>
  <c r="J168" i="8"/>
  <c r="J101" i="8"/>
  <c r="J100" i="8"/>
  <c r="J77" i="8"/>
  <c r="J76" i="8"/>
  <c r="J47" i="8"/>
  <c r="J17" i="8" s="1"/>
  <c r="J18" i="8"/>
  <c r="B11" i="12"/>
  <c r="B97" i="4"/>
  <c r="B96" i="4" s="1"/>
  <c r="B92" i="4"/>
  <c r="B91" i="4" s="1"/>
  <c r="B88" i="4"/>
  <c r="B86" i="4"/>
  <c r="B80" i="4"/>
  <c r="B79" i="4" s="1"/>
  <c r="B76" i="4"/>
  <c r="B74" i="4"/>
  <c r="B71" i="4"/>
  <c r="B64" i="4"/>
  <c r="B60" i="4"/>
  <c r="B58" i="4"/>
  <c r="B54" i="4"/>
  <c r="B51" i="4"/>
  <c r="B47" i="4"/>
  <c r="B41" i="4"/>
  <c r="B36" i="4"/>
  <c r="B33" i="4"/>
  <c r="B29" i="4"/>
  <c r="B26" i="4"/>
  <c r="B19" i="4"/>
  <c r="B15" i="4"/>
  <c r="B11" i="4"/>
  <c r="B9" i="4"/>
  <c r="I14" i="8"/>
  <c r="I12" i="8"/>
  <c r="I206" i="8"/>
  <c r="I204" i="8" s="1"/>
  <c r="I8" i="8" s="1"/>
  <c r="D5" i="11"/>
  <c r="D63" i="5" s="1"/>
  <c r="D13" i="11"/>
  <c r="D11" i="11"/>
  <c r="D65" i="5" s="1"/>
  <c r="D8" i="11"/>
  <c r="D64" i="5" s="1"/>
  <c r="H39" i="6"/>
  <c r="D14" i="5" s="1"/>
  <c r="H40" i="6"/>
  <c r="D15" i="5" s="1"/>
  <c r="D47" i="5" s="1"/>
  <c r="H41" i="6"/>
  <c r="D16" i="5" s="1"/>
  <c r="H45" i="6"/>
  <c r="D56" i="6"/>
  <c r="C52" i="6"/>
  <c r="B52" i="6"/>
  <c r="B17" i="6"/>
  <c r="D17" i="6" s="1"/>
  <c r="D57" i="6"/>
  <c r="D51" i="6"/>
  <c r="D49" i="6"/>
  <c r="D47" i="6"/>
  <c r="D42" i="6"/>
  <c r="D37" i="6"/>
  <c r="D34" i="6"/>
  <c r="D18" i="6"/>
  <c r="D12" i="6"/>
  <c r="D8" i="6"/>
  <c r="C22" i="6"/>
  <c r="D22" i="6"/>
  <c r="C23" i="6"/>
  <c r="D23" i="6"/>
  <c r="C24" i="6"/>
  <c r="D26" i="6" s="1"/>
  <c r="C27" i="6"/>
  <c r="D27" i="6"/>
  <c r="C31" i="6"/>
  <c r="C29" i="6" s="1"/>
  <c r="C46" i="6"/>
  <c r="D46" i="6" s="1"/>
  <c r="H38" i="6"/>
  <c r="B10" i="6"/>
  <c r="D10" i="6" s="1"/>
  <c r="B11" i="6"/>
  <c r="D11" i="6" s="1"/>
  <c r="B14" i="6"/>
  <c r="B15" i="6"/>
  <c r="D15" i="6" s="1"/>
  <c r="B16" i="6"/>
  <c r="D16" i="6" s="1"/>
  <c r="B19" i="6"/>
  <c r="D19" i="6" s="1"/>
  <c r="B24" i="6"/>
  <c r="D25" i="6" s="1"/>
  <c r="B30" i="6"/>
  <c r="D30" i="6" s="1"/>
  <c r="B31" i="6"/>
  <c r="B36" i="6"/>
  <c r="B39" i="6"/>
  <c r="D39" i="6" s="1"/>
  <c r="B40" i="6"/>
  <c r="D40" i="6" s="1"/>
  <c r="B41" i="6"/>
  <c r="D41" i="6" s="1"/>
  <c r="B44" i="6"/>
  <c r="D44" i="6" s="1"/>
  <c r="B45" i="6"/>
  <c r="D45" i="6" s="1"/>
  <c r="B48" i="6"/>
  <c r="D48" i="6" s="1"/>
  <c r="D53" i="6"/>
  <c r="D54" i="6"/>
  <c r="D55" i="6"/>
  <c r="H30" i="6"/>
  <c r="H19" i="6"/>
  <c r="D31" i="6"/>
  <c r="D32" i="6"/>
  <c r="H25" i="6"/>
  <c r="D14" i="6"/>
  <c r="B21" i="6"/>
  <c r="D24" i="6"/>
  <c r="B35" i="6"/>
  <c r="D35" i="6" s="1"/>
  <c r="D36" i="6"/>
  <c r="B9" i="6"/>
  <c r="D9" i="6" s="1"/>
  <c r="B43" i="6"/>
  <c r="D52" i="6"/>
  <c r="H16" i="6"/>
  <c r="H15" i="6"/>
  <c r="H14" i="6"/>
  <c r="H48" i="6"/>
  <c r="D18" i="5" s="1"/>
  <c r="H10" i="6"/>
  <c r="H36" i="6"/>
  <c r="H35" i="6" s="1"/>
  <c r="D13" i="5" s="1"/>
  <c r="H44" i="6"/>
  <c r="H295" i="16"/>
  <c r="S295" i="16"/>
  <c r="S293" i="16"/>
  <c r="S133" i="16"/>
  <c r="H133" i="16"/>
  <c r="S107" i="16"/>
  <c r="H107" i="16"/>
  <c r="H105" i="16" s="1"/>
  <c r="O349" i="16" s="1"/>
  <c r="S69" i="16"/>
  <c r="H69" i="16"/>
  <c r="H66" i="16"/>
  <c r="H63" i="16"/>
  <c r="H62" i="16"/>
  <c r="S22" i="16"/>
  <c r="H22" i="16"/>
  <c r="S19" i="16"/>
  <c r="H19" i="16"/>
  <c r="F14" i="8"/>
  <c r="F206" i="8"/>
  <c r="F204" i="8" s="1"/>
  <c r="F8" i="8" s="1"/>
  <c r="F13" i="8" s="1"/>
  <c r="C12" i="17"/>
  <c r="C13" i="17"/>
  <c r="C18" i="17"/>
  <c r="C21" i="17"/>
  <c r="C22" i="17"/>
  <c r="B31" i="17"/>
  <c r="D31" i="17" s="1"/>
  <c r="B29" i="17"/>
  <c r="D29" i="17" s="1"/>
  <c r="B27" i="17"/>
  <c r="D27" i="17" s="1"/>
  <c r="B26" i="17"/>
  <c r="D26" i="17" s="1"/>
  <c r="B24" i="17"/>
  <c r="D24" i="17" s="1"/>
  <c r="B25" i="17"/>
  <c r="D25" i="17" s="1"/>
  <c r="D188" i="8"/>
  <c r="H188" i="8" s="1"/>
  <c r="V188" i="8" s="1"/>
  <c r="W188" i="8" s="1"/>
  <c r="D186" i="8"/>
  <c r="D167" i="8" s="1"/>
  <c r="D237" i="8"/>
  <c r="C10" i="17"/>
  <c r="C51" i="5"/>
  <c r="C56" i="5" s="1"/>
  <c r="D263" i="8"/>
  <c r="H263" i="8" s="1"/>
  <c r="D117" i="8"/>
  <c r="H117" i="8" s="1"/>
  <c r="V117" i="8" s="1"/>
  <c r="W117" i="8" s="1"/>
  <c r="D145" i="8"/>
  <c r="D144" i="8"/>
  <c r="H144" i="8" s="1"/>
  <c r="V144" i="8" s="1"/>
  <c r="W144" i="8" s="1"/>
  <c r="C19" i="17"/>
  <c r="D12" i="8"/>
  <c r="D97" i="8"/>
  <c r="D77" i="8"/>
  <c r="D63" i="8"/>
  <c r="H63" i="8" s="1"/>
  <c r="V63" i="8" s="1"/>
  <c r="W63" i="8" s="1"/>
  <c r="D62" i="8"/>
  <c r="H62" i="8" s="1"/>
  <c r="D48" i="8"/>
  <c r="H48" i="8" s="1"/>
  <c r="V48" i="8" s="1"/>
  <c r="W48" i="8" s="1"/>
  <c r="D47" i="8"/>
  <c r="H47" i="8" s="1"/>
  <c r="V47" i="8" s="1"/>
  <c r="W47" i="8" s="1"/>
  <c r="C4" i="17"/>
  <c r="C20" i="17"/>
  <c r="C17" i="17"/>
  <c r="C14" i="17"/>
  <c r="C11" i="17"/>
  <c r="C16" i="17"/>
  <c r="C15" i="17"/>
  <c r="D290" i="8"/>
  <c r="H290" i="8" s="1"/>
  <c r="D230" i="8"/>
  <c r="D226" i="8"/>
  <c r="D218" i="8"/>
  <c r="C6" i="17"/>
  <c r="C23" i="17"/>
  <c r="C30" i="17" s="1"/>
  <c r="C32" i="17" s="1"/>
  <c r="C5" i="17"/>
  <c r="C79" i="5"/>
  <c r="C80" i="5"/>
  <c r="D168" i="8"/>
  <c r="C13" i="11"/>
  <c r="C11" i="11" s="1"/>
  <c r="C8" i="11"/>
  <c r="C5" i="11"/>
  <c r="C63" i="5"/>
  <c r="C64" i="5"/>
  <c r="E30" i="6"/>
  <c r="E28" i="6" s="1"/>
  <c r="E19" i="6"/>
  <c r="G19" i="6" s="1"/>
  <c r="C10" i="5" s="1"/>
  <c r="E16" i="6"/>
  <c r="G16" i="6" s="1"/>
  <c r="E15" i="6"/>
  <c r="G15" i="6"/>
  <c r="E14" i="6"/>
  <c r="G14" i="6" s="1"/>
  <c r="E11" i="6"/>
  <c r="G11" i="6" s="1"/>
  <c r="E10" i="6"/>
  <c r="G10" i="6" s="1"/>
  <c r="E39" i="6"/>
  <c r="G39" i="6" s="1"/>
  <c r="C14" i="5" s="1"/>
  <c r="E40" i="6"/>
  <c r="G40" i="6" s="1"/>
  <c r="C15" i="5" s="1"/>
  <c r="C47" i="5" s="1"/>
  <c r="E41" i="6"/>
  <c r="G41" i="6" s="1"/>
  <c r="C16" i="5" s="1"/>
  <c r="E45" i="6"/>
  <c r="C35" i="13"/>
  <c r="G45" i="6"/>
  <c r="E36" i="6"/>
  <c r="G36" i="6" s="1"/>
  <c r="D78" i="5" l="1"/>
  <c r="B40" i="4"/>
  <c r="F6" i="4"/>
  <c r="V263" i="8"/>
  <c r="W263" i="8" s="1"/>
  <c r="H261" i="8"/>
  <c r="V290" i="8"/>
  <c r="W290" i="8" s="1"/>
  <c r="V62" i="8"/>
  <c r="W62" i="8" s="1"/>
  <c r="D100" i="8"/>
  <c r="B8" i="4"/>
  <c r="B32" i="4"/>
  <c r="F91" i="4"/>
  <c r="H91" i="4" s="1"/>
  <c r="D17" i="8"/>
  <c r="H17" i="8" s="1"/>
  <c r="L206" i="8"/>
  <c r="P206" i="8" s="1"/>
  <c r="H77" i="8"/>
  <c r="V77" i="8" s="1"/>
  <c r="W77" i="8" s="1"/>
  <c r="H186" i="8"/>
  <c r="H100" i="8"/>
  <c r="V100" i="8" s="1"/>
  <c r="W100" i="8" s="1"/>
  <c r="H218" i="8"/>
  <c r="D76" i="8"/>
  <c r="D16" i="8" s="1"/>
  <c r="H97" i="8"/>
  <c r="D101" i="8"/>
  <c r="H145" i="8"/>
  <c r="V145" i="8" s="1"/>
  <c r="W145" i="8" s="1"/>
  <c r="H167" i="8"/>
  <c r="V167" i="8" s="1"/>
  <c r="W167" i="8" s="1"/>
  <c r="H226" i="8"/>
  <c r="H12" i="8"/>
  <c r="H237" i="8"/>
  <c r="V237" i="8" s="1"/>
  <c r="W237" i="8" s="1"/>
  <c r="H168" i="8"/>
  <c r="V168" i="8" s="1"/>
  <c r="W168" i="8" s="1"/>
  <c r="H230" i="8"/>
  <c r="F96" i="4"/>
  <c r="H96" i="4" s="1"/>
  <c r="B18" i="4"/>
  <c r="B50" i="4"/>
  <c r="B63" i="4"/>
  <c r="B85" i="4"/>
  <c r="S165" i="16"/>
  <c r="H152" i="16"/>
  <c r="O353" i="16" s="1"/>
  <c r="S116" i="16"/>
  <c r="S105" i="16"/>
  <c r="S87" i="16"/>
  <c r="H75" i="16"/>
  <c r="H16" i="16"/>
  <c r="S66" i="16"/>
  <c r="S49" i="16"/>
  <c r="H201" i="16"/>
  <c r="H49" i="16"/>
  <c r="S259" i="16"/>
  <c r="S336" i="16"/>
  <c r="H331" i="16"/>
  <c r="S62" i="8"/>
  <c r="U62" i="8" s="1"/>
  <c r="S144" i="8"/>
  <c r="U144" i="8" s="1"/>
  <c r="S47" i="8"/>
  <c r="U47" i="8" s="1"/>
  <c r="S48" i="8"/>
  <c r="U48" i="8" s="1"/>
  <c r="S188" i="8"/>
  <c r="U188" i="8" s="1"/>
  <c r="D18" i="8"/>
  <c r="H18" i="8" s="1"/>
  <c r="S63" i="8"/>
  <c r="U63" i="8" s="1"/>
  <c r="S290" i="8"/>
  <c r="U290" i="8" s="1"/>
  <c r="S117" i="8"/>
  <c r="U117" i="8" s="1"/>
  <c r="S300" i="8"/>
  <c r="U300" i="8" s="1"/>
  <c r="S296" i="8"/>
  <c r="U296" i="8" s="1"/>
  <c r="S292" i="8"/>
  <c r="U292" i="8" s="1"/>
  <c r="S287" i="8"/>
  <c r="U287" i="8" s="1"/>
  <c r="S283" i="8"/>
  <c r="U283" i="8" s="1"/>
  <c r="S264" i="8"/>
  <c r="U264" i="8" s="1"/>
  <c r="S258" i="8"/>
  <c r="U258" i="8" s="1"/>
  <c r="S254" i="8"/>
  <c r="U254" i="8" s="1"/>
  <c r="S250" i="8"/>
  <c r="U250" i="8" s="1"/>
  <c r="S246" i="8"/>
  <c r="U246" i="8" s="1"/>
  <c r="S242" i="8"/>
  <c r="U242" i="8" s="1"/>
  <c r="S238" i="8"/>
  <c r="U238" i="8" s="1"/>
  <c r="S233" i="8"/>
  <c r="U233" i="8" s="1"/>
  <c r="S228" i="8"/>
  <c r="U228" i="8" s="1"/>
  <c r="S222" i="8"/>
  <c r="U222" i="8" s="1"/>
  <c r="S217" i="8"/>
  <c r="U217" i="8" s="1"/>
  <c r="S212" i="8"/>
  <c r="U212" i="8" s="1"/>
  <c r="S208" i="8"/>
  <c r="U208" i="8" s="1"/>
  <c r="S202" i="8"/>
  <c r="U202" i="8" s="1"/>
  <c r="S198" i="8"/>
  <c r="U198" i="8" s="1"/>
  <c r="S194" i="8"/>
  <c r="U194" i="8" s="1"/>
  <c r="S190" i="8"/>
  <c r="U190" i="8" s="1"/>
  <c r="S184" i="8"/>
  <c r="U184" i="8" s="1"/>
  <c r="S180" i="8"/>
  <c r="U180" i="8" s="1"/>
  <c r="S176" i="8"/>
  <c r="U176" i="8" s="1"/>
  <c r="S172" i="8"/>
  <c r="U172" i="8" s="1"/>
  <c r="S166" i="8"/>
  <c r="U166" i="8" s="1"/>
  <c r="S162" i="8"/>
  <c r="U162" i="8" s="1"/>
  <c r="S158" i="8"/>
  <c r="U158" i="8" s="1"/>
  <c r="S154" i="8"/>
  <c r="U154" i="8" s="1"/>
  <c r="S150" i="8"/>
  <c r="U150" i="8" s="1"/>
  <c r="S146" i="8"/>
  <c r="U146" i="8" s="1"/>
  <c r="S114" i="8"/>
  <c r="U114" i="8" s="1"/>
  <c r="S110" i="8"/>
  <c r="U110" i="8" s="1"/>
  <c r="S106" i="8"/>
  <c r="U106" i="8" s="1"/>
  <c r="S102" i="8"/>
  <c r="U102" i="8" s="1"/>
  <c r="S95" i="8"/>
  <c r="U95" i="8" s="1"/>
  <c r="S91" i="8"/>
  <c r="U91" i="8" s="1"/>
  <c r="S87" i="8"/>
  <c r="U87" i="8" s="1"/>
  <c r="S78" i="8"/>
  <c r="U78" i="8" s="1"/>
  <c r="S72" i="8"/>
  <c r="U72" i="8" s="1"/>
  <c r="S68" i="8"/>
  <c r="U68" i="8" s="1"/>
  <c r="S64" i="8"/>
  <c r="U64" i="8" s="1"/>
  <c r="S56" i="8"/>
  <c r="U56" i="8" s="1"/>
  <c r="S46" i="8"/>
  <c r="U46" i="8" s="1"/>
  <c r="S42" i="8"/>
  <c r="U42" i="8" s="1"/>
  <c r="S37" i="8"/>
  <c r="U37" i="8" s="1"/>
  <c r="S33" i="8"/>
  <c r="U33" i="8" s="1"/>
  <c r="S29" i="8"/>
  <c r="U29" i="8" s="1"/>
  <c r="S25" i="8"/>
  <c r="U25" i="8" s="1"/>
  <c r="S21" i="8"/>
  <c r="U21" i="8" s="1"/>
  <c r="S9" i="8"/>
  <c r="U9" i="8" s="1"/>
  <c r="K303" i="8"/>
  <c r="S303" i="8" s="1"/>
  <c r="U303" i="8" s="1"/>
  <c r="S299" i="8"/>
  <c r="U299" i="8" s="1"/>
  <c r="S295" i="8"/>
  <c r="U295" i="8" s="1"/>
  <c r="S291" i="8"/>
  <c r="U291" i="8" s="1"/>
  <c r="S286" i="8"/>
  <c r="U286" i="8" s="1"/>
  <c r="S262" i="8"/>
  <c r="U262" i="8" s="1"/>
  <c r="S257" i="8"/>
  <c r="U257" i="8" s="1"/>
  <c r="S253" i="8"/>
  <c r="U253" i="8" s="1"/>
  <c r="S249" i="8"/>
  <c r="U249" i="8" s="1"/>
  <c r="S245" i="8"/>
  <c r="U245" i="8" s="1"/>
  <c r="S241" i="8"/>
  <c r="U241" i="8" s="1"/>
  <c r="S236" i="8"/>
  <c r="U236" i="8" s="1"/>
  <c r="S232" i="8"/>
  <c r="U232" i="8" s="1"/>
  <c r="S227" i="8"/>
  <c r="U227" i="8" s="1"/>
  <c r="S221" i="8"/>
  <c r="U221" i="8" s="1"/>
  <c r="S215" i="8"/>
  <c r="U215" i="8" s="1"/>
  <c r="S211" i="8"/>
  <c r="U211" i="8" s="1"/>
  <c r="S207" i="8"/>
  <c r="U207" i="8" s="1"/>
  <c r="S201" i="8"/>
  <c r="U201" i="8" s="1"/>
  <c r="S197" i="8"/>
  <c r="U197" i="8" s="1"/>
  <c r="S193" i="8"/>
  <c r="U193" i="8" s="1"/>
  <c r="S189" i="8"/>
  <c r="U189" i="8" s="1"/>
  <c r="S183" i="8"/>
  <c r="U183" i="8" s="1"/>
  <c r="S179" i="8"/>
  <c r="U179" i="8" s="1"/>
  <c r="S175" i="8"/>
  <c r="U175" i="8" s="1"/>
  <c r="S171" i="8"/>
  <c r="U171" i="8" s="1"/>
  <c r="S165" i="8"/>
  <c r="U165" i="8" s="1"/>
  <c r="S161" i="8"/>
  <c r="U161" i="8" s="1"/>
  <c r="S157" i="8"/>
  <c r="U157" i="8" s="1"/>
  <c r="S153" i="8"/>
  <c r="U153" i="8" s="1"/>
  <c r="S149" i="8"/>
  <c r="U149" i="8" s="1"/>
  <c r="S118" i="8"/>
  <c r="U118" i="8" s="1"/>
  <c r="S113" i="8"/>
  <c r="U113" i="8" s="1"/>
  <c r="S109" i="8"/>
  <c r="U109" i="8" s="1"/>
  <c r="S105" i="8"/>
  <c r="U105" i="8" s="1"/>
  <c r="S99" i="8"/>
  <c r="U99" i="8" s="1"/>
  <c r="S94" i="8"/>
  <c r="U94" i="8" s="1"/>
  <c r="S90" i="8"/>
  <c r="U90" i="8" s="1"/>
  <c r="S86" i="8"/>
  <c r="U86" i="8" s="1"/>
  <c r="S75" i="8"/>
  <c r="U75" i="8" s="1"/>
  <c r="S71" i="8"/>
  <c r="U71" i="8" s="1"/>
  <c r="S67" i="8"/>
  <c r="U67" i="8" s="1"/>
  <c r="S61" i="8"/>
  <c r="U61" i="8" s="1"/>
  <c r="S55" i="8"/>
  <c r="U55" i="8" s="1"/>
  <c r="S45" i="8"/>
  <c r="U45" i="8" s="1"/>
  <c r="S36" i="8"/>
  <c r="U36" i="8" s="1"/>
  <c r="S32" i="8"/>
  <c r="U32" i="8" s="1"/>
  <c r="S28" i="8"/>
  <c r="U28" i="8" s="1"/>
  <c r="S24" i="8"/>
  <c r="U24" i="8" s="1"/>
  <c r="S20" i="8"/>
  <c r="U20" i="8" s="1"/>
  <c r="K7" i="8"/>
  <c r="S7" i="8" s="1"/>
  <c r="U7" i="8" s="1"/>
  <c r="K302" i="8"/>
  <c r="S302" i="8" s="1"/>
  <c r="U302" i="8" s="1"/>
  <c r="S298" i="8"/>
  <c r="U298" i="8" s="1"/>
  <c r="S294" i="8"/>
  <c r="U294" i="8" s="1"/>
  <c r="S289" i="8"/>
  <c r="U289" i="8" s="1"/>
  <c r="S285" i="8"/>
  <c r="U285" i="8" s="1"/>
  <c r="S260" i="8"/>
  <c r="U260" i="8" s="1"/>
  <c r="S256" i="8"/>
  <c r="U256" i="8" s="1"/>
  <c r="S252" i="8"/>
  <c r="U252" i="8" s="1"/>
  <c r="S248" i="8"/>
  <c r="U248" i="8" s="1"/>
  <c r="S244" i="8"/>
  <c r="U244" i="8" s="1"/>
  <c r="S240" i="8"/>
  <c r="U240" i="8" s="1"/>
  <c r="S235" i="8"/>
  <c r="U235" i="8" s="1"/>
  <c r="S231" i="8"/>
  <c r="U231" i="8" s="1"/>
  <c r="S224" i="8"/>
  <c r="U224" i="8" s="1"/>
  <c r="S220" i="8"/>
  <c r="U220" i="8" s="1"/>
  <c r="S214" i="8"/>
  <c r="U214" i="8" s="1"/>
  <c r="S210" i="8"/>
  <c r="U210" i="8" s="1"/>
  <c r="S205" i="8"/>
  <c r="U205" i="8" s="1"/>
  <c r="S200" i="8"/>
  <c r="U200" i="8" s="1"/>
  <c r="S196" i="8"/>
  <c r="U196" i="8" s="1"/>
  <c r="S192" i="8"/>
  <c r="U192" i="8" s="1"/>
  <c r="S187" i="8"/>
  <c r="U187" i="8" s="1"/>
  <c r="S182" i="8"/>
  <c r="U182" i="8" s="1"/>
  <c r="S178" i="8"/>
  <c r="U178" i="8" s="1"/>
  <c r="S174" i="8"/>
  <c r="U174" i="8" s="1"/>
  <c r="S170" i="8"/>
  <c r="U170" i="8" s="1"/>
  <c r="S164" i="8"/>
  <c r="U164" i="8" s="1"/>
  <c r="S160" i="8"/>
  <c r="U160" i="8" s="1"/>
  <c r="S156" i="8"/>
  <c r="U156" i="8" s="1"/>
  <c r="S152" i="8"/>
  <c r="U152" i="8" s="1"/>
  <c r="S148" i="8"/>
  <c r="U148" i="8" s="1"/>
  <c r="S116" i="8"/>
  <c r="U116" i="8" s="1"/>
  <c r="S112" i="8"/>
  <c r="U112" i="8" s="1"/>
  <c r="S108" i="8"/>
  <c r="U108" i="8" s="1"/>
  <c r="S104" i="8"/>
  <c r="U104" i="8" s="1"/>
  <c r="S98" i="8"/>
  <c r="U98" i="8" s="1"/>
  <c r="S93" i="8"/>
  <c r="U93" i="8" s="1"/>
  <c r="S89" i="8"/>
  <c r="U89" i="8" s="1"/>
  <c r="S85" i="8"/>
  <c r="U85" i="8" s="1"/>
  <c r="S80" i="8"/>
  <c r="U80" i="8" s="1"/>
  <c r="S74" i="8"/>
  <c r="U74" i="8" s="1"/>
  <c r="S70" i="8"/>
  <c r="U70" i="8" s="1"/>
  <c r="S66" i="8"/>
  <c r="U66" i="8" s="1"/>
  <c r="S60" i="8"/>
  <c r="U60" i="8" s="1"/>
  <c r="S54" i="8"/>
  <c r="U54" i="8" s="1"/>
  <c r="S44" i="8"/>
  <c r="U44" i="8" s="1"/>
  <c r="S35" i="8"/>
  <c r="U35" i="8" s="1"/>
  <c r="S31" i="8"/>
  <c r="U31" i="8" s="1"/>
  <c r="S27" i="8"/>
  <c r="U27" i="8" s="1"/>
  <c r="S23" i="8"/>
  <c r="U23" i="8" s="1"/>
  <c r="S19" i="8"/>
  <c r="U19" i="8" s="1"/>
  <c r="K6" i="8"/>
  <c r="S6" i="8" s="1"/>
  <c r="U6" i="8" s="1"/>
  <c r="S301" i="8"/>
  <c r="U301" i="8" s="1"/>
  <c r="S297" i="8"/>
  <c r="U297" i="8" s="1"/>
  <c r="S293" i="8"/>
  <c r="U293" i="8" s="1"/>
  <c r="S288" i="8"/>
  <c r="U288" i="8" s="1"/>
  <c r="S284" i="8"/>
  <c r="U284" i="8" s="1"/>
  <c r="S265" i="8"/>
  <c r="U265" i="8" s="1"/>
  <c r="S259" i="8"/>
  <c r="U259" i="8" s="1"/>
  <c r="S255" i="8"/>
  <c r="U255" i="8" s="1"/>
  <c r="S251" i="8"/>
  <c r="U251" i="8" s="1"/>
  <c r="S247" i="8"/>
  <c r="U247" i="8" s="1"/>
  <c r="S243" i="8"/>
  <c r="U243" i="8" s="1"/>
  <c r="S239" i="8"/>
  <c r="U239" i="8" s="1"/>
  <c r="S234" i="8"/>
  <c r="U234" i="8" s="1"/>
  <c r="S229" i="8"/>
  <c r="U229" i="8" s="1"/>
  <c r="S223" i="8"/>
  <c r="U223" i="8" s="1"/>
  <c r="S219" i="8"/>
  <c r="U219" i="8" s="1"/>
  <c r="S213" i="8"/>
  <c r="U213" i="8" s="1"/>
  <c r="S209" i="8"/>
  <c r="U209" i="8" s="1"/>
  <c r="S203" i="8"/>
  <c r="U203" i="8" s="1"/>
  <c r="S199" i="8"/>
  <c r="U199" i="8" s="1"/>
  <c r="S195" i="8"/>
  <c r="U195" i="8" s="1"/>
  <c r="S191" i="8"/>
  <c r="U191" i="8" s="1"/>
  <c r="S185" i="8"/>
  <c r="U185" i="8" s="1"/>
  <c r="S181" i="8"/>
  <c r="U181" i="8" s="1"/>
  <c r="S177" i="8"/>
  <c r="U177" i="8" s="1"/>
  <c r="S173" i="8"/>
  <c r="U173" i="8" s="1"/>
  <c r="S169" i="8"/>
  <c r="U169" i="8" s="1"/>
  <c r="S163" i="8"/>
  <c r="U163" i="8" s="1"/>
  <c r="S159" i="8"/>
  <c r="U159" i="8" s="1"/>
  <c r="S155" i="8"/>
  <c r="U155" i="8" s="1"/>
  <c r="S151" i="8"/>
  <c r="U151" i="8" s="1"/>
  <c r="S147" i="8"/>
  <c r="U147" i="8" s="1"/>
  <c r="S115" i="8"/>
  <c r="U115" i="8" s="1"/>
  <c r="S111" i="8"/>
  <c r="U111" i="8" s="1"/>
  <c r="S107" i="8"/>
  <c r="U107" i="8" s="1"/>
  <c r="S103" i="8"/>
  <c r="U103" i="8" s="1"/>
  <c r="S96" i="8"/>
  <c r="U96" i="8" s="1"/>
  <c r="S92" i="8"/>
  <c r="U92" i="8" s="1"/>
  <c r="S88" i="8"/>
  <c r="U88" i="8" s="1"/>
  <c r="S84" i="8"/>
  <c r="U84" i="8" s="1"/>
  <c r="S79" i="8"/>
  <c r="U79" i="8" s="1"/>
  <c r="S73" i="8"/>
  <c r="U73" i="8" s="1"/>
  <c r="S69" i="8"/>
  <c r="U69" i="8" s="1"/>
  <c r="S65" i="8"/>
  <c r="U65" i="8" s="1"/>
  <c r="S43" i="8"/>
  <c r="U43" i="8" s="1"/>
  <c r="S38" i="8"/>
  <c r="U38" i="8" s="1"/>
  <c r="S34" i="8"/>
  <c r="U34" i="8" s="1"/>
  <c r="S30" i="8"/>
  <c r="U30" i="8" s="1"/>
  <c r="S26" i="8"/>
  <c r="U26" i="8" s="1"/>
  <c r="S22" i="8"/>
  <c r="U22" i="8" s="1"/>
  <c r="S15" i="8"/>
  <c r="U15" i="8" s="1"/>
  <c r="K5" i="8"/>
  <c r="S5" i="8" s="1"/>
  <c r="U5" i="8" s="1"/>
  <c r="E44" i="6"/>
  <c r="G44" i="6" s="1"/>
  <c r="H11" i="6"/>
  <c r="H9" i="6" s="1"/>
  <c r="E48" i="6"/>
  <c r="G48" i="6" s="1"/>
  <c r="C18" i="5" s="1"/>
  <c r="C21" i="6"/>
  <c r="D21" i="6" s="1"/>
  <c r="D20" i="6" s="1"/>
  <c r="E35" i="6"/>
  <c r="G35" i="6" s="1"/>
  <c r="C13" i="5" s="1"/>
  <c r="B28" i="17"/>
  <c r="D28" i="17" s="1"/>
  <c r="S33" i="16"/>
  <c r="E53" i="6"/>
  <c r="D89" i="5"/>
  <c r="E24" i="6"/>
  <c r="E31" i="6"/>
  <c r="G32" i="6" s="1"/>
  <c r="H18" i="6"/>
  <c r="D10" i="5"/>
  <c r="H32" i="6"/>
  <c r="D28" i="13"/>
  <c r="D22" i="13"/>
  <c r="H13" i="6"/>
  <c r="D9" i="5" s="1"/>
  <c r="E9" i="6"/>
  <c r="G9" i="6" s="1"/>
  <c r="C8" i="5" s="1"/>
  <c r="D33" i="6"/>
  <c r="D28" i="6"/>
  <c r="E13" i="6"/>
  <c r="G13" i="6" s="1"/>
  <c r="C9" i="5" s="1"/>
  <c r="E38" i="6"/>
  <c r="G38" i="6" s="1"/>
  <c r="C43" i="6"/>
  <c r="C50" i="6" s="1"/>
  <c r="C58" i="6" s="1"/>
  <c r="H28" i="6"/>
  <c r="E29" i="6"/>
  <c r="G53" i="6"/>
  <c r="C19" i="5" s="1"/>
  <c r="B29" i="6"/>
  <c r="D29" i="6" s="1"/>
  <c r="B13" i="6"/>
  <c r="G30" i="6"/>
  <c r="B38" i="6"/>
  <c r="D38" i="6" s="1"/>
  <c r="D36" i="13"/>
  <c r="D35" i="13"/>
  <c r="D62" i="5"/>
  <c r="C65" i="5"/>
  <c r="C62" i="5" s="1"/>
  <c r="C36" i="13"/>
  <c r="S339" i="16"/>
  <c r="S359" i="16"/>
  <c r="H33" i="16"/>
  <c r="B46" i="13"/>
  <c r="B18" i="13"/>
  <c r="C33" i="13"/>
  <c r="C41" i="13" s="1"/>
  <c r="H61" i="16"/>
  <c r="S16" i="16"/>
  <c r="H137" i="16"/>
  <c r="H339" i="16"/>
  <c r="D33" i="13"/>
  <c r="H56" i="16"/>
  <c r="S333" i="16"/>
  <c r="B149" i="16"/>
  <c r="H117" i="16"/>
  <c r="H160" i="16"/>
  <c r="C8" i="17"/>
  <c r="S56" i="16"/>
  <c r="S237" i="16"/>
  <c r="S137" i="16"/>
  <c r="C89" i="5"/>
  <c r="E54" i="6"/>
  <c r="C86" i="5"/>
  <c r="C84" i="5" s="1"/>
  <c r="E55" i="6"/>
  <c r="B78" i="5"/>
  <c r="B87" i="5"/>
  <c r="B84" i="5"/>
  <c r="D86" i="5"/>
  <c r="D84" i="5" s="1"/>
  <c r="C78" i="5"/>
  <c r="H120" i="16"/>
  <c r="H231" i="16"/>
  <c r="S160" i="16"/>
  <c r="H241" i="16"/>
  <c r="H248" i="16"/>
  <c r="D19" i="5"/>
  <c r="H123" i="16"/>
  <c r="H92" i="16"/>
  <c r="B218" i="16"/>
  <c r="H293" i="16"/>
  <c r="S219" i="16"/>
  <c r="S331" i="16"/>
  <c r="H34" i="16"/>
  <c r="H203" i="16"/>
  <c r="S338" i="16"/>
  <c r="S240" i="16"/>
  <c r="D261" i="8"/>
  <c r="V261" i="8" s="1"/>
  <c r="W261" i="8" s="1"/>
  <c r="J216" i="8"/>
  <c r="J206" i="8" s="1"/>
  <c r="J204" i="8" s="1"/>
  <c r="S237" i="8"/>
  <c r="U237" i="8" s="1"/>
  <c r="S167" i="8"/>
  <c r="U167" i="8" s="1"/>
  <c r="D225" i="8"/>
  <c r="H225" i="8" s="1"/>
  <c r="V225" i="8" s="1"/>
  <c r="W225" i="8" s="1"/>
  <c r="J16" i="8"/>
  <c r="J14" i="8"/>
  <c r="I13" i="8"/>
  <c r="F10" i="8"/>
  <c r="C93" i="5"/>
  <c r="H54" i="6" l="1"/>
  <c r="H6" i="4"/>
  <c r="E43" i="6"/>
  <c r="S263" i="8"/>
  <c r="U263" i="8" s="1"/>
  <c r="S261" i="8"/>
  <c r="U261" i="8" s="1"/>
  <c r="S97" i="8"/>
  <c r="U97" i="8" s="1"/>
  <c r="V97" i="8"/>
  <c r="W97" i="8" s="1"/>
  <c r="V18" i="8"/>
  <c r="W18" i="8" s="1"/>
  <c r="V230" i="8"/>
  <c r="W230" i="8" s="1"/>
  <c r="V218" i="8"/>
  <c r="W218" i="8" s="1"/>
  <c r="V186" i="8"/>
  <c r="W186" i="8" s="1"/>
  <c r="V12" i="8"/>
  <c r="W12" i="8" s="1"/>
  <c r="V226" i="8"/>
  <c r="W226" i="8" s="1"/>
  <c r="V17" i="8"/>
  <c r="W17" i="8" s="1"/>
  <c r="D14" i="8"/>
  <c r="S77" i="8"/>
  <c r="U77" i="8" s="1"/>
  <c r="S218" i="8"/>
  <c r="U218" i="8" s="1"/>
  <c r="S12" i="8"/>
  <c r="U12" i="8" s="1"/>
  <c r="L204" i="8"/>
  <c r="P204" i="8" s="1"/>
  <c r="B6" i="4"/>
  <c r="S186" i="8"/>
  <c r="U186" i="8" s="1"/>
  <c r="S230" i="8"/>
  <c r="U230" i="8" s="1"/>
  <c r="S100" i="8"/>
  <c r="U100" i="8" s="1"/>
  <c r="S226" i="8"/>
  <c r="U226" i="8" s="1"/>
  <c r="S168" i="8"/>
  <c r="U168" i="8" s="1"/>
  <c r="S17" i="8"/>
  <c r="U17" i="8" s="1"/>
  <c r="H101" i="8"/>
  <c r="H76" i="8"/>
  <c r="H16" i="8"/>
  <c r="D8" i="5"/>
  <c r="D7" i="13" s="1"/>
  <c r="H7" i="6"/>
  <c r="H165" i="16"/>
  <c r="O355" i="16" s="1"/>
  <c r="S55" i="16"/>
  <c r="H55" i="16"/>
  <c r="O348" i="16" s="1"/>
  <c r="H15" i="16"/>
  <c r="H116" i="16"/>
  <c r="O350" i="16" s="1"/>
  <c r="S329" i="16"/>
  <c r="S136" i="16"/>
  <c r="S332" i="16" s="1"/>
  <c r="S15" i="16"/>
  <c r="S225" i="8"/>
  <c r="U225" i="8" s="1"/>
  <c r="S18" i="8"/>
  <c r="U18" i="8" s="1"/>
  <c r="S145" i="8"/>
  <c r="U145" i="8" s="1"/>
  <c r="D9" i="13"/>
  <c r="D88" i="5"/>
  <c r="D87" i="5" s="1"/>
  <c r="H11" i="8"/>
  <c r="V11" i="8" s="1"/>
  <c r="W11" i="8" s="1"/>
  <c r="E7" i="6"/>
  <c r="G25" i="6"/>
  <c r="E21" i="6"/>
  <c r="G28" i="6"/>
  <c r="E52" i="6"/>
  <c r="C7" i="13"/>
  <c r="D43" i="6"/>
  <c r="G55" i="6"/>
  <c r="C21" i="5" s="1"/>
  <c r="D13" i="6"/>
  <c r="B7" i="6"/>
  <c r="S353" i="16"/>
  <c r="R353" i="16"/>
  <c r="S349" i="16"/>
  <c r="R349" i="16"/>
  <c r="D20" i="5"/>
  <c r="D41" i="13"/>
  <c r="C42" i="13"/>
  <c r="D42" i="13" s="1"/>
  <c r="B31" i="13"/>
  <c r="C9" i="17"/>
  <c r="A6" i="16"/>
  <c r="H136" i="16"/>
  <c r="H138" i="16"/>
  <c r="O352" i="16" s="1"/>
  <c r="H261" i="16"/>
  <c r="S239" i="16"/>
  <c r="S138" i="16"/>
  <c r="B6" i="16"/>
  <c r="D25" i="13" s="1"/>
  <c r="H333" i="16"/>
  <c r="H329" i="16"/>
  <c r="D26" i="5"/>
  <c r="S32" i="16"/>
  <c r="H240" i="16"/>
  <c r="S334" i="16"/>
  <c r="S335" i="16"/>
  <c r="H334" i="16"/>
  <c r="C88" i="5"/>
  <c r="C87" i="5" s="1"/>
  <c r="F54" i="6"/>
  <c r="F52" i="6" s="1"/>
  <c r="C20" i="13"/>
  <c r="H55" i="6"/>
  <c r="H336" i="16"/>
  <c r="H32" i="16"/>
  <c r="H338" i="16"/>
  <c r="S330" i="16"/>
  <c r="S238" i="16"/>
  <c r="D216" i="8"/>
  <c r="H216" i="8" s="1"/>
  <c r="V216" i="8" s="1"/>
  <c r="W216" i="8" s="1"/>
  <c r="J8" i="8"/>
  <c r="J13" i="8" s="1"/>
  <c r="I10" i="8"/>
  <c r="E17" i="15"/>
  <c r="G9" i="15"/>
  <c r="F6" i="15"/>
  <c r="F3" i="15"/>
  <c r="E14" i="15"/>
  <c r="F16" i="15"/>
  <c r="F4" i="15"/>
  <c r="F12" i="15"/>
  <c r="D24" i="13" l="1"/>
  <c r="H14" i="8"/>
  <c r="V14" i="8" s="1"/>
  <c r="W14" i="8" s="1"/>
  <c r="S76" i="8"/>
  <c r="U76" i="8" s="1"/>
  <c r="V76" i="8"/>
  <c r="W76" i="8" s="1"/>
  <c r="S101" i="8"/>
  <c r="U101" i="8" s="1"/>
  <c r="V101" i="8"/>
  <c r="W101" i="8" s="1"/>
  <c r="V16" i="8"/>
  <c r="W16" i="8" s="1"/>
  <c r="L8" i="8"/>
  <c r="P8" i="8" s="1"/>
  <c r="S16" i="8"/>
  <c r="U16" i="8" s="1"/>
  <c r="H14" i="16"/>
  <c r="O347" i="16"/>
  <c r="E50" i="6"/>
  <c r="E58" i="6" s="1"/>
  <c r="S14" i="16"/>
  <c r="S328" i="16"/>
  <c r="H332" i="16"/>
  <c r="S216" i="8"/>
  <c r="U216" i="8" s="1"/>
  <c r="S11" i="8"/>
  <c r="U11" i="8" s="1"/>
  <c r="G7" i="6"/>
  <c r="C16" i="15"/>
  <c r="F23" i="6" s="1"/>
  <c r="G23" i="6" s="1"/>
  <c r="C9" i="15"/>
  <c r="D7" i="6"/>
  <c r="B50" i="6"/>
  <c r="G54" i="6"/>
  <c r="R356" i="16"/>
  <c r="S356" i="16"/>
  <c r="S350" i="16"/>
  <c r="R350" i="16"/>
  <c r="R352" i="16"/>
  <c r="S355" i="16"/>
  <c r="R355" i="16"/>
  <c r="S352" i="16"/>
  <c r="S348" i="16"/>
  <c r="R348" i="16"/>
  <c r="S347" i="16"/>
  <c r="R347" i="16"/>
  <c r="B38" i="13"/>
  <c r="H330" i="16"/>
  <c r="H239" i="16"/>
  <c r="H328" i="16"/>
  <c r="H238" i="16"/>
  <c r="G52" i="6"/>
  <c r="D21" i="5"/>
  <c r="H52" i="6"/>
  <c r="H335" i="16"/>
  <c r="S327" i="16"/>
  <c r="S6" i="16"/>
  <c r="H327" i="16"/>
  <c r="S337" i="16"/>
  <c r="D16" i="13"/>
  <c r="D206" i="8"/>
  <c r="H206" i="8" s="1"/>
  <c r="J10" i="8"/>
  <c r="C12" i="13"/>
  <c r="S14" i="8"/>
  <c r="U14" i="8" s="1"/>
  <c r="E18" i="15"/>
  <c r="G10" i="15"/>
  <c r="E4" i="15"/>
  <c r="G8" i="15"/>
  <c r="F8" i="15"/>
  <c r="G12" i="15"/>
  <c r="E13" i="15"/>
  <c r="F7" i="15"/>
  <c r="E8" i="15"/>
  <c r="G3" i="15"/>
  <c r="G17" i="15"/>
  <c r="F17" i="15"/>
  <c r="E6" i="15"/>
  <c r="E7" i="15"/>
  <c r="G7" i="15"/>
  <c r="F5" i="15"/>
  <c r="F13" i="15"/>
  <c r="G13" i="15"/>
  <c r="E5" i="15"/>
  <c r="E9" i="15"/>
  <c r="G15" i="15"/>
  <c r="G5" i="15"/>
  <c r="G11" i="15"/>
  <c r="E11" i="15"/>
  <c r="G14" i="15"/>
  <c r="F11" i="15"/>
  <c r="G6" i="15"/>
  <c r="F14" i="15"/>
  <c r="F18" i="15"/>
  <c r="G16" i="15"/>
  <c r="E16" i="15"/>
  <c r="F15" i="15"/>
  <c r="E10" i="15"/>
  <c r="E12" i="15"/>
  <c r="F9" i="15"/>
  <c r="G18" i="15"/>
  <c r="E3" i="15"/>
  <c r="G4" i="15"/>
  <c r="E15" i="15"/>
  <c r="F10" i="15"/>
  <c r="O357" i="16" l="1"/>
  <c r="O346" i="16" s="1"/>
  <c r="V206" i="8"/>
  <c r="W206" i="8" s="1"/>
  <c r="L13" i="8"/>
  <c r="P13" i="8" s="1"/>
  <c r="C11" i="15"/>
  <c r="C18" i="15"/>
  <c r="F46" i="6" s="1"/>
  <c r="C14" i="15"/>
  <c r="F27" i="6" s="1"/>
  <c r="G27" i="6" s="1"/>
  <c r="C5" i="15"/>
  <c r="C3" i="15"/>
  <c r="C12" i="15"/>
  <c r="C13" i="15"/>
  <c r="F31" i="6" s="1"/>
  <c r="C17" i="15"/>
  <c r="C7" i="15"/>
  <c r="C4" i="15"/>
  <c r="C6" i="15"/>
  <c r="C8" i="15"/>
  <c r="C10" i="15"/>
  <c r="C15" i="15"/>
  <c r="F24" i="6" s="1"/>
  <c r="P11" i="16"/>
  <c r="P12" i="16"/>
  <c r="P9" i="16"/>
  <c r="P8" i="16"/>
  <c r="P10" i="16"/>
  <c r="O12" i="16"/>
  <c r="O11" i="16"/>
  <c r="O9" i="16"/>
  <c r="O10" i="16"/>
  <c r="O8" i="16"/>
  <c r="D31" i="5"/>
  <c r="D45" i="5" s="1"/>
  <c r="D44" i="5" s="1"/>
  <c r="S206" i="8"/>
  <c r="U206" i="8" s="1"/>
  <c r="B58" i="6"/>
  <c r="D58" i="6" s="1"/>
  <c r="D50" i="6"/>
  <c r="S357" i="16"/>
  <c r="S346" i="16" s="1"/>
  <c r="R357" i="16"/>
  <c r="R346" i="16" s="1"/>
  <c r="C20" i="5"/>
  <c r="S10" i="16"/>
  <c r="S12" i="16"/>
  <c r="B43" i="13"/>
  <c r="S8" i="16"/>
  <c r="H9" i="16"/>
  <c r="S11" i="16"/>
  <c r="H11" i="16"/>
  <c r="H6" i="16"/>
  <c r="H337" i="16"/>
  <c r="H10" i="16"/>
  <c r="H12" i="16"/>
  <c r="H8" i="16"/>
  <c r="S9" i="16"/>
  <c r="D204" i="8"/>
  <c r="S326" i="16"/>
  <c r="C49" i="13"/>
  <c r="E2" i="15"/>
  <c r="G2" i="15"/>
  <c r="F2" i="15"/>
  <c r="F19" i="15" s="1"/>
  <c r="F20" i="15" s="1"/>
  <c r="D48" i="5" l="1"/>
  <c r="D69" i="5" s="1"/>
  <c r="L10" i="8"/>
  <c r="P10" i="8" s="1"/>
  <c r="C2" i="15"/>
  <c r="F22" i="6" s="1"/>
  <c r="F21" i="6" s="1"/>
  <c r="F43" i="6"/>
  <c r="G43" i="6" s="1"/>
  <c r="C17" i="5" s="1"/>
  <c r="G46" i="6"/>
  <c r="G24" i="6"/>
  <c r="G26" i="6"/>
  <c r="R12" i="16"/>
  <c r="R10" i="16"/>
  <c r="R8" i="16"/>
  <c r="R345" i="16" s="1"/>
  <c r="D8" i="8"/>
  <c r="H8" i="8" s="1"/>
  <c r="V8" i="8" s="1"/>
  <c r="W8" i="8" s="1"/>
  <c r="H204" i="8"/>
  <c r="R9" i="16"/>
  <c r="R11" i="16"/>
  <c r="P7" i="16"/>
  <c r="O7" i="16"/>
  <c r="O345" i="16"/>
  <c r="D13" i="15"/>
  <c r="H33" i="6" s="1"/>
  <c r="H31" i="6" s="1"/>
  <c r="H29" i="6" s="1"/>
  <c r="D12" i="5" s="1"/>
  <c r="D14" i="15"/>
  <c r="H27" i="6" s="1"/>
  <c r="D10" i="15"/>
  <c r="D6" i="15"/>
  <c r="D11" i="15"/>
  <c r="D5" i="15"/>
  <c r="D8" i="15"/>
  <c r="H59" i="6"/>
  <c r="D18" i="15"/>
  <c r="H46" i="6" s="1"/>
  <c r="H43" i="6" s="1"/>
  <c r="D17" i="5" s="1"/>
  <c r="D12" i="15"/>
  <c r="D9" i="15"/>
  <c r="D15" i="15"/>
  <c r="H26" i="6" s="1"/>
  <c r="H24" i="6" s="1"/>
  <c r="D7" i="15"/>
  <c r="D16" i="15"/>
  <c r="H23" i="6" s="1"/>
  <c r="D17" i="15"/>
  <c r="D3" i="15"/>
  <c r="D4" i="15"/>
  <c r="G33" i="6"/>
  <c r="F29" i="6"/>
  <c r="G29" i="6" s="1"/>
  <c r="C12" i="5" s="1"/>
  <c r="G31" i="6"/>
  <c r="S345" i="16"/>
  <c r="H326" i="16"/>
  <c r="S7" i="16"/>
  <c r="H7" i="16"/>
  <c r="D23" i="13"/>
  <c r="E19" i="15"/>
  <c r="E20" i="15" s="1"/>
  <c r="G19" i="15"/>
  <c r="G20" i="15" s="1"/>
  <c r="D13" i="8" l="1"/>
  <c r="H13" i="8" s="1"/>
  <c r="V13" i="8" s="1"/>
  <c r="W13" i="8" s="1"/>
  <c r="V204" i="8"/>
  <c r="W204" i="8" s="1"/>
  <c r="C10" i="13"/>
  <c r="G22" i="6"/>
  <c r="C19" i="15"/>
  <c r="C20" i="15" s="1"/>
  <c r="S204" i="8"/>
  <c r="U204" i="8" s="1"/>
  <c r="R7" i="16"/>
  <c r="D2" i="15"/>
  <c r="H22" i="6" s="1"/>
  <c r="H20" i="6" s="1"/>
  <c r="S8" i="8"/>
  <c r="U8" i="8" s="1"/>
  <c r="G21" i="6"/>
  <c r="F50" i="6"/>
  <c r="F58" i="6" s="1"/>
  <c r="D10" i="13"/>
  <c r="D20" i="13"/>
  <c r="D10" i="8" l="1"/>
  <c r="H10" i="8" s="1"/>
  <c r="V10" i="8" s="1"/>
  <c r="W10" i="8" s="1"/>
  <c r="G59" i="6"/>
  <c r="H21" i="6"/>
  <c r="D11" i="5" s="1"/>
  <c r="D19" i="15"/>
  <c r="D20" i="15" s="1"/>
  <c r="G50" i="6"/>
  <c r="G58" i="6" s="1"/>
  <c r="C11" i="5"/>
  <c r="C35" i="5"/>
  <c r="C46" i="5" s="1"/>
  <c r="C48" i="5" s="1"/>
  <c r="C69" i="5" s="1"/>
  <c r="H50" i="6" l="1"/>
  <c r="H58" i="6" s="1"/>
  <c r="C8" i="13"/>
  <c r="C5" i="13" s="1"/>
  <c r="C7" i="5"/>
  <c r="G60" i="6"/>
  <c r="G61" i="6"/>
  <c r="S13" i="8"/>
  <c r="U13" i="8" s="1"/>
  <c r="B16" i="17"/>
  <c r="D16" i="17" s="1"/>
  <c r="B7" i="17"/>
  <c r="D7" i="17" s="1"/>
  <c r="B4" i="17"/>
  <c r="D4" i="17" s="1"/>
  <c r="B11" i="17"/>
  <c r="D11" i="17" s="1"/>
  <c r="B14" i="17"/>
  <c r="D14" i="17" s="1"/>
  <c r="B20" i="17"/>
  <c r="D20" i="17" s="1"/>
  <c r="B17" i="17"/>
  <c r="D17" i="17" s="1"/>
  <c r="B13" i="17"/>
  <c r="D13" i="17" s="1"/>
  <c r="B22" i="17"/>
  <c r="D22" i="17" s="1"/>
  <c r="B5" i="17"/>
  <c r="D5" i="17" s="1"/>
  <c r="B12" i="17"/>
  <c r="D12" i="17" s="1"/>
  <c r="B18" i="17"/>
  <c r="D18" i="17" s="1"/>
  <c r="B8" i="17"/>
  <c r="D8" i="17" s="1"/>
  <c r="B15" i="17"/>
  <c r="D15" i="17" s="1"/>
  <c r="B6" i="17"/>
  <c r="D6" i="17" s="1"/>
  <c r="B21" i="17"/>
  <c r="D21" i="17" s="1"/>
  <c r="B9" i="17"/>
  <c r="D9" i="17" s="1"/>
  <c r="B10" i="17"/>
  <c r="D10" i="17" s="1"/>
  <c r="D7" i="5"/>
  <c r="D6" i="5" s="1"/>
  <c r="D8" i="13"/>
  <c r="B19" i="17" l="1"/>
  <c r="D19" i="17" s="1"/>
  <c r="C26" i="5"/>
  <c r="C27" i="5"/>
  <c r="C72" i="5"/>
  <c r="C6" i="5"/>
  <c r="C18" i="13"/>
  <c r="C31" i="13" s="1"/>
  <c r="C38" i="13" s="1"/>
  <c r="C43" i="13" s="1"/>
  <c r="C48" i="13"/>
  <c r="C30" i="5"/>
  <c r="H61" i="6"/>
  <c r="S10" i="8"/>
  <c r="U10" i="8" s="1"/>
  <c r="B3" i="17"/>
  <c r="D3" i="17" s="1"/>
  <c r="D72" i="5"/>
  <c r="D5" i="13"/>
  <c r="C44" i="13"/>
  <c r="C25" i="5" l="1"/>
  <c r="C24" i="5" s="1"/>
  <c r="C33" i="5" s="1"/>
  <c r="C37" i="5" s="1"/>
  <c r="B23" i="17"/>
  <c r="D23" i="17" s="1"/>
  <c r="D48" i="13"/>
  <c r="C45" i="13"/>
  <c r="C73" i="5" l="1"/>
  <c r="C75" i="5" s="1"/>
  <c r="B30" i="17"/>
  <c r="D30" i="17" s="1"/>
  <c r="C46" i="13"/>
  <c r="C74" i="5" l="1"/>
  <c r="B32" i="17"/>
  <c r="D32" i="17" s="1"/>
  <c r="D27" i="5" l="1"/>
  <c r="D25" i="5" l="1"/>
  <c r="D24" i="5" l="1"/>
  <c r="D12" i="13"/>
  <c r="D30" i="5"/>
  <c r="D49" i="13" l="1"/>
  <c r="D18" i="13"/>
  <c r="D15" i="13"/>
  <c r="D73" i="5"/>
  <c r="D33" i="5"/>
  <c r="D37" i="5" s="1"/>
  <c r="D74" i="5" l="1"/>
  <c r="D31" i="13"/>
  <c r="D38" i="13" l="1"/>
  <c r="D43" i="13" l="1"/>
  <c r="D44" i="13" l="1"/>
  <c r="D45" i="13" l="1"/>
  <c r="D46" i="13" l="1"/>
</calcChain>
</file>

<file path=xl/comments1.xml><?xml version="1.0" encoding="utf-8"?>
<comments xmlns="http://schemas.openxmlformats.org/spreadsheetml/2006/main">
  <authors>
    <author>Maarja Valler</author>
  </authors>
  <commentList>
    <comment ref="G3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palun sisesta veergu oma ametiasutuse projekti andmed, kui need erinevad projekti ettepanekust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v.a OT RR-ga 2017</t>
        </r>
      </text>
    </comment>
  </commentList>
</comments>
</file>

<file path=xl/comments2.xml><?xml version="1.0" encoding="utf-8"?>
<comments xmlns="http://schemas.openxmlformats.org/spreadsheetml/2006/main">
  <authors>
    <author>Maarja Valler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palun sisesta veergu oma ametiasutuse projekti andmed, kui need erinevad projekti ettepanekust</t>
        </r>
      </text>
    </comment>
  </commentList>
</comments>
</file>

<file path=xl/comments3.xml><?xml version="1.0" encoding="utf-8"?>
<comments xmlns="http://schemas.openxmlformats.org/spreadsheetml/2006/main">
  <authors>
    <author>Maarja Valler</author>
    <author>Anne Viinapuu</author>
  </authors>
  <commentList>
    <comment ref="T4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palun sisesta veergu oma ametiasutuse projekti andmed, kui need erinevad projekti ettepanekust</t>
        </r>
      </text>
    </comment>
    <comment ref="L235" authorId="1" shapeId="0">
      <text>
        <r>
          <rPr>
            <b/>
            <sz val="9"/>
            <color indexed="81"/>
            <rFont val="Tahoma"/>
            <family val="2"/>
            <charset val="186"/>
          </rPr>
          <t>Anne Viinapuu:</t>
        </r>
        <r>
          <rPr>
            <sz val="9"/>
            <color indexed="81"/>
            <rFont val="Tahoma"/>
            <family val="2"/>
            <charset val="186"/>
          </rPr>
          <t xml:space="preserve">
Alates 2019 jne linnamajanduse investeeringute all</t>
        </r>
      </text>
    </comment>
    <comment ref="M245" authorId="1" shapeId="0">
      <text>
        <r>
          <rPr>
            <b/>
            <sz val="9"/>
            <color indexed="81"/>
            <rFont val="Tahoma"/>
            <family val="2"/>
            <charset val="186"/>
          </rPr>
          <t>Anne Viinapuu:</t>
        </r>
        <r>
          <rPr>
            <sz val="9"/>
            <color indexed="81"/>
            <rFont val="Tahoma"/>
            <family val="2"/>
            <charset val="186"/>
          </rPr>
          <t xml:space="preserve">
NB! STA tegi omaosaluse planeerimisel vea ja täiendavalt vaja koos töötasuga!!</t>
        </r>
      </text>
    </comment>
    <comment ref="J263" authorId="1" shapeId="0">
      <text>
        <r>
          <rPr>
            <b/>
            <sz val="9"/>
            <color indexed="81"/>
            <rFont val="Tahoma"/>
            <family val="2"/>
            <charset val="186"/>
          </rPr>
          <t>Anne Viinapuu:</t>
        </r>
        <r>
          <rPr>
            <sz val="9"/>
            <color indexed="81"/>
            <rFont val="Tahoma"/>
            <family val="2"/>
            <charset val="186"/>
          </rPr>
          <t xml:space="preserve">
NB! Omatuludest lisaks 310 020 € investeeringute katteks!
</t>
        </r>
      </text>
    </comment>
    <comment ref="K263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Jääb omatuludest kasutamata, suunatakse hoiustesse, sealt fin.tehingu katteks</t>
        </r>
      </text>
    </comment>
  </commentList>
</comments>
</file>

<file path=xl/comments4.xml><?xml version="1.0" encoding="utf-8"?>
<comments xmlns="http://schemas.openxmlformats.org/spreadsheetml/2006/main">
  <authors>
    <author>Maarja Valler</author>
  </authors>
  <commentList>
    <comment ref="F4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PPP + muud lisanduvad</t>
        </r>
      </text>
    </comment>
  </commentList>
</comments>
</file>

<file path=xl/comments5.xml><?xml version="1.0" encoding="utf-8"?>
<comments xmlns="http://schemas.openxmlformats.org/spreadsheetml/2006/main">
  <authors>
    <author>Anne Altermann</author>
    <author>Robert Kriesenthal</author>
    <author>Maarja Valler</author>
  </authors>
  <commentList>
    <comment ref="S17" authorId="0" shapeId="0">
      <text>
        <r>
          <rPr>
            <sz val="9"/>
            <color indexed="81"/>
            <rFont val="Segoe UI"/>
            <family val="2"/>
            <charset val="186"/>
          </rPr>
          <t>Tervikrenoveerimine läheb eeldatavalt kallimaks, kui algselt 2013 kavandati. Vahe ca 600 000 €  tuleks katta linna eelarvest</t>
        </r>
      </text>
    </comment>
    <comment ref="H144" authorId="1" shapeId="0">
      <text>
        <r>
          <rPr>
            <b/>
            <sz val="9"/>
            <color indexed="81"/>
            <rFont val="Tahoma"/>
            <family val="2"/>
            <charset val="186"/>
          </rPr>
          <t>Robert Kriesenthal:</t>
        </r>
        <r>
          <rPr>
            <sz val="9"/>
            <color indexed="81"/>
            <rFont val="Tahoma"/>
            <family val="2"/>
            <charset val="186"/>
          </rPr>
          <t xml:space="preserve">
Kogumaksumus = 2019 summa</t>
        </r>
      </text>
    </comment>
    <comment ref="H292" authorId="1" shapeId="0">
      <text>
        <r>
          <rPr>
            <b/>
            <sz val="9"/>
            <color indexed="81"/>
            <rFont val="Tahoma"/>
            <family val="2"/>
            <charset val="186"/>
          </rPr>
          <t>Robert Kriesenthal:</t>
        </r>
        <r>
          <rPr>
            <sz val="9"/>
            <color indexed="81"/>
            <rFont val="Tahoma"/>
            <family val="2"/>
            <charset val="186"/>
          </rPr>
          <t xml:space="preserve">
Kogumaksumus = 2019 summa
</t>
        </r>
      </text>
    </comment>
    <comment ref="H294" authorId="1" shapeId="0">
      <text>
        <r>
          <rPr>
            <b/>
            <sz val="9"/>
            <color indexed="81"/>
            <rFont val="Tahoma"/>
            <family val="2"/>
            <charset val="186"/>
          </rPr>
          <t>Robert Kriesenthal:</t>
        </r>
        <r>
          <rPr>
            <sz val="9"/>
            <color indexed="81"/>
            <rFont val="Tahoma"/>
            <family val="2"/>
            <charset val="186"/>
          </rPr>
          <t xml:space="preserve">
Kogumaksumus = 2019 summa</t>
        </r>
      </text>
    </comment>
    <comment ref="S296" authorId="2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55 arhiivile</t>
        </r>
      </text>
    </comment>
    <comment ref="H349" authorId="2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Sõle SK ja Kalevi SH</t>
        </r>
      </text>
    </comment>
    <comment ref="H352" authorId="2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Valmisid Uuslinna 3a, Valdeku 13</t>
        </r>
      </text>
    </comment>
    <comment ref="H353" authorId="2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Bussid, trammid, retrotrammid, 2017. aastal TLTle 50 uut ja 17 kasutatud bussi ning 7 renoveeritud trammi ja 3 retrotrammideks ümberehitatud trammi. </t>
        </r>
      </text>
    </comment>
  </commentList>
</comments>
</file>

<file path=xl/comments6.xml><?xml version="1.0" encoding="utf-8"?>
<comments xmlns="http://schemas.openxmlformats.org/spreadsheetml/2006/main">
  <authors>
    <author>Maarja Valler</author>
  </authors>
  <commentList>
    <comment ref="B42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bilansist kontogrupid 208 ja 258</t>
        </r>
      </text>
    </comment>
  </commentList>
</comments>
</file>

<file path=xl/comments7.xml><?xml version="1.0" encoding="utf-8"?>
<comments xmlns="http://schemas.openxmlformats.org/spreadsheetml/2006/main">
  <authors>
    <author>Robert Kriesenthal</author>
    <author>Maarja Valler</author>
  </authors>
  <commentList>
    <comment ref="B22" authorId="0" shapeId="0">
      <text>
        <r>
          <rPr>
            <b/>
            <sz val="8"/>
            <color indexed="81"/>
            <rFont val="Tahoma"/>
            <family val="2"/>
            <charset val="186"/>
          </rPr>
          <t>Robert Kriesenthal:</t>
        </r>
        <r>
          <rPr>
            <sz val="8"/>
            <color indexed="81"/>
            <rFont val="Tahoma"/>
            <family val="2"/>
            <charset val="186"/>
          </rPr>
          <t xml:space="preserve">
Peab võrduma objekti kogumaksumusega ivesteeringute koondis (vorm 6a) kogumaksumuse </t>
        </r>
      </text>
    </comment>
    <comment ref="F22" authorId="0" shapeId="0">
      <text>
        <r>
          <rPr>
            <b/>
            <sz val="8"/>
            <color indexed="81"/>
            <rFont val="Tahoma"/>
            <family val="2"/>
            <charset val="186"/>
          </rPr>
          <t>Robert Kriesenthal:</t>
        </r>
        <r>
          <rPr>
            <sz val="8"/>
            <color indexed="81"/>
            <rFont val="Tahoma"/>
            <family val="2"/>
            <charset val="186"/>
          </rPr>
          <t xml:space="preserve">
Peab võrduma objekti 2019. a taotlusega investeeringute koondis (vorm 6a)</t>
        </r>
      </text>
    </comment>
    <comment ref="B27" authorId="1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</commentList>
</comments>
</file>

<file path=xl/comments8.xml><?xml version="1.0" encoding="utf-8"?>
<comments xmlns="http://schemas.openxmlformats.org/spreadsheetml/2006/main">
  <authors>
    <author>valjaots</author>
    <author>valler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 01.01.2017 seisuga kohtade arv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 01.09.2017 seisuga  kohtade arv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 01.01.2017 seisuga kohtade arv 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 01.01.2017 seisuga täidetud kohtade arv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 01.09.2017 seisuga täidetud kohtade arv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 01.01.2017 seisuga kohtade arv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 01.09.2017 seisuga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 01.01.2017 seisuga kohtade arv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 01.09.2017 seisuga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 01.01.2017 seisuga kohtade arv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 01.09.2017 seisuga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 01.01.2017 seisuga kohtade arv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 01.09.2017 seisuga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näidatakse eelarvega kinnitatud summa seisuga 01.01.2017</t>
        </r>
      </text>
    </comment>
    <comment ref="C14" authorId="1" shapeId="0">
      <text>
        <r>
          <rPr>
            <b/>
            <sz val="9"/>
            <color indexed="81"/>
            <rFont val="Tahoma"/>
            <family val="2"/>
            <charset val="186"/>
          </rPr>
          <t>valler:</t>
        </r>
        <r>
          <rPr>
            <sz val="9"/>
            <color indexed="81"/>
            <rFont val="Tahoma"/>
            <family val="2"/>
            <charset val="186"/>
          </rPr>
          <t xml:space="preserve">
Näidatakse täpsustatud eelarve summa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 arv (kuni 15% kuupalgamäärast)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 ridade kaupa töö sisu ja summa</t>
        </r>
      </text>
    </comment>
  </commentList>
</comments>
</file>

<file path=xl/sharedStrings.xml><?xml version="1.0" encoding="utf-8"?>
<sst xmlns="http://schemas.openxmlformats.org/spreadsheetml/2006/main" count="1925" uniqueCount="1023">
  <si>
    <t>TOETUSED</t>
  </si>
  <si>
    <t>Välisrahastus kokku</t>
  </si>
  <si>
    <t>Põhitegevuse tulud (+)</t>
  </si>
  <si>
    <t>Maksutulud</t>
  </si>
  <si>
    <t>Tulud kaupade ja teenuste müügist</t>
  </si>
  <si>
    <t>Saadavad toetused tegevuskuludeks</t>
  </si>
  <si>
    <t>Muud tegevustulud</t>
  </si>
  <si>
    <t>Põhitegevuse kulud (-)</t>
  </si>
  <si>
    <t>Antavad toetused tegevuskuludeks</t>
  </si>
  <si>
    <t>Muud tegevuskulud</t>
  </si>
  <si>
    <t>PÕHITEGEVUSE TULEM</t>
  </si>
  <si>
    <t>Investeerimistegevus</t>
  </si>
  <si>
    <t>Põhivara müük (+)</t>
  </si>
  <si>
    <t>Põhivara soetus (-)</t>
  </si>
  <si>
    <t>Saadav sihtfinantseerimine (+)</t>
  </si>
  <si>
    <t>Antav sihtfinantseerimine (-)</t>
  </si>
  <si>
    <t>Finantstulud (+)</t>
  </si>
  <si>
    <t>Finantskulud (-)</t>
  </si>
  <si>
    <t>EELARVE TULEM</t>
  </si>
  <si>
    <t>Finantseerimistegevus</t>
  </si>
  <si>
    <t>Kohustuste võtmine (+)</t>
  </si>
  <si>
    <t>Kohustuste tasumine (-)</t>
  </si>
  <si>
    <t>Likviidsete varade muutus</t>
  </si>
  <si>
    <t>Nõuete ja kohustuste saldode muutus</t>
  </si>
  <si>
    <t>Müüdud vara jääkmaksumus</t>
  </si>
  <si>
    <t>LE</t>
  </si>
  <si>
    <t>RE</t>
  </si>
  <si>
    <t>RAHAKÄIBE PROGNOOS</t>
  </si>
  <si>
    <t xml:space="preserve">Laekumised haldustegevusest </t>
  </si>
  <si>
    <t xml:space="preserve"> Tulude laekumine</t>
  </si>
  <si>
    <t xml:space="preserve"> Toetused</t>
  </si>
  <si>
    <t>Väljamaksed haldustegevuseks</t>
  </si>
  <si>
    <t xml:space="preserve">Haldustegevus kokku </t>
  </si>
  <si>
    <t xml:space="preserve">Laekumised investeerimistegevusest </t>
  </si>
  <si>
    <t>Väljamaksed investeerimistegevuseks</t>
  </si>
  <si>
    <t xml:space="preserve">Investeerimistegevus kokku </t>
  </si>
  <si>
    <t>Laekumised finantseerimistegevusest</t>
  </si>
  <si>
    <t>Väljamaksed finantseerimistegevuseks</t>
  </si>
  <si>
    <t xml:space="preserve">Finantseerimistegevus kokku </t>
  </si>
  <si>
    <t>Laekumised kokku</t>
  </si>
  <si>
    <t>Väljamaksed kokku</t>
  </si>
  <si>
    <t>FINANTSEERIMISTEGEVUSE EELARVE</t>
  </si>
  <si>
    <t>Laenukohustuse suurenemine</t>
  </si>
  <si>
    <t>Laenukohustuse vähenemine</t>
  </si>
  <si>
    <t>Tulud majandustegevusest</t>
  </si>
  <si>
    <t>Võlalt arvestatud intressitulu</t>
  </si>
  <si>
    <t>KOKKU</t>
  </si>
  <si>
    <t>€</t>
  </si>
  <si>
    <t>KOONDEELARVE</t>
  </si>
  <si>
    <t>TULEMI PROGNOOS</t>
  </si>
  <si>
    <t>TULUD  KOKKU</t>
  </si>
  <si>
    <t>Riiklikud maksud</t>
  </si>
  <si>
    <t>Kohalikud maksud</t>
  </si>
  <si>
    <t>Lõivud</t>
  </si>
  <si>
    <t>Kaupade ja teenuste müük</t>
  </si>
  <si>
    <t>Muud tulud</t>
  </si>
  <si>
    <t>Finantstulu</t>
  </si>
  <si>
    <t>Vara müük</t>
  </si>
  <si>
    <t>Müüdava vara jääkmaksumus</t>
  </si>
  <si>
    <t>Vara müügi kulud</t>
  </si>
  <si>
    <t>Muud tulud varalt</t>
  </si>
  <si>
    <t>Dividendid</t>
  </si>
  <si>
    <t>Toetused riigilt ja muudelt institutsioonidelt</t>
  </si>
  <si>
    <t>Välisrahastus</t>
  </si>
  <si>
    <t>KULUD  KOKKU</t>
  </si>
  <si>
    <t>Põhitegevuse kulud, sh</t>
  </si>
  <si>
    <t>tegevuskulud riigi ja muude institutsioonide toetuste arvelt</t>
  </si>
  <si>
    <t>tegevuskulud välisrahastuse arvelt</t>
  </si>
  <si>
    <t>muud tegevuskulud</t>
  </si>
  <si>
    <t>Investeeringuprojektide kulud</t>
  </si>
  <si>
    <t>EELARVE TEGEVUSTULEM</t>
  </si>
  <si>
    <t>Amortisatsioon</t>
  </si>
  <si>
    <t>EELARVE AASTA TULEM KOKKU</t>
  </si>
  <si>
    <t>MUUTUSED BILANSIS</t>
  </si>
  <si>
    <t>MUUTUS MITTEFINANTSVARADES</t>
  </si>
  <si>
    <t>Põhivara soetus ja renoveerimine</t>
  </si>
  <si>
    <t>Müüdava vara jääkväärtus</t>
  </si>
  <si>
    <t>MUUTUS MITTEFINANTSVARADES KOKKU</t>
  </si>
  <si>
    <t>MUUTUS LAENUKOHUSTUSTES KOKKU</t>
  </si>
  <si>
    <t>Laenude võtmine</t>
  </si>
  <si>
    <t>Laenude tagasimaksed</t>
  </si>
  <si>
    <t xml:space="preserve">Kapitaliliisingu maksed </t>
  </si>
  <si>
    <t>MUUTUS NETOVARAS</t>
  </si>
  <si>
    <t>SISSETULEKUD</t>
  </si>
  <si>
    <t>VÄLJAMINEKUD</t>
  </si>
  <si>
    <t>TULUDE EELARVE</t>
  </si>
  <si>
    <t>Tululiik</t>
  </si>
  <si>
    <t>Linnakassa</t>
  </si>
  <si>
    <t>Omatulud</t>
  </si>
  <si>
    <t>Eelarve kokku</t>
  </si>
  <si>
    <t>Maksutulud kokku</t>
  </si>
  <si>
    <t>Üksikisiku tulumaks</t>
  </si>
  <si>
    <t>Maamaks</t>
  </si>
  <si>
    <t>Reklaamimaks</t>
  </si>
  <si>
    <t>Parkimistasu</t>
  </si>
  <si>
    <t>Trahvid</t>
  </si>
  <si>
    <t>Tulu finantsvara investeerimisest</t>
  </si>
  <si>
    <t>Kasum vara müügist</t>
  </si>
  <si>
    <t>Tulud kokku (v.a toetused)</t>
  </si>
  <si>
    <t>Toetused</t>
  </si>
  <si>
    <t>sh riigilt jm institutsioonidelt</t>
  </si>
  <si>
    <t>välisrahastus</t>
  </si>
  <si>
    <t>Tulu vara müügist</t>
  </si>
  <si>
    <t xml:space="preserve">KULUDE EELARVE </t>
  </si>
  <si>
    <t xml:space="preserve">Katteallikad </t>
  </si>
  <si>
    <t>sh omatulud</t>
  </si>
  <si>
    <t>linnakassa</t>
  </si>
  <si>
    <t>sellest töötasu</t>
  </si>
  <si>
    <t>Haridusameti haldusala</t>
  </si>
  <si>
    <t>Reservid</t>
  </si>
  <si>
    <t>sh</t>
  </si>
  <si>
    <t>VR</t>
  </si>
  <si>
    <t>OMATULUD</t>
  </si>
  <si>
    <t>Kokku</t>
  </si>
  <si>
    <t>Üür ja rent</t>
  </si>
  <si>
    <t>Muu toodete ja teenuste müük</t>
  </si>
  <si>
    <t>Tulud tugiteenustest</t>
  </si>
  <si>
    <t xml:space="preserve">Tulud haridusalasest tegevusest </t>
  </si>
  <si>
    <t>Tulud kultuuri- ja kunstialasest tegevusest</t>
  </si>
  <si>
    <t>Tulud spordi- ja puhkealasest tegevusest</t>
  </si>
  <si>
    <t>Eespool nimetamata muud tulud</t>
  </si>
  <si>
    <t>Õiguste müük</t>
  </si>
  <si>
    <t>Elamu- ja kommunaaltegevuse tulud</t>
  </si>
  <si>
    <t>Tulud muudelt majandusaladelt</t>
  </si>
  <si>
    <t>Tulud sotsiaalabialasest tegevusest</t>
  </si>
  <si>
    <t>Tulud tervishoiualasest tegevusest</t>
  </si>
  <si>
    <t>Tulud transporditeenustest</t>
  </si>
  <si>
    <t>Tulu keskkonnaalasest tegevusest</t>
  </si>
  <si>
    <t>Maksed teenuste kontsessioonilepingu raames</t>
  </si>
  <si>
    <t>Teede ja tänavate sulgemise maks</t>
  </si>
  <si>
    <t>Loodusvarade kasutusõiguse tasu</t>
  </si>
  <si>
    <t>EELARVE KOHALIKU OMAVALITSUSE ÜKSUSE FINANTSJUHTIMISE SEADUSE JÄRGI</t>
  </si>
  <si>
    <t>Toetus välisprojektide kaasfinantseerimiseks</t>
  </si>
  <si>
    <t>välisprojektide kaasfinantseerimine</t>
  </si>
  <si>
    <t>SE</t>
  </si>
  <si>
    <t>Kasum/kahjum varude müügist</t>
  </si>
  <si>
    <t>Teenuste kontsessioonilepingu raames renoveeritud koolid</t>
  </si>
  <si>
    <t>sh teede ja tänavate korrashoid</t>
  </si>
  <si>
    <t>OT</t>
  </si>
  <si>
    <t xml:space="preserve">  Maksud</t>
  </si>
  <si>
    <t xml:space="preserve">   sh tulumaks</t>
  </si>
  <si>
    <t xml:space="preserve">        maamaks</t>
  </si>
  <si>
    <t xml:space="preserve">        kohalikud maksud</t>
  </si>
  <si>
    <t xml:space="preserve"> Tegevustulu</t>
  </si>
  <si>
    <t xml:space="preserve"> Muud tulud</t>
  </si>
  <si>
    <t xml:space="preserve">  sh riigilt</t>
  </si>
  <si>
    <t xml:space="preserve">       välisrahastus</t>
  </si>
  <si>
    <t xml:space="preserve">   sh tegevuskulu</t>
  </si>
  <si>
    <t xml:space="preserve">       finantskulud</t>
  </si>
  <si>
    <t xml:space="preserve">   sh põhivara müük</t>
  </si>
  <si>
    <t xml:space="preserve">       saadud dividendid</t>
  </si>
  <si>
    <t xml:space="preserve">       finantstulu</t>
  </si>
  <si>
    <t xml:space="preserve">   sh põhivara soetamine</t>
  </si>
  <si>
    <t xml:space="preserve">  sh eelarvelaenu võtmine/võlakirjade emiteerimine</t>
  </si>
  <si>
    <t xml:space="preserve">      kapitalirendi põhiosa maksed</t>
  </si>
  <si>
    <t>MUUTUSED VARADES</t>
  </si>
  <si>
    <t>MUUTUSED KOHUSTUSTES</t>
  </si>
  <si>
    <t>äriruumide üüritulu</t>
  </si>
  <si>
    <t>kommunaalteenused</t>
  </si>
  <si>
    <t>muud eespoolnimetamata tulud majandustegevusest</t>
  </si>
  <si>
    <t>teenused</t>
  </si>
  <si>
    <t>8. Sotsiaal- ja Tervishoiuameti haldusala</t>
  </si>
  <si>
    <t>8.1. Sotsiaal- ja Tervishoiuamet</t>
  </si>
  <si>
    <t>muu tulu majandustegevusest</t>
  </si>
  <si>
    <t>hooldustasu</t>
  </si>
  <si>
    <t>toitlustustasu</t>
  </si>
  <si>
    <t>õppekulude tasu</t>
  </si>
  <si>
    <t>8.3. Tallinna Lastekodu</t>
  </si>
  <si>
    <t>8.4. Tallinna Vaimse Tervise Keskus</t>
  </si>
  <si>
    <t>majutusteenus</t>
  </si>
  <si>
    <t>8.5. Iru Hooldekodu</t>
  </si>
  <si>
    <t>8.6. Tallinna Tugikeskus Juks</t>
  </si>
  <si>
    <t>8.7. Tallinna Sotsiaaltöö Keskus</t>
  </si>
  <si>
    <t>pesupesemisteenus</t>
  </si>
  <si>
    <t>8.8. Tallinna Kiirabi</t>
  </si>
  <si>
    <t>Kulud kokku</t>
  </si>
  <si>
    <t>Toode:</t>
  </si>
  <si>
    <t>Muud eelarvepositsioonid</t>
  </si>
  <si>
    <t>Sotsiaal- ja Tervishoiuameti haldusala</t>
  </si>
  <si>
    <t>Tootevaldkond: sotsiaalhoolekanne</t>
  </si>
  <si>
    <t>Tootegrupp: puuetega isikute hoolekanne</t>
  </si>
  <si>
    <t>Sotsiaaltransporditeenus (a)</t>
  </si>
  <si>
    <t>Viipekeeleteenus</t>
  </si>
  <si>
    <t>Isikliku abistaja teenused</t>
  </si>
  <si>
    <r>
      <t xml:space="preserve">Raske ja sügava puudega laste tugiisikuteenus </t>
    </r>
    <r>
      <rPr>
        <sz val="8"/>
        <rFont val="Arial"/>
        <family val="2"/>
        <charset val="186"/>
      </rPr>
      <t>(Tallinna Perekeskus)</t>
    </r>
  </si>
  <si>
    <t>Töö- ja rakenduskeskuse teenused</t>
  </si>
  <si>
    <t>Nõustamisteenused</t>
  </si>
  <si>
    <t>Puudega inimese perekonda toetavad teenused</t>
  </si>
  <si>
    <t>Tootegrupp: eakate hoolekanne</t>
  </si>
  <si>
    <t>Eaka inimese perekonda toetavad teenused</t>
  </si>
  <si>
    <t>Sotsiaalvalve teenus</t>
  </si>
  <si>
    <t>Eakate päevakeskuste haldamine</t>
  </si>
  <si>
    <t>Omastehooldaja asendusteenus</t>
  </si>
  <si>
    <t>Tootegrupp: laste hoolekanne</t>
  </si>
  <si>
    <t>Psühholoogiline nõustamine</t>
  </si>
  <si>
    <r>
      <t>Perekeskuse teenused</t>
    </r>
    <r>
      <rPr>
        <sz val="8"/>
        <rFont val="Arial"/>
        <family val="2"/>
        <charset val="186"/>
      </rPr>
      <t xml:space="preserve"> (Tallinna Perekeskus)</t>
    </r>
  </si>
  <si>
    <t>Perekonda toetavad teenused</t>
  </si>
  <si>
    <t>laste toitlustamine päevakeskustes</t>
  </si>
  <si>
    <r>
      <t xml:space="preserve">Laste ja emad lastega turvakoduteenused </t>
    </r>
    <r>
      <rPr>
        <sz val="8"/>
        <rFont val="Arial"/>
        <family val="2"/>
        <charset val="186"/>
      </rPr>
      <t>(Sotsiaal- ja Tervishoiuamet, Tallinna Lastekodu, Tallinna Laste Turvakeskus)</t>
    </r>
  </si>
  <si>
    <r>
      <t>Hooldamine asenduskodus</t>
    </r>
    <r>
      <rPr>
        <sz val="8"/>
        <rFont val="Arial"/>
        <family val="2"/>
        <charset val="186"/>
      </rPr>
      <t xml:space="preserve"> (Tallinna Lastekodu)</t>
    </r>
  </si>
  <si>
    <r>
      <t>Käitumishäiretega laste rehabilitatsiooniteenus</t>
    </r>
    <r>
      <rPr>
        <sz val="8"/>
        <rFont val="Arial"/>
        <family val="2"/>
        <charset val="186"/>
      </rPr>
      <t xml:space="preserve"> (Tallinna Laste Turvakeskus)</t>
    </r>
  </si>
  <si>
    <t xml:space="preserve"> Imiku hoolduspakid (a)</t>
  </si>
  <si>
    <t>Tootegrupp: muude kriisirühmade hoolekanne</t>
  </si>
  <si>
    <t>Sotsiaalselt tundlike sihtgruppide rehabilitatsiooniteenused</t>
  </si>
  <si>
    <t>Kodutute öömaja- ja varjupaigateenused</t>
  </si>
  <si>
    <t>Supiköögiteenused</t>
  </si>
  <si>
    <t>Õigusalane nõustamine</t>
  </si>
  <si>
    <t>Toimetulekut soodustavad teenused</t>
  </si>
  <si>
    <t>sh Tšernobõli sotsiaalprogramm</t>
  </si>
  <si>
    <t>toiduabi</t>
  </si>
  <si>
    <t>Vältimatu sotsiaalabi</t>
  </si>
  <si>
    <t>Kriisiabi</t>
  </si>
  <si>
    <r>
      <t>Sotsiaalmajutusüksused</t>
    </r>
    <r>
      <rPr>
        <sz val="8"/>
        <rFont val="Arial"/>
        <family val="2"/>
        <charset val="186"/>
      </rPr>
      <t xml:space="preserve"> (Tallinna Sotsiaaltöö Keskus)</t>
    </r>
  </si>
  <si>
    <t>Sotsiaalhoolekanne</t>
  </si>
  <si>
    <t>Sotsiaal- ja Tervishoiuamet</t>
  </si>
  <si>
    <t>Puuetega inimeste hooldajatoetus (a)</t>
  </si>
  <si>
    <r>
      <t>Muud hoolekandeteenused</t>
    </r>
    <r>
      <rPr>
        <sz val="8"/>
        <rFont val="Arial"/>
        <family val="2"/>
        <charset val="186"/>
      </rPr>
      <t xml:space="preserve"> (Tallinna Sotsiaaltöö Keskus)</t>
    </r>
  </si>
  <si>
    <r>
      <t xml:space="preserve">Muud sotsiaaltoetused, </t>
    </r>
    <r>
      <rPr>
        <i/>
        <u/>
        <sz val="10"/>
        <rFont val="Arial"/>
        <family val="2"/>
        <charset val="186"/>
      </rPr>
      <t>sh</t>
    </r>
  </si>
  <si>
    <t>Toetused lastele ja peredele (a)</t>
  </si>
  <si>
    <t>toetused toimetulekuraskustes peredele</t>
  </si>
  <si>
    <t>esmakordselt kooli mineva lapse toetus</t>
  </si>
  <si>
    <t>sünnitoetus</t>
  </si>
  <si>
    <t>lapsehoiuteenuse hüvitis</t>
  </si>
  <si>
    <t>ellusuunamise toetus</t>
  </si>
  <si>
    <t>Toetused eakatele</t>
  </si>
  <si>
    <r>
      <t>sh</t>
    </r>
    <r>
      <rPr>
        <sz val="8"/>
        <rFont val="Arial"/>
        <family val="2"/>
        <charset val="186"/>
      </rPr>
      <t xml:space="preserve"> toetus (a)</t>
    </r>
  </si>
  <si>
    <t>teenustasu Eesti Postile</t>
  </si>
  <si>
    <t>Toetused erivajadustega inimestele (a)</t>
  </si>
  <si>
    <t>puudega lapse toetus</t>
  </si>
  <si>
    <t>eluruumi kohandamise hüvitis puudega inimesele (ü)</t>
  </si>
  <si>
    <t>Mittetulundustegevuse toetamine</t>
  </si>
  <si>
    <r>
      <t xml:space="preserve">sh </t>
    </r>
    <r>
      <rPr>
        <sz val="8"/>
        <rFont val="Arial"/>
        <family val="2"/>
        <charset val="186"/>
      </rPr>
      <t>Tallinna Noorteklubi KODULINN</t>
    </r>
  </si>
  <si>
    <t>muu mittetulundustegevuse toetamine</t>
  </si>
  <si>
    <t>eakate ja puuetega inimeste ürituste korraldamiseks</t>
  </si>
  <si>
    <t>Tervishoid</t>
  </si>
  <si>
    <t>Tallinna Kiirabi</t>
  </si>
  <si>
    <t>Mitmesugused tervishoiukulud</t>
  </si>
  <si>
    <r>
      <t>sh</t>
    </r>
    <r>
      <rPr>
        <sz val="8"/>
        <rFont val="Arial"/>
        <family val="2"/>
        <charset val="186"/>
      </rPr>
      <t xml:space="preserve"> projektid ja programmid</t>
    </r>
  </si>
  <si>
    <t xml:space="preserve">õendusabi korraldamine </t>
  </si>
  <si>
    <t>Ravikindlustusega hõlmamata isikute ravikulud (a)</t>
  </si>
  <si>
    <t>Laste visiiditasust vabastamine</t>
  </si>
  <si>
    <t>Uimastiennetustegevus SA-s Tallinna Lastehaigla</t>
  </si>
  <si>
    <t>Kainestusmaja haldamine</t>
  </si>
  <si>
    <t>Noorte nõustamiskeskuste haldamine</t>
  </si>
  <si>
    <t>Toetus Tallinna Munitsipaalperearstikeskuse OÜ-le</t>
  </si>
  <si>
    <t>Tegevustoetus Sotsiaalrehabilitatsiooni Keskusele Loksa</t>
  </si>
  <si>
    <t>Toetus MTÜ-le AIDSi Tugikeskus uimastiennetustegevuseks</t>
  </si>
  <si>
    <t>Eelarvepositsioon</t>
  </si>
  <si>
    <t>muud tasulised teenused</t>
  </si>
  <si>
    <t>Järveotsa tee 33 hoone rekonstrueerimine lasteaiaks</t>
  </si>
  <si>
    <t>Tallinna Keskraamatukogule teavikute soetamine</t>
  </si>
  <si>
    <t>välisrahastuse arvelt</t>
  </si>
  <si>
    <t>rehabilitatsiooniteenus</t>
  </si>
  <si>
    <t>psüühiliste erivajadustega inimeste hoolekandeteenus</t>
  </si>
  <si>
    <t>pikaajaline kaitstud töö teenus</t>
  </si>
  <si>
    <r>
      <t>Ööpäevane üldhoolduse teenus</t>
    </r>
    <r>
      <rPr>
        <sz val="8"/>
        <rFont val="Arial"/>
        <family val="2"/>
        <charset val="186"/>
      </rPr>
      <t xml:space="preserve"> (Sotsiaal- ja Tervishoiuamet, Iru Hooldekodu)</t>
    </r>
  </si>
  <si>
    <r>
      <t>Järelhooldusteenus</t>
    </r>
    <r>
      <rPr>
        <sz val="8"/>
        <rFont val="Arial"/>
        <family val="2"/>
        <charset val="186"/>
      </rPr>
      <t xml:space="preserve"> (Tallinna Lastekodu)</t>
    </r>
  </si>
  <si>
    <t>Asendushooldusteenus</t>
  </si>
  <si>
    <t>Tallinna linna puuetega inimeste transpordi infosüsteem PIT2</t>
  </si>
  <si>
    <t>Tallinna ligipääsetavuse infosüsteemi lähteülesande koostamine</t>
  </si>
  <si>
    <t>juhtkoera pidamise toetus</t>
  </si>
  <si>
    <t>Ligipääsetavuse arengusuundade elluviimine</t>
  </si>
  <si>
    <t xml:space="preserve">Paljassaare põik 5 ja Mustjõe tn 40 jäätmejaama ehitamine ja multiliftkonteinerite soetamine </t>
  </si>
  <si>
    <t>Reidi tee ehitus Tallinnas</t>
  </si>
  <si>
    <t>Viru keskuse bussiterminali remont</t>
  </si>
  <si>
    <t>Pelguranna tn 31 tugikodu rajamine</t>
  </si>
  <si>
    <t>Gonsiori tänava rekonstrueerimine Tallinnas</t>
  </si>
  <si>
    <t>Filtri teed Kadrioruga ja Ülemiste ühisterminaliga ühendav kergliiklustee</t>
  </si>
  <si>
    <t>Ülemiste järve liikumisrada (Tartu mnt lõigus Lennujaama tee – Vana-Tartu mnt)</t>
  </si>
  <si>
    <t>Vana-Kalamaja tänava rekonstrueerimine</t>
  </si>
  <si>
    <t>Heakord</t>
  </si>
  <si>
    <t>Tööturul võrdväärset osalemist toetav intervallhoiuteenus Tallinnas ja Viimsis</t>
  </si>
  <si>
    <t>MUUTUS MUUDES KOHUSTUSTES KOKKU</t>
  </si>
  <si>
    <t>MUUTUS NÕUETES KOKKU</t>
  </si>
  <si>
    <t>MUUTUS RAHAS</t>
  </si>
  <si>
    <t>Hoiuste muutus</t>
  </si>
  <si>
    <t>MUUTUS FINANTSVARADES KOKKU</t>
  </si>
  <si>
    <t>Koolieelsed lasteasutused</t>
  </si>
  <si>
    <t>asenduspindade ettevalmistamine (lasteaedade tervikrenoveerimiste ettevalmistav etapp)</t>
  </si>
  <si>
    <t>spordisaalide ja staadionite arendamine</t>
  </si>
  <si>
    <t>Huvikoolid</t>
  </si>
  <si>
    <t>huvikoolide remonttööd, soetused ja tuleohutusnõuete täitmine</t>
  </si>
  <si>
    <t>sh kultuurikeskuse hoovi ehitustööd</t>
  </si>
  <si>
    <t>suure saali valgustus- ja helitehnika uuendamine</t>
  </si>
  <si>
    <t>Mustpeade Maja restaureerimine</t>
  </si>
  <si>
    <t>Tallinna Filharmoonia pillifond</t>
  </si>
  <si>
    <t>palmimaja remonttööd</t>
  </si>
  <si>
    <t>Muinsuskaitsealased investeeringud</t>
  </si>
  <si>
    <t>linnamüüri korrastamine ja kujundamine</t>
  </si>
  <si>
    <t>Pirita kloostrivaremete korrastamine</t>
  </si>
  <si>
    <t>Rahumäe, Kivimäe ja Hiiu jaamahoonete remonttööd</t>
  </si>
  <si>
    <t>Salme Kultuurikeskuse remonttööd ja soetused</t>
  </si>
  <si>
    <t>sh tänavavalgustuse ehitamine ja renoveerimine</t>
  </si>
  <si>
    <t>Fooriobjektide rajamine</t>
  </si>
  <si>
    <t>Narva mnt TLÜ foorid</t>
  </si>
  <si>
    <t>Maade ja asjaõiguste omandamine</t>
  </si>
  <si>
    <t>Tallinna linna hooldus-, heakorra- ja haljastustööde infosüsteemi loomine</t>
  </si>
  <si>
    <t>Tammsaare pargi rekonstrueerimine</t>
  </si>
  <si>
    <t>Muud pargid ja rohealad</t>
  </si>
  <si>
    <t>Piiskopi aia korrastamine</t>
  </si>
  <si>
    <t>Koguperemänguväljakute rajamine ja rekonstrueerimine</t>
  </si>
  <si>
    <t>Mänguväljakud ja treeningelemendid</t>
  </si>
  <si>
    <t>Harku järve rannaalale mänguväljaku rajamine</t>
  </si>
  <si>
    <t>Ehitajate tee 74a mänguväljaku rekonstrueerimine</t>
  </si>
  <si>
    <t>Sõpruse pst 234a mänguväljaku rajamine</t>
  </si>
  <si>
    <t>Randla tn 16a mänguväljaku rekonstrueerimine</t>
  </si>
  <si>
    <t>Snelli tiigi puhastamine</t>
  </si>
  <si>
    <t>Kalmistute investeeringud</t>
  </si>
  <si>
    <t>kalmistute kastmisveetrasside projekteerimine ja ehitamine</t>
  </si>
  <si>
    <t>Linnamööbli soetamine (prügikastid, pingid jm)</t>
  </si>
  <si>
    <t>sh Paljassaare põik 5 jäätmejaam</t>
  </si>
  <si>
    <t>Mustjõe tn 40 jäätmejaam</t>
  </si>
  <si>
    <t>Ühiselamu tüüpi hoonete renoveerimine</t>
  </si>
  <si>
    <t>sh Paagi tn 10</t>
  </si>
  <si>
    <t>Tallinna Linnahalli rekonstrueerimine</t>
  </si>
  <si>
    <t>Geoinfosüsteemide arendamine ja soetused</t>
  </si>
  <si>
    <t>Nunne tn 18 fassaadide renoveerimine</t>
  </si>
  <si>
    <t>Palga korrektsiooni reserv</t>
  </si>
  <si>
    <t>SOTSIAALHOOLEKANNE</t>
  </si>
  <si>
    <t>TERVISHOID</t>
  </si>
  <si>
    <t>INVESTEERIMISTEGEVUS KOKKU</t>
  </si>
  <si>
    <r>
      <t>Päevategevus ja -hoid</t>
    </r>
    <r>
      <rPr>
        <sz val="8"/>
        <rFont val="Arial"/>
        <family val="2"/>
        <charset val="186"/>
      </rPr>
      <t xml:space="preserve"> (Sotsiaal- ja Tervishoiuamet, Tallinna Tugikeskus Juks, Käo Tugikeskus)</t>
    </r>
  </si>
  <si>
    <r>
      <t>Teenused psüühiliste erivajadustega inimestele</t>
    </r>
    <r>
      <rPr>
        <sz val="8"/>
        <rFont val="Arial"/>
        <family val="2"/>
        <charset val="186"/>
      </rPr>
      <t xml:space="preserve"> (Tallinna Vaimse Tervise Keskus)</t>
    </r>
  </si>
  <si>
    <r>
      <t xml:space="preserve">Rehabilitatsiooniteenused </t>
    </r>
    <r>
      <rPr>
        <sz val="8"/>
        <rFont val="Arial"/>
        <family val="2"/>
        <charset val="186"/>
      </rPr>
      <t>(Tallinna Vaimse Tervise Keskus)</t>
    </r>
  </si>
  <si>
    <r>
      <t xml:space="preserve">Kaitstud töö teenus </t>
    </r>
    <r>
      <rPr>
        <sz val="8"/>
        <rFont val="Arial"/>
        <family val="2"/>
        <charset val="186"/>
      </rPr>
      <t>(Tallinna Tugikeskus Juks)</t>
    </r>
  </si>
  <si>
    <t>Tehnovõrgud</t>
  </si>
  <si>
    <t>8.2. Käo Tugikeskus</t>
  </si>
  <si>
    <t xml:space="preserve">  sh eelarvelaenu tagastamine/võlakirjade tagasiostmine</t>
  </si>
  <si>
    <t>Sotsiaalhoolekandeasutuste remonttööd</t>
  </si>
  <si>
    <t>pensionilisa</t>
  </si>
  <si>
    <t>Laevastiku tn 1c mänguväljaku rekonstrueerimine</t>
  </si>
  <si>
    <t>Mittetulundusühing Lootus Sinuga</t>
  </si>
  <si>
    <r>
      <t>Vanemlusprogrammi „Imelised aastad“ koolitused</t>
    </r>
    <r>
      <rPr>
        <sz val="8"/>
        <rFont val="Arial"/>
        <family val="2"/>
        <charset val="186"/>
      </rPr>
      <t xml:space="preserve"> (Tallinna Laste Turvakeskus, Tallinna Perekeskus)</t>
    </r>
  </si>
  <si>
    <t>Projekt „Erivajadustega inimeste eluaseme füüsiline kohandamine“</t>
  </si>
  <si>
    <t>Välisrahastusega projekt „Tööturul võrdväärset osalemist toetav intervallhoiuteenus Tallinnas ja Viimsis“ (ü)</t>
  </si>
  <si>
    <t>Välisrahastusega projekt „Tallinna linna puuetega inimeste transpordi infosüsteem PIT2“</t>
  </si>
  <si>
    <t>Välisrahastusega projekt „Tallinna ligipääsetavuse infosüsteemi lähteülesande koostamine“</t>
  </si>
  <si>
    <t>Projekt „Tallinna Haigla“</t>
  </si>
  <si>
    <t>sellest Pärnu mnt 9 hoovipoolse fassaadi renoveerimine</t>
  </si>
  <si>
    <t>peale selle amortisatsioon</t>
  </si>
  <si>
    <r>
      <t>NATTOURS</t>
    </r>
    <r>
      <rPr>
        <b/>
        <sz val="10"/>
        <rFont val="Arial"/>
        <family val="2"/>
        <charset val="186"/>
      </rPr>
      <t xml:space="preserve"> </t>
    </r>
    <r>
      <rPr>
        <sz val="10"/>
        <rFont val="Arial"/>
        <family val="2"/>
        <charset val="186"/>
      </rPr>
      <t>– jätkusuutlikud rajad linnades, kasutades uusi
IT-lahendusi</t>
    </r>
  </si>
  <si>
    <t>Esialgne eelarve</t>
  </si>
  <si>
    <t>Täpsustatud eelarve</t>
  </si>
  <si>
    <t>Linna juhtimine</t>
  </si>
  <si>
    <t>Linna tugiteenused</t>
  </si>
  <si>
    <t>Haridus</t>
  </si>
  <si>
    <t>Kultuur</t>
  </si>
  <si>
    <t>Sport ja vaba aeg</t>
  </si>
  <si>
    <t>Noorsootöö</t>
  </si>
  <si>
    <t>Linnamajandus</t>
  </si>
  <si>
    <t>Muu majandus</t>
  </si>
  <si>
    <t>Ettevõtluskeskkond</t>
  </si>
  <si>
    <t>Linnatransport</t>
  </si>
  <si>
    <t>Teed ja tänavad</t>
  </si>
  <si>
    <t>Muud kommunaalkulud</t>
  </si>
  <si>
    <t>Keskkonnakaitse</t>
  </si>
  <si>
    <t>Linnaplaneerimine</t>
  </si>
  <si>
    <t>Muud valdkonnad</t>
  </si>
  <si>
    <t>Avalik kord</t>
  </si>
  <si>
    <t>Valdkonnad kokku</t>
  </si>
  <si>
    <t>Finantskulud</t>
  </si>
  <si>
    <t>Reservfond (linnavalitsus ja linnaosad)</t>
  </si>
  <si>
    <t>Kohtuvaidluste ja muude õiguslike vaidlustega seotud nõuete reserv</t>
  </si>
  <si>
    <t>Linna vara ja kohustustega seonduvate toimingute reserv</t>
  </si>
  <si>
    <t>Oma- ja kaasfinantseerimise ja välisprojektide ettevalmistamise reserv</t>
  </si>
  <si>
    <t>Tegevuskulud, v.a riigieelarve ja muude eraldiste arvelt</t>
  </si>
  <si>
    <t>Riigi ja muude institutsioonide toetuste arvelt tehtavad kulud</t>
  </si>
  <si>
    <t>töötasu</t>
  </si>
  <si>
    <t>Kulud</t>
  </si>
  <si>
    <t>Investeeringud</t>
  </si>
  <si>
    <t>Palga korrektsiooni reservi jaotus</t>
  </si>
  <si>
    <t xml:space="preserve">Sotsiaalhoolekanne </t>
  </si>
  <si>
    <t xml:space="preserve">Tervishoid </t>
  </si>
  <si>
    <t>Esiaglne eelarve</t>
  </si>
  <si>
    <t>2019 prognoos</t>
  </si>
  <si>
    <t>2017 tegelik</t>
  </si>
  <si>
    <t>LK</t>
  </si>
  <si>
    <t>sh VR ja VR KF arvelt</t>
  </si>
  <si>
    <t>OT arvelt</t>
  </si>
  <si>
    <t>LK arvelt</t>
  </si>
  <si>
    <t>PPP muudatus</t>
  </si>
  <si>
    <r>
      <t xml:space="preserve">LK arvelt maha v.a PPP </t>
    </r>
    <r>
      <rPr>
        <b/>
        <sz val="10"/>
        <color rgb="FFFF0000"/>
        <rFont val="Times New Roman"/>
        <family val="1"/>
        <charset val="186"/>
      </rPr>
      <t>(-)</t>
    </r>
  </si>
  <si>
    <r>
      <t>LK arvelt juurde v.a PPP</t>
    </r>
    <r>
      <rPr>
        <b/>
        <sz val="10"/>
        <color rgb="FFFF0000"/>
        <rFont val="Times New Roman"/>
        <family val="1"/>
        <charset val="186"/>
      </rPr>
      <t xml:space="preserve"> (+) </t>
    </r>
  </si>
  <si>
    <t>LK arvelt muudatus kokku</t>
  </si>
  <si>
    <t>OT arvelt (kogusumma)</t>
  </si>
  <si>
    <t>VR arvelt (kogusumma)</t>
  </si>
  <si>
    <t>2018 eelarve</t>
  </si>
  <si>
    <t>Jrk nr</t>
  </si>
  <si>
    <t>Valdkond</t>
  </si>
  <si>
    <t>Investeerimisobjekti nimetus</t>
  </si>
  <si>
    <t>Linnaosa</t>
  </si>
  <si>
    <t>Katte-alli-kas*</t>
  </si>
  <si>
    <t>2019
€</t>
  </si>
  <si>
    <t>sh Tallinna Prantsuse Lütseumi võimlahoone ehitus</t>
  </si>
  <si>
    <t>KL</t>
  </si>
  <si>
    <t>Tallinna Pääsküla Gümnaasiumi tervikrenoveerimine</t>
  </si>
  <si>
    <t>N</t>
  </si>
  <si>
    <t>Vanalinna Hariduskolleegiumi Pühavaimu 8 hoone remont</t>
  </si>
  <si>
    <t>Tallinna Pae Gümnaasiumi laiendus</t>
  </si>
  <si>
    <t>LM</t>
  </si>
  <si>
    <t>MM</t>
  </si>
  <si>
    <t>Tallinna Tondi Põhikooli tervikrenoveerimine</t>
  </si>
  <si>
    <t>KR</t>
  </si>
  <si>
    <t>Tallinna Arte Gümnaasiumi tervikrenoveerimine</t>
  </si>
  <si>
    <t>H</t>
  </si>
  <si>
    <t>XXX</t>
  </si>
  <si>
    <t xml:space="preserve">Tallinna Männikäbi Lasteaia renoveerimine ja energiasääst </t>
  </si>
  <si>
    <t>Sitsi Lasteaia renoveerimine ja energiasääst</t>
  </si>
  <si>
    <t>PT</t>
  </si>
  <si>
    <t>Pirita-Kose Lasteaia juurdeehitus</t>
  </si>
  <si>
    <t>P</t>
  </si>
  <si>
    <t>Lasteaedade 100  mänguväljaku projekt EV100</t>
  </si>
  <si>
    <t>Tallinna Padriku Lasteaia laiendamine ja parkla valgustuse välja ehitamine</t>
  </si>
  <si>
    <t>koolieelsete lasteasutuste remontööd, soetused ja tuleohutusnõuete täitmine</t>
  </si>
  <si>
    <t>sh Tallinna Huvikeskus "Kullo" renoveerimine ja Kristiine kontserdisaali  ehitus</t>
  </si>
  <si>
    <t>Kultuur ja muinsuskaitse</t>
  </si>
  <si>
    <t>Loomaaia liigikaitse labori naaritsaaedikute kompleksi ehitus ja DNA labori sisustus</t>
  </si>
  <si>
    <t>Tallinna Loomaaia investeeringud</t>
  </si>
  <si>
    <t xml:space="preserve">puhkeala rajamine ja vanade hoonete lammutamine </t>
  </si>
  <si>
    <t>Keskraamatukogu teavikute soetamine</t>
  </si>
  <si>
    <t>Tallinna Keskraamatukogu investeeringud</t>
  </si>
  <si>
    <t xml:space="preserve">sh filiaalide remonttööd </t>
  </si>
  <si>
    <t xml:space="preserve"> uue filiaali sisseseadmine Lasnamäele </t>
  </si>
  <si>
    <t>Vene Kultuurikeskuse renoveerimine</t>
  </si>
  <si>
    <t>Muuseumide investeeringud</t>
  </si>
  <si>
    <t xml:space="preserve">sh Tallinna Linnamuuseumi Vene tn 17 katuse remonttööd ja ekspositsiooni uuendamine </t>
  </si>
  <si>
    <t>(KL)</t>
  </si>
  <si>
    <t>Sõjakooli memoriaali rajamine</t>
  </si>
  <si>
    <t>Esimese eestlasest linnapea V.Lenderi mälestusmärgi rajamine</t>
  </si>
  <si>
    <t>G. Otsa mälestusmärgi rajamine</t>
  </si>
  <si>
    <t>?</t>
  </si>
  <si>
    <t>vetesüsteemi rekonstrueerimine</t>
  </si>
  <si>
    <t>väliekspositsiooni rekonstrueerimine (alpinaarium, rosaarium, salikaarium)</t>
  </si>
  <si>
    <t>Mustamäe Kultuurikeskus Kaja ja linnaosa haldushoone ehitamine</t>
  </si>
  <si>
    <t>Nõmme Muuseumi (Jaama 18) remonttööd ja soetused</t>
  </si>
  <si>
    <t>Kultuuriasutuste muud remonttööd ja soetused</t>
  </si>
  <si>
    <t>M. Härma 14 spordiväljakute rajamise lõpetamine</t>
  </si>
  <si>
    <t>Spordirajatiste rajamine linnaosadesse</t>
  </si>
  <si>
    <t>Muud</t>
  </si>
  <si>
    <t>Põhja-Tallinna Sotsiaalkeskuse ehitus Sõle tn 61a</t>
  </si>
  <si>
    <t>Kesklinna Sotsiaalkeskuse filiaali loomine Tondi asumisse</t>
  </si>
  <si>
    <t>Tallinna Kiirabi meditsiinivarustuse soetamine jm investeeringud</t>
  </si>
  <si>
    <t>(KR)</t>
  </si>
  <si>
    <t>Turgude arendamine</t>
  </si>
  <si>
    <t>Linnaasutuste ligipääsetavuse parendamine</t>
  </si>
  <si>
    <t xml:space="preserve">Munitsipaalelamute projekteerimine, ehitamine ja sisustamine, sh: </t>
  </si>
  <si>
    <t xml:space="preserve">   sh  Maleva tn 18</t>
  </si>
  <si>
    <t>Muud linnavara valdkonna remonttööd ja soetused</t>
  </si>
  <si>
    <t>sh Erika tn 13 fassaadi osaline renoveerimine</t>
  </si>
  <si>
    <t>Tehnoloogilise lahenduse prototüübi loomine maa-aluste rajatiste 3D andmeseireks</t>
  </si>
  <si>
    <t>Lasnamäe mänguväljakute rekonstrueerimine (Punane tn 43c; Ümera tn 9a; Loitsu tn 2 ja 4 hoov; Läänemere tee 3)</t>
  </si>
  <si>
    <t>Kadrioru koerte jalutusväljak</t>
  </si>
  <si>
    <t>LM/PT</t>
  </si>
  <si>
    <t>sh Metsakalmistu abihoone/kaupluse kapitaalremont</t>
  </si>
  <si>
    <t>Siselinna  uue kalmistuhoone  (kolumbaarium/kontorihoone)  ehitamine</t>
  </si>
  <si>
    <t>Pärnamäe kalmistu peasissepääsu kujundamine</t>
  </si>
  <si>
    <t>Siselinna kalmistu piirdemüüri renoveerimine</t>
  </si>
  <si>
    <t>Mustjõe asumi külaplats</t>
  </si>
  <si>
    <t>Õismäe tiigi amfiteatri rajamine</t>
  </si>
  <si>
    <t>Löwenruh pargi rekonstrueerimine (eelarvestrateegias 2 objekti: Löwenruh pargi vabaõhulava ja külaplats ning Löwenruh pargi tiigi puhastamine)</t>
  </si>
  <si>
    <t>Kakumäe asumi külaplats</t>
  </si>
  <si>
    <t>hoovialade korrastamine Mustamäel</t>
  </si>
  <si>
    <t>Pelgurand/Stroomi rannapargi rekonstrueerimine</t>
  </si>
  <si>
    <t>Kase pargi korrastamine</t>
  </si>
  <si>
    <t>Süsta pargi korrastamine</t>
  </si>
  <si>
    <t>Jäätmemajandus</t>
  </si>
  <si>
    <t>Jäätmejaamadesse konteinerite soetamine</t>
  </si>
  <si>
    <t>Punase tn äärde jäätmejaama ehitamine</t>
  </si>
  <si>
    <t>Suletud ohtlike jäätmete kogumispunktide asendamiseks mobiilse kogumispunkti soetamine</t>
  </si>
  <si>
    <t>Avalikus ruumis (parkides, tänavatel, jalgratta- ja jalgteede ääres ning ühissõidukipeatustes) paiknevate  prügikastide asendamine jäätmeid liigiti kogumist võimaldavate prügiurnidega</t>
  </si>
  <si>
    <t>Linna asutustesse (sh koolidesse ja lasteaedadesse) liigiti kogumist võimaldavate prügiurnide soetamine</t>
  </si>
  <si>
    <t>Lasteaedadesse kompostrite soetamine</t>
  </si>
  <si>
    <t>Elanikele soodsa hinnaga sobiva prügiurni pakkumine teavitava lävekampaania käigus</t>
  </si>
  <si>
    <t>Välisrahastusega teede projekteerimine ja maade omandamine</t>
  </si>
  <si>
    <t>Haabersti ristmiku rekonstrueerimine, sh ühistranspordirada kesklinna</t>
  </si>
  <si>
    <t>Vanasadama ja kesklinna vahelise liikuvuskeskkonna arendamine, sh Peatänav</t>
  </si>
  <si>
    <t>Viljandi mnt kergliiklustee (Pärnu mnt -Valdeku tn)</t>
  </si>
  <si>
    <t>KL/LM</t>
  </si>
  <si>
    <t>Sadamaala kergliiklustee lõigus Kalaranna tn - Reidi tee</t>
  </si>
  <si>
    <t>KL/PT</t>
  </si>
  <si>
    <t>laudtee rajamine läbi roostiku Tabasalu panga alt Kakumäe randa</t>
  </si>
  <si>
    <t>Vabaõhukooli tee rekonstrueerimine lõigul Rahvakooli teest kuni Hunditubaka teeni</t>
  </si>
  <si>
    <t>terviseraja ehitamine Õismäe rabasse</t>
  </si>
  <si>
    <t>programm "Turvaline ülekäigurada"</t>
  </si>
  <si>
    <t>sh Rannamõisa/Kakumäe/Pikaliiva ristmik</t>
  </si>
  <si>
    <t>Kopli/Tööstuse/Paljassaare ristmik</t>
  </si>
  <si>
    <t xml:space="preserve">    Kadaka – Mäepealse</t>
  </si>
  <si>
    <t>Kadaka – Kassi</t>
  </si>
  <si>
    <t>Kandurite uuendamine</t>
  </si>
  <si>
    <t>KL ?</t>
  </si>
  <si>
    <t>Tallinna Linnaarhiivi Tolli tn 8 hoone keldriruumide ümberehitamine arhiivihoidlaks (projekt)</t>
  </si>
  <si>
    <t>Perekonnaseisuameti peahoone ja abihoone renoveerimine, Pärnu mnt 67, sh:</t>
  </si>
  <si>
    <t>peahoone küttesüsteemi, elektri- ja nõrkvoolupaigaldise renoveerimine</t>
  </si>
  <si>
    <t>abihoone küttesüsteemi, elektri- ja nõrkvoolupaigaldise renoveerimine</t>
  </si>
  <si>
    <t>trepivaiba soetus</t>
  </si>
  <si>
    <t>Ametiasutus</t>
  </si>
  <si>
    <t>Kulu sisu</t>
  </si>
  <si>
    <t>Selgitused</t>
  </si>
  <si>
    <t>annetuste arvelt</t>
  </si>
  <si>
    <t>Aktsiakapitali suurendamine (-)</t>
  </si>
  <si>
    <t>Müügimaks</t>
  </si>
  <si>
    <t>Annetused</t>
  </si>
  <si>
    <t>MUUTUS FINANTSVARADES (V.A RAHAS)</t>
  </si>
  <si>
    <t>Sissemakse osakapitali</t>
  </si>
  <si>
    <t>annetused</t>
  </si>
  <si>
    <t>x</t>
  </si>
  <si>
    <t>Isikukeskne erihoolekandeteenus</t>
  </si>
  <si>
    <t>kaitstud töö teenus</t>
  </si>
  <si>
    <t>Tulu muudelt majandusaladelt</t>
  </si>
  <si>
    <t>Praktikaleping</t>
  </si>
  <si>
    <t>koolitus</t>
  </si>
  <si>
    <t>8.9. Tallinna Laste Turvakeskus</t>
  </si>
  <si>
    <t>8.10. Tallinna Perekeskus</t>
  </si>
  <si>
    <t>raske ja sügava puudega laste tugiteenus</t>
  </si>
  <si>
    <t>Lisapositsioonid KOFS kasti jaoks</t>
  </si>
  <si>
    <t>Tegevuskuludeks</t>
  </si>
  <si>
    <t>Investeeringuteks</t>
  </si>
  <si>
    <t>Võlakohustused aasta lõpuks €</t>
  </si>
  <si>
    <t>sh laenukohustused</t>
  </si>
  <si>
    <t>Likviidsete varade muutus €</t>
  </si>
  <si>
    <t>Likviideste varade jääk €</t>
  </si>
  <si>
    <t>Netovõlakoormus €</t>
  </si>
  <si>
    <t>Netovõlakoormus %</t>
  </si>
  <si>
    <t>Põhitegevuse tulude kasv</t>
  </si>
  <si>
    <t>Põhitegevuse kulude kasv</t>
  </si>
  <si>
    <t>Tallinn konsolideerimata</t>
  </si>
  <si>
    <t>sotsiaalhoolekanne</t>
  </si>
  <si>
    <t>2.</t>
  </si>
  <si>
    <t>3.</t>
  </si>
  <si>
    <t>4.</t>
  </si>
  <si>
    <t>5.</t>
  </si>
  <si>
    <t>Puuetega isikute hoolekanne</t>
  </si>
  <si>
    <t>Raske ja sügava puudega laste tugiisiku teenus</t>
  </si>
  <si>
    <t>puuetega isikute hoolekanne</t>
  </si>
  <si>
    <t>Päevategevus ja -hoid</t>
  </si>
  <si>
    <t>Laste hoolekanne</t>
  </si>
  <si>
    <t>9.</t>
  </si>
  <si>
    <t>Tallinna Laste Turvakeskus</t>
  </si>
  <si>
    <t>Käitumishäiretega laste rehabilitatsiooniteenus</t>
  </si>
  <si>
    <t>Tallinna Laste ja Noorte tugiprogramm koos tugiisikuteenusega käitumisprobleemsetele lastele. Programmi kestus 3 kuud, programmis kuni 15 last. Aastas 3 programmi, teenust osutatakse kokku kuni 45 lapsele. Tugiisikuteenust pakutakse kuni 50 lapsele mahus 60 tundi kuus (50*720*8,03 €)</t>
  </si>
  <si>
    <t>10.</t>
  </si>
  <si>
    <t>Teenused psüühiliste erivajadustega inimestele (kokku 2019.a.) sh</t>
  </si>
  <si>
    <t>Peterburi tee 11 ruumide ülalpidamiskulud</t>
  </si>
  <si>
    <t>11.</t>
  </si>
  <si>
    <t>Laste ja emad lastega turvakoduteenused</t>
  </si>
  <si>
    <t>12.</t>
  </si>
  <si>
    <t>Puudega lapse toetus</t>
  </si>
  <si>
    <t>Tõsta toetus senise 76,70 € -lt 100 €-ni</t>
  </si>
  <si>
    <t>14.</t>
  </si>
  <si>
    <t>Erivajadustega inimeste eluaseme füüsiline kohandamine</t>
  </si>
  <si>
    <t>Muud hoolekandeteenused kokku</t>
  </si>
  <si>
    <t>Katteallikad:</t>
  </si>
  <si>
    <t>HEAWATER – Läänemere valgala väikeste jõgede tervendamine toite- ning ohtlike ainete sissevoolu ärahoidmise kaudu</t>
  </si>
  <si>
    <t>Põhitänavate välisvalgustuse rekonstrueerimise I etapp (sh Mustamäe)</t>
  </si>
  <si>
    <t>Salme kultuurikeskus</t>
  </si>
  <si>
    <t>Antav sihtfinantseering</t>
  </si>
  <si>
    <t>Täiendava rühma avamine 10-le kliendile (järjekorras olijad)-2,0 tegevusjuhendaja palgaga 950 € kuus. (Kopli kooli vabanevad ruumid)</t>
  </si>
  <si>
    <t>MTÜ Enne ja Pärast sündi, mille tegevus läks alates 01.02.2018 üle Turvakeskusele, palkade tõusuks.</t>
  </si>
  <si>
    <t>Akadeemia tee 34 öömaja ümberkorraldamine alkohoolikute resotsialiseerimisüksuseks</t>
  </si>
  <si>
    <t>Tänavavalgustuse ehitamine ja renoveerimine, sh lasteaedade territooriumide valgustamine</t>
  </si>
  <si>
    <t>Linna uue haldushoone projekteerimine, ehitamine ja sisustamine</t>
  </si>
  <si>
    <r>
      <t>LE</t>
    </r>
    <r>
      <rPr>
        <sz val="8"/>
        <color theme="0"/>
        <rFont val="Arial"/>
        <family val="2"/>
        <charset val="186"/>
      </rPr>
      <t>'</t>
    </r>
  </si>
  <si>
    <r>
      <t>RE</t>
    </r>
    <r>
      <rPr>
        <sz val="8"/>
        <color theme="0"/>
        <rFont val="Arial"/>
        <family val="2"/>
        <charset val="186"/>
      </rPr>
      <t>'</t>
    </r>
  </si>
  <si>
    <t>sh IX kvartal riigieelarvest</t>
  </si>
  <si>
    <t>IX kvartal linnaeelarvest</t>
  </si>
  <si>
    <t>Salme Kultuurikeskuse renoveerimine, ümberehitustööd ja sisustus</t>
  </si>
  <si>
    <t>lasteaedade territooriumide korrastamine (välisvalgustus, krundisisesed teed ja parkimisplatsid)</t>
  </si>
  <si>
    <t>Sotsiaalasutuste remonttööd ja soetused (STA ja linnaosad)</t>
  </si>
  <si>
    <t>määrus</t>
  </si>
  <si>
    <t>Ootekodade soetamine ja paigaldamine</t>
  </si>
  <si>
    <t>TOETUSED KOKKU</t>
  </si>
  <si>
    <t>Tähtsamad objektid</t>
  </si>
  <si>
    <t>Teede kapitaalremont ja rekonstrueerimine</t>
  </si>
  <si>
    <t>Muud objektid</t>
  </si>
  <si>
    <t>Kergliiklusteede ja terviseradade rajamine</t>
  </si>
  <si>
    <t>Tallinna Saksa Gümnaasiumi tervikrenoveerimine</t>
  </si>
  <si>
    <t>Tallinna Nõmme Gümnaasiumi spordihoone ehitamine</t>
  </si>
  <si>
    <t xml:space="preserve">Tallinna Mustamäe Humanitaargümnaasiumi staadioni (Tammsaare tee 147) rajamine  </t>
  </si>
  <si>
    <t>Lasteaedade renoveerimine, remonttööd, soetused ja tuleohutusnõuete täitmine</t>
  </si>
  <si>
    <t>Tallinna Loomaaia projekt "Pilvemets"</t>
  </si>
  <si>
    <t>Tallinna Loomaaia tiigriorg</t>
  </si>
  <si>
    <t>Põhikoolid ja gümnaasiumid</t>
  </si>
  <si>
    <t>Tallinna Linnateatri arendusprojekt</t>
  </si>
  <si>
    <t>Tallinna Botaanikaaia investeeringud</t>
  </si>
  <si>
    <t>majandushoone ehitamine</t>
  </si>
  <si>
    <t>jalgpalli, korvpalli ja võrkpalli väliväljakute rajamine linnaosadesse</t>
  </si>
  <si>
    <t>spordiparkide rajamine Lastestaadionile ja linnaosadesse</t>
  </si>
  <si>
    <t>Hallatavate spordiasutuste remonttööd ja soetused</t>
  </si>
  <si>
    <t>Mustamäe Päevakeskuse (Ehitajate tee 82) hoone renoveerimine ja õueala korrastamine</t>
  </si>
  <si>
    <t>Iru Hooldekodu õenduskodu projekteerimine ja ehitamine</t>
  </si>
  <si>
    <t>Tallinna Haigla uue hoone projekteerimine</t>
  </si>
  <si>
    <t>Sõpruse pst 5 (sh Kristiine Tegevuskeskus)</t>
  </si>
  <si>
    <t>sh Vabaduse park (Vabaduse pst 96)</t>
  </si>
  <si>
    <t>Lillepi park (Pirita tee 110)</t>
  </si>
  <si>
    <t>Männipark (Keskuse tn1/Sõpruse pst 252)</t>
  </si>
  <si>
    <t>Tanuma tn mänguväljaku rajamine (Haabersti)</t>
  </si>
  <si>
    <t>Vabaõhumuuseumi tee 4c mänguväljaku rajamine (Haabersti)</t>
  </si>
  <si>
    <t>Mustamäe linnaosas 4 mänguväljaku rekonstrueerimine</t>
  </si>
  <si>
    <r>
      <t xml:space="preserve">Stroomi ranna </t>
    </r>
    <r>
      <rPr>
        <b/>
        <sz val="8"/>
        <rFont val="Arial"/>
        <family val="2"/>
        <charset val="186"/>
      </rPr>
      <t>peremänguväljaku</t>
    </r>
    <r>
      <rPr>
        <sz val="8"/>
        <rFont val="Arial"/>
        <family val="2"/>
        <charset val="186"/>
      </rPr>
      <t xml:space="preserve"> rekonstrueerimine</t>
    </r>
  </si>
  <si>
    <t>Kakumäele harrastussportlastele treeninguväljaku rajamine (Haabersti)</t>
  </si>
  <si>
    <t>Koerte jalutus- ja treeningväljakute rajamine ja rekonstrueerimine</t>
  </si>
  <si>
    <t>Punane tn 17 haljasalale koerte jalutusväljaku projekteerimine ja ehitus</t>
  </si>
  <si>
    <t>Vormsi tn 5 ja Ehte tn 14 koerte väljakute rekonstrueerimine</t>
  </si>
  <si>
    <t>sh Russalka ranna puhkeala</t>
  </si>
  <si>
    <t>Haabersti metsa puhkeala</t>
  </si>
  <si>
    <t>Priisle pargi arendamine</t>
  </si>
  <si>
    <t xml:space="preserve">Mustamäe parkide (Männipark, Lepistiku, Parditiigi park, Sütiste parkmets) uuendamine </t>
  </si>
  <si>
    <t>Haabersti linnaossa  jäätmejaama projekteerimine ja ehitamine</t>
  </si>
  <si>
    <t>Kuuli tn - Narva mnt</t>
  </si>
  <si>
    <t>Kose tee - Narva mnt</t>
  </si>
  <si>
    <t>Paldiski mnt – Astangu tn</t>
  </si>
  <si>
    <t>Linnaasutuste hoonete renoveerimistööd ja projekteerimine</t>
  </si>
  <si>
    <t>Lasnamäe Sotsiaalkeskuse juurdeehitus</t>
  </si>
  <si>
    <t>Mustamäe Laste Loomingu Maja tervikrenoveerimine ja sisustus</t>
  </si>
  <si>
    <t>sh Toompea tugimüüri korrastamine</t>
  </si>
  <si>
    <t>koolide remonttööd, soetused ja tuleohutusnõuete täitmine</t>
  </si>
  <si>
    <t>jalgrattaparklate rajamine koolide juurde</t>
  </si>
  <si>
    <t>Tallinna Muusikakooli hoone (Narva mnt 28) renoveerimine ja sisustus</t>
  </si>
  <si>
    <t>Põhja-Tallinna linnaosa põlvkondade maja (Kari tn 13) ehitamine, sh Tallinna Kopli Noortemaja uued ruumid</t>
  </si>
  <si>
    <t>Pae keskuse hoone</t>
  </si>
  <si>
    <t>sh Maleva keskuse hoone</t>
  </si>
  <si>
    <t>sh Pelguranna tn 31 hoone</t>
  </si>
  <si>
    <t xml:space="preserve"> Peterburi mnt 11 hoone</t>
  </si>
  <si>
    <t>Tallinna Vaimse Tervise Keskuse renoveerimine</t>
  </si>
  <si>
    <t>Käo Tugikeskuse renoveerimine</t>
  </si>
  <si>
    <t xml:space="preserve">Nõmme jaamaülema pronkskuju  püstitamine </t>
  </si>
  <si>
    <t>Dominiiklaste kloostrikompleksi renoveerimine</t>
  </si>
  <si>
    <t>Ühistranspordipeatustesse reaalajainfotabloode paigaldamine</t>
  </si>
  <si>
    <t>spordiväljaku rajamine (Katleri tn 2a)</t>
  </si>
  <si>
    <t>Kloostrimetsa tee kergliiklus- ja kõnnitee rajamine kuni Pirita keskuseni</t>
  </si>
  <si>
    <t>Liikluskorraldusvahendite (elektroonilised liiklusmärgid, foorikontrollerid, fooripead, liiklusjärelvalve seadmed) uuendamine</t>
  </si>
  <si>
    <t>Tallinna kinnisvararegistri arendamine</t>
  </si>
  <si>
    <t>Jäätmejaamade ehitamine ja multiliftkonteinerite soetamine (MTÜ Keskkonnateenused)</t>
  </si>
  <si>
    <t>Tallinna Lauluväljaku investeeringud (SA Tallinna Lauluväljak)</t>
  </si>
  <si>
    <t>Kalevi staadioni investeeringud (MTÜ Eesti Spordiselts Kalev)</t>
  </si>
  <si>
    <t>Uute trammide soetamine (Tallinna Linnatranspordi AS)</t>
  </si>
  <si>
    <t>Kadaka tee 62a värvimishalli ehitus (Tallinna Linnatranspordi AS)</t>
  </si>
  <si>
    <t>KOKKU - LE</t>
  </si>
  <si>
    <t>2017 täitmine</t>
  </si>
  <si>
    <t>välisprojektide kaasfinantseerimise arvelt</t>
  </si>
  <si>
    <t>€ ilma komakohata</t>
  </si>
  <si>
    <t>%</t>
  </si>
  <si>
    <t>2019 projekt</t>
  </si>
  <si>
    <t>2019/2018 muutus</t>
  </si>
  <si>
    <r>
      <t>€ ilma komakohata,</t>
    </r>
    <r>
      <rPr>
        <sz val="10"/>
        <color rgb="FFFF0000"/>
        <rFont val="Arial"/>
        <family val="2"/>
        <charset val="186"/>
      </rPr>
      <t xml:space="preserve"> võimalusel ümardatuna kümnelisteni</t>
    </r>
  </si>
  <si>
    <t xml:space="preserve">2019
projekti 
ettepanek </t>
  </si>
  <si>
    <t>2019 projekt - projekti ettepanek</t>
  </si>
  <si>
    <t>VORM 3</t>
  </si>
  <si>
    <t>2019 projekti ettepanek</t>
  </si>
  <si>
    <t>VORM 4</t>
  </si>
  <si>
    <t>VORM 5</t>
  </si>
  <si>
    <t>projekti
ettepanek</t>
  </si>
  <si>
    <t>projekt</t>
  </si>
  <si>
    <t>Lisataotlus</t>
  </si>
  <si>
    <t>Lühiselgitused lisataotluse kohta</t>
  </si>
  <si>
    <t>2019. aastal vähenevad kulud</t>
  </si>
  <si>
    <t>VORM 5a</t>
  </si>
  <si>
    <t>VORM 5b</t>
  </si>
  <si>
    <t>2019. aastal lisanduvad kulud</t>
  </si>
  <si>
    <t>VORM 1</t>
  </si>
  <si>
    <t>Ameti või linnaosa valitsuse haldusala nimi:</t>
  </si>
  <si>
    <t>Põhitaotlus</t>
  </si>
  <si>
    <t>Haldusala kokku</t>
  </si>
  <si>
    <t>Linnakassa tulud kokku</t>
  </si>
  <si>
    <t>Omatulud kokku</t>
  </si>
  <si>
    <t>Toetused kokku</t>
  </si>
  <si>
    <t xml:space="preserve"> sh toetused riigilt tegevuskuludeks</t>
  </si>
  <si>
    <t>toetused riigilt investeeringuteks</t>
  </si>
  <si>
    <t>toetused riigilt finantseerimistehinguteks</t>
  </si>
  <si>
    <t>toetus välisprojektide kaasfinantseerimiseks tegevuskuludeks</t>
  </si>
  <si>
    <t>toetus välisprojektide kaasfinantseerimiseks investeeringuteks</t>
  </si>
  <si>
    <t>välisrahastus tegevuskuludeks</t>
  </si>
  <si>
    <t>välisrahastus investeeringuteks</t>
  </si>
  <si>
    <t xml:space="preserve"> sellest töötasu</t>
  </si>
  <si>
    <t>era- ja avaliku sektori koostööprojektidest tulenevad maksed</t>
  </si>
  <si>
    <t>Investeeringud kokku</t>
  </si>
  <si>
    <t>Finantseerimistehingud kokku</t>
  </si>
  <si>
    <t>sellest era- ja avaliku sektori koostööprojektidest tulenevad maksed</t>
  </si>
  <si>
    <t>Amortisatsioon kokku</t>
  </si>
  <si>
    <t>Projekti kooskõlastused</t>
  </si>
  <si>
    <t>Linnavalitsuse liige:</t>
  </si>
  <si>
    <t>Ametiasutuse juht:</t>
  </si>
  <si>
    <t>Vormi täitnud isiku ees- ja perekonnanimi ning telefoninumber:</t>
  </si>
  <si>
    <t>Ametiasutuse haldusala 2019. aasta eelarve projekti koond asutuste lõikes</t>
  </si>
  <si>
    <t>Mitmesugused tervishoiukulud - projektid ja programmid</t>
  </si>
  <si>
    <t>Investeeringuobjekti infokaart *</t>
  </si>
  <si>
    <t>VORM 6 b</t>
  </si>
  <si>
    <t>Ametiasutus:</t>
  </si>
  <si>
    <t>Üldinfo</t>
  </si>
  <si>
    <t>1. Investeeringuobjekti nimetus:</t>
  </si>
  <si>
    <r>
      <t xml:space="preserve">2. Investeeringuobjekti aadress </t>
    </r>
    <r>
      <rPr>
        <sz val="8"/>
        <rFont val="Arial"/>
        <family val="2"/>
        <charset val="186"/>
      </rPr>
      <t>(linnaosa, tänav)</t>
    </r>
    <r>
      <rPr>
        <sz val="10"/>
        <rFont val="Arial"/>
        <family val="2"/>
        <charset val="186"/>
      </rPr>
      <t>** ja katastritunnus:</t>
    </r>
  </si>
  <si>
    <t>3. Investeeringu liik***:</t>
  </si>
  <si>
    <r>
      <t>4. Ehitatav/renoveeritav üldkasutatav pind m²</t>
    </r>
    <r>
      <rPr>
        <sz val="10"/>
        <rFont val="Calibri"/>
        <family val="2"/>
        <charset val="186"/>
      </rPr>
      <t xml:space="preserve"> (sh olemasoleva hoone puhul m² enne ja pärast):</t>
    </r>
  </si>
  <si>
    <t>5. Investeeringu 1 m² maksumus:</t>
  </si>
  <si>
    <t>6. Kelle bilansis on kinnistu ja selle osad (so maa, ehitis, rajatis jm):</t>
  </si>
  <si>
    <t>6.1. Asutuse, kelle bilansis on objekt, käibemaksukohustuse andmed (tuua välja investeeringu puhul kasutatava sisendkäibemaksu proportsiooni alus: kas asutuse üldine proportsioon või investeeringuobjekti oodatavast kasutusest lähtuv proportsioon maksustatava/mittemaksustatava käibe tekitamiseks):</t>
  </si>
  <si>
    <t>7. Kas detailplaneering on olemas või vaja kehtestada/muuta:</t>
  </si>
  <si>
    <t>8. Kas projekt olemas või vajalik projekti uuendamine:</t>
  </si>
  <si>
    <t>9. Kes on investeeringuobjekti kasutajad peale valmimist:</t>
  </si>
  <si>
    <t xml:space="preserve">10. Kas kasutajad on käibemaksukohustuslased </t>
  </si>
  <si>
    <t xml:space="preserve">**  kui investeeringuobjekt koosneb mitmest üksikobjektist, siis täidetakse lisaks käesolevale vormile investeeringu koondsumma selgitus (vorm 6c), kus loetletakse investeeringuprojekti kõik objektid, märkides nende asukohad, orienteeruvad maksumused jm rekvisiidid. </t>
  </si>
  <si>
    <t>*** märkida vastav liik, s.o kas uusehitus, rekonstrueerimine/renoveerimine või soetus.</t>
  </si>
  <si>
    <r>
      <t>Maksumus € (</t>
    </r>
    <r>
      <rPr>
        <b/>
        <i/>
        <sz val="10"/>
        <rFont val="Arial"/>
        <family val="2"/>
        <charset val="186"/>
      </rPr>
      <t>sisendkäibemaksuta, s.o käibemaksuta maksumus ja kuludesse kantav käibemaks)</t>
    </r>
    <r>
      <rPr>
        <b/>
        <sz val="10"/>
        <rFont val="Arial"/>
        <family val="2"/>
        <charset val="186"/>
      </rPr>
      <t xml:space="preserve">    </t>
    </r>
  </si>
  <si>
    <t>Kogu-maksumus</t>
  </si>
  <si>
    <r>
      <t xml:space="preserve">11. Investeeringuobjekti </t>
    </r>
    <r>
      <rPr>
        <b/>
        <sz val="10"/>
        <rFont val="Arial"/>
        <family val="2"/>
        <charset val="186"/>
      </rPr>
      <t>maksumus</t>
    </r>
    <r>
      <rPr>
        <sz val="10"/>
        <rFont val="Arial"/>
        <family val="2"/>
        <charset val="186"/>
      </rPr>
      <t>, sh</t>
    </r>
  </si>
  <si>
    <t xml:space="preserve">ilma käibemaksuta  </t>
  </si>
  <si>
    <t xml:space="preserve">kuludesse kantav käibemaks </t>
  </si>
  <si>
    <t>P.s sisendkäibemaks</t>
  </si>
  <si>
    <t>sisendkäibemaksu proportsioon (%)</t>
  </si>
  <si>
    <r>
      <t xml:space="preserve">Investeeringuobjekti </t>
    </r>
    <r>
      <rPr>
        <b/>
        <sz val="10"/>
        <rFont val="Arial"/>
        <family val="2"/>
        <charset val="186"/>
      </rPr>
      <t>maksumuse</t>
    </r>
    <r>
      <rPr>
        <sz val="10"/>
        <rFont val="Arial"/>
        <family val="2"/>
        <charset val="186"/>
      </rPr>
      <t xml:space="preserve"> aluseks olevate tööde maksumused:</t>
    </r>
  </si>
  <si>
    <t>detailplaneering (algatamine, muutmine jms)</t>
  </si>
  <si>
    <t>projekteerimine (ideekonkurs, eskiisprojekt, tehniline projekt jne)</t>
  </si>
  <si>
    <t>kinnisvara soetamine (maa, hooned, rajatised)</t>
  </si>
  <si>
    <t>lammutustööd</t>
  </si>
  <si>
    <t>teostatavad tööd (ehitus, remonttööd jms)</t>
  </si>
  <si>
    <t>liitumistasud</t>
  </si>
  <si>
    <t>sisustamine (mööbel, inventar, seadmed jm)</t>
  </si>
  <si>
    <t>projektijuhtimine</t>
  </si>
  <si>
    <t>järelevalve</t>
  </si>
  <si>
    <t>muud kulud (nimetada):</t>
  </si>
  <si>
    <t>12. Investeeringu vajaduse põhjendus:</t>
  </si>
  <si>
    <t>13. Investeerimisobjekti kasutusotstarve (enne ja pärast investeeringuid):</t>
  </si>
  <si>
    <t>14.Milliseid avalikke ja tasulisi teenuseid osutatakse objektil pärast valmimist (teenuse liik, sihtgrupp, saadav tulu kokku):</t>
  </si>
  <si>
    <t>15. Rendile antav pind m², mis otstarbeks ja kellele:</t>
  </si>
  <si>
    <t>16. Rekonstrueeritava objekti korral saavutatav halduskulude kokkuhoid €:</t>
  </si>
  <si>
    <t>17. Uute ehitiste ja juurdeehituste korral kavandatav töökohtade arv  ja planeeritav halduskulu €:</t>
  </si>
  <si>
    <t>Ametiasutuse juhi nimi:</t>
  </si>
  <si>
    <t>Investeeringuprojekti jaotus objektide lõikes</t>
  </si>
  <si>
    <t>VORM 6 c</t>
  </si>
  <si>
    <t>(täidavad ametiasutused, kelle investeeringuprojekt koosneb mitmest objektist)</t>
  </si>
  <si>
    <t>Ametiasutuse nimetus:</t>
  </si>
  <si>
    <t>Investeeringuprojekti nimetus:</t>
  </si>
  <si>
    <t>Investeeringuprojekti/objekti nimetus</t>
  </si>
  <si>
    <t>Asukoht (linnaosa ja tänav)</t>
  </si>
  <si>
    <t>Tööde alustamise aasta</t>
  </si>
  <si>
    <t>Tööde lõpetamise aasta</t>
  </si>
  <si>
    <t>Tööde  liigid*</t>
  </si>
  <si>
    <r>
      <t>Investeerimisprojekti maksumus kokku</t>
    </r>
    <r>
      <rPr>
        <sz val="8"/>
        <rFont val="Arial"/>
        <family val="2"/>
        <charset val="186"/>
      </rPr>
      <t xml:space="preserve"> (ilma sisendkäibemaksuta)</t>
    </r>
  </si>
  <si>
    <t>(vorm 6 b, rida 10, veerg e)</t>
  </si>
  <si>
    <t>(vorm 6 b, rida 14, veerg e)</t>
  </si>
  <si>
    <t>* Investeeringuprojektid jaotada järgmiselt: uusehitis - E, rekonstrueerimine või renoveerimine - R, soetused - S.  Märkida investeerimisprojekti liigi veergu vastav tähis (kas E, R või S).</t>
  </si>
  <si>
    <t>Välisrahastusega projektid ja -programmid</t>
  </si>
  <si>
    <t>VORM 7</t>
  </si>
  <si>
    <t>Hallatava asutuse nimi:</t>
  </si>
  <si>
    <t>Jrk
nr</t>
  </si>
  <si>
    <t>Projekti 
nimetus</t>
  </si>
  <si>
    <t>Projekti
 eesmärk</t>
  </si>
  <si>
    <t>Projekti 
algus</t>
  </si>
  <si>
    <t>Projekti 
lõpp</t>
  </si>
  <si>
    <t xml:space="preserve">Välisabi puhul
abi vahendaja 
või andja </t>
  </si>
  <si>
    <t xml:space="preserve">Välisabi 
saaja
</t>
  </si>
  <si>
    <t>Projekti 
kogu-maksumus
(tuh kr)</t>
  </si>
  <si>
    <t>Finantseerimine*</t>
  </si>
  <si>
    <t>Toote/ eelarvepositsiooni nimetus</t>
  </si>
  <si>
    <t>(kuupäev, kuu, aasta)</t>
  </si>
  <si>
    <t>(linna asutus)</t>
  </si>
  <si>
    <t xml:space="preserve">finantseerimis-
allikas** </t>
  </si>
  <si>
    <t>summa</t>
  </si>
  <si>
    <t>Tegevuskulud</t>
  </si>
  <si>
    <t xml:space="preserve">1. </t>
  </si>
  <si>
    <t>1) linna vahendid</t>
  </si>
  <si>
    <r>
      <t xml:space="preserve">2) riigieelarve </t>
    </r>
    <r>
      <rPr>
        <sz val="8"/>
        <rFont val="Arial"/>
        <family val="2"/>
      </rPr>
      <t>(riigipoolne kaasfinantseerimine)</t>
    </r>
  </si>
  <si>
    <r>
      <t xml:space="preserve">3) välisrahastus </t>
    </r>
    <r>
      <rPr>
        <sz val="8"/>
        <rFont val="Arial"/>
        <family val="2"/>
      </rPr>
      <t>(sh riigieelarve kaudu välisrahastuse vahendamine)</t>
    </r>
  </si>
  <si>
    <t>4) muu (iga allikas eraldi)</t>
  </si>
  <si>
    <t>1.</t>
  </si>
  <si>
    <t>sh kuni 2017</t>
  </si>
  <si>
    <t>2017.a-st 2018.a-sse ülekantavad</t>
  </si>
  <si>
    <t>2020 ja järgmised aastad kokku</t>
  </si>
  <si>
    <t>sh  2019. aastal</t>
  </si>
  <si>
    <t xml:space="preserve"> kuni 31.12.17</t>
  </si>
  <si>
    <t>2017.a. 2018.a-se üle-kantud</t>
  </si>
  <si>
    <t xml:space="preserve"> 2018 täps.
eelarve</t>
  </si>
  <si>
    <t>2022 ja järgmised aastad kokku</t>
  </si>
  <si>
    <t>2019 eeltäidetud vorm</t>
  </si>
  <si>
    <t>Muutus</t>
  </si>
  <si>
    <t>Jrk.</t>
  </si>
  <si>
    <t>Ametiasutuse haldusala</t>
  </si>
  <si>
    <t>sellest</t>
  </si>
  <si>
    <t>nr.</t>
  </si>
  <si>
    <t>omatulude 
arvelt</t>
  </si>
  <si>
    <t>linnakassa arvelt</t>
  </si>
  <si>
    <t>toetuste arvelt</t>
  </si>
  <si>
    <t>6.</t>
  </si>
  <si>
    <t>7.</t>
  </si>
  <si>
    <t>8.</t>
  </si>
  <si>
    <t>13.</t>
  </si>
  <si>
    <t>15.</t>
  </si>
  <si>
    <t>16.</t>
  </si>
  <si>
    <t>2019. aasta tegevuskulude piirsummad ametiasutuste haldusalade lõikes</t>
  </si>
  <si>
    <t>2019 piirsumma</t>
  </si>
  <si>
    <t>Eeltäidetud kogu-
maksumus</t>
  </si>
  <si>
    <t>Suur-Sõjamäe tn 44d tootmiskompleksi rajamine linnaeelarvest</t>
  </si>
  <si>
    <t>Haabersti Sotsiaalkeskuse inventari soetamine</t>
  </si>
  <si>
    <t>Mirta tänav 35a virgestuselementide soetamine</t>
  </si>
  <si>
    <t>Taludevahe tänav 43a mänguväljaku rajamine ja virgestuselementide soetamine</t>
  </si>
  <si>
    <t>Järveotsa tee 15 mänguväljaku virgestuselementide soetamine</t>
  </si>
  <si>
    <t>VORM 6 a</t>
  </si>
  <si>
    <t>Lisaeelarve eelnõu</t>
  </si>
  <si>
    <t xml:space="preserve">Lühiselgitused </t>
  </si>
  <si>
    <t>Projekteerimine</t>
  </si>
  <si>
    <t>Sisustus</t>
  </si>
  <si>
    <t>Ehitus</t>
  </si>
  <si>
    <t>Projektijuhtimine ja järelevalve</t>
  </si>
  <si>
    <t>Objekti valmimisaeg</t>
  </si>
  <si>
    <t>*    investeerimisobjekti infokaart täidetakse üle 60 000 € objektide osas (hooned, spordi-, kultuuri-, sotsiaalhoolekande ja tähtsamad teeobjektid). Ei täideta tänavavalgustuse, fooriobjektide ja teiste sarnaste objektide osas.)</t>
  </si>
  <si>
    <t>2018 esialgne eelarve</t>
  </si>
  <si>
    <t>2018 lisaeelarve eelnõu</t>
  </si>
  <si>
    <t>2018 täpsustatud eelarve</t>
  </si>
  <si>
    <t>2018 esilagne eelarve</t>
  </si>
  <si>
    <t>RR I</t>
  </si>
  <si>
    <t>RR 1</t>
  </si>
  <si>
    <t>täpsustatud eelarve</t>
  </si>
  <si>
    <t>lisaeelarve eelnõu</t>
  </si>
  <si>
    <t>esialgne eelarve</t>
  </si>
  <si>
    <t>Ametiasutuse haldusala:</t>
  </si>
  <si>
    <t>Jrk. nr</t>
  </si>
  <si>
    <t>Üürilepingu sõlminud asutus</t>
  </si>
  <si>
    <t>Üüritulu saav asutus</t>
  </si>
  <si>
    <t>Äriruumi aadress</t>
  </si>
  <si>
    <t>Üürniku nimi</t>
  </si>
  <si>
    <r>
      <t>Üüritav pind m</t>
    </r>
    <r>
      <rPr>
        <vertAlign val="superscript"/>
        <sz val="11"/>
        <color indexed="8"/>
        <rFont val="Calibri"/>
        <family val="2"/>
        <charset val="186"/>
      </rPr>
      <t>2</t>
    </r>
  </si>
  <si>
    <r>
      <t>Lepingu periood</t>
    </r>
    <r>
      <rPr>
        <vertAlign val="superscript"/>
        <sz val="11"/>
        <color indexed="8"/>
        <rFont val="Calibri"/>
        <family val="2"/>
        <charset val="186"/>
      </rPr>
      <t>1</t>
    </r>
  </si>
  <si>
    <t>Kehtiv üürimäär seisuga 01.09.2018</t>
  </si>
  <si>
    <r>
      <t>Üüri summa €</t>
    </r>
    <r>
      <rPr>
        <vertAlign val="superscript"/>
        <sz val="11"/>
        <color indexed="8"/>
        <rFont val="Calibri"/>
        <family val="2"/>
        <charset val="186"/>
      </rPr>
      <t xml:space="preserve">
(käibemaksuta)</t>
    </r>
  </si>
  <si>
    <t>Üürimäära muutmise kuupäev</t>
  </si>
  <si>
    <t xml:space="preserve">Üüri muutumise alus
(nt THI)
</t>
  </si>
  <si>
    <t>Investeerimiskohustus</t>
  </si>
  <si>
    <t>alguse kuupäev</t>
  </si>
  <si>
    <t>lõpu kuupäev</t>
  </si>
  <si>
    <r>
      <t xml:space="preserve">2019 </t>
    </r>
    <r>
      <rPr>
        <vertAlign val="superscript"/>
        <sz val="11"/>
        <color indexed="8"/>
        <rFont val="Calibri"/>
        <family val="2"/>
        <charset val="186"/>
      </rPr>
      <t>2</t>
    </r>
  </si>
  <si>
    <t>summa €</t>
  </si>
  <si>
    <t>lõpptähtaeg (kuupäev)</t>
  </si>
  <si>
    <t>Kui on tähtajatu üürileping, siis lõpukuupäeva mitte märkida.</t>
  </si>
  <si>
    <t>2019. aasta koondsumma peab vastama asutuse 2019. aasta eelarve  projektis esitatud äriruumide üüritulule.</t>
  </si>
  <si>
    <t>Vormil tuleb kajastada ka tühjad äriruumid.</t>
  </si>
  <si>
    <t>VORM 3a</t>
  </si>
  <si>
    <t>ÄRIRUUMIDE ÜÜRITULU</t>
  </si>
  <si>
    <t>Koostaja ees- ja perekonnanimi ning telefoninumber:</t>
  </si>
  <si>
    <t>Kogumaksumus</t>
  </si>
  <si>
    <t>Objekti taotleja</t>
  </si>
  <si>
    <t>Objekt 1</t>
  </si>
  <si>
    <t>Objekt 2</t>
  </si>
  <si>
    <t>Objekt 3</t>
  </si>
  <si>
    <t>2019 taotlus</t>
  </si>
  <si>
    <t>sh puuetega inimeste kaitstud töö- ja rakenduskeskuse teenus</t>
  </si>
  <si>
    <t>puuetega inimeste tegevuskeskuse teenus</t>
  </si>
  <si>
    <t>sh Sotsiaal- ja Tervishoiuamet</t>
  </si>
  <si>
    <t>Tallinna Tugikeskus Juks</t>
  </si>
  <si>
    <t>Päevakeskus Käo</t>
  </si>
  <si>
    <t>sh puuetega laste päevahoid</t>
  </si>
  <si>
    <t>muud hoolekandeteenused</t>
  </si>
  <si>
    <t>sh Iru Hooldekodu</t>
  </si>
  <si>
    <t>sh ranitsad vähekindlustatud perede lastele</t>
  </si>
  <si>
    <t>transport lastelaagrisse</t>
  </si>
  <si>
    <t>intervallhoid</t>
  </si>
  <si>
    <t>valve- ja võrgustikuteenused</t>
  </si>
  <si>
    <t>muud perekonda toetavad teenused</t>
  </si>
  <si>
    <t xml:space="preserve">sh varjupaigateenus emadele ja lastele </t>
  </si>
  <si>
    <t>Tallinna Lastekodu</t>
  </si>
  <si>
    <t>varjupaigateenus väikelastele (Tallinna Lastekodu)</t>
  </si>
  <si>
    <t>varjupaigateenus lastele (Tallinna Laste Turvakodu)</t>
  </si>
  <si>
    <t>apteegi öövahetuse teenuse osutamine</t>
  </si>
  <si>
    <t>koolitervishoiu programm</t>
  </si>
  <si>
    <t>ennetustegevus</t>
  </si>
  <si>
    <t>opiaatsõltuvate isikute asendusravi</t>
  </si>
  <si>
    <t>narkomaania ja AIDS-i ennetustegevus</t>
  </si>
  <si>
    <t>tuberkuloosi riskigruppide uuring</t>
  </si>
  <si>
    <t>haiglaravile suunatud eakate transpordi toetamine</t>
  </si>
  <si>
    <t>tervisefond</t>
  </si>
  <si>
    <t>ülelinnalised tervishoiuüritused</t>
  </si>
  <si>
    <t>Lastekaitse Liidu ülekaaluliste laste suvelaager</t>
  </si>
  <si>
    <t>rahvusvahelised koostööprojektid</t>
  </si>
  <si>
    <t>Haldusalade-vahelised ümberpaigutused</t>
  </si>
  <si>
    <t>ravijärjekordade lühendamiseks</t>
  </si>
  <si>
    <t>Objekti eest vastutav ametiasutus</t>
  </si>
  <si>
    <t>INVESTEERINGUD STRATEEGIAS</t>
  </si>
  <si>
    <t>MUUD INVESTEERINGUD</t>
  </si>
  <si>
    <t>Märkused</t>
  </si>
  <si>
    <t>NB! Vormile uusi objekte ja ridu ei lisata. Kõik täiendavad objektid kajastada eraldi vormil 6a lisa.</t>
  </si>
  <si>
    <t>Linnaosa (kus objekt asub)</t>
  </si>
  <si>
    <t>HA</t>
  </si>
  <si>
    <t>X</t>
  </si>
  <si>
    <t>LVA</t>
  </si>
  <si>
    <t>LVA lasteaedade renoveerimise osas + HA</t>
  </si>
  <si>
    <t>KA, nõuandjana LVA</t>
  </si>
  <si>
    <t>KA</t>
  </si>
  <si>
    <t>KMA</t>
  </si>
  <si>
    <t>KKA</t>
  </si>
  <si>
    <t>LPA</t>
  </si>
  <si>
    <t>SNA</t>
  </si>
  <si>
    <t>KMA, nõuandjana LVA</t>
  </si>
  <si>
    <t>STA</t>
  </si>
  <si>
    <t>EVA</t>
  </si>
  <si>
    <t>TA</t>
  </si>
  <si>
    <t>LK haldusteenistus, Linnaarhiiv</t>
  </si>
  <si>
    <t>LK haldusteenistus</t>
  </si>
  <si>
    <t>Objekti eest vastutav ametiasutus*</t>
  </si>
  <si>
    <t>HA - Haridusamet</t>
  </si>
  <si>
    <t>KA - Kultuuriamet</t>
  </si>
  <si>
    <t>SNA - Spordi- ja Noorsooamet</t>
  </si>
  <si>
    <t>STA - Sotsiaal- ja Tervishoiuamet</t>
  </si>
  <si>
    <t>KKA - Keskkonnaamet</t>
  </si>
  <si>
    <t>KMA - Kommunaalamet</t>
  </si>
  <si>
    <t>LVA - Linnavaraamet</t>
  </si>
  <si>
    <t>LPA - Linnaplaneerimise Amet</t>
  </si>
  <si>
    <t>EVA - Ettevõtlusamet</t>
  </si>
  <si>
    <t>TA - Transpordiamet</t>
  </si>
  <si>
    <t>LK - Linnakantselei</t>
  </si>
  <si>
    <t>VORM 6 a - lisa</t>
  </si>
  <si>
    <t>Summa</t>
  </si>
  <si>
    <t>Sotsiaal- ja Tervishoiuamet (Tallinna Perekeskus)</t>
  </si>
  <si>
    <t>Sotsiaal- ja Tervishoiuamet (Tugikeskus Juks)</t>
  </si>
  <si>
    <t>Sotsiaal- ja Tervishoiuamet (Tallinna Laste Turvakeskus)</t>
  </si>
  <si>
    <t>Sotsiaal- ja Tervishoiuamet (Tallinna Vaimse Tervise Keskus)</t>
  </si>
  <si>
    <t>Sotsiaal- ja Tervishoiuamet (Tallinna Sotsiaaltöö Keskus)</t>
  </si>
  <si>
    <t>Kogumaksumus - vastutava ametiasutuse ettapanek</t>
  </si>
  <si>
    <t>2019 vastutava ametiasutuse ettepanek</t>
  </si>
  <si>
    <t>Teenuse järjekorras olevale 4-le lapsele 23 549 (3520 tundi).</t>
  </si>
  <si>
    <t>2019.aastal lisandub teenusele 16 uut klienti</t>
  </si>
  <si>
    <t>Lisandunud ruumide kulude hüvitiseks EIT Tugiliisu vastavalt seletuskirjale 2400 €.</t>
  </si>
  <si>
    <t>NB! 5-aastane projekt, puudub volikogu õigusakt! Linna omaosalus 15% summas 66 825 €,lisaks 1 spetsialisti tööjõukulud 24 540 €, katteks eelarves olemas 50 000 €. NB! Kuna õigusakt puudub, tuleb vahendeid täiendava linna omaosaluse, ehk ehitusjärelvalve jaoks taotleda lisaks.</t>
  </si>
  <si>
    <t>VORM 8 c</t>
  </si>
  <si>
    <t>……………………………………………..</t>
  </si>
  <si>
    <t>(Asutuse nimi)</t>
  </si>
  <si>
    <t>Koosseis 01.09.2018 seisuga</t>
  </si>
  <si>
    <t>Planeeritav koosseis alates 01.01.2019</t>
  </si>
  <si>
    <t>Struktuuriüksus</t>
  </si>
  <si>
    <t>Koha nimetus</t>
  </si>
  <si>
    <t>Kinnitatud koosseis</t>
  </si>
  <si>
    <t>Kinnitatud palgamäär</t>
  </si>
  <si>
    <t>Kinnitatud palgamäär kokku</t>
  </si>
  <si>
    <t>Täidetud koosseis</t>
  </si>
  <si>
    <t>Täidetud palgamäär kokku</t>
  </si>
  <si>
    <t xml:space="preserve">Rahastuse jagunemine fondide lõikes </t>
  </si>
  <si>
    <t>Koosseis</t>
  </si>
  <si>
    <t>Planeeritav palgamäär</t>
  </si>
  <si>
    <t>Planeeritav palgamäär kokku</t>
  </si>
  <si>
    <t>Muudatuse põhjendus ja toimumise aeg*</t>
  </si>
  <si>
    <t>Asutus kokku</t>
  </si>
  <si>
    <t>Koostas:</t>
  </si>
  <si>
    <t>Nimi</t>
  </si>
  <si>
    <t>Ametikoht</t>
  </si>
  <si>
    <t>Telefon</t>
  </si>
  <si>
    <t>Kuupäev</t>
  </si>
  <si>
    <t>Vormi täitmise juhised:</t>
  </si>
  <si>
    <t>Veergudes 1-7 näidatakse asutuse struktuur ja koosseis struktuuriüksuste kaupa 1. septembri 2017 seisuga:</t>
  </si>
  <si>
    <t>Veerg 1 - struktuuriüksus;</t>
  </si>
  <si>
    <r>
      <t xml:space="preserve">Veerg 2 - </t>
    </r>
    <r>
      <rPr>
        <sz val="10"/>
        <rFont val="Arial"/>
        <family val="2"/>
        <charset val="186"/>
      </rPr>
      <t>koha täpne nimetus;</t>
    </r>
  </si>
  <si>
    <r>
      <t xml:space="preserve">Veerg 3 - asutuse koosseisunimestiku järgne </t>
    </r>
    <r>
      <rPr>
        <sz val="10"/>
        <rFont val="Arial"/>
        <family val="2"/>
        <charset val="186"/>
      </rPr>
      <t>kohtade arv;</t>
    </r>
  </si>
  <si>
    <r>
      <t xml:space="preserve">Veerg 4 - </t>
    </r>
    <r>
      <rPr>
        <sz val="10"/>
        <rFont val="Arial"/>
        <family val="2"/>
        <charset val="186"/>
      </rPr>
      <t>kohale kinnitatud palgamäär;</t>
    </r>
  </si>
  <si>
    <r>
      <t xml:space="preserve">Veerg 5 - kuupalgamäär kokku (mitme sama </t>
    </r>
    <r>
      <rPr>
        <sz val="10"/>
        <rFont val="Arial"/>
        <family val="2"/>
        <charset val="186"/>
      </rPr>
      <t xml:space="preserve">koha nimetuse ja palgamääraga koht näidatakse ühel real);  </t>
    </r>
  </si>
  <si>
    <t>Veergudes 6-7 näidatakse asutuse täidetud ametikohtade arv ja palgamäär kokku struktuuriüksuste kaupa 1. septembri 2017 seisuga:</t>
  </si>
  <si>
    <r>
      <t xml:space="preserve">Veerg 6 - täidetud </t>
    </r>
    <r>
      <rPr>
        <sz val="10"/>
        <rFont val="Arial"/>
        <family val="2"/>
        <charset val="186"/>
      </rPr>
      <t>kohtade arv;</t>
    </r>
  </si>
  <si>
    <r>
      <t xml:space="preserve">Veerg 7 - täidetud </t>
    </r>
    <r>
      <rPr>
        <sz val="10"/>
        <rFont val="Arial"/>
        <family val="2"/>
        <charset val="186"/>
      </rPr>
      <t>kohtadele vastav kuupalgamäär kokku;</t>
    </r>
  </si>
  <si>
    <t>Veergudes 8-13 näidatakse asutuse 2018. aastaks planeeritav struktuur ja koosseis struktuuriüksuste kaupa:</t>
  </si>
  <si>
    <t>Veerg 8 - struktuuriüksus;</t>
  </si>
  <si>
    <r>
      <t xml:space="preserve">Veerg 9 - </t>
    </r>
    <r>
      <rPr>
        <sz val="10"/>
        <rFont val="Arial"/>
        <family val="2"/>
        <charset val="186"/>
      </rPr>
      <t>koha täpne nimetus;</t>
    </r>
  </si>
  <si>
    <r>
      <t xml:space="preserve">Veerg 10 - planeeritav </t>
    </r>
    <r>
      <rPr>
        <sz val="10"/>
        <rFont val="Arial"/>
        <family val="2"/>
        <charset val="186"/>
      </rPr>
      <t>kohtade arv;</t>
    </r>
  </si>
  <si>
    <r>
      <t xml:space="preserve">Veerg 11 - </t>
    </r>
    <r>
      <rPr>
        <sz val="10"/>
        <rFont val="Arial"/>
        <family val="2"/>
        <charset val="186"/>
      </rPr>
      <t xml:space="preserve">kohale vastav palgamäär;  </t>
    </r>
  </si>
  <si>
    <t>Veerg 12 - kuupalgamäär kokku (mitme sama koha nimetuse ja palgamääraga koht näidatakse ühel real, sama koha nimetuse, kuid erineva palgamääraga koht näidatakse eraldi ridadel);</t>
  </si>
  <si>
    <t>Veerg 13 - põhjendatakse 2018. aastal planeeritud muudatusi võrreldes 2017. aastaga. Näiteks: uus koht, koha nimetuse muudatus, kuupalgamäära muudatus jne. Selgitustesse märkida finantseerimise allikas, kui see ei ole linnaeelarve- välisprojekti eelarvest, riigieelarveline koht jne.</t>
  </si>
  <si>
    <r>
      <t xml:space="preserve">*Kõik planeeritavad koosseisumuudatused tuleb põhjendada seletuskirjas. Uute kohtade moodustamise taotlemisel tuleb seletuskirjas näidata koha eesmärk ning </t>
    </r>
    <r>
      <rPr>
        <sz val="10"/>
        <rFont val="Arial"/>
        <family val="2"/>
        <charset val="186"/>
      </rPr>
      <t>ülesannete lühikirjeldus.</t>
    </r>
  </si>
  <si>
    <t>VORM 8 d</t>
  </si>
  <si>
    <t>Seisuga 01.01.17</t>
  </si>
  <si>
    <t>Seisuga 01.09.17</t>
  </si>
  <si>
    <t>Projekt al 1.01.2018</t>
  </si>
  <si>
    <t>Selgitused lisatasude liikide kohta</t>
  </si>
  <si>
    <t>Rahastuse jagunemine fondide lõikes</t>
  </si>
  <si>
    <t>Kohtade arv</t>
  </si>
  <si>
    <t>Täidetud kohtade arv</t>
  </si>
  <si>
    <t>TÖÖTASU</t>
  </si>
  <si>
    <t>Palgamäär kuus</t>
  </si>
  <si>
    <r>
      <t xml:space="preserve">Palgamäär aastas </t>
    </r>
    <r>
      <rPr>
        <sz val="10"/>
        <rFont val="Arial"/>
        <family val="2"/>
        <charset val="186"/>
      </rPr>
      <t>(sh puhkusetasu)</t>
    </r>
  </si>
  <si>
    <t>Töötajate motiveerimine  ja erakorralised sündmused kuni 5% aasta kuupalgamäärade summast</t>
  </si>
  <si>
    <t>Lisatasud</t>
  </si>
  <si>
    <t>Töötasud võlaõiguslike lepingute alusel (vt exceli rida 30)</t>
  </si>
  <si>
    <t>TÖÖTASU kokku</t>
  </si>
  <si>
    <t xml:space="preserve">TÖÖTASUGA KAASNEVAD MAKSUD </t>
  </si>
  <si>
    <r>
      <t xml:space="preserve">Sotsiaalmaks </t>
    </r>
    <r>
      <rPr>
        <sz val="10"/>
        <rFont val="Arial"/>
        <family val="2"/>
        <charset val="186"/>
      </rPr>
      <t>(33%)</t>
    </r>
  </si>
  <si>
    <r>
      <t xml:space="preserve">Töötuskindlustusmakse </t>
    </r>
    <r>
      <rPr>
        <sz val="10"/>
        <rFont val="Arial"/>
        <family val="2"/>
        <charset val="186"/>
      </rPr>
      <t>(0,8%)</t>
    </r>
  </si>
  <si>
    <t>TÖÖTASU JA MAKSUD TÖÖTASULT KOKKU</t>
  </si>
  <si>
    <t>LISAKS:</t>
  </si>
  <si>
    <r>
      <t>Koolituskulud kuni 15% kuupalgamäärast kokku</t>
    </r>
    <r>
      <rPr>
        <sz val="10"/>
        <rFont val="Arial"/>
        <family val="2"/>
      </rPr>
      <t xml:space="preserve"> (koos km-ga)</t>
    </r>
  </si>
  <si>
    <t>Töötervishoiu kulud kokku, sh:</t>
  </si>
  <si>
    <t>Arstliku läbivaatuse kulud - tervisekontroll</t>
  </si>
  <si>
    <t>Vaktsineerimine</t>
  </si>
  <si>
    <t>Prillide hüvitis</t>
  </si>
  <si>
    <t>Massaaž jms</t>
  </si>
  <si>
    <t>Töötasud võlaõiguslike lepingute alusel:</t>
  </si>
  <si>
    <t>sellest (suuremate tööde või tööde gruppide loetelu):</t>
  </si>
  <si>
    <t>Kulude jaotus toodete ja eelarvepositsioonide lõikes</t>
  </si>
  <si>
    <t>…</t>
  </si>
  <si>
    <t>Tabeli täitmise juhised:</t>
  </si>
  <si>
    <t>Väljad, kuhu on vaja sisestada arv, on märgitud kommentaari märkusega. Valemitega väljad võtavad ise sisestatud väljadelt info.</t>
  </si>
  <si>
    <t>Sisesta esmalt veergu B arvud 01.01.2017 seisuga ja veegu C arvud 01.09.2017 seisuga:</t>
  </si>
  <si>
    <t>* kohtade arv;</t>
  </si>
  <si>
    <t>* täidetud kohtade arv;</t>
  </si>
  <si>
    <t>* palgamäär kuus ja aastas ning lisatasu kokku 01.01.2017 ja 01.09.2017 seisuga;</t>
  </si>
  <si>
    <t>* sisesta võlaõiguslike lepingute tasu;</t>
  </si>
  <si>
    <t>* töötasu kokku (sh lisaeelarvest tulenev töötasu muudatus);</t>
  </si>
  <si>
    <t>* töötasuga kaasnevad maksud (sh sotsiaalmaks ja töötuskindlustusmakse);</t>
  </si>
  <si>
    <t>* koolituskulud (sh käibemaks) kokku;</t>
  </si>
  <si>
    <t>* töötervishoiu kulud kokku;</t>
  </si>
  <si>
    <t>Jätka tabeli täitmist 2018. aasta eelarvega:</t>
  </si>
  <si>
    <r>
      <t xml:space="preserve">1. Kohtade arv </t>
    </r>
    <r>
      <rPr>
        <sz val="10"/>
        <rFont val="Arial"/>
        <family val="2"/>
        <charset val="186"/>
      </rPr>
      <t>(koosseisunimestiku projekti vormi 8c põhjal).</t>
    </r>
  </si>
  <si>
    <r>
      <t xml:space="preserve">2. Palgamäär kuus </t>
    </r>
    <r>
      <rPr>
        <sz val="10"/>
        <color indexed="12"/>
        <rFont val="Arial"/>
        <family val="2"/>
        <charset val="186"/>
      </rPr>
      <t>(</t>
    </r>
    <r>
      <rPr>
        <sz val="10"/>
        <rFont val="Arial"/>
        <family val="2"/>
        <charset val="186"/>
      </rPr>
      <t>koosseisunimestiku projekti vormi 8c põhjal, projekt alates 01.01.2018).</t>
    </r>
  </si>
  <si>
    <t>Kui palgamäär on sisestatud, arvutab valem välja:</t>
  </si>
  <si>
    <r>
      <t>Ametipalk aastas</t>
    </r>
    <r>
      <rPr>
        <sz val="10"/>
        <rFont val="Arial"/>
        <family val="2"/>
        <charset val="186"/>
      </rPr>
      <t xml:space="preserve"> (so ametipalga 12 kuu korrutis, sh puhkusetasu).</t>
    </r>
  </si>
  <si>
    <t xml:space="preserve">Töötajate motiveerimine ja erakorralised sündmused kuni 5% aasta kuupalgamäärade summast. </t>
  </si>
  <si>
    <r>
      <t xml:space="preserve">3. </t>
    </r>
    <r>
      <rPr>
        <b/>
        <sz val="10"/>
        <color indexed="12"/>
        <rFont val="Arial"/>
        <family val="2"/>
        <charset val="186"/>
      </rPr>
      <t>Tasud võlaõiguslike lepingute alusel.</t>
    </r>
  </si>
  <si>
    <t>Siseseta eraldi tabelisse ridade kaupa lühidalt töö sisu ja summa. Valem võtab kõik tööd kokku, summa kandub põhitabelisse.</t>
  </si>
  <si>
    <r>
      <t>Kui on sisestatud põhitaotlus, on töötasu kokku olemas.</t>
    </r>
    <r>
      <rPr>
        <sz val="10"/>
        <rFont val="Arial"/>
        <family val="2"/>
        <charset val="186"/>
      </rPr>
      <t xml:space="preserve"> Arvutatud on ka sotsiaalmaks (33%) ja töötuskindlustusmakse (0,8%).</t>
    </r>
  </si>
  <si>
    <r>
      <t>4. Personalikoolitus kokku</t>
    </r>
    <r>
      <rPr>
        <sz val="10"/>
        <color indexed="12"/>
        <rFont val="Arial"/>
        <family val="2"/>
        <charset val="186"/>
      </rPr>
      <t xml:space="preserve"> (koos käibemaksuga)</t>
    </r>
    <r>
      <rPr>
        <sz val="10"/>
        <rFont val="Arial"/>
        <family val="2"/>
        <charset val="186"/>
      </rPr>
      <t>, sh. koolitusteenuse ostmine, toitlustamine koolitusel, koolituslähetused.</t>
    </r>
  </si>
  <si>
    <t>5. Töötervishoiu kulud kokku.</t>
  </si>
  <si>
    <t>Sisesta arstliku läbivaatuse kulud, vaktsineerimine, prillide hüvitis, massaaž jne; kokku võtab valem.</t>
  </si>
  <si>
    <t>Sotsiaal- ja Tervishoiuameti hallatava asutuse koosseisunimestik 2019. aastal</t>
  </si>
  <si>
    <t>Sotsiaal- ja Tervishoiuameti hallatava asutuse töötasu, koolituskulu ja töötervishoiukulu planeerimine 2018. aasta eelarves</t>
  </si>
  <si>
    <t>Sotsiaal- ja Tervishoiu-amet</t>
  </si>
  <si>
    <t>Iru Hooldekodu</t>
  </si>
  <si>
    <t>Tallinna Vaimse Tervise Keskus</t>
  </si>
  <si>
    <t>Tallinna Sotsiaaltöö Keskus</t>
  </si>
  <si>
    <t>Tallinna Perekeskus</t>
  </si>
  <si>
    <t>Tallinna Sotsiaal- ja Tervishoiuamet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</si>
</sst>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&quot;kr&quot;_-;\-* #,##0.00\ &quot;kr&quot;_-;_-* &quot;-&quot;??\ &quot;kr&quot;_-;_-@_-"/>
    <numFmt numFmtId="165" formatCode="_-* #,##0.00\ _k_r_-;\-* #,##0.00\ _k_r_-;_-* &quot;-&quot;??\ _k_r_-;_-@_-"/>
    <numFmt numFmtId="166" formatCode="#,##0.000"/>
    <numFmt numFmtId="167" formatCode="#,##0.0"/>
    <numFmt numFmtId="168" formatCode="_-* #,##0.00\ _k_r_-;\-* #,##0.00\ _k_r_-;_-* \-??\ _k_r_-;_-@_-"/>
    <numFmt numFmtId="169" formatCode="0.0%"/>
    <numFmt numFmtId="170" formatCode="_(* #,##0.00_);_(* \(#,##0.00\);_(* &quot;-&quot;??_);_(@_)"/>
    <numFmt numFmtId="171" formatCode="_(* #,##0_);_(* \(#,##0\);_(* &quot;-&quot;??_);_(@_)"/>
    <numFmt numFmtId="172" formatCode="dd\.mm\.yy;@"/>
  </numFmts>
  <fonts count="153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Courier"/>
      <family val="1"/>
      <charset val="186"/>
    </font>
    <font>
      <b/>
      <sz val="11"/>
      <name val="Arial"/>
      <family val="2"/>
      <charset val="186"/>
    </font>
    <font>
      <b/>
      <i/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2"/>
      <name val="Arial"/>
      <family val="2"/>
      <charset val="186"/>
    </font>
    <font>
      <u/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2"/>
      <name val="Arial"/>
      <family val="2"/>
      <charset val="186"/>
    </font>
    <font>
      <i/>
      <sz val="9"/>
      <name val="Arial"/>
      <family val="2"/>
      <charset val="186"/>
    </font>
    <font>
      <sz val="8"/>
      <name val="Arial"/>
      <family val="2"/>
    </font>
    <font>
      <sz val="9"/>
      <name val="Arial"/>
      <family val="2"/>
      <charset val="186"/>
    </font>
    <font>
      <b/>
      <i/>
      <sz val="11"/>
      <name val="Arial"/>
      <family val="2"/>
      <charset val="186"/>
    </font>
    <font>
      <b/>
      <sz val="9"/>
      <name val="Arial"/>
      <family val="2"/>
      <charset val="186"/>
    </font>
    <font>
      <sz val="10"/>
      <color rgb="FFFF0000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Mangal"/>
      <family val="2"/>
    </font>
    <font>
      <u/>
      <sz val="8.5"/>
      <color indexed="12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0"/>
      <color rgb="FF0070C0"/>
      <name val="Arial"/>
      <family val="2"/>
      <charset val="186"/>
    </font>
    <font>
      <b/>
      <sz val="10"/>
      <color rgb="FF0070C0"/>
      <name val="Arial"/>
      <family val="2"/>
      <charset val="186"/>
    </font>
    <font>
      <u/>
      <sz val="10"/>
      <color rgb="FF0070C0"/>
      <name val="Arial"/>
      <family val="2"/>
      <charset val="186"/>
    </font>
    <font>
      <i/>
      <sz val="9"/>
      <color rgb="FF0070C0"/>
      <name val="Arial"/>
      <family val="2"/>
      <charset val="186"/>
    </font>
    <font>
      <i/>
      <sz val="8"/>
      <color rgb="FF0070C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name val="Arial"/>
      <family val="2"/>
      <charset val="186"/>
    </font>
    <font>
      <i/>
      <u/>
      <sz val="10"/>
      <name val="Arial"/>
      <family val="2"/>
      <charset val="186"/>
    </font>
    <font>
      <i/>
      <sz val="10"/>
      <color rgb="FF0070C0"/>
      <name val="Arial"/>
      <family val="2"/>
      <charset val="186"/>
    </font>
    <font>
      <b/>
      <sz val="8"/>
      <name val="Arial"/>
      <family val="2"/>
      <charset val="186"/>
    </font>
    <font>
      <b/>
      <sz val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i/>
      <sz val="10"/>
      <name val="Times New Roman"/>
      <family val="1"/>
      <charset val="186"/>
    </font>
    <font>
      <sz val="9"/>
      <name val="Arial"/>
      <family val="2"/>
    </font>
    <font>
      <sz val="8"/>
      <color theme="0"/>
      <name val="Arial"/>
      <family val="2"/>
      <charset val="186"/>
    </font>
    <font>
      <sz val="8"/>
      <color rgb="FFFF0000"/>
      <name val="Arial"/>
      <family val="2"/>
      <charset val="186"/>
    </font>
    <font>
      <u/>
      <sz val="8"/>
      <name val="Arial"/>
      <family val="2"/>
      <charset val="186"/>
    </font>
    <font>
      <sz val="8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8"/>
      <color rgb="FF0070C0"/>
      <name val="Arial"/>
      <family val="2"/>
      <charset val="186"/>
    </font>
    <font>
      <u/>
      <sz val="11"/>
      <name val="Calibri"/>
      <family val="2"/>
      <charset val="186"/>
      <scheme val="minor"/>
    </font>
    <font>
      <b/>
      <u/>
      <sz val="12"/>
      <name val="Calibri"/>
      <family val="2"/>
      <charset val="186"/>
      <scheme val="minor"/>
    </font>
    <font>
      <i/>
      <sz val="10"/>
      <color rgb="FF00B0F0"/>
      <name val="Arial"/>
      <family val="2"/>
      <charset val="186"/>
    </font>
    <font>
      <sz val="10"/>
      <color rgb="FF00B0F0"/>
      <name val="Arial"/>
      <family val="2"/>
      <charset val="186"/>
    </font>
    <font>
      <b/>
      <sz val="9"/>
      <name val="Arial"/>
      <family val="2"/>
    </font>
    <font>
      <b/>
      <sz val="11"/>
      <color indexed="10"/>
      <name val="Arial"/>
      <family val="2"/>
    </font>
    <font>
      <sz val="10"/>
      <color rgb="FFFF0000"/>
      <name val="Times New Roman"/>
      <family val="1"/>
      <charset val="186"/>
    </font>
    <font>
      <b/>
      <sz val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name val="Calibri"/>
      <family val="2"/>
      <charset val="186"/>
    </font>
    <font>
      <sz val="9"/>
      <color indexed="81"/>
      <name val="Segoe UI"/>
      <family val="2"/>
      <charset val="186"/>
    </font>
    <font>
      <b/>
      <sz val="11"/>
      <color rgb="FFC00000"/>
      <name val="Arial"/>
      <family val="2"/>
      <charset val="186"/>
    </font>
    <font>
      <sz val="11"/>
      <name val="Arial"/>
      <family val="2"/>
      <charset val="186"/>
    </font>
    <font>
      <i/>
      <sz val="10"/>
      <color rgb="FF00B050"/>
      <name val="Arial"/>
      <family val="2"/>
      <charset val="186"/>
    </font>
    <font>
      <i/>
      <sz val="10"/>
      <color rgb="FFFF0000"/>
      <name val="Arial"/>
      <family val="2"/>
      <charset val="186"/>
    </font>
    <font>
      <i/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3" tint="0.39997558519241921"/>
      <name val="Arial"/>
      <family val="2"/>
      <charset val="186"/>
    </font>
    <font>
      <i/>
      <sz val="10"/>
      <color theme="4" tint="-0.249977111117893"/>
      <name val="Arial"/>
      <family val="2"/>
      <charset val="186"/>
    </font>
    <font>
      <sz val="8"/>
      <color rgb="FFFF00FF"/>
      <name val="Arial"/>
      <family val="2"/>
      <charset val="186"/>
    </font>
    <font>
      <sz val="11"/>
      <color rgb="FF000000"/>
      <name val="Calibri"/>
      <family val="2"/>
      <charset val="186"/>
    </font>
    <font>
      <b/>
      <sz val="10"/>
      <color rgb="FF0070C0"/>
      <name val="Times New Roman"/>
      <family val="1"/>
      <charset val="186"/>
    </font>
    <font>
      <sz val="10"/>
      <color rgb="FF0070C0"/>
      <name val="Arial"/>
      <family val="2"/>
    </font>
    <font>
      <b/>
      <sz val="11"/>
      <color rgb="FF0070C0"/>
      <name val="Arial"/>
      <family val="2"/>
    </font>
    <font>
      <b/>
      <sz val="10"/>
      <color rgb="FF0070C0"/>
      <name val="Arial"/>
      <family val="2"/>
    </font>
    <font>
      <i/>
      <sz val="10"/>
      <color rgb="FF0070C0"/>
      <name val="Arial"/>
      <family val="2"/>
    </font>
    <font>
      <sz val="9"/>
      <color rgb="FF0070C0"/>
      <name val="Arial"/>
      <family val="2"/>
      <charset val="186"/>
    </font>
    <font>
      <b/>
      <sz val="12"/>
      <color rgb="FF0070C0"/>
      <name val="Arial"/>
      <family val="2"/>
      <charset val="186"/>
    </font>
    <font>
      <b/>
      <sz val="11"/>
      <color rgb="FF0070C0"/>
      <name val="Arial"/>
      <family val="2"/>
      <charset val="186"/>
    </font>
    <font>
      <b/>
      <i/>
      <sz val="10"/>
      <color rgb="FF0070C0"/>
      <name val="Arial"/>
      <family val="2"/>
      <charset val="186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  <font>
      <b/>
      <sz val="12"/>
      <name val="Arial"/>
      <family val="2"/>
    </font>
    <font>
      <b/>
      <sz val="8"/>
      <name val="Arial"/>
      <family val="2"/>
    </font>
    <font>
      <sz val="11"/>
      <color rgb="FF0070C0"/>
      <name val="Arial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vertAlign val="superscript"/>
      <sz val="11"/>
      <color indexed="8"/>
      <name val="Calibri"/>
      <family val="2"/>
      <charset val="186"/>
    </font>
    <font>
      <sz val="8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sz val="9"/>
      <color theme="3" tint="0.39997558519241921"/>
      <name val="Arial"/>
      <family val="2"/>
      <charset val="186"/>
    </font>
    <font>
      <i/>
      <sz val="8"/>
      <color theme="3" tint="0.39997558519241921"/>
      <name val="Arial"/>
      <family val="2"/>
      <charset val="186"/>
    </font>
    <font>
      <i/>
      <sz val="9"/>
      <color theme="3" tint="0.39997558519241921"/>
      <name val="Arial"/>
      <family val="2"/>
      <charset val="186"/>
    </font>
    <font>
      <sz val="8"/>
      <color theme="3" tint="0.39997558519241921"/>
      <name val="Arial"/>
      <family val="2"/>
      <charset val="186"/>
    </font>
    <font>
      <sz val="10"/>
      <color theme="4" tint="-0.249977111117893"/>
      <name val="Arial"/>
      <family val="2"/>
      <charset val="186"/>
    </font>
    <font>
      <i/>
      <sz val="9"/>
      <color theme="4" tint="-0.249977111117893"/>
      <name val="Arial"/>
      <family val="2"/>
      <charset val="186"/>
    </font>
    <font>
      <b/>
      <sz val="10"/>
      <name val="MS Sans Serif"/>
      <family val="2"/>
      <charset val="186"/>
    </font>
    <font>
      <b/>
      <i/>
      <sz val="9"/>
      <name val="Arial"/>
      <family val="2"/>
      <charset val="186"/>
    </font>
    <font>
      <sz val="10"/>
      <name val="MS Sans Serif"/>
      <family val="2"/>
      <charset val="186"/>
    </font>
    <font>
      <b/>
      <sz val="8"/>
      <color rgb="FFFF0000"/>
      <name val="Arial"/>
      <family val="2"/>
      <charset val="186"/>
    </font>
    <font>
      <b/>
      <u/>
      <sz val="10"/>
      <color indexed="12"/>
      <name val="Arial"/>
      <family val="2"/>
      <charset val="186"/>
    </font>
    <font>
      <sz val="10"/>
      <color indexed="12"/>
      <name val="Arial"/>
      <family val="2"/>
      <charset val="186"/>
    </font>
    <font>
      <i/>
      <sz val="10"/>
      <color indexed="12"/>
      <name val="Arial"/>
      <family val="2"/>
      <charset val="186"/>
    </font>
    <font>
      <i/>
      <sz val="10"/>
      <color indexed="12"/>
      <name val="Arial"/>
      <family val="2"/>
    </font>
    <font>
      <b/>
      <sz val="10"/>
      <color indexed="12"/>
      <name val="Arial"/>
      <family val="2"/>
      <charset val="186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32" fillId="0" borderId="0"/>
    <xf numFmtId="0" fontId="42" fillId="0" borderId="0"/>
    <xf numFmtId="0" fontId="43" fillId="0" borderId="0"/>
    <xf numFmtId="0" fontId="21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/>
    <xf numFmtId="0" fontId="50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7" fillId="0" borderId="0"/>
    <xf numFmtId="0" fontId="7" fillId="0" borderId="0"/>
    <xf numFmtId="0" fontId="7" fillId="23" borderId="7" applyNumberFormat="0" applyFont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55" fillId="3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67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0" fillId="25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2" fillId="7" borderId="1" applyNumberFormat="0" applyAlignment="0" applyProtection="0"/>
    <xf numFmtId="0" fontId="63" fillId="0" borderId="6" applyNumberFormat="0" applyFill="0" applyAlignment="0" applyProtection="0"/>
    <xf numFmtId="0" fontId="64" fillId="22" borderId="0" applyNumberFormat="0" applyBorder="0" applyAlignment="0" applyProtection="0"/>
    <xf numFmtId="0" fontId="7" fillId="0" borderId="0"/>
    <xf numFmtId="0" fontId="7" fillId="0" borderId="0"/>
    <xf numFmtId="0" fontId="52" fillId="0" borderId="0"/>
    <xf numFmtId="0" fontId="52" fillId="0" borderId="0"/>
    <xf numFmtId="0" fontId="7" fillId="0" borderId="0"/>
    <xf numFmtId="0" fontId="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0" fillId="0" borderId="0"/>
    <xf numFmtId="0" fontId="52" fillId="0" borderId="0"/>
    <xf numFmtId="0" fontId="52" fillId="0" borderId="0"/>
    <xf numFmtId="0" fontId="52" fillId="0" borderId="0"/>
    <xf numFmtId="0" fontId="7" fillId="0" borderId="0"/>
    <xf numFmtId="0" fontId="53" fillId="23" borderId="7" applyNumberFormat="0" applyFont="0" applyAlignment="0" applyProtection="0"/>
    <xf numFmtId="0" fontId="65" fillId="20" borderId="8" applyNumberFormat="0" applyAlignment="0" applyProtection="0"/>
    <xf numFmtId="9" fontId="7" fillId="0" borderId="0" applyFon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7" fillId="23" borderId="7" applyNumberFormat="0" applyFont="0" applyAlignment="0" applyProtection="0"/>
    <xf numFmtId="0" fontId="52" fillId="0" borderId="0"/>
    <xf numFmtId="0" fontId="6" fillId="0" borderId="0"/>
    <xf numFmtId="0" fontId="7" fillId="0" borderId="0"/>
    <xf numFmtId="0" fontId="7" fillId="0" borderId="0"/>
    <xf numFmtId="9" fontId="78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4" fillId="0" borderId="0"/>
    <xf numFmtId="0" fontId="42" fillId="0" borderId="0"/>
    <xf numFmtId="0" fontId="43" fillId="0" borderId="0"/>
    <xf numFmtId="0" fontId="4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43" fillId="0" borderId="0"/>
    <xf numFmtId="0" fontId="144" fillId="0" borderId="0"/>
    <xf numFmtId="4" fontId="14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</cellStyleXfs>
  <cellXfs count="1191">
    <xf numFmtId="0" fontId="0" fillId="0" borderId="0" xfId="0"/>
    <xf numFmtId="0" fontId="27" fillId="0" borderId="0" xfId="0" applyFont="1" applyFill="1" applyBorder="1"/>
    <xf numFmtId="0" fontId="21" fillId="0" borderId="0" xfId="0" applyFont="1" applyFill="1" applyBorder="1"/>
    <xf numFmtId="0" fontId="28" fillId="0" borderId="0" xfId="0" applyFont="1" applyFill="1"/>
    <xf numFmtId="0" fontId="7" fillId="0" borderId="0" xfId="0" applyFont="1" applyFill="1" applyBorder="1" applyAlignment="1">
      <alignment horizontal="left" vertical="top"/>
    </xf>
    <xf numFmtId="3" fontId="29" fillId="0" borderId="0" xfId="0" applyNumberFormat="1" applyFont="1" applyFill="1" applyAlignment="1">
      <alignment vertical="top"/>
    </xf>
    <xf numFmtId="0" fontId="7" fillId="0" borderId="0" xfId="0" applyFont="1" applyFill="1"/>
    <xf numFmtId="3" fontId="28" fillId="0" borderId="0" xfId="0" applyNumberFormat="1" applyFont="1" applyFill="1" applyBorder="1"/>
    <xf numFmtId="0" fontId="7" fillId="0" borderId="0" xfId="0" applyFont="1" applyFill="1" applyAlignment="1">
      <alignment horizontal="left" indent="2"/>
    </xf>
    <xf numFmtId="0" fontId="7" fillId="0" borderId="0" xfId="0" applyFont="1" applyFill="1" applyBorder="1" applyAlignment="1">
      <alignment horizontal="left" indent="2"/>
    </xf>
    <xf numFmtId="3" fontId="27" fillId="0" borderId="0" xfId="0" applyNumberFormat="1" applyFont="1" applyFill="1" applyBorder="1" applyAlignment="1"/>
    <xf numFmtId="3" fontId="7" fillId="0" borderId="0" xfId="0" applyNumberFormat="1" applyFont="1" applyFill="1" applyAlignment="1"/>
    <xf numFmtId="3" fontId="28" fillId="0" borderId="0" xfId="0" applyNumberFormat="1" applyFont="1" applyFill="1" applyAlignment="1"/>
    <xf numFmtId="0" fontId="33" fillId="0" borderId="0" xfId="0" applyFont="1" applyFill="1"/>
    <xf numFmtId="14" fontId="28" fillId="0" borderId="0" xfId="0" applyNumberFormat="1" applyFont="1" applyFill="1" applyAlignment="1">
      <alignment horizontal="left"/>
    </xf>
    <xf numFmtId="166" fontId="0" fillId="0" borderId="0" xfId="0" applyNumberFormat="1" applyAlignment="1">
      <alignment horizontal="right"/>
    </xf>
    <xf numFmtId="0" fontId="21" fillId="0" borderId="0" xfId="0" applyFont="1"/>
    <xf numFmtId="0" fontId="34" fillId="0" borderId="0" xfId="0" applyFont="1" applyFill="1" applyAlignment="1">
      <alignment horizontal="left" indent="2"/>
    </xf>
    <xf numFmtId="3" fontId="34" fillId="0" borderId="0" xfId="0" applyNumberFormat="1" applyFont="1" applyFill="1"/>
    <xf numFmtId="3" fontId="0" fillId="0" borderId="0" xfId="0" applyNumberFormat="1"/>
    <xf numFmtId="0" fontId="29" fillId="0" borderId="0" xfId="0" applyFont="1" applyFill="1" applyAlignment="1">
      <alignment horizontal="left" indent="4"/>
    </xf>
    <xf numFmtId="3" fontId="29" fillId="0" borderId="0" xfId="0" applyNumberFormat="1" applyFont="1" applyFill="1"/>
    <xf numFmtId="0" fontId="29" fillId="0" borderId="0" xfId="0" applyFont="1" applyFill="1" applyAlignment="1">
      <alignment horizontal="left" wrapText="1" indent="4"/>
    </xf>
    <xf numFmtId="0" fontId="29" fillId="0" borderId="0" xfId="35" applyNumberFormat="1" applyFont="1" applyFill="1" applyBorder="1" applyAlignment="1" applyProtection="1">
      <alignment horizontal="left" indent="6"/>
    </xf>
    <xf numFmtId="0" fontId="28" fillId="0" borderId="0" xfId="0" applyFont="1" applyFill="1" applyAlignment="1">
      <alignment horizontal="left" indent="1"/>
    </xf>
    <xf numFmtId="0" fontId="34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indent="4"/>
    </xf>
    <xf numFmtId="0" fontId="36" fillId="0" borderId="10" xfId="0" applyFont="1" applyFill="1" applyBorder="1" applyAlignment="1">
      <alignment horizontal="left" indent="1"/>
    </xf>
    <xf numFmtId="0" fontId="36" fillId="0" borderId="0" xfId="0" applyFont="1" applyFill="1" applyBorder="1" applyAlignment="1">
      <alignment horizontal="left" indent="1"/>
    </xf>
    <xf numFmtId="0" fontId="28" fillId="0" borderId="0" xfId="0" applyFont="1" applyFill="1" applyBorder="1" applyAlignment="1">
      <alignment horizontal="left" indent="1"/>
    </xf>
    <xf numFmtId="0" fontId="34" fillId="0" borderId="0" xfId="0" applyFont="1" applyFill="1" applyAlignment="1">
      <alignment horizontal="left" indent="1"/>
    </xf>
    <xf numFmtId="9" fontId="7" fillId="0" borderId="0" xfId="0" applyNumberFormat="1" applyFont="1"/>
    <xf numFmtId="167" fontId="7" fillId="0" borderId="0" xfId="0" applyNumberFormat="1" applyFont="1"/>
    <xf numFmtId="0" fontId="7" fillId="0" borderId="0" xfId="0" applyFont="1"/>
    <xf numFmtId="9" fontId="31" fillId="0" borderId="0" xfId="0" applyNumberFormat="1" applyFont="1"/>
    <xf numFmtId="0" fontId="33" fillId="0" borderId="0" xfId="0" applyFont="1"/>
    <xf numFmtId="0" fontId="0" fillId="0" borderId="0" xfId="0" applyAlignment="1">
      <alignment horizontal="right"/>
    </xf>
    <xf numFmtId="0" fontId="28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horizontal="center" vertical="top"/>
    </xf>
    <xf numFmtId="0" fontId="28" fillId="0" borderId="0" xfId="0" applyFont="1" applyFill="1" applyBorder="1"/>
    <xf numFmtId="3" fontId="21" fillId="0" borderId="0" xfId="0" applyNumberFormat="1" applyFont="1" applyFill="1" applyBorder="1"/>
    <xf numFmtId="3" fontId="28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 indent="1"/>
    </xf>
    <xf numFmtId="3" fontId="21" fillId="0" borderId="0" xfId="0" applyNumberFormat="1" applyFont="1" applyFill="1" applyBorder="1" applyAlignment="1">
      <alignment horizontal="left" indent="1"/>
    </xf>
    <xf numFmtId="3" fontId="21" fillId="0" borderId="0" xfId="0" applyNumberFormat="1" applyFont="1" applyFill="1" applyBorder="1" applyAlignment="1">
      <alignment horizontal="left"/>
    </xf>
    <xf numFmtId="0" fontId="21" fillId="0" borderId="0" xfId="0" quotePrefix="1" applyFont="1" applyFill="1" applyBorder="1"/>
    <xf numFmtId="3" fontId="21" fillId="0" borderId="0" xfId="0" quotePrefix="1" applyNumberFormat="1" applyFont="1" applyFill="1" applyBorder="1"/>
    <xf numFmtId="2" fontId="29" fillId="0" borderId="0" xfId="0" applyNumberFormat="1" applyFont="1" applyFill="1" applyBorder="1" applyAlignment="1">
      <alignment horizontal="left" indent="2"/>
    </xf>
    <xf numFmtId="3" fontId="29" fillId="0" borderId="0" xfId="0" applyNumberFormat="1" applyFont="1" applyFill="1" applyBorder="1" applyAlignment="1">
      <alignment horizontal="left" indent="2"/>
    </xf>
    <xf numFmtId="3" fontId="28" fillId="0" borderId="0" xfId="0" applyNumberFormat="1" applyFont="1" applyFill="1"/>
    <xf numFmtId="0" fontId="28" fillId="0" borderId="0" xfId="0" applyFont="1" applyFill="1" applyBorder="1" applyAlignment="1">
      <alignment wrapText="1"/>
    </xf>
    <xf numFmtId="0" fontId="33" fillId="0" borderId="0" xfId="0" applyFont="1" applyFill="1" applyBorder="1"/>
    <xf numFmtId="0" fontId="7" fillId="0" borderId="0" xfId="0" applyFont="1" applyFill="1" applyBorder="1"/>
    <xf numFmtId="0" fontId="39" fillId="0" borderId="0" xfId="0" applyFont="1" applyFill="1" applyBorder="1"/>
    <xf numFmtId="0" fontId="40" fillId="0" borderId="0" xfId="0" applyFont="1" applyFill="1" applyBorder="1"/>
    <xf numFmtId="0" fontId="21" fillId="0" borderId="0" xfId="0" applyFont="1" applyFill="1" applyBorder="1" applyAlignment="1">
      <alignment horizontal="left" indent="2"/>
    </xf>
    <xf numFmtId="167" fontId="33" fillId="0" borderId="0" xfId="36" applyNumberFormat="1" applyFont="1" applyFill="1" applyBorder="1" applyAlignment="1">
      <alignment horizontal="left" wrapText="1"/>
    </xf>
    <xf numFmtId="3" fontId="28" fillId="0" borderId="0" xfId="0" applyNumberFormat="1" applyFont="1"/>
    <xf numFmtId="0" fontId="46" fillId="0" borderId="0" xfId="0" applyFont="1" applyBorder="1" applyAlignment="1">
      <alignment horizontal="left" indent="1"/>
    </xf>
    <xf numFmtId="0" fontId="27" fillId="0" borderId="0" xfId="0" applyFont="1" applyFill="1" applyBorder="1" applyAlignment="1">
      <alignment horizontal="left"/>
    </xf>
    <xf numFmtId="0" fontId="39" fillId="0" borderId="0" xfId="0" applyFont="1" applyBorder="1"/>
    <xf numFmtId="0" fontId="26" fillId="0" borderId="0" xfId="0" applyFont="1" applyBorder="1"/>
    <xf numFmtId="0" fontId="28" fillId="0" borderId="0" xfId="0" applyFont="1"/>
    <xf numFmtId="167" fontId="0" fillId="0" borderId="0" xfId="0" applyNumberFormat="1"/>
    <xf numFmtId="0" fontId="31" fillId="0" borderId="0" xfId="0" applyFont="1"/>
    <xf numFmtId="0" fontId="7" fillId="0" borderId="0" xfId="0" applyFont="1" applyAlignment="1">
      <alignment horizontal="left" indent="3"/>
    </xf>
    <xf numFmtId="3" fontId="7" fillId="0" borderId="0" xfId="0" applyNumberFormat="1" applyFont="1"/>
    <xf numFmtId="0" fontId="7" fillId="0" borderId="0" xfId="0" applyFont="1" applyAlignment="1">
      <alignment horizontal="left" indent="5"/>
    </xf>
    <xf numFmtId="0" fontId="0" fillId="0" borderId="0" xfId="0" applyAlignment="1">
      <alignment horizontal="left" indent="3"/>
    </xf>
    <xf numFmtId="167" fontId="39" fillId="0" borderId="0" xfId="0" applyNumberFormat="1" applyFont="1"/>
    <xf numFmtId="0" fontId="28" fillId="0" borderId="0" xfId="0" applyNumberFormat="1" applyFont="1" applyFill="1" applyAlignment="1">
      <alignment horizontal="left" vertical="top"/>
    </xf>
    <xf numFmtId="3" fontId="34" fillId="0" borderId="0" xfId="0" applyNumberFormat="1" applyFont="1" applyFill="1" applyAlignment="1">
      <alignment vertical="top"/>
    </xf>
    <xf numFmtId="0" fontId="47" fillId="0" borderId="0" xfId="0" applyFont="1" applyFill="1" applyBorder="1"/>
    <xf numFmtId="3" fontId="28" fillId="0" borderId="0" xfId="0" applyNumberFormat="1" applyFont="1" applyBorder="1" applyAlignment="1"/>
    <xf numFmtId="0" fontId="28" fillId="0" borderId="0" xfId="0" applyFont="1" applyFill="1" applyBorder="1" applyAlignment="1">
      <alignment horizontal="left" indent="2"/>
    </xf>
    <xf numFmtId="0" fontId="21" fillId="0" borderId="0" xfId="0" applyFont="1" applyFill="1" applyBorder="1" applyAlignment="1">
      <alignment horizontal="left" indent="3"/>
    </xf>
    <xf numFmtId="3" fontId="35" fillId="0" borderId="0" xfId="0" applyNumberFormat="1" applyFont="1" applyFill="1"/>
    <xf numFmtId="3" fontId="36" fillId="0" borderId="10" xfId="0" applyNumberFormat="1" applyFont="1" applyFill="1" applyBorder="1"/>
    <xf numFmtId="3" fontId="36" fillId="0" borderId="0" xfId="0" applyNumberFormat="1" applyFont="1" applyFill="1" applyBorder="1"/>
    <xf numFmtId="0" fontId="27" fillId="0" borderId="0" xfId="0" applyFont="1" applyBorder="1" applyAlignment="1">
      <alignment horizontal="left" wrapText="1"/>
    </xf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0" fontId="0" fillId="0" borderId="0" xfId="0"/>
    <xf numFmtId="0" fontId="27" fillId="0" borderId="0" xfId="0" applyFont="1" applyBorder="1" applyAlignment="1">
      <alignment horizontal="left"/>
    </xf>
    <xf numFmtId="0" fontId="40" fillId="0" borderId="0" xfId="0" applyFont="1"/>
    <xf numFmtId="0" fontId="40" fillId="0" borderId="0" xfId="0" applyFont="1" applyFill="1" applyBorder="1" applyAlignment="1">
      <alignment horizontal="right"/>
    </xf>
    <xf numFmtId="0" fontId="40" fillId="0" borderId="0" xfId="0" applyFont="1" applyFill="1"/>
    <xf numFmtId="0" fontId="40" fillId="0" borderId="0" xfId="0" applyFont="1" applyBorder="1"/>
    <xf numFmtId="3" fontId="0" fillId="0" borderId="0" xfId="0" applyNumberFormat="1" applyFill="1"/>
    <xf numFmtId="3" fontId="7" fillId="0" borderId="0" xfId="0" applyNumberFormat="1" applyFont="1" applyFill="1"/>
    <xf numFmtId="3" fontId="0" fillId="0" borderId="0" xfId="0" applyNumberFormat="1" applyBorder="1"/>
    <xf numFmtId="0" fontId="7" fillId="0" borderId="0" xfId="0" applyFont="1" applyFill="1" applyBorder="1" applyAlignment="1">
      <alignment horizontal="left" inden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Border="1" applyAlignment="1" applyProtection="1">
      <alignment horizontal="left" vertical="top" wrapText="1" indent="4"/>
      <protection locked="0"/>
    </xf>
    <xf numFmtId="0" fontId="49" fillId="0" borderId="0" xfId="0" applyFont="1"/>
    <xf numFmtId="0" fontId="7" fillId="0" borderId="0" xfId="0" applyFont="1" applyFill="1" applyBorder="1" applyAlignment="1">
      <alignment horizontal="left" indent="3"/>
    </xf>
    <xf numFmtId="0" fontId="39" fillId="0" borderId="0" xfId="0" applyFont="1" applyFill="1"/>
    <xf numFmtId="3" fontId="40" fillId="0" borderId="0" xfId="0" applyNumberFormat="1" applyFont="1" applyFill="1"/>
    <xf numFmtId="3" fontId="40" fillId="0" borderId="0" xfId="0" applyNumberFormat="1" applyFont="1" applyFill="1" applyBorder="1" applyAlignment="1"/>
    <xf numFmtId="3" fontId="28" fillId="0" borderId="0" xfId="0" applyNumberFormat="1" applyFont="1" applyFill="1" applyBorder="1" applyAlignment="1"/>
    <xf numFmtId="0" fontId="7" fillId="0" borderId="13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Alignment="1">
      <alignment horizontal="left"/>
    </xf>
    <xf numFmtId="0" fontId="29" fillId="0" borderId="0" xfId="0" applyNumberFormat="1" applyFont="1" applyFill="1" applyAlignment="1">
      <alignment horizontal="left" vertical="top" indent="3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 indent="4"/>
    </xf>
    <xf numFmtId="0" fontId="7" fillId="0" borderId="0" xfId="0" applyFont="1" applyAlignment="1">
      <alignment horizontal="left" wrapText="1"/>
    </xf>
    <xf numFmtId="3" fontId="69" fillId="0" borderId="0" xfId="0" applyNumberFormat="1" applyFont="1"/>
    <xf numFmtId="0" fontId="46" fillId="0" borderId="0" xfId="50" applyFont="1" applyBorder="1" applyAlignment="1">
      <alignment wrapText="1"/>
    </xf>
    <xf numFmtId="0" fontId="28" fillId="0" borderId="0" xfId="0" applyFont="1" applyBorder="1"/>
    <xf numFmtId="0" fontId="29" fillId="0" borderId="0" xfId="0" applyFont="1" applyFill="1" applyAlignment="1">
      <alignment horizontal="left" wrapText="1" indent="6"/>
    </xf>
    <xf numFmtId="3" fontId="29" fillId="0" borderId="0" xfId="0" applyNumberFormat="1" applyFont="1" applyFill="1" applyAlignment="1"/>
    <xf numFmtId="3" fontId="71" fillId="0" borderId="0" xfId="0" applyNumberFormat="1" applyFont="1"/>
    <xf numFmtId="0" fontId="74" fillId="0" borderId="0" xfId="0" applyNumberFormat="1" applyFont="1" applyFill="1" applyAlignment="1">
      <alignment horizontal="left" vertical="top"/>
    </xf>
    <xf numFmtId="0" fontId="74" fillId="0" borderId="0" xfId="36" applyNumberFormat="1" applyFont="1" applyFill="1" applyBorder="1" applyAlignment="1" applyProtection="1">
      <alignment horizontal="left" vertical="top"/>
    </xf>
    <xf numFmtId="0" fontId="72" fillId="0" borderId="0" xfId="36" applyNumberFormat="1" applyFont="1" applyFill="1" applyBorder="1" applyAlignment="1">
      <alignment horizontal="left" vertical="top"/>
    </xf>
    <xf numFmtId="0" fontId="40" fillId="0" borderId="0" xfId="43" applyFont="1" applyFill="1" applyBorder="1" applyAlignment="1">
      <alignment horizontal="left" vertical="top"/>
    </xf>
    <xf numFmtId="0" fontId="41" fillId="0" borderId="0" xfId="43" applyFont="1" applyFill="1" applyBorder="1" applyAlignment="1">
      <alignment horizontal="left" vertical="top" indent="3"/>
    </xf>
    <xf numFmtId="0" fontId="39" fillId="0" borderId="0" xfId="43" applyFont="1" applyFill="1" applyBorder="1" applyAlignment="1">
      <alignment horizontal="left" vertical="top"/>
    </xf>
    <xf numFmtId="0" fontId="41" fillId="0" borderId="0" xfId="43" applyFont="1" applyFill="1" applyBorder="1" applyAlignment="1">
      <alignment horizontal="left" vertical="top" wrapText="1" indent="3"/>
    </xf>
    <xf numFmtId="0" fontId="40" fillId="0" borderId="0" xfId="43" applyFont="1" applyFill="1" applyBorder="1" applyAlignment="1">
      <alignment horizontal="left" vertical="top" wrapText="1"/>
    </xf>
    <xf numFmtId="0" fontId="40" fillId="0" borderId="0" xfId="43" applyFont="1" applyFill="1" applyAlignment="1">
      <alignment horizontal="left" vertical="top"/>
    </xf>
    <xf numFmtId="3" fontId="39" fillId="0" borderId="0" xfId="43" applyNumberFormat="1" applyFont="1" applyFill="1" applyBorder="1" applyAlignment="1">
      <alignment vertical="top"/>
    </xf>
    <xf numFmtId="3" fontId="40" fillId="0" borderId="0" xfId="43" applyNumberFormat="1" applyFont="1" applyFill="1" applyBorder="1" applyAlignment="1">
      <alignment vertical="top"/>
    </xf>
    <xf numFmtId="3" fontId="41" fillId="0" borderId="0" xfId="43" applyNumberFormat="1" applyFont="1" applyFill="1" applyBorder="1" applyAlignment="1">
      <alignment vertical="top" wrapText="1"/>
    </xf>
    <xf numFmtId="3" fontId="41" fillId="0" borderId="0" xfId="43" applyNumberFormat="1" applyFont="1" applyFill="1" applyBorder="1" applyAlignment="1">
      <alignment vertical="top"/>
    </xf>
    <xf numFmtId="3" fontId="40" fillId="0" borderId="0" xfId="43" applyNumberFormat="1" applyFont="1" applyFill="1" applyBorder="1" applyAlignment="1">
      <alignment vertical="top" wrapText="1"/>
    </xf>
    <xf numFmtId="3" fontId="40" fillId="0" borderId="0" xfId="43" applyNumberFormat="1" applyFont="1" applyFill="1" applyAlignment="1">
      <alignment vertical="top"/>
    </xf>
    <xf numFmtId="0" fontId="44" fillId="0" borderId="0" xfId="36" applyNumberFormat="1" applyFont="1" applyFill="1" applyBorder="1" applyAlignment="1" applyProtection="1">
      <alignment horizontal="left" vertical="top" indent="1"/>
    </xf>
    <xf numFmtId="0" fontId="44" fillId="0" borderId="0" xfId="36" applyNumberFormat="1" applyFont="1" applyFill="1" applyBorder="1" applyAlignment="1" applyProtection="1">
      <alignment horizontal="left" vertical="top" wrapText="1" indent="2"/>
    </xf>
    <xf numFmtId="0" fontId="29" fillId="0" borderId="0" xfId="36" applyNumberFormat="1" applyFont="1" applyFill="1" applyBorder="1" applyAlignment="1" applyProtection="1">
      <alignment horizontal="left" vertical="top" indent="2"/>
    </xf>
    <xf numFmtId="3" fontId="28" fillId="0" borderId="0" xfId="148" applyNumberFormat="1" applyFont="1"/>
    <xf numFmtId="3" fontId="7" fillId="0" borderId="0" xfId="148" applyNumberFormat="1" applyFont="1"/>
    <xf numFmtId="0" fontId="35" fillId="0" borderId="0" xfId="0" applyNumberFormat="1" applyFont="1" applyFill="1" applyAlignment="1">
      <alignment horizontal="left" vertical="top" indent="1"/>
    </xf>
    <xf numFmtId="0" fontId="44" fillId="0" borderId="0" xfId="36" applyNumberFormat="1" applyFont="1" applyFill="1" applyBorder="1" applyAlignment="1" applyProtection="1">
      <alignment horizontal="left" vertical="top" indent="2"/>
    </xf>
    <xf numFmtId="0" fontId="35" fillId="0" borderId="0" xfId="0" applyNumberFormat="1" applyFont="1" applyFill="1" applyAlignment="1">
      <alignment horizontal="left" vertical="top" wrapText="1" indent="1"/>
    </xf>
    <xf numFmtId="0" fontId="36" fillId="0" borderId="0" xfId="36" applyNumberFormat="1" applyFont="1" applyFill="1" applyBorder="1" applyAlignment="1" applyProtection="1">
      <alignment horizontal="left" vertical="top"/>
    </xf>
    <xf numFmtId="0" fontId="28" fillId="0" borderId="0" xfId="36" applyNumberFormat="1" applyFont="1" applyFill="1" applyBorder="1" applyAlignment="1" applyProtection="1">
      <alignment horizontal="left" vertical="top"/>
    </xf>
    <xf numFmtId="0" fontId="29" fillId="0" borderId="0" xfId="36" applyFont="1" applyFill="1" applyBorder="1" applyAlignment="1" applyProtection="1">
      <alignment horizontal="left" vertical="top" indent="1"/>
    </xf>
    <xf numFmtId="0" fontId="29" fillId="0" borderId="0" xfId="36" applyNumberFormat="1" applyFont="1" applyFill="1" applyBorder="1" applyAlignment="1" applyProtection="1">
      <alignment horizontal="left" vertical="top" indent="1"/>
    </xf>
    <xf numFmtId="0" fontId="33" fillId="0" borderId="0" xfId="0" applyNumberFormat="1" applyFont="1" applyFill="1" applyAlignment="1">
      <alignment horizontal="left" vertical="top"/>
    </xf>
    <xf numFmtId="0" fontId="44" fillId="0" borderId="0" xfId="36" applyNumberFormat="1" applyFont="1" applyFill="1" applyBorder="1" applyAlignment="1" applyProtection="1">
      <alignment horizontal="left" vertical="top" indent="3"/>
    </xf>
    <xf numFmtId="0" fontId="26" fillId="0" borderId="0" xfId="36" applyNumberFormat="1" applyFont="1" applyFill="1" applyBorder="1" applyAlignment="1" applyProtection="1">
      <alignment horizontal="left" vertical="top" indent="2"/>
    </xf>
    <xf numFmtId="0" fontId="28" fillId="0" borderId="0" xfId="0" applyNumberFormat="1" applyFont="1" applyFill="1" applyAlignment="1">
      <alignment horizontal="left" vertical="top" indent="2"/>
    </xf>
    <xf numFmtId="0" fontId="7" fillId="0" borderId="0" xfId="31" applyNumberFormat="1" applyFont="1" applyFill="1" applyBorder="1" applyAlignment="1" applyProtection="1">
      <alignment horizontal="left" vertical="top" wrapText="1" indent="2"/>
    </xf>
    <xf numFmtId="0" fontId="28" fillId="0" borderId="0" xfId="36" applyNumberFormat="1" applyFont="1" applyFill="1" applyBorder="1" applyAlignment="1">
      <alignment horizontal="left" vertical="top"/>
    </xf>
    <xf numFmtId="0" fontId="7" fillId="0" borderId="0" xfId="0" applyNumberFormat="1" applyFont="1" applyFill="1" applyAlignment="1">
      <alignment horizontal="left" vertical="top"/>
    </xf>
    <xf numFmtId="0" fontId="29" fillId="0" borderId="0" xfId="0" applyNumberFormat="1" applyFont="1" applyFill="1" applyAlignment="1">
      <alignment horizontal="left" indent="1"/>
    </xf>
    <xf numFmtId="0" fontId="38" fillId="0" borderId="0" xfId="31" quotePrefix="1" applyNumberFormat="1" applyFont="1" applyFill="1" applyBorder="1" applyAlignment="1" applyProtection="1">
      <alignment horizontal="left" vertical="top" wrapText="1" indent="1"/>
    </xf>
    <xf numFmtId="0" fontId="7" fillId="0" borderId="0" xfId="31" applyNumberFormat="1" applyFont="1" applyFill="1" applyBorder="1" applyAlignment="1" applyProtection="1">
      <alignment horizontal="left" vertical="top" wrapText="1"/>
    </xf>
    <xf numFmtId="49" fontId="38" fillId="0" borderId="0" xfId="31" quotePrefix="1" applyNumberFormat="1" applyFont="1" applyFill="1" applyBorder="1" applyAlignment="1" applyProtection="1">
      <alignment horizontal="left" vertical="top" wrapText="1" indent="1"/>
    </xf>
    <xf numFmtId="0" fontId="44" fillId="0" borderId="0" xfId="36" applyNumberFormat="1" applyFont="1" applyFill="1" applyBorder="1" applyAlignment="1" applyProtection="1">
      <alignment horizontal="left" vertical="top" indent="4"/>
    </xf>
    <xf numFmtId="0" fontId="38" fillId="0" borderId="0" xfId="0" applyNumberFormat="1" applyFont="1" applyFill="1" applyAlignment="1">
      <alignment horizontal="left" wrapText="1" indent="3"/>
    </xf>
    <xf numFmtId="0" fontId="38" fillId="0" borderId="0" xfId="0" quotePrefix="1" applyNumberFormat="1" applyFont="1" applyFill="1" applyAlignment="1">
      <alignment horizontal="left" wrapText="1" indent="1"/>
    </xf>
    <xf numFmtId="49" fontId="38" fillId="0" borderId="0" xfId="0" quotePrefix="1" applyNumberFormat="1" applyFont="1" applyFill="1" applyAlignment="1">
      <alignment horizontal="left" indent="1"/>
    </xf>
    <xf numFmtId="0" fontId="26" fillId="0" borderId="0" xfId="31" applyNumberFormat="1" applyFont="1" applyFill="1" applyBorder="1" applyAlignment="1" applyProtection="1">
      <alignment horizontal="left" vertical="top" wrapText="1" indent="3"/>
    </xf>
    <xf numFmtId="3" fontId="26" fillId="0" borderId="0" xfId="0" applyNumberFormat="1" applyFont="1" applyFill="1" applyAlignment="1">
      <alignment vertical="top"/>
    </xf>
    <xf numFmtId="0" fontId="7" fillId="0" borderId="0" xfId="31" applyNumberFormat="1" applyFont="1" applyFill="1" applyBorder="1" applyAlignment="1" applyProtection="1">
      <alignment horizontal="left" vertical="top" indent="2"/>
    </xf>
    <xf numFmtId="3" fontId="7" fillId="0" borderId="0" xfId="0" applyNumberFormat="1" applyFont="1" applyFill="1" applyAlignment="1">
      <alignment vertical="top"/>
    </xf>
    <xf numFmtId="0" fontId="7" fillId="0" borderId="0" xfId="0" applyNumberFormat="1" applyFont="1" applyFill="1" applyAlignment="1">
      <alignment horizontal="left" vertical="top" wrapText="1"/>
    </xf>
    <xf numFmtId="0" fontId="38" fillId="0" borderId="0" xfId="36" quotePrefix="1" applyNumberFormat="1" applyFont="1" applyFill="1" applyBorder="1" applyAlignment="1" applyProtection="1">
      <alignment horizontal="left" indent="1"/>
    </xf>
    <xf numFmtId="49" fontId="26" fillId="0" borderId="0" xfId="0" applyNumberFormat="1" applyFont="1" applyFill="1" applyAlignment="1">
      <alignment horizontal="left" vertical="top" indent="3"/>
    </xf>
    <xf numFmtId="49" fontId="26" fillId="0" borderId="0" xfId="0" applyNumberFormat="1" applyFont="1" applyFill="1" applyAlignment="1">
      <alignment horizontal="left" vertical="top" indent="4"/>
    </xf>
    <xf numFmtId="0" fontId="38" fillId="0" borderId="0" xfId="36" applyNumberFormat="1" applyFont="1" applyFill="1" applyBorder="1" applyAlignment="1" applyProtection="1">
      <alignment horizontal="left" vertical="top" indent="1"/>
    </xf>
    <xf numFmtId="0" fontId="34" fillId="0" borderId="0" xfId="0" applyNumberFormat="1" applyFont="1" applyFill="1" applyAlignment="1">
      <alignment horizontal="left" vertical="top"/>
    </xf>
    <xf numFmtId="0" fontId="37" fillId="0" borderId="0" xfId="36" applyNumberFormat="1" applyFont="1" applyFill="1" applyBorder="1" applyAlignment="1" applyProtection="1">
      <alignment horizontal="left" vertical="top"/>
    </xf>
    <xf numFmtId="0" fontId="7" fillId="0" borderId="0" xfId="36" applyNumberFormat="1" applyFont="1" applyFill="1" applyBorder="1" applyAlignment="1" applyProtection="1">
      <alignment horizontal="left" vertical="top" indent="1"/>
    </xf>
    <xf numFmtId="0" fontId="26" fillId="0" borderId="0" xfId="0" applyNumberFormat="1" applyFont="1" applyFill="1" applyAlignment="1">
      <alignment horizontal="left" vertical="top" indent="2"/>
    </xf>
    <xf numFmtId="0" fontId="29" fillId="0" borderId="0" xfId="0" applyNumberFormat="1" applyFont="1" applyFill="1" applyAlignment="1">
      <alignment horizontal="left" vertical="top"/>
    </xf>
    <xf numFmtId="0" fontId="38" fillId="0" borderId="0" xfId="36" applyNumberFormat="1" applyFont="1" applyFill="1" applyBorder="1" applyAlignment="1" applyProtection="1">
      <alignment horizontal="left" vertical="top" indent="3"/>
    </xf>
    <xf numFmtId="0" fontId="26" fillId="0" borderId="0" xfId="36" applyNumberFormat="1" applyFont="1" applyFill="1" applyBorder="1" applyAlignment="1" applyProtection="1">
      <alignment horizontal="left" vertical="top" indent="4"/>
    </xf>
    <xf numFmtId="0" fontId="38" fillId="0" borderId="0" xfId="36" applyNumberFormat="1" applyFont="1" applyFill="1" applyBorder="1" applyAlignment="1" applyProtection="1">
      <alignment horizontal="left" vertical="top" wrapText="1" indent="1"/>
    </xf>
    <xf numFmtId="0" fontId="26" fillId="0" borderId="0" xfId="36" applyNumberFormat="1" applyFont="1" applyFill="1" applyBorder="1" applyAlignment="1" applyProtection="1">
      <alignment horizontal="left" vertical="top" wrapText="1" indent="2"/>
    </xf>
    <xf numFmtId="0" fontId="26" fillId="0" borderId="0" xfId="0" applyFont="1" applyFill="1" applyBorder="1" applyAlignment="1">
      <alignment horizontal="left" indent="2"/>
    </xf>
    <xf numFmtId="0" fontId="34" fillId="0" borderId="0" xfId="36" applyNumberFormat="1" applyFont="1" applyFill="1" applyBorder="1" applyAlignment="1" applyProtection="1">
      <alignment horizontal="left" vertical="top"/>
    </xf>
    <xf numFmtId="0" fontId="26" fillId="0" borderId="0" xfId="36" applyNumberFormat="1" applyFont="1" applyFill="1" applyBorder="1" applyAlignment="1" applyProtection="1">
      <alignment horizontal="left" vertical="top" indent="1"/>
    </xf>
    <xf numFmtId="0" fontId="37" fillId="0" borderId="0" xfId="36" applyNumberFormat="1" applyFont="1" applyFill="1" applyBorder="1" applyAlignment="1" applyProtection="1">
      <alignment horizontal="left" vertical="top" wrapText="1"/>
    </xf>
    <xf numFmtId="0" fontId="37" fillId="0" borderId="0" xfId="36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>
      <alignment horizontal="left" vertical="top"/>
    </xf>
    <xf numFmtId="3" fontId="7" fillId="0" borderId="0" xfId="0" applyNumberFormat="1" applyFont="1" applyFill="1" applyBorder="1" applyAlignment="1">
      <alignment vertical="top"/>
    </xf>
    <xf numFmtId="3" fontId="36" fillId="0" borderId="0" xfId="36" applyNumberFormat="1" applyFont="1" applyFill="1" applyBorder="1" applyAlignment="1" applyProtection="1">
      <alignment vertical="top"/>
    </xf>
    <xf numFmtId="3" fontId="28" fillId="0" borderId="0" xfId="36" applyNumberFormat="1" applyFont="1" applyFill="1" applyBorder="1" applyAlignment="1" applyProtection="1">
      <alignment vertical="top"/>
    </xf>
    <xf numFmtId="3" fontId="29" fillId="0" borderId="0" xfId="36" applyNumberFormat="1" applyFont="1" applyFill="1" applyBorder="1" applyAlignment="1" applyProtection="1">
      <alignment vertical="top"/>
    </xf>
    <xf numFmtId="3" fontId="28" fillId="0" borderId="0" xfId="36" applyNumberFormat="1" applyFont="1" applyFill="1" applyBorder="1" applyAlignment="1">
      <alignment vertical="top"/>
    </xf>
    <xf numFmtId="3" fontId="7" fillId="0" borderId="0" xfId="36" applyNumberFormat="1" applyFont="1" applyFill="1" applyBorder="1" applyAlignment="1" applyProtection="1">
      <alignment vertical="top"/>
    </xf>
    <xf numFmtId="3" fontId="44" fillId="0" borderId="0" xfId="36" applyNumberFormat="1" applyFont="1" applyFill="1" applyBorder="1" applyAlignment="1" applyProtection="1">
      <alignment vertical="top"/>
    </xf>
    <xf numFmtId="3" fontId="75" fillId="0" borderId="0" xfId="36" applyNumberFormat="1" applyFont="1" applyFill="1" applyBorder="1" applyAlignment="1" applyProtection="1">
      <alignment vertical="top"/>
    </xf>
    <xf numFmtId="3" fontId="38" fillId="0" borderId="0" xfId="36" applyNumberFormat="1" applyFont="1" applyFill="1" applyBorder="1" applyAlignment="1" applyProtection="1">
      <alignment vertical="top"/>
    </xf>
    <xf numFmtId="3" fontId="26" fillId="0" borderId="0" xfId="36" applyNumberFormat="1" applyFont="1" applyFill="1" applyBorder="1" applyAlignment="1" applyProtection="1">
      <alignment vertical="top"/>
    </xf>
    <xf numFmtId="3" fontId="7" fillId="0" borderId="0" xfId="36" applyNumberFormat="1" applyFont="1" applyFill="1" applyBorder="1" applyAlignment="1" applyProtection="1">
      <alignment vertical="top" wrapText="1"/>
    </xf>
    <xf numFmtId="3" fontId="28" fillId="0" borderId="0" xfId="0" applyNumberFormat="1" applyFont="1" applyFill="1" applyAlignment="1">
      <alignment vertical="top"/>
    </xf>
    <xf numFmtId="3" fontId="33" fillId="0" borderId="0" xfId="36" applyNumberFormat="1" applyFont="1" applyFill="1" applyBorder="1" applyAlignment="1" applyProtection="1">
      <alignment vertical="top"/>
    </xf>
    <xf numFmtId="3" fontId="33" fillId="0" borderId="0" xfId="0" applyNumberFormat="1" applyFont="1" applyFill="1" applyAlignment="1">
      <alignment vertical="top"/>
    </xf>
    <xf numFmtId="3" fontId="28" fillId="0" borderId="0" xfId="0" applyNumberFormat="1" applyFont="1" applyFill="1" applyAlignment="1">
      <alignment vertical="top" wrapText="1"/>
    </xf>
    <xf numFmtId="3" fontId="26" fillId="0" borderId="0" xfId="36" applyNumberFormat="1" applyFont="1" applyFill="1" applyBorder="1" applyAlignment="1" applyProtection="1">
      <alignment vertical="top" wrapText="1"/>
    </xf>
    <xf numFmtId="3" fontId="7" fillId="0" borderId="0" xfId="31" applyNumberFormat="1" applyFont="1" applyFill="1" applyBorder="1" applyAlignment="1" applyProtection="1">
      <alignment vertical="top" wrapText="1"/>
    </xf>
    <xf numFmtId="3" fontId="38" fillId="0" borderId="0" xfId="0" quotePrefix="1" applyNumberFormat="1" applyFont="1" applyFill="1" applyAlignment="1">
      <alignment wrapText="1"/>
    </xf>
    <xf numFmtId="3" fontId="72" fillId="0" borderId="0" xfId="0" applyNumberFormat="1" applyFont="1" applyFill="1" applyAlignment="1">
      <alignment vertical="top"/>
    </xf>
    <xf numFmtId="3" fontId="72" fillId="0" borderId="0" xfId="36" applyNumberFormat="1" applyFont="1" applyFill="1" applyBorder="1" applyAlignment="1">
      <alignment vertical="top"/>
    </xf>
    <xf numFmtId="3" fontId="38" fillId="0" borderId="0" xfId="31" quotePrefix="1" applyNumberFormat="1" applyFont="1" applyFill="1" applyBorder="1" applyAlignment="1" applyProtection="1">
      <alignment vertical="top" wrapText="1"/>
    </xf>
    <xf numFmtId="3" fontId="38" fillId="0" borderId="0" xfId="0" applyNumberFormat="1" applyFont="1" applyFill="1" applyAlignment="1">
      <alignment wrapText="1"/>
    </xf>
    <xf numFmtId="3" fontId="38" fillId="0" borderId="0" xfId="31" applyNumberFormat="1" applyFont="1" applyFill="1" applyBorder="1" applyAlignment="1" applyProtection="1">
      <alignment vertical="top" wrapText="1"/>
    </xf>
    <xf numFmtId="3" fontId="26" fillId="0" borderId="0" xfId="31" applyNumberFormat="1" applyFont="1" applyFill="1" applyBorder="1" applyAlignment="1" applyProtection="1">
      <alignment vertical="top" wrapText="1"/>
    </xf>
    <xf numFmtId="3" fontId="7" fillId="0" borderId="0" xfId="31" applyNumberFormat="1" applyFont="1" applyFill="1" applyBorder="1" applyAlignment="1" applyProtection="1">
      <alignment vertical="top"/>
    </xf>
    <xf numFmtId="3" fontId="7" fillId="0" borderId="0" xfId="0" applyNumberFormat="1" applyFont="1" applyFill="1" applyAlignment="1">
      <alignment vertical="top" wrapText="1"/>
    </xf>
    <xf numFmtId="3" fontId="38" fillId="0" borderId="0" xfId="36" quotePrefix="1" applyNumberFormat="1" applyFont="1" applyFill="1" applyBorder="1" applyAlignment="1" applyProtection="1"/>
    <xf numFmtId="3" fontId="26" fillId="0" borderId="0" xfId="0" applyNumberFormat="1" applyFont="1" applyFill="1" applyBorder="1" applyAlignment="1"/>
    <xf numFmtId="3" fontId="34" fillId="0" borderId="0" xfId="36" applyNumberFormat="1" applyFont="1" applyFill="1" applyBorder="1" applyAlignment="1" applyProtection="1">
      <alignment vertical="top"/>
    </xf>
    <xf numFmtId="3" fontId="72" fillId="0" borderId="0" xfId="36" applyNumberFormat="1" applyFont="1" applyFill="1" applyBorder="1" applyAlignment="1" applyProtection="1">
      <alignment vertical="top"/>
    </xf>
    <xf numFmtId="3" fontId="7" fillId="0" borderId="0" xfId="0" applyNumberFormat="1" applyFont="1" applyFill="1" applyBorder="1" applyAlignment="1"/>
    <xf numFmtId="0" fontId="37" fillId="0" borderId="0" xfId="0" applyFont="1" applyFill="1" applyAlignment="1">
      <alignment horizontal="left" indent="6"/>
    </xf>
    <xf numFmtId="0" fontId="29" fillId="0" borderId="0" xfId="0" applyFont="1" applyAlignment="1">
      <alignment horizontal="left" indent="7"/>
    </xf>
    <xf numFmtId="0" fontId="34" fillId="0" borderId="0" xfId="0" applyFont="1" applyFill="1" applyAlignment="1">
      <alignment horizontal="left" indent="4"/>
    </xf>
    <xf numFmtId="0" fontId="29" fillId="0" borderId="0" xfId="0" applyFont="1" applyFill="1" applyAlignment="1">
      <alignment horizontal="left" indent="7"/>
    </xf>
    <xf numFmtId="0" fontId="39" fillId="0" borderId="0" xfId="0" applyFont="1"/>
    <xf numFmtId="3" fontId="28" fillId="0" borderId="0" xfId="0" applyNumberFormat="1" applyFont="1" applyFill="1" applyBorder="1" applyAlignment="1">
      <alignment vertical="top" wrapText="1"/>
    </xf>
    <xf numFmtId="0" fontId="28" fillId="24" borderId="13" xfId="153" applyFont="1" applyFill="1" applyBorder="1" applyAlignment="1" applyProtection="1">
      <alignment horizontal="left" vertical="top" wrapText="1"/>
      <protection locked="0"/>
    </xf>
    <xf numFmtId="0" fontId="28" fillId="24" borderId="13" xfId="153" applyFont="1" applyFill="1" applyBorder="1" applyAlignment="1" applyProtection="1">
      <alignment horizontal="left" vertical="top"/>
      <protection locked="0"/>
    </xf>
    <xf numFmtId="0" fontId="7" fillId="0" borderId="13" xfId="153" applyFont="1" applyFill="1" applyBorder="1" applyAlignment="1" applyProtection="1">
      <alignment horizontal="left" vertical="top"/>
      <protection locked="0"/>
    </xf>
    <xf numFmtId="0" fontId="7" fillId="0" borderId="16" xfId="153" applyFont="1" applyFill="1" applyBorder="1" applyAlignment="1" applyProtection="1">
      <alignment horizontal="right" vertical="top" wrapText="1"/>
      <protection locked="0"/>
    </xf>
    <xf numFmtId="0" fontId="7" fillId="0" borderId="13" xfId="153" applyFont="1" applyFill="1" applyBorder="1" applyAlignment="1" applyProtection="1">
      <alignment horizontal="left" vertical="top" wrapText="1"/>
      <protection locked="0"/>
    </xf>
    <xf numFmtId="3" fontId="44" fillId="0" borderId="0" xfId="31" applyNumberFormat="1" applyFont="1" applyFill="1" applyBorder="1" applyAlignment="1" applyProtection="1">
      <alignment vertical="top" wrapText="1"/>
    </xf>
    <xf numFmtId="0" fontId="7" fillId="0" borderId="15" xfId="153" applyFont="1" applyFill="1" applyBorder="1" applyAlignment="1" applyProtection="1">
      <alignment horizontal="left" vertical="top" wrapText="1"/>
      <protection locked="0"/>
    </xf>
    <xf numFmtId="3" fontId="7" fillId="0" borderId="13" xfId="49" applyNumberFormat="1" applyFont="1" applyFill="1" applyBorder="1" applyAlignment="1" applyProtection="1">
      <alignment vertical="top"/>
      <protection locked="0"/>
    </xf>
    <xf numFmtId="3" fontId="7" fillId="0" borderId="13" xfId="153" applyNumberFormat="1" applyFont="1" applyFill="1" applyBorder="1" applyAlignment="1" applyProtection="1">
      <alignment vertical="top"/>
      <protection locked="0"/>
    </xf>
    <xf numFmtId="3" fontId="28" fillId="24" borderId="13" xfId="153" applyNumberFormat="1" applyFont="1" applyFill="1" applyBorder="1" applyAlignment="1" applyProtection="1">
      <alignment vertical="top"/>
      <protection locked="0"/>
    </xf>
    <xf numFmtId="3" fontId="7" fillId="0" borderId="13" xfId="0" applyNumberFormat="1" applyFont="1" applyFill="1" applyBorder="1" applyAlignment="1">
      <alignment vertical="top"/>
    </xf>
    <xf numFmtId="0" fontId="7" fillId="0" borderId="13" xfId="0" applyFont="1" applyFill="1" applyBorder="1" applyAlignment="1">
      <alignment wrapText="1"/>
    </xf>
    <xf numFmtId="0" fontId="26" fillId="0" borderId="0" xfId="0" applyFont="1" applyFill="1" applyBorder="1"/>
    <xf numFmtId="0" fontId="26" fillId="0" borderId="13" xfId="153" applyFont="1" applyFill="1" applyBorder="1" applyAlignment="1" applyProtection="1">
      <alignment horizontal="left" vertical="top" wrapText="1" indent="2"/>
      <protection locked="0"/>
    </xf>
    <xf numFmtId="0" fontId="26" fillId="0" borderId="13" xfId="153" applyFont="1" applyFill="1" applyBorder="1" applyAlignment="1" applyProtection="1">
      <alignment horizontal="left" vertical="top"/>
      <protection locked="0"/>
    </xf>
    <xf numFmtId="3" fontId="26" fillId="0" borderId="18" xfId="153" applyNumberFormat="1" applyFont="1" applyFill="1" applyBorder="1" applyAlignment="1" applyProtection="1">
      <alignment vertical="top"/>
      <protection locked="0"/>
    </xf>
    <xf numFmtId="0" fontId="26" fillId="0" borderId="13" xfId="153" applyFont="1" applyFill="1" applyBorder="1" applyAlignment="1" applyProtection="1">
      <alignment horizontal="left" vertical="top" wrapText="1" indent="4"/>
      <protection locked="0"/>
    </xf>
    <xf numFmtId="0" fontId="26" fillId="0" borderId="13" xfId="153" applyFont="1" applyFill="1" applyBorder="1" applyAlignment="1" applyProtection="1">
      <alignment horizontal="left" vertical="top" wrapText="1" indent="1"/>
      <protection locked="0"/>
    </xf>
    <xf numFmtId="0" fontId="26" fillId="0" borderId="13" xfId="0" applyFont="1" applyFill="1" applyBorder="1" applyAlignment="1" applyProtection="1">
      <alignment horizontal="left" vertical="top"/>
      <protection locked="0"/>
    </xf>
    <xf numFmtId="3" fontId="26" fillId="0" borderId="13" xfId="153" applyNumberFormat="1" applyFont="1" applyFill="1" applyBorder="1" applyAlignment="1" applyProtection="1">
      <alignment vertical="top"/>
      <protection locked="0"/>
    </xf>
    <xf numFmtId="0" fontId="26" fillId="0" borderId="13" xfId="0" applyFont="1" applyFill="1" applyBorder="1" applyAlignment="1">
      <alignment horizontal="left" indent="1"/>
    </xf>
    <xf numFmtId="3" fontId="26" fillId="0" borderId="13" xfId="0" applyNumberFormat="1" applyFont="1" applyFill="1" applyBorder="1" applyAlignment="1">
      <alignment vertical="top"/>
    </xf>
    <xf numFmtId="3" fontId="7" fillId="0" borderId="0" xfId="31" quotePrefix="1" applyNumberFormat="1" applyFont="1" applyFill="1" applyBorder="1" applyAlignment="1" applyProtection="1">
      <alignment vertical="top" wrapText="1"/>
    </xf>
    <xf numFmtId="3" fontId="44" fillId="0" borderId="0" xfId="31" quotePrefix="1" applyNumberFormat="1" applyFont="1" applyFill="1" applyBorder="1" applyAlignment="1" applyProtection="1">
      <alignment vertical="top" wrapText="1"/>
    </xf>
    <xf numFmtId="3" fontId="44" fillId="0" borderId="0" xfId="0" applyNumberFormat="1" applyFont="1" applyFill="1" applyBorder="1"/>
    <xf numFmtId="10" fontId="7" fillId="0" borderId="0" xfId="150" applyNumberFormat="1" applyFont="1"/>
    <xf numFmtId="169" fontId="0" fillId="0" borderId="0" xfId="150" applyNumberFormat="1" applyFont="1"/>
    <xf numFmtId="0" fontId="37" fillId="0" borderId="0" xfId="35" applyNumberFormat="1" applyFont="1" applyFill="1" applyBorder="1" applyAlignment="1" applyProtection="1">
      <alignment horizontal="left" vertical="top" wrapText="1"/>
    </xf>
    <xf numFmtId="3" fontId="46" fillId="0" borderId="0" xfId="50" applyNumberFormat="1" applyFont="1" applyBorder="1" applyAlignment="1">
      <alignment wrapText="1"/>
    </xf>
    <xf numFmtId="3" fontId="21" fillId="0" borderId="0" xfId="0" applyNumberFormat="1" applyFont="1" applyFill="1" applyBorder="1" applyAlignment="1"/>
    <xf numFmtId="3" fontId="7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Border="1"/>
    <xf numFmtId="3" fontId="26" fillId="0" borderId="13" xfId="49" applyNumberFormat="1" applyFont="1" applyFill="1" applyBorder="1" applyAlignment="1" applyProtection="1">
      <alignment vertical="top"/>
      <protection locked="0"/>
    </xf>
    <xf numFmtId="3" fontId="26" fillId="0" borderId="13" xfId="49" applyNumberFormat="1" applyFont="1" applyFill="1" applyBorder="1" applyAlignment="1" applyProtection="1">
      <alignment horizontal="right" vertical="top"/>
      <protection locked="0"/>
    </xf>
    <xf numFmtId="0" fontId="26" fillId="0" borderId="19" xfId="153" applyFont="1" applyFill="1" applyBorder="1" applyAlignment="1" applyProtection="1">
      <alignment horizontal="left" vertical="top" wrapText="1" indent="1"/>
      <protection locked="0"/>
    </xf>
    <xf numFmtId="0" fontId="80" fillId="0" borderId="0" xfId="36" applyNumberFormat="1" applyFont="1" applyFill="1" applyBorder="1" applyAlignment="1" applyProtection="1">
      <alignment horizontal="left" vertical="top" indent="1"/>
    </xf>
    <xf numFmtId="3" fontId="80" fillId="0" borderId="0" xfId="36" applyNumberFormat="1" applyFont="1" applyFill="1" applyBorder="1" applyAlignment="1" applyProtection="1">
      <alignment vertical="top"/>
    </xf>
    <xf numFmtId="164" fontId="82" fillId="0" borderId="20" xfId="87" applyFont="1" applyFill="1" applyBorder="1" applyAlignment="1">
      <alignment horizontal="right" vertical="top" wrapText="1"/>
    </xf>
    <xf numFmtId="0" fontId="28" fillId="0" borderId="0" xfId="43" applyFont="1" applyFill="1" applyBorder="1" applyAlignment="1">
      <alignment horizontal="left" vertical="top"/>
    </xf>
    <xf numFmtId="0" fontId="7" fillId="0" borderId="0" xfId="36" applyFont="1" applyFill="1" applyBorder="1" applyAlignment="1" applyProtection="1">
      <alignment horizontal="left" vertical="top"/>
    </xf>
    <xf numFmtId="0" fontId="28" fillId="0" borderId="0" xfId="0" applyFont="1" applyFill="1" applyBorder="1" applyAlignment="1">
      <alignment horizontal="left" vertical="top"/>
    </xf>
    <xf numFmtId="0" fontId="7" fillId="0" borderId="0" xfId="156" applyNumberFormat="1" applyFont="1" applyFill="1" applyBorder="1" applyAlignment="1">
      <alignment horizontal="left" vertical="top"/>
    </xf>
    <xf numFmtId="0" fontId="38" fillId="0" borderId="0" xfId="0" applyFont="1" applyFill="1"/>
    <xf numFmtId="0" fontId="38" fillId="29" borderId="0" xfId="36" applyFont="1" applyFill="1" applyBorder="1" applyAlignment="1" applyProtection="1">
      <alignment horizontal="right" vertical="top"/>
    </xf>
    <xf numFmtId="3" fontId="38" fillId="29" borderId="0" xfId="0" applyNumberFormat="1" applyFont="1" applyFill="1" applyAlignment="1">
      <alignment horizontal="right" vertical="top"/>
    </xf>
    <xf numFmtId="3" fontId="38" fillId="0" borderId="0" xfId="0" applyNumberFormat="1" applyFont="1" applyFill="1" applyAlignment="1">
      <alignment horizontal="right" vertical="top"/>
    </xf>
    <xf numFmtId="0" fontId="38" fillId="0" borderId="0" xfId="36" applyFont="1" applyFill="1" applyBorder="1" applyAlignment="1" applyProtection="1">
      <alignment horizontal="right" vertical="top"/>
    </xf>
    <xf numFmtId="0" fontId="7" fillId="0" borderId="0" xfId="43"/>
    <xf numFmtId="0" fontId="44" fillId="0" borderId="0" xfId="0" applyFont="1" applyFill="1" applyBorder="1" applyAlignment="1">
      <alignment horizontal="right"/>
    </xf>
    <xf numFmtId="0" fontId="44" fillId="0" borderId="0" xfId="0" applyFont="1" applyFill="1" applyBorder="1"/>
    <xf numFmtId="0" fontId="82" fillId="0" borderId="20" xfId="155" applyNumberFormat="1" applyFont="1" applyFill="1" applyBorder="1" applyAlignment="1">
      <alignment horizontal="right" vertical="top" wrapText="1"/>
    </xf>
    <xf numFmtId="0" fontId="82" fillId="31" borderId="20" xfId="155" applyNumberFormat="1" applyFont="1" applyFill="1" applyBorder="1" applyAlignment="1">
      <alignment horizontal="right" vertical="top" wrapText="1"/>
    </xf>
    <xf numFmtId="3" fontId="49" fillId="0" borderId="0" xfId="0" applyNumberFormat="1" applyFont="1"/>
    <xf numFmtId="0" fontId="49" fillId="0" borderId="0" xfId="0" applyFont="1" applyFill="1" applyBorder="1" applyAlignment="1">
      <alignment horizontal="right" indent="1"/>
    </xf>
    <xf numFmtId="164" fontId="86" fillId="0" borderId="20" xfId="87" applyFont="1" applyFill="1" applyBorder="1" applyAlignment="1">
      <alignment horizontal="right" vertical="top" wrapText="1"/>
    </xf>
    <xf numFmtId="0" fontId="33" fillId="0" borderId="0" xfId="0" applyFont="1" applyAlignment="1">
      <alignment horizontal="right"/>
    </xf>
    <xf numFmtId="0" fontId="7" fillId="0" borderId="13" xfId="152" applyFont="1" applyFill="1" applyBorder="1" applyAlignment="1" applyProtection="1">
      <alignment horizontal="left" vertical="top"/>
      <protection locked="0"/>
    </xf>
    <xf numFmtId="0" fontId="7" fillId="0" borderId="13" xfId="152" applyFont="1" applyFill="1" applyBorder="1" applyAlignment="1" applyProtection="1">
      <alignment horizontal="left" vertical="top" wrapText="1"/>
      <protection locked="0"/>
    </xf>
    <xf numFmtId="0" fontId="7" fillId="0" borderId="16" xfId="152" applyFont="1" applyFill="1" applyBorder="1" applyAlignment="1" applyProtection="1">
      <alignment horizontal="right" vertical="top" wrapText="1"/>
      <protection locked="0"/>
    </xf>
    <xf numFmtId="0" fontId="7" fillId="0" borderId="0" xfId="157" applyFont="1" applyAlignment="1">
      <alignment horizontal="left"/>
    </xf>
    <xf numFmtId="3" fontId="26" fillId="0" borderId="0" xfId="0" applyNumberFormat="1" applyFont="1"/>
    <xf numFmtId="0" fontId="7" fillId="0" borderId="0" xfId="151"/>
    <xf numFmtId="0" fontId="33" fillId="0" borderId="0" xfId="0" applyFont="1" applyFill="1" applyBorder="1" applyAlignment="1" applyProtection="1">
      <alignment horizontal="left" vertical="top" wrapText="1"/>
      <protection locked="0"/>
    </xf>
    <xf numFmtId="0" fontId="33" fillId="0" borderId="0" xfId="0" applyFont="1" applyFill="1" applyBorder="1" applyAlignment="1" applyProtection="1">
      <alignment vertical="top" wrapText="1"/>
      <protection locked="0"/>
    </xf>
    <xf numFmtId="0" fontId="26" fillId="0" borderId="0" xfId="0" applyFont="1" applyFill="1" applyBorder="1" applyAlignment="1" applyProtection="1">
      <alignment horizontal="left" vertical="top"/>
      <protection locked="0"/>
    </xf>
    <xf numFmtId="3" fontId="89" fillId="0" borderId="0" xfId="0" applyNumberFormat="1" applyFont="1"/>
    <xf numFmtId="3" fontId="28" fillId="0" borderId="0" xfId="0" applyNumberFormat="1" applyFont="1" applyAlignment="1">
      <alignment horizontal="right"/>
    </xf>
    <xf numFmtId="0" fontId="28" fillId="0" borderId="19" xfId="153" applyFont="1" applyFill="1" applyBorder="1" applyAlignment="1" applyProtection="1">
      <alignment horizontal="center" vertical="top" wrapText="1"/>
    </xf>
    <xf numFmtId="0" fontId="33" fillId="0" borderId="13" xfId="0" applyFont="1" applyFill="1" applyBorder="1" applyAlignment="1" applyProtection="1">
      <alignment horizontal="left" vertical="top" wrapText="1"/>
      <protection locked="0"/>
    </xf>
    <xf numFmtId="0" fontId="33" fillId="0" borderId="13" xfId="0" applyFont="1" applyFill="1" applyBorder="1" applyAlignment="1" applyProtection="1">
      <alignment vertical="top" wrapText="1"/>
      <protection locked="0"/>
    </xf>
    <xf numFmtId="3" fontId="33" fillId="0" borderId="13" xfId="0" applyNumberFormat="1" applyFont="1" applyFill="1" applyBorder="1" applyAlignment="1" applyProtection="1">
      <alignment vertical="top"/>
      <protection locked="0"/>
    </xf>
    <xf numFmtId="0" fontId="28" fillId="24" borderId="13" xfId="153" applyFont="1" applyFill="1" applyBorder="1" applyAlignment="1" applyProtection="1">
      <alignment vertical="top" wrapText="1"/>
      <protection locked="0"/>
    </xf>
    <xf numFmtId="0" fontId="81" fillId="24" borderId="13" xfId="153" applyFont="1" applyFill="1" applyBorder="1" applyAlignment="1" applyProtection="1">
      <alignment horizontal="left" vertical="top"/>
      <protection locked="0"/>
    </xf>
    <xf numFmtId="0" fontId="28" fillId="0" borderId="13" xfId="153" applyFont="1" applyFill="1" applyBorder="1" applyAlignment="1" applyProtection="1">
      <alignment horizontal="left" vertical="top" wrapText="1"/>
      <protection locked="0"/>
    </xf>
    <xf numFmtId="0" fontId="28" fillId="0" borderId="13" xfId="153" applyFont="1" applyFill="1" applyBorder="1" applyAlignment="1" applyProtection="1">
      <alignment vertical="top" wrapText="1"/>
      <protection locked="0"/>
    </xf>
    <xf numFmtId="0" fontId="81" fillId="0" borderId="13" xfId="153" applyFont="1" applyFill="1" applyBorder="1" applyAlignment="1" applyProtection="1">
      <alignment horizontal="left" vertical="top"/>
      <protection locked="0"/>
    </xf>
    <xf numFmtId="3" fontId="28" fillId="0" borderId="13" xfId="153" applyNumberFormat="1" applyFont="1" applyFill="1" applyBorder="1" applyAlignment="1" applyProtection="1">
      <alignment vertical="top"/>
      <protection locked="0"/>
    </xf>
    <xf numFmtId="0" fontId="26" fillId="0" borderId="13" xfId="153" applyFont="1" applyFill="1" applyBorder="1" applyAlignment="1" applyProtection="1">
      <alignment vertical="top" wrapText="1"/>
      <protection locked="0"/>
    </xf>
    <xf numFmtId="0" fontId="26" fillId="0" borderId="13" xfId="153" applyFont="1" applyFill="1" applyBorder="1" applyAlignment="1" applyProtection="1">
      <alignment horizontal="left" vertical="top" wrapText="1" indent="3"/>
      <protection locked="0"/>
    </xf>
    <xf numFmtId="0" fontId="7" fillId="0" borderId="13" xfId="153" applyFont="1" applyFill="1" applyBorder="1" applyAlignment="1" applyProtection="1">
      <alignment vertical="top" wrapText="1"/>
      <protection locked="0"/>
    </xf>
    <xf numFmtId="0" fontId="7" fillId="0" borderId="13" xfId="153" applyFont="1" applyFill="1" applyBorder="1" applyAlignment="1" applyProtection="1">
      <alignment horizontal="right" vertical="top" wrapText="1"/>
      <protection locked="0"/>
    </xf>
    <xf numFmtId="0" fontId="26" fillId="0" borderId="13" xfId="148" applyFont="1" applyFill="1" applyBorder="1" applyAlignment="1" applyProtection="1">
      <alignment horizontal="left" wrapText="1" indent="1"/>
      <protection locked="0"/>
    </xf>
    <xf numFmtId="0" fontId="26" fillId="0" borderId="13" xfId="148" applyFont="1" applyFill="1" applyBorder="1" applyAlignment="1" applyProtection="1">
      <alignment wrapText="1"/>
      <protection locked="0"/>
    </xf>
    <xf numFmtId="3" fontId="26" fillId="0" borderId="13" xfId="148" applyNumberFormat="1" applyFont="1" applyFill="1" applyBorder="1" applyAlignment="1" applyProtection="1">
      <alignment horizontal="right"/>
      <protection locked="0"/>
    </xf>
    <xf numFmtId="3" fontId="46" fillId="0" borderId="13" xfId="148" applyNumberFormat="1" applyFont="1" applyFill="1" applyBorder="1" applyAlignment="1" applyProtection="1">
      <alignment horizontal="right"/>
      <protection locked="0"/>
    </xf>
    <xf numFmtId="3" fontId="46" fillId="0" borderId="13" xfId="0" applyNumberFormat="1" applyFont="1" applyFill="1" applyBorder="1" applyAlignment="1" applyProtection="1">
      <alignment horizontal="right"/>
      <protection locked="0"/>
    </xf>
    <xf numFmtId="0" fontId="7" fillId="0" borderId="13" xfId="0" applyFont="1" applyFill="1" applyBorder="1" applyAlignment="1" applyProtection="1">
      <alignment horizontal="left" vertical="top" wrapText="1"/>
      <protection locked="0"/>
    </xf>
    <xf numFmtId="0" fontId="7" fillId="0" borderId="13" xfId="0" applyFont="1" applyFill="1" applyBorder="1" applyAlignment="1" applyProtection="1">
      <alignment vertical="top" wrapText="1"/>
      <protection locked="0"/>
    </xf>
    <xf numFmtId="3" fontId="26" fillId="0" borderId="13" xfId="148" applyNumberFormat="1" applyFont="1" applyFill="1" applyBorder="1" applyAlignment="1" applyProtection="1">
      <alignment horizontal="right" vertical="top"/>
      <protection locked="0"/>
    </xf>
    <xf numFmtId="0" fontId="26" fillId="0" borderId="13" xfId="0" applyFont="1" applyFill="1" applyBorder="1" applyAlignment="1" applyProtection="1">
      <alignment vertical="top" wrapText="1"/>
      <protection locked="0"/>
    </xf>
    <xf numFmtId="3" fontId="7" fillId="0" borderId="13" xfId="0" applyNumberFormat="1" applyFont="1" applyFill="1" applyBorder="1" applyAlignment="1" applyProtection="1">
      <alignment vertical="top"/>
      <protection locked="0"/>
    </xf>
    <xf numFmtId="3" fontId="26" fillId="0" borderId="13" xfId="0" applyNumberFormat="1" applyFont="1" applyFill="1" applyBorder="1" applyAlignment="1" applyProtection="1">
      <alignment vertical="top"/>
      <protection locked="0"/>
    </xf>
    <xf numFmtId="0" fontId="26" fillId="0" borderId="13" xfId="0" applyFont="1" applyFill="1" applyBorder="1" applyAlignment="1" applyProtection="1">
      <alignment horizontal="left" vertical="top" wrapText="1" indent="1"/>
      <protection locked="0"/>
    </xf>
    <xf numFmtId="0" fontId="7" fillId="0" borderId="13" xfId="148" applyFont="1" applyFill="1" applyBorder="1" applyAlignment="1" applyProtection="1">
      <alignment horizontal="left" wrapText="1"/>
      <protection locked="0"/>
    </xf>
    <xf numFmtId="0" fontId="7" fillId="0" borderId="13" xfId="148" applyFont="1" applyFill="1" applyBorder="1" applyAlignment="1" applyProtection="1">
      <alignment wrapText="1"/>
      <protection locked="0"/>
    </xf>
    <xf numFmtId="0" fontId="7" fillId="0" borderId="13" xfId="148" applyFont="1" applyFill="1" applyBorder="1" applyAlignment="1" applyProtection="1">
      <alignment horizontal="left" vertical="top" wrapText="1"/>
      <protection locked="0"/>
    </xf>
    <xf numFmtId="0" fontId="7" fillId="0" borderId="13" xfId="148" applyFont="1" applyFill="1" applyBorder="1" applyAlignment="1" applyProtection="1">
      <alignment vertical="top" wrapText="1"/>
      <protection locked="0"/>
    </xf>
    <xf numFmtId="0" fontId="7" fillId="0" borderId="13" xfId="0" applyFont="1" applyFill="1" applyBorder="1" applyAlignment="1">
      <alignment vertical="top"/>
    </xf>
    <xf numFmtId="0" fontId="46" fillId="0" borderId="13" xfId="0" applyFont="1" applyFill="1" applyBorder="1" applyAlignment="1" applyProtection="1">
      <alignment horizontal="left" vertical="top"/>
      <protection locked="0"/>
    </xf>
    <xf numFmtId="0" fontId="46" fillId="0" borderId="13" xfId="0" applyFont="1" applyFill="1" applyBorder="1" applyAlignment="1" applyProtection="1">
      <alignment horizontal="left" vertical="top" wrapText="1"/>
      <protection locked="0"/>
    </xf>
    <xf numFmtId="0" fontId="7" fillId="0" borderId="13" xfId="153" applyFont="1" applyFill="1" applyBorder="1" applyAlignment="1" applyProtection="1">
      <alignment horizontal="left" vertical="top" wrapText="1" indent="2"/>
      <protection locked="0"/>
    </xf>
    <xf numFmtId="0" fontId="29" fillId="0" borderId="13" xfId="153" applyFont="1" applyFill="1" applyBorder="1" applyAlignment="1" applyProtection="1">
      <alignment horizontal="left" vertical="top" wrapText="1" indent="2"/>
      <protection locked="0"/>
    </xf>
    <xf numFmtId="0" fontId="28" fillId="24" borderId="13" xfId="153" applyFont="1" applyFill="1" applyBorder="1" applyAlignment="1" applyProtection="1">
      <alignment vertical="top"/>
      <protection locked="0"/>
    </xf>
    <xf numFmtId="0" fontId="7" fillId="0" borderId="13" xfId="153" applyFont="1" applyFill="1" applyBorder="1" applyAlignment="1" applyProtection="1">
      <alignment horizontal="left" wrapText="1"/>
      <protection locked="0"/>
    </xf>
    <xf numFmtId="0" fontId="7" fillId="0" borderId="13" xfId="153" applyFont="1" applyFill="1" applyBorder="1" applyAlignment="1" applyProtection="1">
      <alignment wrapText="1"/>
      <protection locked="0"/>
    </xf>
    <xf numFmtId="0" fontId="26" fillId="0" borderId="13" xfId="153" applyFont="1" applyFill="1" applyBorder="1" applyAlignment="1" applyProtection="1">
      <alignment horizontal="left" vertical="top" wrapText="1"/>
      <protection locked="0"/>
    </xf>
    <xf numFmtId="0" fontId="7" fillId="0" borderId="13" xfId="0" applyFont="1" applyFill="1" applyBorder="1" applyAlignment="1" applyProtection="1">
      <alignment horizontal="right" vertical="top" wrapText="1"/>
      <protection locked="0"/>
    </xf>
    <xf numFmtId="0" fontId="7" fillId="0" borderId="13" xfId="49" applyFont="1" applyFill="1" applyBorder="1" applyAlignment="1" applyProtection="1">
      <alignment horizontal="left" vertical="top" wrapText="1"/>
      <protection locked="0"/>
    </xf>
    <xf numFmtId="0" fontId="7" fillId="0" borderId="13" xfId="49" applyFont="1" applyFill="1" applyBorder="1" applyAlignment="1" applyProtection="1">
      <alignment vertical="top" wrapText="1"/>
      <protection locked="0"/>
    </xf>
    <xf numFmtId="0" fontId="26" fillId="0" borderId="13" xfId="0" applyFont="1" applyFill="1" applyBorder="1" applyAlignment="1" applyProtection="1">
      <alignment horizontal="left" vertical="top" wrapText="1" indent="2"/>
      <protection locked="0"/>
    </xf>
    <xf numFmtId="0" fontId="26" fillId="0" borderId="13" xfId="0" applyFont="1" applyFill="1" applyBorder="1" applyAlignment="1">
      <alignment horizontal="left" vertical="top" wrapText="1" indent="2"/>
    </xf>
    <xf numFmtId="0" fontId="26" fillId="0" borderId="13" xfId="0" applyFont="1" applyFill="1" applyBorder="1" applyAlignment="1">
      <alignment vertical="top" wrapText="1"/>
    </xf>
    <xf numFmtId="0" fontId="26" fillId="0" borderId="13" xfId="0" applyFont="1" applyFill="1" applyBorder="1" applyAlignment="1" applyProtection="1">
      <alignment horizontal="left" vertical="top" wrapText="1" indent="3"/>
      <protection locked="0"/>
    </xf>
    <xf numFmtId="0" fontId="28" fillId="0" borderId="13" xfId="153" applyFont="1" applyFill="1" applyBorder="1" applyAlignment="1" applyProtection="1">
      <alignment horizontal="left" vertical="top"/>
      <protection locked="0"/>
    </xf>
    <xf numFmtId="0" fontId="26" fillId="0" borderId="13" xfId="153" applyFont="1" applyFill="1" applyBorder="1" applyAlignment="1" applyProtection="1">
      <alignment horizontal="left"/>
      <protection locked="0"/>
    </xf>
    <xf numFmtId="3" fontId="7" fillId="0" borderId="13" xfId="0" applyNumberFormat="1" applyFont="1" applyFill="1" applyBorder="1" applyAlignment="1"/>
    <xf numFmtId="0" fontId="26" fillId="0" borderId="13" xfId="0" applyFont="1" applyFill="1" applyBorder="1" applyAlignment="1"/>
    <xf numFmtId="0" fontId="26" fillId="0" borderId="13" xfId="158" applyFont="1" applyFill="1" applyBorder="1" applyAlignment="1" applyProtection="1">
      <alignment horizontal="left" vertical="top" wrapText="1" indent="2"/>
      <protection locked="0"/>
    </xf>
    <xf numFmtId="0" fontId="26" fillId="0" borderId="13" xfId="158" applyFont="1" applyFill="1" applyBorder="1" applyAlignment="1" applyProtection="1">
      <alignment vertical="top" wrapText="1"/>
      <protection locked="0"/>
    </xf>
    <xf numFmtId="0" fontId="37" fillId="0" borderId="13" xfId="153" applyFont="1" applyFill="1" applyBorder="1" applyAlignment="1" applyProtection="1">
      <alignment horizontal="left" vertical="top" wrapText="1"/>
      <protection locked="0"/>
    </xf>
    <xf numFmtId="0" fontId="37" fillId="0" borderId="13" xfId="153" applyFont="1" applyFill="1" applyBorder="1" applyAlignment="1" applyProtection="1">
      <alignment vertical="top" wrapText="1"/>
      <protection locked="0"/>
    </xf>
    <xf numFmtId="0" fontId="90" fillId="0" borderId="13" xfId="153" applyFont="1" applyFill="1" applyBorder="1" applyAlignment="1" applyProtection="1">
      <alignment horizontal="left" vertical="top"/>
      <protection locked="0"/>
    </xf>
    <xf numFmtId="3" fontId="37" fillId="0" borderId="13" xfId="49" applyNumberFormat="1" applyFont="1" applyFill="1" applyBorder="1" applyAlignment="1" applyProtection="1">
      <alignment vertical="top"/>
      <protection locked="0"/>
    </xf>
    <xf numFmtId="3" fontId="37" fillId="0" borderId="13" xfId="153" applyNumberFormat="1" applyFont="1" applyFill="1" applyBorder="1" applyAlignment="1" applyProtection="1">
      <alignment vertical="top"/>
      <protection locked="0"/>
    </xf>
    <xf numFmtId="0" fontId="29" fillId="0" borderId="13" xfId="153" applyFont="1" applyFill="1" applyBorder="1" applyAlignment="1" applyProtection="1">
      <alignment vertical="top" wrapText="1"/>
      <protection locked="0"/>
    </xf>
    <xf numFmtId="0" fontId="38" fillId="0" borderId="13" xfId="153" applyFont="1" applyFill="1" applyBorder="1" applyAlignment="1" applyProtection="1">
      <alignment horizontal="left" vertical="top" wrapText="1" indent="1"/>
      <protection locked="0"/>
    </xf>
    <xf numFmtId="0" fontId="38" fillId="0" borderId="13" xfId="153" applyFont="1" applyFill="1" applyBorder="1" applyAlignment="1" applyProtection="1">
      <alignment vertical="top" wrapText="1"/>
      <protection locked="0"/>
    </xf>
    <xf numFmtId="0" fontId="26" fillId="0" borderId="13" xfId="0" applyFont="1" applyFill="1" applyBorder="1" applyAlignment="1" applyProtection="1">
      <alignment horizontal="left" vertical="top" indent="1"/>
      <protection locked="0"/>
    </xf>
    <xf numFmtId="0" fontId="26" fillId="0" borderId="13" xfId="0" applyFont="1" applyFill="1" applyBorder="1" applyAlignment="1" applyProtection="1">
      <alignment vertical="top"/>
      <protection locked="0"/>
    </xf>
    <xf numFmtId="0" fontId="0" fillId="0" borderId="0" xfId="0" applyAlignment="1"/>
    <xf numFmtId="0" fontId="7" fillId="0" borderId="0" xfId="148"/>
    <xf numFmtId="0" fontId="7" fillId="0" borderId="0" xfId="148" applyAlignment="1">
      <alignment wrapText="1"/>
    </xf>
    <xf numFmtId="0" fontId="7" fillId="0" borderId="0" xfId="148" applyFont="1" applyBorder="1"/>
    <xf numFmtId="0" fontId="7" fillId="0" borderId="0" xfId="148" applyFill="1"/>
    <xf numFmtId="3" fontId="7" fillId="0" borderId="0" xfId="43" applyNumberFormat="1" applyFont="1" applyFill="1" applyBorder="1" applyAlignment="1">
      <alignment vertical="top" wrapText="1"/>
    </xf>
    <xf numFmtId="0" fontId="96" fillId="0" borderId="0" xfId="50" applyFont="1"/>
    <xf numFmtId="0" fontId="93" fillId="0" borderId="0" xfId="50" applyFont="1"/>
    <xf numFmtId="0" fontId="7" fillId="0" borderId="0" xfId="50"/>
    <xf numFmtId="0" fontId="93" fillId="0" borderId="0" xfId="50" applyFont="1" applyFill="1"/>
    <xf numFmtId="0" fontId="7" fillId="0" borderId="0" xfId="50" applyFill="1"/>
    <xf numFmtId="4" fontId="0" fillId="0" borderId="0" xfId="0" applyNumberFormat="1"/>
    <xf numFmtId="3" fontId="34" fillId="0" borderId="0" xfId="0" applyNumberFormat="1" applyFont="1" applyFill="1" applyAlignment="1"/>
    <xf numFmtId="3" fontId="35" fillId="0" borderId="0" xfId="0" applyNumberFormat="1" applyFont="1" applyFill="1" applyAlignment="1"/>
    <xf numFmtId="0" fontId="82" fillId="31" borderId="0" xfId="155" applyNumberFormat="1" applyFont="1" applyFill="1" applyBorder="1" applyAlignment="1">
      <alignment horizontal="right" vertical="top" wrapText="1"/>
    </xf>
    <xf numFmtId="3" fontId="29" fillId="0" borderId="0" xfId="0" applyNumberFormat="1" applyFont="1" applyFill="1" applyAlignment="1">
      <alignment horizontal="right"/>
    </xf>
    <xf numFmtId="3" fontId="98" fillId="0" borderId="0" xfId="0" applyNumberFormat="1" applyFont="1" applyFill="1"/>
    <xf numFmtId="3" fontId="99" fillId="32" borderId="0" xfId="0" applyNumberFormat="1" applyFont="1" applyFill="1"/>
    <xf numFmtId="3" fontId="49" fillId="32" borderId="0" xfId="0" applyNumberFormat="1" applyFont="1" applyFill="1"/>
    <xf numFmtId="3" fontId="29" fillId="0" borderId="0" xfId="43" applyNumberFormat="1" applyFont="1" applyFill="1" applyBorder="1" applyAlignment="1">
      <alignment vertical="top"/>
    </xf>
    <xf numFmtId="0" fontId="7" fillId="0" borderId="0" xfId="43" applyFont="1" applyFill="1" applyBorder="1" applyAlignment="1">
      <alignment vertical="top" wrapText="1"/>
    </xf>
    <xf numFmtId="0" fontId="29" fillId="0" borderId="0" xfId="0" applyFont="1" applyFill="1" applyAlignment="1">
      <alignment horizontal="right" wrapText="1" indent="4"/>
    </xf>
    <xf numFmtId="0" fontId="26" fillId="0" borderId="0" xfId="0" applyFont="1" applyBorder="1" applyAlignment="1">
      <alignment horizontal="left" indent="25"/>
    </xf>
    <xf numFmtId="0" fontId="100" fillId="0" borderId="0" xfId="0" applyFont="1" applyBorder="1"/>
    <xf numFmtId="0" fontId="87" fillId="0" borderId="0" xfId="0" applyFont="1" applyBorder="1" applyAlignment="1">
      <alignment horizontal="left" indent="1"/>
    </xf>
    <xf numFmtId="0" fontId="87" fillId="0" borderId="0" xfId="0" applyFont="1" applyBorder="1" applyAlignment="1"/>
    <xf numFmtId="0" fontId="100" fillId="0" borderId="0" xfId="0" applyFont="1" applyFill="1" applyBorder="1"/>
    <xf numFmtId="169" fontId="7" fillId="0" borderId="0" xfId="150" applyNumberFormat="1" applyFont="1"/>
    <xf numFmtId="0" fontId="94" fillId="0" borderId="0" xfId="0" applyFont="1"/>
    <xf numFmtId="0" fontId="26" fillId="0" borderId="0" xfId="0" applyFont="1"/>
    <xf numFmtId="0" fontId="101" fillId="0" borderId="0" xfId="0" applyFont="1" applyBorder="1" applyAlignment="1">
      <alignment horizontal="left" wrapText="1"/>
    </xf>
    <xf numFmtId="3" fontId="40" fillId="0" borderId="0" xfId="0" applyNumberFormat="1" applyFont="1" applyFill="1" applyAlignment="1">
      <alignment vertical="top"/>
    </xf>
    <xf numFmtId="0" fontId="107" fillId="28" borderId="13" xfId="0" applyFont="1" applyFill="1" applyBorder="1" applyAlignment="1" applyProtection="1">
      <alignment horizontal="left" vertical="center" wrapText="1"/>
      <protection locked="0"/>
    </xf>
    <xf numFmtId="0" fontId="107" fillId="28" borderId="13" xfId="0" applyFont="1" applyFill="1" applyBorder="1" applyAlignment="1" applyProtection="1">
      <alignment vertical="center" wrapText="1"/>
      <protection locked="0"/>
    </xf>
    <xf numFmtId="3" fontId="107" fillId="28" borderId="13" xfId="0" applyNumberFormat="1" applyFont="1" applyFill="1" applyBorder="1" applyAlignment="1" applyProtection="1">
      <alignment vertical="center"/>
      <protection locked="0"/>
    </xf>
    <xf numFmtId="0" fontId="33" fillId="28" borderId="13" xfId="0" applyFont="1" applyFill="1" applyBorder="1" applyAlignment="1" applyProtection="1">
      <alignment vertical="top" wrapText="1"/>
      <protection locked="0"/>
    </xf>
    <xf numFmtId="3" fontId="33" fillId="28" borderId="13" xfId="0" applyNumberFormat="1" applyFont="1" applyFill="1" applyBorder="1" applyAlignment="1" applyProtection="1">
      <alignment vertical="top"/>
      <protection locked="0"/>
    </xf>
    <xf numFmtId="0" fontId="108" fillId="0" borderId="13" xfId="153" applyFont="1" applyFill="1" applyBorder="1" applyAlignment="1" applyProtection="1">
      <alignment horizontal="right" vertical="top" wrapText="1"/>
      <protection locked="0"/>
    </xf>
    <xf numFmtId="0" fontId="108" fillId="0" borderId="13" xfId="153" applyFont="1" applyFill="1" applyBorder="1" applyAlignment="1" applyProtection="1">
      <alignment vertical="top" wrapText="1"/>
      <protection locked="0"/>
    </xf>
    <xf numFmtId="0" fontId="108" fillId="0" borderId="13" xfId="153" applyFont="1" applyFill="1" applyBorder="1" applyAlignment="1" applyProtection="1">
      <alignment horizontal="left" vertical="top"/>
      <protection locked="0"/>
    </xf>
    <xf numFmtId="3" fontId="108" fillId="0" borderId="13" xfId="153" applyNumberFormat="1" applyFont="1" applyFill="1" applyBorder="1" applyAlignment="1" applyProtection="1">
      <alignment vertical="top"/>
      <protection locked="0"/>
    </xf>
    <xf numFmtId="0" fontId="108" fillId="0" borderId="13" xfId="153" applyFont="1" applyFill="1" applyBorder="1" applyAlignment="1" applyProtection="1">
      <alignment horizontal="left" vertical="top" wrapText="1"/>
      <protection locked="0"/>
    </xf>
    <xf numFmtId="3" fontId="7" fillId="0" borderId="13" xfId="153" applyNumberFormat="1" applyFont="1" applyFill="1" applyBorder="1" applyAlignment="1" applyProtection="1">
      <alignment horizontal="right" vertical="top"/>
      <protection locked="0"/>
    </xf>
    <xf numFmtId="0" fontId="33" fillId="28" borderId="13" xfId="0" applyFont="1" applyFill="1" applyBorder="1" applyAlignment="1" applyProtection="1">
      <alignment vertical="top"/>
      <protection locked="0"/>
    </xf>
    <xf numFmtId="0" fontId="26" fillId="0" borderId="30" xfId="152" applyFont="1" applyFill="1" applyBorder="1" applyAlignment="1" applyProtection="1">
      <alignment horizontal="right" vertical="top" wrapText="1" indent="1"/>
      <protection locked="0"/>
    </xf>
    <xf numFmtId="0" fontId="7" fillId="0" borderId="30" xfId="152" applyFont="1" applyFill="1" applyBorder="1" applyAlignment="1" applyProtection="1">
      <alignment horizontal="left" vertical="top" wrapText="1"/>
      <protection locked="0"/>
    </xf>
    <xf numFmtId="3" fontId="0" fillId="0" borderId="13" xfId="0" applyNumberFormat="1" applyFill="1" applyBorder="1"/>
    <xf numFmtId="3" fontId="38" fillId="29" borderId="0" xfId="36" applyNumberFormat="1" applyFont="1" applyFill="1" applyBorder="1" applyAlignment="1" applyProtection="1">
      <alignment vertical="top"/>
    </xf>
    <xf numFmtId="3" fontId="7" fillId="0" borderId="13" xfId="153" applyNumberFormat="1" applyFont="1" applyFill="1" applyBorder="1" applyAlignment="1" applyProtection="1">
      <alignment vertical="top" wrapText="1"/>
      <protection locked="0"/>
    </xf>
    <xf numFmtId="3" fontId="26" fillId="0" borderId="0" xfId="0" applyNumberFormat="1" applyFont="1" applyFill="1" applyBorder="1"/>
    <xf numFmtId="3" fontId="29" fillId="32" borderId="0" xfId="0" applyNumberFormat="1" applyFont="1" applyFill="1"/>
    <xf numFmtId="0" fontId="7" fillId="0" borderId="31" xfId="153" applyFont="1" applyFill="1" applyBorder="1" applyAlignment="1" applyProtection="1">
      <alignment horizontal="left" vertical="top" wrapText="1"/>
      <protection locked="0"/>
    </xf>
    <xf numFmtId="0" fontId="7" fillId="0" borderId="31" xfId="153" applyFont="1" applyFill="1" applyBorder="1" applyAlignment="1" applyProtection="1">
      <alignment vertical="top" wrapText="1"/>
      <protection locked="0"/>
    </xf>
    <xf numFmtId="3" fontId="7" fillId="0" borderId="31" xfId="153" applyNumberFormat="1" applyFont="1" applyFill="1" applyBorder="1" applyAlignment="1" applyProtection="1">
      <alignment vertical="top"/>
      <protection locked="0"/>
    </xf>
    <xf numFmtId="0" fontId="26" fillId="0" borderId="31" xfId="153" applyFont="1" applyFill="1" applyBorder="1" applyAlignment="1" applyProtection="1">
      <alignment horizontal="left" vertical="top"/>
      <protection locked="0"/>
    </xf>
    <xf numFmtId="3" fontId="26" fillId="0" borderId="13" xfId="153" applyNumberFormat="1" applyFont="1" applyFill="1" applyBorder="1" applyAlignment="1" applyProtection="1">
      <alignment horizontal="right" vertical="top"/>
      <protection locked="0"/>
    </xf>
    <xf numFmtId="3" fontId="7" fillId="0" borderId="13" xfId="0" applyNumberFormat="1" applyFont="1" applyFill="1" applyBorder="1" applyAlignment="1" applyProtection="1">
      <alignment horizontal="right" vertical="top"/>
      <protection locked="0"/>
    </xf>
    <xf numFmtId="3" fontId="26" fillId="0" borderId="31" xfId="153" applyNumberFormat="1" applyFont="1" applyFill="1" applyBorder="1" applyAlignment="1" applyProtection="1">
      <alignment vertical="top"/>
      <protection locked="0"/>
    </xf>
    <xf numFmtId="0" fontId="28" fillId="0" borderId="31" xfId="153" applyFont="1" applyFill="1" applyBorder="1" applyAlignment="1" applyProtection="1">
      <alignment vertical="top" wrapText="1"/>
      <protection locked="0"/>
    </xf>
    <xf numFmtId="0" fontId="28" fillId="0" borderId="31" xfId="153" applyFont="1" applyFill="1" applyBorder="1" applyAlignment="1" applyProtection="1">
      <alignment horizontal="left" vertical="top" wrapText="1"/>
      <protection locked="0"/>
    </xf>
    <xf numFmtId="3" fontId="109" fillId="0" borderId="0" xfId="0" applyNumberFormat="1" applyFont="1" applyFill="1"/>
    <xf numFmtId="3" fontId="110" fillId="0" borderId="0" xfId="0" applyNumberFormat="1" applyFont="1" applyFill="1"/>
    <xf numFmtId="0" fontId="92" fillId="31" borderId="31" xfId="164" applyFont="1" applyFill="1" applyBorder="1" applyAlignment="1">
      <alignment horizontal="left" vertical="top"/>
    </xf>
    <xf numFmtId="0" fontId="103" fillId="31" borderId="31" xfId="164" applyFont="1" applyFill="1" applyBorder="1" applyAlignment="1">
      <alignment horizontal="center" vertical="top" wrapText="1"/>
    </xf>
    <xf numFmtId="3" fontId="92" fillId="31" borderId="31" xfId="164" applyNumberFormat="1" applyFont="1" applyFill="1" applyBorder="1" applyAlignment="1">
      <alignment horizontal="right" vertical="top" wrapText="1"/>
    </xf>
    <xf numFmtId="0" fontId="103" fillId="31" borderId="31" xfId="164" applyFont="1" applyFill="1" applyBorder="1" applyAlignment="1">
      <alignment horizontal="left" vertical="top" wrapText="1"/>
    </xf>
    <xf numFmtId="0" fontId="7" fillId="0" borderId="31" xfId="0" applyFont="1" applyFill="1" applyBorder="1" applyAlignment="1" applyProtection="1">
      <alignment horizontal="left" vertical="top"/>
      <protection locked="0"/>
    </xf>
    <xf numFmtId="0" fontId="26" fillId="0" borderId="31" xfId="153" applyFont="1" applyFill="1" applyBorder="1" applyAlignment="1" applyProtection="1">
      <alignment horizontal="left" vertical="top" wrapText="1" indent="2"/>
      <protection locked="0"/>
    </xf>
    <xf numFmtId="0" fontId="26" fillId="0" borderId="31" xfId="153" applyFont="1" applyFill="1" applyBorder="1" applyAlignment="1" applyProtection="1">
      <alignment vertical="top" wrapText="1"/>
      <protection locked="0"/>
    </xf>
    <xf numFmtId="0" fontId="7" fillId="0" borderId="13" xfId="153" applyFont="1" applyFill="1" applyBorder="1" applyAlignment="1" applyProtection="1">
      <alignment horizontal="left" vertical="top" wrapText="1" indent="3"/>
      <protection locked="0"/>
    </xf>
    <xf numFmtId="3" fontId="26" fillId="0" borderId="31" xfId="152" applyNumberFormat="1" applyFont="1" applyFill="1" applyBorder="1" applyAlignment="1" applyProtection="1">
      <alignment vertical="top"/>
      <protection locked="0"/>
    </xf>
    <xf numFmtId="0" fontId="113" fillId="0" borderId="0" xfId="0" applyFont="1"/>
    <xf numFmtId="3" fontId="26" fillId="0" borderId="31" xfId="49" applyNumberFormat="1" applyFont="1" applyFill="1" applyBorder="1" applyAlignment="1" applyProtection="1">
      <alignment vertical="top"/>
      <protection locked="0"/>
    </xf>
    <xf numFmtId="0" fontId="26" fillId="0" borderId="31" xfId="135" applyFont="1" applyFill="1" applyBorder="1" applyAlignment="1" applyProtection="1">
      <alignment horizontal="left" vertical="top"/>
      <protection locked="0"/>
    </xf>
    <xf numFmtId="3" fontId="26" fillId="0" borderId="31" xfId="135" applyNumberFormat="1" applyFont="1" applyFill="1" applyBorder="1" applyAlignment="1" applyProtection="1">
      <alignment vertical="top"/>
      <protection locked="0"/>
    </xf>
    <xf numFmtId="3" fontId="49" fillId="0" borderId="0" xfId="0" applyNumberFormat="1" applyFont="1" applyFill="1" applyBorder="1" applyAlignment="1" applyProtection="1">
      <alignment vertical="top"/>
      <protection locked="0"/>
    </xf>
    <xf numFmtId="3" fontId="114" fillId="0" borderId="0" xfId="0" applyNumberFormat="1" applyFont="1" applyFill="1" applyAlignment="1">
      <alignment vertical="top"/>
    </xf>
    <xf numFmtId="3" fontId="115" fillId="0" borderId="0" xfId="0" applyNumberFormat="1" applyFont="1" applyFill="1" applyAlignment="1">
      <alignment vertical="top"/>
    </xf>
    <xf numFmtId="3" fontId="71" fillId="0" borderId="0" xfId="36" applyNumberFormat="1" applyFont="1" applyFill="1" applyBorder="1" applyAlignment="1" applyProtection="1">
      <alignment vertical="top"/>
    </xf>
    <xf numFmtId="0" fontId="28" fillId="0" borderId="16" xfId="153" applyFont="1" applyFill="1" applyBorder="1" applyAlignment="1" applyProtection="1">
      <alignment horizontal="center" vertical="top" wrapText="1"/>
    </xf>
    <xf numFmtId="0" fontId="29" fillId="0" borderId="31" xfId="153" applyFont="1" applyFill="1" applyBorder="1" applyAlignment="1" applyProtection="1">
      <alignment vertical="top" wrapText="1"/>
      <protection locked="0"/>
    </xf>
    <xf numFmtId="3" fontId="37" fillId="0" borderId="31" xfId="153" applyNumberFormat="1" applyFont="1" applyFill="1" applyBorder="1" applyAlignment="1" applyProtection="1">
      <alignment vertical="top"/>
      <protection locked="0"/>
    </xf>
    <xf numFmtId="0" fontId="91" fillId="0" borderId="0" xfId="153" applyFont="1" applyFill="1" applyBorder="1" applyAlignment="1" applyProtection="1">
      <alignment horizontal="left" vertical="top" wrapText="1" indent="2"/>
      <protection locked="0"/>
    </xf>
    <xf numFmtId="169" fontId="7" fillId="0" borderId="0" xfId="150" applyNumberFormat="1" applyFont="1" applyFill="1"/>
    <xf numFmtId="0" fontId="7" fillId="0" borderId="13" xfId="153" applyFont="1" applyFill="1" applyBorder="1" applyAlignment="1" applyProtection="1">
      <alignment horizontal="left" vertical="top" wrapText="1" indent="1"/>
      <protection locked="0"/>
    </xf>
    <xf numFmtId="0" fontId="37" fillId="0" borderId="13" xfId="153" applyFont="1" applyFill="1" applyBorder="1" applyAlignment="1" applyProtection="1">
      <alignment horizontal="left" vertical="top" wrapText="1" indent="2"/>
      <protection locked="0"/>
    </xf>
    <xf numFmtId="3" fontId="116" fillId="0" borderId="0" xfId="0" applyNumberFormat="1" applyFont="1" applyAlignment="1">
      <alignment horizontal="right" vertical="center"/>
    </xf>
    <xf numFmtId="3" fontId="82" fillId="0" borderId="0" xfId="0" applyNumberFormat="1" applyFont="1" applyFill="1"/>
    <xf numFmtId="0" fontId="94" fillId="0" borderId="0" xfId="0" applyFont="1" applyFill="1"/>
    <xf numFmtId="3" fontId="94" fillId="0" borderId="0" xfId="0" applyNumberFormat="1" applyFont="1" applyFill="1"/>
    <xf numFmtId="3" fontId="94" fillId="32" borderId="0" xfId="0" applyNumberFormat="1" applyFont="1" applyFill="1"/>
    <xf numFmtId="3" fontId="94" fillId="0" borderId="0" xfId="0" applyNumberFormat="1" applyFont="1"/>
    <xf numFmtId="3" fontId="102" fillId="0" borderId="0" xfId="0" applyNumberFormat="1" applyFont="1"/>
    <xf numFmtId="3" fontId="102" fillId="0" borderId="0" xfId="0" applyNumberFormat="1" applyFont="1" applyFill="1"/>
    <xf numFmtId="0" fontId="82" fillId="0" borderId="0" xfId="0" applyFont="1"/>
    <xf numFmtId="3" fontId="83" fillId="0" borderId="0" xfId="0" applyNumberFormat="1" applyFont="1" applyBorder="1"/>
    <xf numFmtId="3" fontId="82" fillId="0" borderId="0" xfId="0" applyNumberFormat="1" applyFont="1" applyBorder="1"/>
    <xf numFmtId="3" fontId="94" fillId="0" borderId="0" xfId="0" applyNumberFormat="1" applyFont="1" applyBorder="1"/>
    <xf numFmtId="167" fontId="82" fillId="0" borderId="0" xfId="0" applyNumberFormat="1" applyFont="1" applyBorder="1"/>
    <xf numFmtId="9" fontId="70" fillId="0" borderId="0" xfId="150" applyNumberFormat="1" applyFont="1"/>
    <xf numFmtId="0" fontId="26" fillId="0" borderId="0" xfId="0" applyFont="1" applyAlignment="1">
      <alignment horizontal="center"/>
    </xf>
    <xf numFmtId="164" fontId="82" fillId="0" borderId="31" xfId="87" applyFont="1" applyFill="1" applyBorder="1" applyAlignment="1">
      <alignment horizontal="right" vertical="top" wrapText="1"/>
    </xf>
    <xf numFmtId="164" fontId="82" fillId="0" borderId="31" xfId="87" applyFont="1" applyFill="1" applyBorder="1" applyAlignment="1">
      <alignment horizontal="center" vertical="top" wrapText="1"/>
    </xf>
    <xf numFmtId="9" fontId="7" fillId="0" borderId="0" xfId="150" applyFont="1" applyBorder="1"/>
    <xf numFmtId="9" fontId="40" fillId="0" borderId="0" xfId="150" applyFont="1" applyFill="1" applyBorder="1" applyAlignment="1">
      <alignment vertical="top"/>
    </xf>
    <xf numFmtId="9" fontId="41" fillId="0" borderId="0" xfId="150" applyFont="1" applyFill="1" applyBorder="1" applyAlignment="1">
      <alignment vertical="top"/>
    </xf>
    <xf numFmtId="9" fontId="7" fillId="0" borderId="0" xfId="150" applyFont="1" applyFill="1" applyBorder="1" applyAlignment="1">
      <alignment vertical="top"/>
    </xf>
    <xf numFmtId="9" fontId="29" fillId="0" borderId="0" xfId="150" applyFont="1" applyFill="1" applyBorder="1" applyAlignment="1">
      <alignment vertical="top"/>
    </xf>
    <xf numFmtId="0" fontId="39" fillId="0" borderId="0" xfId="0" applyFont="1" applyAlignment="1">
      <alignment horizontal="right"/>
    </xf>
    <xf numFmtId="9" fontId="40" fillId="0" borderId="0" xfId="150" applyFont="1" applyFill="1"/>
    <xf numFmtId="9" fontId="7" fillId="0" borderId="0" xfId="150" applyFont="1" applyBorder="1" applyAlignment="1">
      <alignment horizontal="right"/>
    </xf>
    <xf numFmtId="9" fontId="82" fillId="0" borderId="31" xfId="150" applyFont="1" applyFill="1" applyBorder="1" applyAlignment="1">
      <alignment horizontal="right" vertical="top" wrapText="1"/>
    </xf>
    <xf numFmtId="9" fontId="39" fillId="0" borderId="0" xfId="150" applyFont="1" applyFill="1" applyBorder="1" applyAlignment="1">
      <alignment vertical="top"/>
    </xf>
    <xf numFmtId="9" fontId="41" fillId="0" borderId="0" xfId="150" applyFont="1" applyFill="1" applyBorder="1" applyAlignment="1">
      <alignment vertical="top" wrapText="1"/>
    </xf>
    <xf numFmtId="9" fontId="40" fillId="0" borderId="0" xfId="150" applyFont="1" applyFill="1" applyAlignment="1">
      <alignment vertical="top"/>
    </xf>
    <xf numFmtId="9" fontId="40" fillId="0" borderId="0" xfId="150" applyFont="1" applyFill="1" applyBorder="1" applyAlignment="1">
      <alignment vertical="top" wrapText="1"/>
    </xf>
    <xf numFmtId="9" fontId="29" fillId="0" borderId="0" xfId="150" applyFont="1" applyFill="1"/>
    <xf numFmtId="9" fontId="29" fillId="0" borderId="0" xfId="150" applyFont="1" applyFill="1" applyAlignment="1">
      <alignment vertical="top"/>
    </xf>
    <xf numFmtId="9" fontId="114" fillId="0" borderId="0" xfId="150" applyFont="1" applyFill="1" applyAlignment="1">
      <alignment vertical="top"/>
    </xf>
    <xf numFmtId="0" fontId="72" fillId="0" borderId="0" xfId="148" applyFont="1" applyBorder="1" applyAlignment="1">
      <alignment horizontal="right"/>
    </xf>
    <xf numFmtId="0" fontId="7" fillId="0" borderId="0" xfId="148" applyFont="1" applyBorder="1" applyAlignment="1">
      <alignment horizontal="right"/>
    </xf>
    <xf numFmtId="0" fontId="39" fillId="0" borderId="0" xfId="148" applyFont="1" applyAlignment="1">
      <alignment horizontal="right"/>
    </xf>
    <xf numFmtId="3" fontId="72" fillId="0" borderId="0" xfId="0" applyNumberFormat="1" applyFont="1" applyFill="1" applyBorder="1"/>
    <xf numFmtId="0" fontId="72" fillId="0" borderId="0" xfId="0" applyFont="1" applyBorder="1"/>
    <xf numFmtId="3" fontId="72" fillId="0" borderId="0" xfId="0" applyNumberFormat="1" applyFont="1" applyBorder="1"/>
    <xf numFmtId="3" fontId="7" fillId="0" borderId="0" xfId="0" applyNumberFormat="1" applyFont="1" applyBorder="1"/>
    <xf numFmtId="0" fontId="118" fillId="0" borderId="0" xfId="0" applyFont="1" applyFill="1"/>
    <xf numFmtId="3" fontId="119" fillId="0" borderId="0" xfId="148" applyNumberFormat="1" applyFont="1" applyFill="1" applyBorder="1" applyAlignment="1"/>
    <xf numFmtId="3" fontId="120" fillId="0" borderId="0" xfId="43" applyNumberFormat="1" applyFont="1" applyFill="1" applyBorder="1" applyAlignment="1">
      <alignment vertical="top"/>
    </xf>
    <xf numFmtId="3" fontId="118" fillId="0" borderId="0" xfId="43" applyNumberFormat="1" applyFont="1" applyFill="1" applyBorder="1" applyAlignment="1">
      <alignment vertical="top"/>
    </xf>
    <xf numFmtId="3" fontId="121" fillId="0" borderId="0" xfId="43" applyNumberFormat="1" applyFont="1" applyFill="1" applyBorder="1" applyAlignment="1">
      <alignment vertical="top"/>
    </xf>
    <xf numFmtId="3" fontId="121" fillId="0" borderId="0" xfId="43" applyNumberFormat="1" applyFont="1" applyFill="1" applyBorder="1" applyAlignment="1">
      <alignment vertical="top" wrapText="1"/>
    </xf>
    <xf numFmtId="3" fontId="118" fillId="0" borderId="0" xfId="0" applyNumberFormat="1" applyFont="1" applyFill="1" applyAlignment="1">
      <alignment vertical="top"/>
    </xf>
    <xf numFmtId="3" fontId="118" fillId="0" borderId="0" xfId="0" applyNumberFormat="1" applyFont="1" applyFill="1"/>
    <xf numFmtId="3" fontId="118" fillId="0" borderId="0" xfId="43" applyNumberFormat="1" applyFont="1" applyFill="1" applyBorder="1" applyAlignment="1">
      <alignment vertical="top" wrapText="1"/>
    </xf>
    <xf numFmtId="3" fontId="80" fillId="0" borderId="0" xfId="43" applyNumberFormat="1" applyFont="1" applyFill="1" applyBorder="1" applyAlignment="1">
      <alignment vertical="top"/>
    </xf>
    <xf numFmtId="3" fontId="80" fillId="0" borderId="0" xfId="0" applyNumberFormat="1" applyFont="1" applyFill="1"/>
    <xf numFmtId="3" fontId="80" fillId="0" borderId="0" xfId="0" applyNumberFormat="1" applyFont="1" applyFill="1" applyAlignment="1">
      <alignment vertical="top"/>
    </xf>
    <xf numFmtId="3" fontId="118" fillId="0" borderId="0" xfId="43" applyNumberFormat="1" applyFont="1" applyFill="1" applyAlignment="1">
      <alignment vertical="top"/>
    </xf>
    <xf numFmtId="3" fontId="73" fillId="0" borderId="0" xfId="0" applyNumberFormat="1" applyFont="1" applyBorder="1" applyAlignment="1"/>
    <xf numFmtId="3" fontId="72" fillId="0" borderId="0" xfId="0" applyNumberFormat="1" applyFont="1" applyAlignment="1">
      <alignment horizontal="right"/>
    </xf>
    <xf numFmtId="3" fontId="73" fillId="0" borderId="0" xfId="0" applyNumberFormat="1" applyFont="1" applyFill="1" applyBorder="1" applyAlignment="1"/>
    <xf numFmtId="3" fontId="72" fillId="0" borderId="0" xfId="0" applyNumberFormat="1" applyFont="1" applyBorder="1" applyAlignment="1">
      <alignment vertical="top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vertical="top"/>
    </xf>
    <xf numFmtId="9" fontId="28" fillId="0" borderId="0" xfId="150" applyFont="1" applyBorder="1" applyAlignment="1"/>
    <xf numFmtId="9" fontId="7" fillId="0" borderId="0" xfId="150" applyFont="1" applyAlignment="1">
      <alignment horizontal="right"/>
    </xf>
    <xf numFmtId="9" fontId="28" fillId="0" borderId="0" xfId="150" applyFont="1" applyFill="1" applyBorder="1" applyAlignment="1"/>
    <xf numFmtId="9" fontId="7" fillId="0" borderId="0" xfId="150" applyFont="1" applyBorder="1" applyAlignment="1">
      <alignment vertical="top"/>
    </xf>
    <xf numFmtId="0" fontId="72" fillId="0" borderId="0" xfId="0" applyFont="1" applyFill="1"/>
    <xf numFmtId="3" fontId="73" fillId="0" borderId="0" xfId="36" applyNumberFormat="1" applyFont="1" applyFill="1" applyBorder="1" applyAlignment="1" applyProtection="1">
      <alignment vertical="top"/>
    </xf>
    <xf numFmtId="3" fontId="123" fillId="0" borderId="0" xfId="36" applyNumberFormat="1" applyFont="1" applyFill="1" applyBorder="1" applyAlignment="1" applyProtection="1">
      <alignment vertical="top"/>
    </xf>
    <xf numFmtId="3" fontId="124" fillId="0" borderId="0" xfId="36" applyNumberFormat="1" applyFont="1" applyFill="1" applyBorder="1" applyAlignment="1" applyProtection="1">
      <alignment vertical="top"/>
    </xf>
    <xf numFmtId="3" fontId="95" fillId="0" borderId="0" xfId="36" applyNumberFormat="1" applyFont="1" applyFill="1" applyBorder="1" applyAlignment="1" applyProtection="1">
      <alignment vertical="top"/>
    </xf>
    <xf numFmtId="3" fontId="76" fillId="0" borderId="0" xfId="36" applyNumberFormat="1" applyFont="1" applyFill="1" applyBorder="1" applyAlignment="1" applyProtection="1">
      <alignment vertical="top"/>
    </xf>
    <xf numFmtId="3" fontId="76" fillId="29" borderId="0" xfId="36" applyNumberFormat="1" applyFont="1" applyFill="1" applyBorder="1" applyAlignment="1" applyProtection="1">
      <alignment vertical="top"/>
    </xf>
    <xf numFmtId="3" fontId="125" fillId="0" borderId="0" xfId="36" applyNumberFormat="1" applyFont="1" applyFill="1" applyBorder="1" applyAlignment="1" applyProtection="1">
      <alignment vertical="top"/>
    </xf>
    <xf numFmtId="3" fontId="72" fillId="0" borderId="0" xfId="31" applyNumberFormat="1" applyFont="1" applyFill="1" applyBorder="1" applyAlignment="1" applyProtection="1">
      <alignment vertical="top" wrapText="1"/>
    </xf>
    <xf numFmtId="0" fontId="82" fillId="0" borderId="31" xfId="0" applyFont="1" applyFill="1" applyBorder="1" applyAlignment="1">
      <alignment horizontal="center" vertical="top" wrapText="1"/>
    </xf>
    <xf numFmtId="0" fontId="117" fillId="0" borderId="31" xfId="0" applyFont="1" applyFill="1" applyBorder="1" applyAlignment="1">
      <alignment horizontal="center" vertical="top" wrapText="1"/>
    </xf>
    <xf numFmtId="164" fontId="82" fillId="32" borderId="31" xfId="87" applyFont="1" applyFill="1" applyBorder="1" applyAlignment="1">
      <alignment horizontal="center" vertical="top" wrapText="1"/>
    </xf>
    <xf numFmtId="3" fontId="7" fillId="0" borderId="0" xfId="36" applyNumberFormat="1" applyFont="1" applyFill="1" applyBorder="1" applyAlignment="1">
      <alignment vertical="top"/>
    </xf>
    <xf numFmtId="9" fontId="7" fillId="0" borderId="0" xfId="150" applyFont="1" applyFill="1"/>
    <xf numFmtId="9" fontId="82" fillId="0" borderId="31" xfId="150" applyFont="1" applyFill="1" applyBorder="1" applyAlignment="1">
      <alignment horizontal="center" vertical="top" wrapText="1"/>
    </xf>
    <xf numFmtId="9" fontId="28" fillId="0" borderId="0" xfId="150" applyFont="1" applyFill="1" applyBorder="1" applyAlignment="1" applyProtection="1">
      <alignment vertical="top"/>
    </xf>
    <xf numFmtId="9" fontId="29" fillId="0" borderId="0" xfId="150" applyFont="1" applyFill="1" applyBorder="1" applyAlignment="1" applyProtection="1">
      <alignment vertical="top"/>
    </xf>
    <xf numFmtId="9" fontId="7" fillId="0" borderId="0" xfId="150" applyFont="1" applyFill="1" applyBorder="1" applyAlignment="1" applyProtection="1">
      <alignment vertical="top"/>
    </xf>
    <xf numFmtId="9" fontId="44" fillId="0" borderId="0" xfId="150" applyFont="1" applyFill="1" applyBorder="1" applyAlignment="1" applyProtection="1">
      <alignment vertical="top"/>
    </xf>
    <xf numFmtId="9" fontId="7" fillId="0" borderId="0" xfId="150" applyFont="1" applyFill="1" applyAlignment="1">
      <alignment vertical="top"/>
    </xf>
    <xf numFmtId="9" fontId="36" fillId="0" borderId="0" xfId="150" applyFont="1" applyFill="1" applyBorder="1" applyAlignment="1" applyProtection="1">
      <alignment vertical="top"/>
    </xf>
    <xf numFmtId="9" fontId="33" fillId="0" borderId="0" xfId="150" applyFont="1" applyFill="1" applyBorder="1" applyAlignment="1" applyProtection="1">
      <alignment vertical="top"/>
    </xf>
    <xf numFmtId="9" fontId="26" fillId="0" borderId="0" xfId="150" applyFont="1" applyFill="1" applyBorder="1" applyAlignment="1" applyProtection="1">
      <alignment vertical="top"/>
    </xf>
    <xf numFmtId="9" fontId="38" fillId="0" borderId="0" xfId="150" applyFont="1" applyFill="1" applyBorder="1" applyAlignment="1" applyProtection="1">
      <alignment vertical="top"/>
    </xf>
    <xf numFmtId="9" fontId="38" fillId="29" borderId="0" xfId="150" applyFont="1" applyFill="1" applyBorder="1" applyAlignment="1" applyProtection="1">
      <alignment vertical="top"/>
    </xf>
    <xf numFmtId="9" fontId="34" fillId="0" borderId="0" xfId="150" applyFont="1" applyFill="1" applyBorder="1" applyAlignment="1" applyProtection="1">
      <alignment vertical="top"/>
    </xf>
    <xf numFmtId="0" fontId="93" fillId="0" borderId="0" xfId="50" applyFont="1" applyAlignment="1">
      <alignment horizontal="right"/>
    </xf>
    <xf numFmtId="0" fontId="7" fillId="0" borderId="0" xfId="50" applyAlignment="1">
      <alignment horizontal="right"/>
    </xf>
    <xf numFmtId="0" fontId="7" fillId="0" borderId="0" xfId="50" applyFill="1" applyAlignment="1"/>
    <xf numFmtId="0" fontId="7" fillId="0" borderId="0" xfId="50" applyAlignment="1"/>
    <xf numFmtId="0" fontId="28" fillId="0" borderId="0" xfId="0" applyFont="1" applyFill="1" applyBorder="1" applyAlignment="1">
      <alignment horizontal="right"/>
    </xf>
    <xf numFmtId="0" fontId="93" fillId="31" borderId="31" xfId="164" applyFont="1" applyFill="1" applyBorder="1" applyAlignment="1">
      <alignment horizontal="right" vertical="top" wrapText="1"/>
    </xf>
    <xf numFmtId="0" fontId="33" fillId="0" borderId="0" xfId="0" applyFont="1" applyAlignment="1">
      <alignment horizontal="left" vertical="top"/>
    </xf>
    <xf numFmtId="0" fontId="93" fillId="0" borderId="0" xfId="50" applyFont="1" applyAlignment="1">
      <alignment vertical="top"/>
    </xf>
    <xf numFmtId="0" fontId="7" fillId="0" borderId="0" xfId="50" applyAlignment="1">
      <alignment vertical="top"/>
    </xf>
    <xf numFmtId="0" fontId="104" fillId="0" borderId="0" xfId="50" applyFont="1" applyAlignment="1"/>
    <xf numFmtId="0" fontId="7" fillId="0" borderId="0" xfId="50" applyFont="1" applyAlignment="1"/>
    <xf numFmtId="0" fontId="96" fillId="0" borderId="0" xfId="50" applyFont="1" applyAlignment="1"/>
    <xf numFmtId="0" fontId="28" fillId="0" borderId="16" xfId="153" applyFont="1" applyFill="1" applyBorder="1" applyAlignment="1" applyProtection="1">
      <alignment horizontal="center" vertical="top" wrapText="1"/>
    </xf>
    <xf numFmtId="0" fontId="39" fillId="0" borderId="0" xfId="156" applyFont="1" applyAlignment="1">
      <alignment horizontal="left" wrapText="1"/>
    </xf>
    <xf numFmtId="0" fontId="7" fillId="0" borderId="0" xfId="157" applyFont="1" applyFill="1"/>
    <xf numFmtId="0" fontId="28" fillId="0" borderId="0" xfId="157" applyFont="1" applyBorder="1" applyAlignment="1">
      <alignment horizontal="right"/>
    </xf>
    <xf numFmtId="0" fontId="39" fillId="0" borderId="0" xfId="156" applyFont="1" applyFill="1" applyAlignment="1"/>
    <xf numFmtId="0" fontId="7" fillId="0" borderId="0" xfId="156" applyFont="1" applyFill="1"/>
    <xf numFmtId="0" fontId="39" fillId="0" borderId="0" xfId="156" applyFont="1" applyFill="1" applyAlignment="1">
      <alignment horizontal="center"/>
    </xf>
    <xf numFmtId="0" fontId="40" fillId="0" borderId="0" xfId="156" applyFont="1" applyBorder="1" applyAlignment="1">
      <alignment horizontal="right"/>
    </xf>
    <xf numFmtId="0" fontId="35" fillId="0" borderId="31" xfId="148" applyFont="1" applyBorder="1" applyAlignment="1">
      <alignment vertical="top"/>
    </xf>
    <xf numFmtId="0" fontId="28" fillId="0" borderId="31" xfId="148" applyFont="1" applyBorder="1" applyAlignment="1">
      <alignment horizontal="center" vertical="top" wrapText="1"/>
    </xf>
    <xf numFmtId="0" fontId="7" fillId="0" borderId="31" xfId="148" applyFont="1" applyBorder="1"/>
    <xf numFmtId="3" fontId="7" fillId="0" borderId="31" xfId="157" applyNumberFormat="1" applyFont="1" applyBorder="1" applyAlignment="1">
      <alignment horizontal="right" vertical="top" wrapText="1"/>
    </xf>
    <xf numFmtId="0" fontId="7" fillId="0" borderId="31" xfId="148" applyBorder="1"/>
    <xf numFmtId="0" fontId="7" fillId="0" borderId="31" xfId="148" applyBorder="1" applyAlignment="1">
      <alignment horizontal="left" wrapText="1" indent="2"/>
    </xf>
    <xf numFmtId="0" fontId="7" fillId="0" borderId="31" xfId="148" applyBorder="1" applyAlignment="1">
      <alignment horizontal="left" wrapText="1" indent="4"/>
    </xf>
    <xf numFmtId="0" fontId="7" fillId="0" borderId="31" xfId="148" applyBorder="1" applyAlignment="1">
      <alignment horizontal="left" indent="4"/>
    </xf>
    <xf numFmtId="0" fontId="7" fillId="0" borderId="31" xfId="148" applyBorder="1" applyAlignment="1">
      <alignment horizontal="left" indent="1"/>
    </xf>
    <xf numFmtId="0" fontId="28" fillId="0" borderId="0" xfId="157" applyFont="1" applyBorder="1" applyAlignment="1">
      <alignment horizontal="center" vertical="top" wrapText="1"/>
    </xf>
    <xf numFmtId="0" fontId="28" fillId="0" borderId="0" xfId="156" applyFont="1" applyBorder="1" applyAlignment="1">
      <alignment horizontal="left"/>
    </xf>
    <xf numFmtId="0" fontId="7" fillId="0" borderId="0" xfId="157" applyFont="1" applyBorder="1"/>
    <xf numFmtId="0" fontId="7" fillId="0" borderId="0" xfId="157" applyFont="1"/>
    <xf numFmtId="0" fontId="26" fillId="0" borderId="0" xfId="157" applyFont="1" applyAlignment="1">
      <alignment vertical="top" wrapText="1"/>
    </xf>
    <xf numFmtId="0" fontId="7" fillId="0" borderId="0" xfId="156" applyFont="1"/>
    <xf numFmtId="0" fontId="28" fillId="0" borderId="0" xfId="43" applyFont="1"/>
    <xf numFmtId="0" fontId="28" fillId="0" borderId="0" xfId="43" applyFont="1" applyAlignment="1">
      <alignment horizontal="right"/>
    </xf>
    <xf numFmtId="0" fontId="48" fillId="0" borderId="24" xfId="43" applyFont="1" applyFill="1" applyBorder="1" applyAlignment="1" applyProtection="1">
      <alignment horizontal="center" vertical="top" wrapText="1"/>
      <protection locked="0"/>
    </xf>
    <xf numFmtId="3" fontId="28" fillId="0" borderId="31" xfId="43" applyNumberFormat="1" applyFont="1" applyFill="1" applyBorder="1"/>
    <xf numFmtId="3" fontId="29" fillId="0" borderId="31" xfId="43" applyNumberFormat="1" applyFont="1" applyFill="1" applyBorder="1"/>
    <xf numFmtId="3" fontId="29" fillId="0" borderId="31" xfId="43" applyNumberFormat="1" applyFont="1" applyFill="1" applyBorder="1" applyAlignment="1">
      <alignment horizontal="center"/>
    </xf>
    <xf numFmtId="9" fontId="29" fillId="0" borderId="31" xfId="43" applyNumberFormat="1" applyFont="1" applyFill="1" applyBorder="1"/>
    <xf numFmtId="3" fontId="46" fillId="0" borderId="31" xfId="43" applyNumberFormat="1" applyFont="1" applyFill="1" applyBorder="1"/>
    <xf numFmtId="3" fontId="7" fillId="0" borderId="31" xfId="43" applyNumberFormat="1" applyFont="1" applyBorder="1"/>
    <xf numFmtId="9" fontId="7" fillId="0" borderId="31" xfId="43" applyNumberFormat="1" applyFont="1" applyBorder="1"/>
    <xf numFmtId="0" fontId="26" fillId="0" borderId="0" xfId="43" applyFont="1" applyBorder="1" applyAlignment="1">
      <alignment horizontal="left"/>
    </xf>
    <xf numFmtId="0" fontId="33" fillId="0" borderId="0" xfId="43" applyFont="1" applyAlignment="1">
      <alignment horizontal="left"/>
    </xf>
    <xf numFmtId="0" fontId="28" fillId="0" borderId="0" xfId="43" applyFont="1" applyAlignment="1">
      <alignment horizontal="left"/>
    </xf>
    <xf numFmtId="0" fontId="7" fillId="0" borderId="0" xfId="43" applyAlignment="1"/>
    <xf numFmtId="0" fontId="26" fillId="0" borderId="0" xfId="43" applyFont="1"/>
    <xf numFmtId="0" fontId="7" fillId="0" borderId="0" xfId="43" applyFont="1" applyAlignment="1">
      <alignment horizontal="left"/>
    </xf>
    <xf numFmtId="3" fontId="7" fillId="0" borderId="33" xfId="43" applyNumberFormat="1" applyFont="1" applyFill="1" applyBorder="1" applyAlignment="1" applyProtection="1">
      <alignment horizontal="center" vertical="top" wrapText="1"/>
    </xf>
    <xf numFmtId="3" fontId="26" fillId="0" borderId="33" xfId="43" applyNumberFormat="1" applyFont="1" applyFill="1" applyBorder="1" applyAlignment="1" applyProtection="1">
      <alignment horizontal="center" vertical="top" wrapText="1"/>
    </xf>
    <xf numFmtId="3" fontId="26" fillId="0" borderId="31" xfId="43" applyNumberFormat="1" applyFont="1" applyFill="1" applyBorder="1" applyAlignment="1" applyProtection="1">
      <alignment horizontal="center" vertical="top" wrapText="1"/>
    </xf>
    <xf numFmtId="0" fontId="26" fillId="0" borderId="15" xfId="43" applyFont="1" applyBorder="1"/>
    <xf numFmtId="0" fontId="26" fillId="0" borderId="0" xfId="43" applyFont="1" applyBorder="1"/>
    <xf numFmtId="0" fontId="7" fillId="0" borderId="0" xfId="43" applyFont="1" applyBorder="1"/>
    <xf numFmtId="0" fontId="7" fillId="0" borderId="15" xfId="43" applyFont="1" applyBorder="1"/>
    <xf numFmtId="0" fontId="26" fillId="0" borderId="38" xfId="43" applyFont="1" applyBorder="1"/>
    <xf numFmtId="3" fontId="7" fillId="0" borderId="0" xfId="43" applyNumberFormat="1" applyFont="1" applyBorder="1"/>
    <xf numFmtId="0" fontId="26" fillId="0" borderId="30" xfId="43" applyFont="1" applyBorder="1"/>
    <xf numFmtId="0" fontId="26" fillId="0" borderId="35" xfId="43" applyFont="1" applyBorder="1"/>
    <xf numFmtId="0" fontId="7" fillId="0" borderId="35" xfId="43" applyFont="1" applyBorder="1"/>
    <xf numFmtId="0" fontId="7" fillId="0" borderId="30" xfId="43" applyFont="1" applyBorder="1"/>
    <xf numFmtId="0" fontId="26" fillId="0" borderId="17" xfId="43" applyFont="1" applyBorder="1"/>
    <xf numFmtId="0" fontId="7" fillId="0" borderId="0" xfId="166" applyFont="1" applyAlignment="1">
      <alignment horizontal="left"/>
    </xf>
    <xf numFmtId="0" fontId="27" fillId="0" borderId="0" xfId="43" applyFont="1" applyAlignment="1">
      <alignment horizontal="left"/>
    </xf>
    <xf numFmtId="0" fontId="39" fillId="0" borderId="0" xfId="43" applyFont="1" applyAlignment="1">
      <alignment horizontal="left"/>
    </xf>
    <xf numFmtId="0" fontId="40" fillId="0" borderId="0" xfId="43" applyFont="1"/>
    <xf numFmtId="0" fontId="7" fillId="0" borderId="0" xfId="43" applyAlignment="1">
      <alignment horizontal="right"/>
    </xf>
    <xf numFmtId="0" fontId="39" fillId="0" borderId="0" xfId="43" applyFont="1" applyAlignment="1">
      <alignment horizontal="right"/>
    </xf>
    <xf numFmtId="0" fontId="40" fillId="0" borderId="0" xfId="43" applyFont="1" applyAlignment="1"/>
    <xf numFmtId="0" fontId="128" fillId="0" borderId="0" xfId="43" applyFont="1" applyAlignment="1"/>
    <xf numFmtId="0" fontId="39" fillId="0" borderId="0" xfId="43" applyFont="1" applyAlignment="1"/>
    <xf numFmtId="0" fontId="40" fillId="0" borderId="0" xfId="43" applyFont="1" applyBorder="1"/>
    <xf numFmtId="0" fontId="40" fillId="0" borderId="0" xfId="43" applyFont="1" applyBorder="1" applyAlignment="1"/>
    <xf numFmtId="0" fontId="39" fillId="0" borderId="0" xfId="43" applyFont="1" applyBorder="1" applyAlignment="1">
      <alignment horizontal="right"/>
    </xf>
    <xf numFmtId="0" fontId="7" fillId="0" borderId="0" xfId="43" applyBorder="1" applyAlignment="1">
      <alignment horizontal="right"/>
    </xf>
    <xf numFmtId="0" fontId="129" fillId="0" borderId="39" xfId="43" applyFont="1" applyBorder="1" applyAlignment="1">
      <alignment horizontal="center" vertical="top" wrapText="1"/>
    </xf>
    <xf numFmtId="0" fontId="129" fillId="0" borderId="25" xfId="43" applyFont="1" applyBorder="1" applyAlignment="1">
      <alignment horizontal="center" vertical="top" wrapText="1"/>
    </xf>
    <xf numFmtId="0" fontId="129" fillId="0" borderId="26" xfId="43" applyFont="1" applyBorder="1" applyAlignment="1">
      <alignment horizontal="center" vertical="top" wrapText="1"/>
    </xf>
    <xf numFmtId="0" fontId="100" fillId="0" borderId="40" xfId="43" applyFont="1" applyBorder="1" applyAlignment="1">
      <alignment horizontal="center" vertical="top" wrapText="1"/>
    </xf>
    <xf numFmtId="0" fontId="81" fillId="0" borderId="43" xfId="43" applyFont="1" applyBorder="1" applyAlignment="1">
      <alignment horizontal="center" wrapText="1"/>
    </xf>
    <xf numFmtId="0" fontId="45" fillId="0" borderId="0" xfId="43" applyFont="1"/>
    <xf numFmtId="0" fontId="45" fillId="0" borderId="44" xfId="43" applyFont="1" applyBorder="1" applyAlignment="1"/>
    <xf numFmtId="0" fontId="45" fillId="0" borderId="27" xfId="43" applyFont="1" applyBorder="1" applyAlignment="1">
      <alignment wrapText="1"/>
    </xf>
    <xf numFmtId="0" fontId="45" fillId="0" borderId="27" xfId="43" applyFont="1" applyBorder="1" applyAlignment="1">
      <alignment horizontal="center" vertical="top" wrapText="1"/>
    </xf>
    <xf numFmtId="0" fontId="45" fillId="0" borderId="27" xfId="43" applyFont="1" applyBorder="1" applyAlignment="1"/>
    <xf numFmtId="0" fontId="45" fillId="0" borderId="28" xfId="43" applyFont="1" applyBorder="1" applyAlignment="1">
      <alignment vertical="top"/>
    </xf>
    <xf numFmtId="0" fontId="100" fillId="0" borderId="27" xfId="43" applyFont="1" applyBorder="1" applyAlignment="1">
      <alignment horizontal="center" vertical="top"/>
    </xf>
    <xf numFmtId="0" fontId="129" fillId="0" borderId="37" xfId="43" applyFont="1" applyBorder="1" applyAlignment="1">
      <alignment horizontal="center" vertical="top" wrapText="1"/>
    </xf>
    <xf numFmtId="0" fontId="129" fillId="0" borderId="28" xfId="43" applyFont="1" applyBorder="1" applyAlignment="1">
      <alignment horizontal="center" vertical="top" wrapText="1"/>
    </xf>
    <xf numFmtId="0" fontId="129" fillId="0" borderId="21" xfId="43" applyFont="1" applyBorder="1" applyAlignment="1">
      <alignment horizontal="center" vertical="top" wrapText="1"/>
    </xf>
    <xf numFmtId="0" fontId="100" fillId="0" borderId="21" xfId="43" applyFont="1" applyBorder="1" applyAlignment="1">
      <alignment horizontal="center" vertical="top"/>
    </xf>
    <xf numFmtId="0" fontId="100" fillId="0" borderId="22" xfId="43" applyFont="1" applyBorder="1" applyAlignment="1">
      <alignment horizontal="center" vertical="top"/>
    </xf>
    <xf numFmtId="0" fontId="100" fillId="0" borderId="22" xfId="43" applyFont="1" applyBorder="1" applyAlignment="1">
      <alignment horizontal="center" vertical="top" wrapText="1"/>
    </xf>
    <xf numFmtId="0" fontId="129" fillId="0" borderId="45" xfId="43" applyFont="1" applyBorder="1" applyAlignment="1">
      <alignment horizontal="center"/>
    </xf>
    <xf numFmtId="0" fontId="40" fillId="0" borderId="46" xfId="43" applyFont="1" applyBorder="1" applyAlignment="1">
      <alignment horizontal="center" vertical="top" wrapText="1"/>
    </xf>
    <xf numFmtId="0" fontId="40" fillId="0" borderId="30" xfId="43" applyFont="1" applyBorder="1" applyAlignment="1">
      <alignment horizontal="center" wrapText="1"/>
    </xf>
    <xf numFmtId="0" fontId="40" fillId="0" borderId="30" xfId="43" applyFont="1" applyBorder="1" applyAlignment="1">
      <alignment horizontal="center" vertical="top" wrapText="1"/>
    </xf>
    <xf numFmtId="0" fontId="40" fillId="0" borderId="14" xfId="43" applyFont="1" applyBorder="1" applyAlignment="1">
      <alignment horizontal="center" wrapText="1"/>
    </xf>
    <xf numFmtId="0" fontId="40" fillId="0" borderId="47" xfId="43" applyFont="1" applyBorder="1" applyAlignment="1">
      <alignment horizontal="center" wrapText="1"/>
    </xf>
    <xf numFmtId="0" fontId="40" fillId="0" borderId="30" xfId="43" applyFont="1" applyBorder="1" applyAlignment="1">
      <alignment wrapText="1"/>
    </xf>
    <xf numFmtId="0" fontId="40" fillId="0" borderId="17" xfId="43" applyFont="1" applyBorder="1"/>
    <xf numFmtId="0" fontId="40" fillId="0" borderId="30" xfId="43" applyFont="1" applyBorder="1"/>
    <xf numFmtId="0" fontId="40" fillId="0" borderId="14" xfId="43" applyFont="1" applyBorder="1"/>
    <xf numFmtId="0" fontId="40" fillId="0" borderId="47" xfId="43" applyFont="1" applyBorder="1"/>
    <xf numFmtId="0" fontId="40" fillId="0" borderId="27" xfId="43" applyFont="1" applyBorder="1" applyAlignment="1">
      <alignment wrapText="1"/>
    </xf>
    <xf numFmtId="0" fontId="40" fillId="0" borderId="51" xfId="43" applyFont="1" applyBorder="1"/>
    <xf numFmtId="0" fontId="40" fillId="0" borderId="27" xfId="43" applyFont="1" applyBorder="1"/>
    <xf numFmtId="0" fontId="40" fillId="0" borderId="28" xfId="43" applyFont="1" applyBorder="1"/>
    <xf numFmtId="0" fontId="40" fillId="0" borderId="29" xfId="43" applyFont="1" applyBorder="1"/>
    <xf numFmtId="0" fontId="41" fillId="0" borderId="0" xfId="43" applyFont="1" applyBorder="1" applyAlignment="1">
      <alignment wrapText="1"/>
    </xf>
    <xf numFmtId="0" fontId="28" fillId="0" borderId="26" xfId="43" applyFont="1" applyFill="1" applyBorder="1" applyAlignment="1">
      <alignment horizontal="left" vertical="top" wrapText="1"/>
    </xf>
    <xf numFmtId="0" fontId="7" fillId="0" borderId="33" xfId="43" applyFont="1" applyFill="1" applyBorder="1" applyAlignment="1">
      <alignment vertical="top" wrapText="1"/>
    </xf>
    <xf numFmtId="0" fontId="29" fillId="0" borderId="33" xfId="43" applyFont="1" applyFill="1" applyBorder="1" applyAlignment="1">
      <alignment horizontal="left" vertical="top" indent="3"/>
    </xf>
    <xf numFmtId="0" fontId="29" fillId="0" borderId="33" xfId="43" applyFont="1" applyFill="1" applyBorder="1" applyAlignment="1">
      <alignment horizontal="left" vertical="top" indent="4"/>
    </xf>
    <xf numFmtId="0" fontId="7" fillId="0" borderId="33" xfId="43" applyFont="1" applyFill="1" applyBorder="1" applyAlignment="1">
      <alignment vertical="top"/>
    </xf>
    <xf numFmtId="0" fontId="46" fillId="0" borderId="33" xfId="43" applyFont="1" applyFill="1" applyBorder="1" applyAlignment="1">
      <alignment horizontal="left" vertical="top" indent="3"/>
    </xf>
    <xf numFmtId="0" fontId="46" fillId="0" borderId="33" xfId="43" applyFont="1" applyBorder="1" applyAlignment="1">
      <alignment horizontal="left" vertical="top" indent="3"/>
    </xf>
    <xf numFmtId="3" fontId="107" fillId="28" borderId="31" xfId="0" applyNumberFormat="1" applyFont="1" applyFill="1" applyBorder="1" applyAlignment="1" applyProtection="1">
      <alignment vertical="center"/>
      <protection locked="0"/>
    </xf>
    <xf numFmtId="3" fontId="33" fillId="28" borderId="31" xfId="0" applyNumberFormat="1" applyFont="1" applyFill="1" applyBorder="1" applyAlignment="1" applyProtection="1">
      <alignment vertical="top"/>
      <protection locked="0"/>
    </xf>
    <xf numFmtId="3" fontId="108" fillId="0" borderId="31" xfId="153" applyNumberFormat="1" applyFont="1" applyFill="1" applyBorder="1" applyAlignment="1" applyProtection="1">
      <alignment vertical="top"/>
      <protection locked="0"/>
    </xf>
    <xf numFmtId="3" fontId="33" fillId="0" borderId="31" xfId="0" applyNumberFormat="1" applyFont="1" applyFill="1" applyBorder="1" applyAlignment="1" applyProtection="1">
      <alignment vertical="top"/>
      <protection locked="0"/>
    </xf>
    <xf numFmtId="3" fontId="28" fillId="24" borderId="31" xfId="153" applyNumberFormat="1" applyFont="1" applyFill="1" applyBorder="1" applyAlignment="1" applyProtection="1">
      <alignment vertical="top"/>
      <protection locked="0"/>
    </xf>
    <xf numFmtId="3" fontId="28" fillId="0" borderId="31" xfId="153" applyNumberFormat="1" applyFont="1" applyFill="1" applyBorder="1" applyAlignment="1" applyProtection="1">
      <alignment vertical="top"/>
      <protection locked="0"/>
    </xf>
    <xf numFmtId="3" fontId="26" fillId="0" borderId="31" xfId="148" applyNumberFormat="1" applyFont="1" applyFill="1" applyBorder="1" applyAlignment="1" applyProtection="1">
      <alignment horizontal="right"/>
      <protection locked="0"/>
    </xf>
    <xf numFmtId="3" fontId="7" fillId="0" borderId="31" xfId="153" applyNumberFormat="1" applyFont="1" applyFill="1" applyBorder="1" applyAlignment="1" applyProtection="1">
      <alignment vertical="top" wrapText="1"/>
      <protection locked="0"/>
    </xf>
    <xf numFmtId="3" fontId="26" fillId="0" borderId="31" xfId="148" applyNumberFormat="1" applyFont="1" applyFill="1" applyBorder="1" applyAlignment="1" applyProtection="1">
      <alignment horizontal="right" vertical="top"/>
      <protection locked="0"/>
    </xf>
    <xf numFmtId="3" fontId="26" fillId="0" borderId="31" xfId="0" applyNumberFormat="1" applyFont="1" applyFill="1" applyBorder="1" applyAlignment="1" applyProtection="1">
      <alignment horizontal="right" vertical="top"/>
      <protection locked="0"/>
    </xf>
    <xf numFmtId="3" fontId="7" fillId="0" borderId="31" xfId="49" applyNumberFormat="1" applyFont="1" applyFill="1" applyBorder="1" applyAlignment="1" applyProtection="1">
      <alignment vertical="top"/>
      <protection locked="0"/>
    </xf>
    <xf numFmtId="3" fontId="7" fillId="0" borderId="31" xfId="0" applyNumberFormat="1" applyFont="1" applyFill="1" applyBorder="1" applyAlignment="1" applyProtection="1">
      <alignment vertical="top"/>
      <protection locked="0"/>
    </xf>
    <xf numFmtId="3" fontId="7" fillId="0" borderId="31" xfId="153" applyNumberFormat="1" applyFont="1" applyFill="1" applyBorder="1" applyAlignment="1" applyProtection="1">
      <alignment horizontal="right" vertical="top"/>
      <protection locked="0"/>
    </xf>
    <xf numFmtId="3" fontId="26" fillId="0" borderId="31" xfId="153" applyNumberFormat="1" applyFont="1" applyFill="1" applyBorder="1" applyAlignment="1" applyProtection="1">
      <alignment horizontal="right" vertical="top"/>
      <protection locked="0"/>
    </xf>
    <xf numFmtId="3" fontId="7" fillId="0" borderId="31" xfId="0" applyNumberFormat="1" applyFont="1" applyFill="1" applyBorder="1" applyAlignment="1">
      <alignment vertical="top"/>
    </xf>
    <xf numFmtId="3" fontId="26" fillId="0" borderId="31" xfId="0" applyNumberFormat="1" applyFont="1" applyFill="1" applyBorder="1" applyAlignment="1">
      <alignment vertical="top"/>
    </xf>
    <xf numFmtId="3" fontId="0" fillId="0" borderId="31" xfId="0" applyNumberFormat="1" applyFill="1" applyBorder="1"/>
    <xf numFmtId="3" fontId="37" fillId="0" borderId="31" xfId="49" applyNumberFormat="1" applyFont="1" applyFill="1" applyBorder="1" applyAlignment="1" applyProtection="1">
      <alignment vertical="top"/>
      <protection locked="0"/>
    </xf>
    <xf numFmtId="3" fontId="26" fillId="0" borderId="31" xfId="49" applyNumberFormat="1" applyFont="1" applyFill="1" applyBorder="1" applyAlignment="1" applyProtection="1">
      <alignment horizontal="right" vertical="top"/>
      <protection locked="0"/>
    </xf>
    <xf numFmtId="3" fontId="26" fillId="0" borderId="31" xfId="0" applyNumberFormat="1" applyFont="1" applyFill="1" applyBorder="1" applyAlignment="1" applyProtection="1">
      <alignment vertical="top"/>
      <protection locked="0"/>
    </xf>
    <xf numFmtId="3" fontId="72" fillId="0" borderId="0" xfId="0" applyNumberFormat="1" applyFont="1" applyFill="1" applyBorder="1" applyAlignment="1" applyProtection="1">
      <alignment vertical="top"/>
      <protection locked="0"/>
    </xf>
    <xf numFmtId="3" fontId="95" fillId="0" borderId="0" xfId="0" applyNumberFormat="1" applyFont="1"/>
    <xf numFmtId="3" fontId="73" fillId="0" borderId="0" xfId="0" applyNumberFormat="1" applyFont="1" applyAlignment="1">
      <alignment horizontal="right"/>
    </xf>
    <xf numFmtId="3" fontId="124" fillId="28" borderId="13" xfId="0" applyNumberFormat="1" applyFont="1" applyFill="1" applyBorder="1" applyAlignment="1" applyProtection="1">
      <alignment vertical="center"/>
      <protection locked="0"/>
    </xf>
    <xf numFmtId="3" fontId="124" fillId="28" borderId="13" xfId="0" applyNumberFormat="1" applyFont="1" applyFill="1" applyBorder="1" applyAlignment="1" applyProtection="1">
      <alignment vertical="top"/>
      <protection locked="0"/>
    </xf>
    <xf numFmtId="3" fontId="130" fillId="0" borderId="13" xfId="153" applyNumberFormat="1" applyFont="1" applyFill="1" applyBorder="1" applyAlignment="1" applyProtection="1">
      <alignment vertical="top"/>
      <protection locked="0"/>
    </xf>
    <xf numFmtId="3" fontId="124" fillId="0" borderId="13" xfId="0" applyNumberFormat="1" applyFont="1" applyFill="1" applyBorder="1" applyAlignment="1" applyProtection="1">
      <alignment vertical="top"/>
      <protection locked="0"/>
    </xf>
    <xf numFmtId="3" fontId="73" fillId="24" borderId="13" xfId="153" applyNumberFormat="1" applyFont="1" applyFill="1" applyBorder="1" applyAlignment="1" applyProtection="1">
      <alignment vertical="top"/>
      <protection locked="0"/>
    </xf>
    <xf numFmtId="3" fontId="73" fillId="0" borderId="13" xfId="153" applyNumberFormat="1" applyFont="1" applyFill="1" applyBorder="1" applyAlignment="1" applyProtection="1">
      <alignment vertical="top"/>
      <protection locked="0"/>
    </xf>
    <xf numFmtId="3" fontId="72" fillId="0" borderId="13" xfId="153" applyNumberFormat="1" applyFont="1" applyFill="1" applyBorder="1" applyAlignment="1" applyProtection="1">
      <alignment vertical="top"/>
      <protection locked="0"/>
    </xf>
    <xf numFmtId="3" fontId="95" fillId="0" borderId="18" xfId="153" applyNumberFormat="1" applyFont="1" applyFill="1" applyBorder="1" applyAlignment="1" applyProtection="1">
      <alignment vertical="top"/>
      <protection locked="0"/>
    </xf>
    <xf numFmtId="3" fontId="95" fillId="0" borderId="13" xfId="153" applyNumberFormat="1" applyFont="1" applyFill="1" applyBorder="1" applyAlignment="1" applyProtection="1">
      <alignment vertical="top"/>
      <protection locked="0"/>
    </xf>
    <xf numFmtId="3" fontId="95" fillId="0" borderId="31" xfId="135" applyNumberFormat="1" applyFont="1" applyFill="1" applyBorder="1" applyAlignment="1" applyProtection="1">
      <alignment vertical="top"/>
      <protection locked="0"/>
    </xf>
    <xf numFmtId="3" fontId="72" fillId="0" borderId="31" xfId="153" applyNumberFormat="1" applyFont="1" applyFill="1" applyBorder="1" applyAlignment="1" applyProtection="1">
      <alignment vertical="top"/>
      <protection locked="0"/>
    </xf>
    <xf numFmtId="3" fontId="95" fillId="0" borderId="13" xfId="152" applyNumberFormat="1" applyFont="1" applyFill="1" applyBorder="1" applyAlignment="1" applyProtection="1">
      <alignment vertical="top"/>
      <protection locked="0"/>
    </xf>
    <xf numFmtId="3" fontId="95" fillId="0" borderId="31" xfId="152" applyNumberFormat="1" applyFont="1" applyFill="1" applyBorder="1" applyAlignment="1" applyProtection="1">
      <alignment vertical="top"/>
      <protection locked="0"/>
    </xf>
    <xf numFmtId="3" fontId="95" fillId="0" borderId="13" xfId="49" applyNumberFormat="1" applyFont="1" applyFill="1" applyBorder="1" applyAlignment="1" applyProtection="1">
      <alignment vertical="top"/>
      <protection locked="0"/>
    </xf>
    <xf numFmtId="3" fontId="95" fillId="0" borderId="13" xfId="148" applyNumberFormat="1" applyFont="1" applyFill="1" applyBorder="1" applyAlignment="1" applyProtection="1">
      <alignment horizontal="right"/>
      <protection locked="0"/>
    </xf>
    <xf numFmtId="3" fontId="72" fillId="0" borderId="13" xfId="153" applyNumberFormat="1" applyFont="1" applyFill="1" applyBorder="1" applyAlignment="1" applyProtection="1">
      <alignment vertical="top" wrapText="1"/>
      <protection locked="0"/>
    </xf>
    <xf numFmtId="3" fontId="95" fillId="0" borderId="13" xfId="148" applyNumberFormat="1" applyFont="1" applyFill="1" applyBorder="1" applyAlignment="1" applyProtection="1">
      <alignment horizontal="right" vertical="top"/>
      <protection locked="0"/>
    </xf>
    <xf numFmtId="3" fontId="95" fillId="0" borderId="13" xfId="0" applyNumberFormat="1" applyFont="1" applyFill="1" applyBorder="1" applyAlignment="1" applyProtection="1">
      <alignment horizontal="right" vertical="top"/>
      <protection locked="0"/>
    </xf>
    <xf numFmtId="3" fontId="72" fillId="0" borderId="13" xfId="49" applyNumberFormat="1" applyFont="1" applyFill="1" applyBorder="1" applyAlignment="1" applyProtection="1">
      <alignment vertical="top"/>
      <protection locked="0"/>
    </xf>
    <xf numFmtId="3" fontId="72" fillId="0" borderId="13" xfId="0" applyNumberFormat="1" applyFont="1" applyFill="1" applyBorder="1" applyAlignment="1" applyProtection="1">
      <alignment vertical="top"/>
      <protection locked="0"/>
    </xf>
    <xf numFmtId="3" fontId="72" fillId="0" borderId="13" xfId="153" applyNumberFormat="1" applyFont="1" applyFill="1" applyBorder="1" applyAlignment="1" applyProtection="1">
      <alignment horizontal="right" vertical="top"/>
      <protection locked="0"/>
    </xf>
    <xf numFmtId="3" fontId="95" fillId="0" borderId="13" xfId="153" applyNumberFormat="1" applyFont="1" applyFill="1" applyBorder="1" applyAlignment="1" applyProtection="1">
      <alignment horizontal="right" vertical="top"/>
      <protection locked="0"/>
    </xf>
    <xf numFmtId="3" fontId="95" fillId="0" borderId="31" xfId="153" applyNumberFormat="1" applyFont="1" applyFill="1" applyBorder="1" applyAlignment="1" applyProtection="1">
      <alignment vertical="top"/>
      <protection locked="0"/>
    </xf>
    <xf numFmtId="3" fontId="72" fillId="0" borderId="13" xfId="0" applyNumberFormat="1" applyFont="1" applyFill="1" applyBorder="1" applyAlignment="1">
      <alignment vertical="top"/>
    </xf>
    <xf numFmtId="3" fontId="95" fillId="0" borderId="13" xfId="0" applyNumberFormat="1" applyFont="1" applyFill="1" applyBorder="1" applyAlignment="1">
      <alignment vertical="top"/>
    </xf>
    <xf numFmtId="3" fontId="72" fillId="0" borderId="13" xfId="0" applyNumberFormat="1" applyFont="1" applyFill="1" applyBorder="1"/>
    <xf numFmtId="3" fontId="74" fillId="0" borderId="13" xfId="49" applyNumberFormat="1" applyFont="1" applyFill="1" applyBorder="1" applyAlignment="1" applyProtection="1">
      <alignment vertical="top"/>
      <protection locked="0"/>
    </xf>
    <xf numFmtId="3" fontId="74" fillId="0" borderId="13" xfId="153" applyNumberFormat="1" applyFont="1" applyFill="1" applyBorder="1" applyAlignment="1" applyProtection="1">
      <alignment vertical="top"/>
      <protection locked="0"/>
    </xf>
    <xf numFmtId="3" fontId="74" fillId="0" borderId="31" xfId="153" applyNumberFormat="1" applyFont="1" applyFill="1" applyBorder="1" applyAlignment="1" applyProtection="1">
      <alignment vertical="top"/>
      <protection locked="0"/>
    </xf>
    <xf numFmtId="3" fontId="95" fillId="0" borderId="13" xfId="49" applyNumberFormat="1" applyFont="1" applyFill="1" applyBorder="1" applyAlignment="1" applyProtection="1">
      <alignment horizontal="right" vertical="top"/>
      <protection locked="0"/>
    </xf>
    <xf numFmtId="3" fontId="95" fillId="0" borderId="13" xfId="0" applyNumberFormat="1" applyFont="1" applyFill="1" applyBorder="1" applyAlignment="1" applyProtection="1">
      <alignment vertical="top"/>
      <protection locked="0"/>
    </xf>
    <xf numFmtId="0" fontId="72" fillId="0" borderId="0" xfId="0" applyFont="1"/>
    <xf numFmtId="3" fontId="73" fillId="0" borderId="0" xfId="0" applyNumberFormat="1" applyFont="1"/>
    <xf numFmtId="3" fontId="72" fillId="0" borderId="0" xfId="0" applyNumberFormat="1" applyFont="1"/>
    <xf numFmtId="3" fontId="72" fillId="0" borderId="13" xfId="148" applyNumberFormat="1" applyFont="1" applyFill="1" applyBorder="1" applyAlignment="1" applyProtection="1">
      <alignment horizontal="right"/>
      <protection locked="0"/>
    </xf>
    <xf numFmtId="3" fontId="122" fillId="0" borderId="13" xfId="148" applyNumberFormat="1" applyFont="1" applyFill="1" applyBorder="1" applyAlignment="1" applyProtection="1">
      <alignment horizontal="right"/>
      <protection locked="0"/>
    </xf>
    <xf numFmtId="3" fontId="122" fillId="0" borderId="13" xfId="0" applyNumberFormat="1" applyFont="1" applyFill="1" applyBorder="1" applyAlignment="1" applyProtection="1">
      <alignment horizontal="right"/>
      <protection locked="0"/>
    </xf>
    <xf numFmtId="3" fontId="122" fillId="0" borderId="31" xfId="0" applyNumberFormat="1" applyFont="1" applyFill="1" applyBorder="1" applyAlignment="1" applyProtection="1">
      <alignment horizontal="right"/>
      <protection locked="0"/>
    </xf>
    <xf numFmtId="3" fontId="95" fillId="0" borderId="13" xfId="153" applyNumberFormat="1" applyFont="1" applyFill="1" applyBorder="1" applyAlignment="1" applyProtection="1">
      <alignment horizontal="center" vertical="top"/>
      <protection locked="0"/>
    </xf>
    <xf numFmtId="3" fontId="72" fillId="0" borderId="13" xfId="0" applyNumberFormat="1" applyFont="1" applyFill="1" applyBorder="1" applyAlignment="1" applyProtection="1">
      <alignment horizontal="right" vertical="top"/>
      <protection locked="0"/>
    </xf>
    <xf numFmtId="0" fontId="26" fillId="0" borderId="13" xfId="0" applyFont="1" applyFill="1" applyBorder="1" applyAlignment="1">
      <alignment horizontal="left" vertical="top" wrapText="1" indent="3"/>
    </xf>
    <xf numFmtId="0" fontId="26" fillId="0" borderId="13" xfId="153" applyFont="1" applyFill="1" applyBorder="1" applyAlignment="1" applyProtection="1">
      <alignment horizontal="left" vertical="top" indent="1"/>
      <protection locked="0"/>
    </xf>
    <xf numFmtId="0" fontId="26" fillId="0" borderId="31" xfId="153" applyFont="1" applyFill="1" applyBorder="1" applyAlignment="1" applyProtection="1">
      <alignment horizontal="left" vertical="top" wrapText="1" indent="1"/>
      <protection locked="0"/>
    </xf>
    <xf numFmtId="0" fontId="131" fillId="0" borderId="0" xfId="43" applyFont="1"/>
    <xf numFmtId="0" fontId="131" fillId="0" borderId="0" xfId="43" applyFont="1" applyAlignment="1">
      <alignment horizontal="justify"/>
    </xf>
    <xf numFmtId="0" fontId="131" fillId="0" borderId="0" xfId="43" applyFont="1" applyAlignment="1">
      <alignment horizontal="right"/>
    </xf>
    <xf numFmtId="0" fontId="132" fillId="0" borderId="18" xfId="43" applyFont="1" applyBorder="1" applyAlignment="1">
      <alignment horizontal="center" vertical="top"/>
    </xf>
    <xf numFmtId="0" fontId="132" fillId="0" borderId="16" xfId="43" applyFont="1" applyBorder="1" applyAlignment="1">
      <alignment horizontal="center" vertical="top"/>
    </xf>
    <xf numFmtId="0" fontId="132" fillId="0" borderId="14" xfId="43" applyFont="1" applyBorder="1" applyAlignment="1">
      <alignment horizontal="justify" vertical="top"/>
    </xf>
    <xf numFmtId="0" fontId="132" fillId="0" borderId="30" xfId="43" applyFont="1" applyBorder="1" applyAlignment="1">
      <alignment horizontal="justify"/>
    </xf>
    <xf numFmtId="0" fontId="132" fillId="0" borderId="31" xfId="43" applyFont="1" applyBorder="1" applyAlignment="1">
      <alignment horizontal="center" wrapText="1"/>
    </xf>
    <xf numFmtId="3" fontId="94" fillId="0" borderId="31" xfId="43" applyNumberFormat="1" applyFont="1" applyFill="1" applyBorder="1" applyAlignment="1">
      <alignment horizontal="right" vertical="top"/>
    </xf>
    <xf numFmtId="0" fontId="7" fillId="0" borderId="0" xfId="43" applyAlignment="1">
      <alignment vertical="top"/>
    </xf>
    <xf numFmtId="3" fontId="7" fillId="0" borderId="0" xfId="43" applyNumberFormat="1"/>
    <xf numFmtId="0" fontId="94" fillId="0" borderId="31" xfId="43" applyFont="1" applyFill="1" applyBorder="1" applyAlignment="1">
      <alignment horizontal="justify" vertical="top"/>
    </xf>
    <xf numFmtId="0" fontId="107" fillId="28" borderId="31" xfId="0" applyFont="1" applyFill="1" applyBorder="1" applyAlignment="1" applyProtection="1">
      <alignment horizontal="left" vertical="center" wrapText="1"/>
      <protection locked="0"/>
    </xf>
    <xf numFmtId="0" fontId="108" fillId="0" borderId="31" xfId="153" applyFont="1" applyFill="1" applyBorder="1" applyAlignment="1" applyProtection="1">
      <alignment horizontal="right" vertical="top" wrapText="1"/>
      <protection locked="0"/>
    </xf>
    <xf numFmtId="0" fontId="108" fillId="0" borderId="31" xfId="153" applyFont="1" applyFill="1" applyBorder="1" applyAlignment="1" applyProtection="1">
      <alignment horizontal="left" vertical="top" wrapText="1"/>
      <protection locked="0"/>
    </xf>
    <xf numFmtId="0" fontId="33" fillId="0" borderId="31" xfId="0" applyFont="1" applyFill="1" applyBorder="1" applyAlignment="1" applyProtection="1">
      <alignment horizontal="left" vertical="top" wrapText="1"/>
      <protection locked="0"/>
    </xf>
    <xf numFmtId="0" fontId="28" fillId="24" borderId="31" xfId="153" applyFont="1" applyFill="1" applyBorder="1" applyAlignment="1" applyProtection="1">
      <alignment horizontal="left" vertical="top" wrapText="1"/>
      <protection locked="0"/>
    </xf>
    <xf numFmtId="0" fontId="26" fillId="0" borderId="31" xfId="153" applyFont="1" applyFill="1" applyBorder="1" applyAlignment="1" applyProtection="1">
      <alignment horizontal="left" vertical="top" wrapText="1" indent="3"/>
      <protection locked="0"/>
    </xf>
    <xf numFmtId="0" fontId="26" fillId="0" borderId="31" xfId="153" applyFont="1" applyFill="1" applyBorder="1" applyAlignment="1" applyProtection="1">
      <alignment horizontal="left" vertical="top" wrapText="1" indent="4"/>
      <protection locked="0"/>
    </xf>
    <xf numFmtId="0" fontId="7" fillId="0" borderId="31" xfId="153" applyFont="1" applyFill="1" applyBorder="1" applyAlignment="1" applyProtection="1">
      <alignment horizontal="right" vertical="top" wrapText="1"/>
      <protection locked="0"/>
    </xf>
    <xf numFmtId="0" fontId="26" fillId="0" borderId="31" xfId="148" applyFont="1" applyFill="1" applyBorder="1" applyAlignment="1" applyProtection="1">
      <alignment horizontal="left" wrapText="1" indent="1"/>
      <protection locked="0"/>
    </xf>
    <xf numFmtId="0" fontId="7" fillId="0" borderId="31" xfId="153" applyFont="1" applyFill="1" applyBorder="1" applyAlignment="1" applyProtection="1">
      <alignment horizontal="left" vertical="top" wrapText="1" indent="2"/>
      <protection locked="0"/>
    </xf>
    <xf numFmtId="0" fontId="7" fillId="0" borderId="31" xfId="153" applyFont="1" applyFill="1" applyBorder="1" applyAlignment="1" applyProtection="1">
      <alignment horizontal="left" vertical="top" wrapText="1" indent="3"/>
      <protection locked="0"/>
    </xf>
    <xf numFmtId="0" fontId="7" fillId="0" borderId="31" xfId="0" applyFont="1" applyFill="1" applyBorder="1" applyAlignment="1" applyProtection="1">
      <alignment horizontal="left" vertical="top" wrapText="1"/>
      <protection locked="0"/>
    </xf>
    <xf numFmtId="0" fontId="26" fillId="0" borderId="31" xfId="0" applyFont="1" applyFill="1" applyBorder="1" applyAlignment="1" applyProtection="1">
      <alignment horizontal="left" vertical="top" wrapText="1" indent="1"/>
      <protection locked="0"/>
    </xf>
    <xf numFmtId="0" fontId="7" fillId="0" borderId="31" xfId="148" applyFont="1" applyFill="1" applyBorder="1" applyAlignment="1" applyProtection="1">
      <alignment horizontal="left" wrapText="1"/>
      <protection locked="0"/>
    </xf>
    <xf numFmtId="0" fontId="7" fillId="0" borderId="31" xfId="148" applyFont="1" applyFill="1" applyBorder="1" applyAlignment="1" applyProtection="1">
      <alignment horizontal="left" vertical="top" wrapText="1"/>
      <protection locked="0"/>
    </xf>
    <xf numFmtId="0" fontId="7" fillId="0" borderId="31" xfId="0" applyFont="1" applyFill="1" applyBorder="1" applyAlignment="1">
      <alignment vertical="top"/>
    </xf>
    <xf numFmtId="0" fontId="49" fillId="0" borderId="31" xfId="153" applyFont="1" applyFill="1" applyBorder="1" applyAlignment="1" applyProtection="1">
      <alignment horizontal="left" vertical="top" wrapText="1" indent="2"/>
      <protection locked="0"/>
    </xf>
    <xf numFmtId="0" fontId="28" fillId="24" borderId="31" xfId="153" applyFont="1" applyFill="1" applyBorder="1" applyAlignment="1" applyProtection="1">
      <alignment horizontal="left" vertical="top"/>
      <protection locked="0"/>
    </xf>
    <xf numFmtId="0" fontId="7" fillId="0" borderId="31" xfId="153" applyFont="1" applyFill="1" applyBorder="1" applyAlignment="1" applyProtection="1">
      <alignment horizontal="left" wrapText="1"/>
      <protection locked="0"/>
    </xf>
    <xf numFmtId="0" fontId="26" fillId="0" borderId="31" xfId="153" applyFont="1" applyFill="1" applyBorder="1" applyAlignment="1" applyProtection="1">
      <alignment horizontal="left" vertical="top" wrapText="1"/>
      <protection locked="0"/>
    </xf>
    <xf numFmtId="0" fontId="7" fillId="0" borderId="31" xfId="0" applyFont="1" applyFill="1" applyBorder="1" applyAlignment="1" applyProtection="1">
      <alignment horizontal="right" vertical="top" wrapText="1"/>
      <protection locked="0"/>
    </xf>
    <xf numFmtId="0" fontId="7" fillId="0" borderId="31" xfId="49" applyFont="1" applyFill="1" applyBorder="1" applyAlignment="1" applyProtection="1">
      <alignment horizontal="left" vertical="top" wrapText="1"/>
      <protection locked="0"/>
    </xf>
    <xf numFmtId="0" fontId="26" fillId="0" borderId="31" xfId="0" applyFont="1" applyFill="1" applyBorder="1" applyAlignment="1" applyProtection="1">
      <alignment horizontal="left" vertical="top" wrapText="1" indent="2"/>
      <protection locked="0"/>
    </xf>
    <xf numFmtId="0" fontId="26" fillId="0" borderId="31" xfId="0" applyFont="1" applyFill="1" applyBorder="1" applyAlignment="1">
      <alignment horizontal="left" vertical="top" wrapText="1" indent="2"/>
    </xf>
    <xf numFmtId="0" fontId="26" fillId="0" borderId="31" xfId="0" applyFont="1" applyFill="1" applyBorder="1" applyAlignment="1" applyProtection="1">
      <alignment horizontal="left" vertical="top" wrapText="1" indent="3"/>
      <protection locked="0"/>
    </xf>
    <xf numFmtId="0" fontId="26" fillId="0" borderId="31" xfId="0" applyFont="1" applyFill="1" applyBorder="1" applyAlignment="1">
      <alignment horizontal="left" vertical="top" wrapText="1" indent="3"/>
    </xf>
    <xf numFmtId="0" fontId="26" fillId="0" borderId="31" xfId="153" applyFont="1" applyFill="1" applyBorder="1" applyAlignment="1" applyProtection="1">
      <alignment horizontal="left" vertical="top" indent="1"/>
      <protection locked="0"/>
    </xf>
    <xf numFmtId="0" fontId="7" fillId="0" borderId="31" xfId="0" applyFont="1" applyFill="1" applyBorder="1" applyAlignment="1">
      <alignment wrapText="1"/>
    </xf>
    <xf numFmtId="0" fontId="26" fillId="0" borderId="31" xfId="0" applyFont="1" applyFill="1" applyBorder="1" applyAlignment="1">
      <alignment horizontal="left" indent="1"/>
    </xf>
    <xf numFmtId="0" fontId="26" fillId="0" borderId="31" xfId="158" applyFont="1" applyFill="1" applyBorder="1" applyAlignment="1" applyProtection="1">
      <alignment horizontal="left" vertical="top" wrapText="1" indent="2"/>
      <protection locked="0"/>
    </xf>
    <xf numFmtId="0" fontId="7" fillId="0" borderId="31" xfId="152" applyFont="1" applyFill="1" applyBorder="1" applyAlignment="1" applyProtection="1">
      <alignment horizontal="left" vertical="top" wrapText="1"/>
      <protection locked="0"/>
    </xf>
    <xf numFmtId="0" fontId="37" fillId="0" borderId="31" xfId="153" applyFont="1" applyFill="1" applyBorder="1" applyAlignment="1" applyProtection="1">
      <alignment horizontal="left" vertical="top" wrapText="1"/>
      <protection locked="0"/>
    </xf>
    <xf numFmtId="0" fontId="37" fillId="0" borderId="31" xfId="153" applyFont="1" applyFill="1" applyBorder="1" applyAlignment="1" applyProtection="1">
      <alignment horizontal="left" vertical="top" wrapText="1" indent="2"/>
      <protection locked="0"/>
    </xf>
    <xf numFmtId="0" fontId="29" fillId="0" borderId="31" xfId="153" applyFont="1" applyFill="1" applyBorder="1" applyAlignment="1" applyProtection="1">
      <alignment horizontal="left" vertical="top" wrapText="1" indent="2"/>
      <protection locked="0"/>
    </xf>
    <xf numFmtId="0" fontId="7" fillId="0" borderId="31" xfId="153" applyFont="1" applyFill="1" applyBorder="1" applyAlignment="1" applyProtection="1">
      <alignment horizontal="left" vertical="top" wrapText="1" indent="1"/>
      <protection locked="0"/>
    </xf>
    <xf numFmtId="0" fontId="38" fillId="0" borderId="31" xfId="153" applyFont="1" applyFill="1" applyBorder="1" applyAlignment="1" applyProtection="1">
      <alignment horizontal="left" vertical="top" wrapText="1" indent="1"/>
      <protection locked="0"/>
    </xf>
    <xf numFmtId="0" fontId="26" fillId="0" borderId="30" xfId="153" applyFont="1" applyFill="1" applyBorder="1" applyAlignment="1" applyProtection="1">
      <alignment horizontal="left" vertical="top" wrapText="1" indent="1"/>
      <protection locked="0"/>
    </xf>
    <xf numFmtId="0" fontId="26" fillId="0" borderId="31" xfId="0" applyFont="1" applyFill="1" applyBorder="1" applyAlignment="1" applyProtection="1">
      <alignment horizontal="left" vertical="top" indent="1"/>
      <protection locked="0"/>
    </xf>
    <xf numFmtId="0" fontId="0" fillId="0" borderId="31" xfId="0" applyFill="1" applyBorder="1"/>
    <xf numFmtId="0" fontId="26" fillId="0" borderId="31" xfId="153" applyFont="1" applyFill="1" applyBorder="1" applyAlignment="1" applyProtection="1">
      <alignment horizontal="left" vertical="top" indent="2"/>
      <protection locked="0"/>
    </xf>
    <xf numFmtId="0" fontId="28" fillId="0" borderId="16" xfId="153" applyFont="1" applyFill="1" applyBorder="1" applyAlignment="1" applyProtection="1">
      <alignment horizontal="center" vertical="top" wrapText="1"/>
    </xf>
    <xf numFmtId="164" fontId="82" fillId="32" borderId="20" xfId="87" applyFont="1" applyFill="1" applyBorder="1" applyAlignment="1">
      <alignment horizontal="right" vertical="top" wrapText="1"/>
    </xf>
    <xf numFmtId="9" fontId="82" fillId="32" borderId="31" xfId="150" applyFont="1" applyFill="1" applyBorder="1" applyAlignment="1">
      <alignment horizontal="center" vertical="top" wrapText="1"/>
    </xf>
    <xf numFmtId="0" fontId="26" fillId="0" borderId="18" xfId="153" applyFont="1" applyFill="1" applyBorder="1" applyAlignment="1" applyProtection="1">
      <alignment horizontal="left" vertical="top" wrapText="1" indent="2"/>
      <protection locked="0"/>
    </xf>
    <xf numFmtId="0" fontId="7" fillId="0" borderId="18" xfId="153" applyFont="1" applyFill="1" applyBorder="1" applyAlignment="1" applyProtection="1">
      <alignment horizontal="right" vertical="top" wrapText="1"/>
      <protection locked="0"/>
    </xf>
    <xf numFmtId="0" fontId="7" fillId="0" borderId="18" xfId="153" applyFont="1" applyFill="1" applyBorder="1" applyAlignment="1" applyProtection="1">
      <alignment horizontal="left" vertical="top" wrapText="1"/>
      <protection locked="0"/>
    </xf>
    <xf numFmtId="0" fontId="26" fillId="0" borderId="23" xfId="152" applyFont="1" applyFill="1" applyBorder="1" applyAlignment="1" applyProtection="1">
      <alignment horizontal="right" vertical="top" wrapText="1" indent="1"/>
      <protection locked="0"/>
    </xf>
    <xf numFmtId="4" fontId="40" fillId="0" borderId="0" xfId="0" applyNumberFormat="1" applyFont="1" applyFill="1"/>
    <xf numFmtId="0" fontId="38" fillId="32" borderId="16" xfId="153" applyFont="1" applyFill="1" applyBorder="1" applyAlignment="1" applyProtection="1">
      <alignment horizontal="center" vertical="top" wrapText="1"/>
    </xf>
    <xf numFmtId="3" fontId="28" fillId="0" borderId="0" xfId="0" applyNumberFormat="1" applyFont="1" applyBorder="1" applyAlignment="1">
      <alignment horizontal="center"/>
    </xf>
    <xf numFmtId="0" fontId="28" fillId="32" borderId="52" xfId="153" applyFont="1" applyFill="1" applyBorder="1" applyAlignment="1" applyProtection="1">
      <alignment horizontal="center" vertical="top" wrapText="1"/>
    </xf>
    <xf numFmtId="0" fontId="28" fillId="32" borderId="15" xfId="153" applyFont="1" applyFill="1" applyBorder="1" applyAlignment="1" applyProtection="1">
      <alignment horizontal="center" vertical="top" wrapText="1"/>
    </xf>
    <xf numFmtId="0" fontId="28" fillId="0" borderId="52" xfId="153" applyFont="1" applyFill="1" applyBorder="1" applyAlignment="1" applyProtection="1">
      <alignment horizontal="center" vertical="top" wrapText="1"/>
    </xf>
    <xf numFmtId="0" fontId="28" fillId="0" borderId="15" xfId="153" applyFont="1" applyFill="1" applyBorder="1" applyAlignment="1" applyProtection="1">
      <alignment horizontal="center" vertical="top" wrapText="1"/>
    </xf>
    <xf numFmtId="3" fontId="7" fillId="0" borderId="18" xfId="153" applyNumberFormat="1" applyFont="1" applyFill="1" applyBorder="1" applyAlignment="1" applyProtection="1">
      <alignment vertical="top"/>
      <protection locked="0"/>
    </xf>
    <xf numFmtId="3" fontId="46" fillId="0" borderId="31" xfId="0" applyNumberFormat="1" applyFont="1" applyFill="1" applyBorder="1" applyAlignment="1" applyProtection="1">
      <alignment horizontal="right"/>
      <protection locked="0"/>
    </xf>
    <xf numFmtId="3" fontId="46" fillId="0" borderId="31" xfId="148" applyNumberFormat="1" applyFont="1" applyFill="1" applyBorder="1" applyAlignment="1" applyProtection="1">
      <alignment horizontal="right"/>
      <protection locked="0"/>
    </xf>
    <xf numFmtId="3" fontId="7" fillId="0" borderId="31" xfId="0" applyNumberFormat="1" applyFont="1" applyFill="1" applyBorder="1" applyAlignment="1"/>
    <xf numFmtId="3" fontId="7" fillId="0" borderId="31" xfId="0" applyNumberFormat="1" applyFont="1" applyFill="1" applyBorder="1" applyAlignment="1" applyProtection="1">
      <alignment horizontal="right" vertical="top"/>
      <protection locked="0"/>
    </xf>
    <xf numFmtId="0" fontId="28" fillId="0" borderId="0" xfId="153" applyFont="1" applyFill="1" applyBorder="1" applyAlignment="1" applyProtection="1">
      <alignment horizontal="center" vertical="top" wrapText="1"/>
    </xf>
    <xf numFmtId="0" fontId="7" fillId="0" borderId="0" xfId="151" applyFont="1"/>
    <xf numFmtId="0" fontId="133" fillId="0" borderId="0" xfId="151" applyFont="1"/>
    <xf numFmtId="0" fontId="7" fillId="0" borderId="31" xfId="151" applyFont="1" applyBorder="1" applyAlignment="1">
      <alignment horizontal="center" vertical="top" wrapText="1"/>
    </xf>
    <xf numFmtId="0" fontId="7" fillId="0" borderId="31" xfId="151" applyFont="1" applyBorder="1" applyAlignment="1">
      <alignment horizontal="center" vertical="top"/>
    </xf>
    <xf numFmtId="0" fontId="7" fillId="0" borderId="30" xfId="151" applyFont="1" applyBorder="1" applyAlignment="1">
      <alignment horizontal="center" vertical="top" wrapText="1"/>
    </xf>
    <xf numFmtId="0" fontId="112" fillId="0" borderId="23" xfId="151" applyFont="1" applyBorder="1"/>
    <xf numFmtId="0" fontId="104" fillId="0" borderId="15" xfId="151" applyFont="1" applyFill="1" applyBorder="1" applyAlignment="1" applyProtection="1">
      <alignment horizontal="left" vertical="top" wrapText="1"/>
      <protection locked="0"/>
    </xf>
    <xf numFmtId="0" fontId="104" fillId="0" borderId="15" xfId="151" applyFont="1" applyFill="1" applyBorder="1" applyAlignment="1" applyProtection="1">
      <alignment horizontal="right" vertical="top" wrapText="1"/>
      <protection locked="0"/>
    </xf>
    <xf numFmtId="14" fontId="135" fillId="0" borderId="15" xfId="151" applyNumberFormat="1" applyFont="1" applyFill="1" applyBorder="1" applyAlignment="1" applyProtection="1">
      <alignment horizontal="right" vertical="top" wrapText="1"/>
      <protection locked="0"/>
    </xf>
    <xf numFmtId="1" fontId="104" fillId="0" borderId="15" xfId="151" applyNumberFormat="1" applyFont="1" applyFill="1" applyBorder="1" applyAlignment="1" applyProtection="1">
      <alignment horizontal="right" vertical="top" wrapText="1"/>
      <protection locked="0"/>
    </xf>
    <xf numFmtId="0" fontId="104" fillId="0" borderId="30" xfId="151" applyFont="1" applyFill="1" applyBorder="1" applyAlignment="1" applyProtection="1">
      <alignment horizontal="right" vertical="top" wrapText="1"/>
      <protection locked="0"/>
    </xf>
    <xf numFmtId="0" fontId="112" fillId="0" borderId="31" xfId="151" applyFont="1" applyBorder="1"/>
    <xf numFmtId="0" fontId="133" fillId="0" borderId="31" xfId="151" applyFont="1" applyBorder="1"/>
    <xf numFmtId="0" fontId="136" fillId="0" borderId="31" xfId="151" applyFont="1" applyBorder="1"/>
    <xf numFmtId="0" fontId="133" fillId="0" borderId="31" xfId="151" applyFont="1" applyBorder="1" applyAlignment="1">
      <alignment horizontal="center"/>
    </xf>
    <xf numFmtId="1" fontId="136" fillId="0" borderId="31" xfId="151" applyNumberFormat="1" applyFont="1" applyBorder="1"/>
    <xf numFmtId="0" fontId="137" fillId="0" borderId="0" xfId="151" applyFont="1" applyAlignment="1">
      <alignment horizontal="left"/>
    </xf>
    <xf numFmtId="0" fontId="137" fillId="0" borderId="0" xfId="151" applyFont="1"/>
    <xf numFmtId="0" fontId="133" fillId="0" borderId="0" xfId="151" applyFont="1" applyAlignment="1"/>
    <xf numFmtId="0" fontId="7" fillId="32" borderId="13" xfId="153" applyFont="1" applyFill="1" applyBorder="1" applyAlignment="1" applyProtection="1">
      <alignment vertical="top" wrapText="1"/>
      <protection locked="0"/>
    </xf>
    <xf numFmtId="0" fontId="71" fillId="0" borderId="0" xfId="0" applyFont="1"/>
    <xf numFmtId="0" fontId="7" fillId="0" borderId="31" xfId="156" applyFont="1" applyFill="1" applyBorder="1"/>
    <xf numFmtId="0" fontId="140" fillId="0" borderId="0" xfId="36" applyNumberFormat="1" applyFont="1" applyFill="1" applyBorder="1" applyAlignment="1" applyProtection="1">
      <alignment horizontal="left" vertical="top" indent="4"/>
    </xf>
    <xf numFmtId="0" fontId="138" fillId="0" borderId="0" xfId="45" applyNumberFormat="1" applyFont="1" applyFill="1" applyBorder="1" applyAlignment="1" applyProtection="1">
      <alignment horizontal="left" vertical="top" wrapText="1" indent="3"/>
    </xf>
    <xf numFmtId="0" fontId="138" fillId="0" borderId="0" xfId="45" applyNumberFormat="1" applyFont="1" applyFill="1" applyBorder="1" applyAlignment="1" applyProtection="1">
      <alignment horizontal="left" vertical="top" wrapText="1" indent="2"/>
    </xf>
    <xf numFmtId="0" fontId="138" fillId="0" borderId="0" xfId="45" applyNumberFormat="1" applyFont="1" applyFill="1" applyBorder="1" applyAlignment="1" applyProtection="1">
      <alignment horizontal="left" vertical="top" wrapText="1" indent="4"/>
    </xf>
    <xf numFmtId="0" fontId="138" fillId="0" borderId="0" xfId="45" applyNumberFormat="1" applyFont="1" applyFill="1" applyBorder="1" applyAlignment="1" applyProtection="1">
      <alignment horizontal="left" vertical="top" wrapText="1" indent="5"/>
    </xf>
    <xf numFmtId="0" fontId="140" fillId="0" borderId="0" xfId="36" applyNumberFormat="1" applyFont="1" applyFill="1" applyBorder="1" applyAlignment="1" applyProtection="1">
      <alignment horizontal="left" vertical="top" indent="6"/>
    </xf>
    <xf numFmtId="0" fontId="138" fillId="0" borderId="0" xfId="45" applyNumberFormat="1" applyFont="1" applyFill="1" applyBorder="1" applyAlignment="1" applyProtection="1">
      <alignment horizontal="left" vertical="top" indent="5"/>
    </xf>
    <xf numFmtId="0" fontId="138" fillId="0" borderId="0" xfId="45" applyNumberFormat="1" applyFont="1" applyFill="1" applyBorder="1" applyAlignment="1" applyProtection="1">
      <alignment horizontal="left" vertical="top" wrapText="1" indent="6"/>
    </xf>
    <xf numFmtId="0" fontId="140" fillId="0" borderId="0" xfId="36" applyNumberFormat="1" applyFont="1" applyFill="1" applyBorder="1" applyAlignment="1" applyProtection="1">
      <alignment horizontal="left" vertical="top" indent="7"/>
    </xf>
    <xf numFmtId="0" fontId="141" fillId="0" borderId="0" xfId="36" applyNumberFormat="1" applyFont="1" applyFill="1" applyBorder="1" applyAlignment="1" applyProtection="1">
      <alignment horizontal="left" vertical="top" indent="4"/>
    </xf>
    <xf numFmtId="0" fontId="139" fillId="0" borderId="0" xfId="36" applyNumberFormat="1" applyFont="1" applyFill="1" applyBorder="1" applyAlignment="1" applyProtection="1">
      <alignment horizontal="left" vertical="top" indent="5"/>
    </xf>
    <xf numFmtId="3" fontId="122" fillId="0" borderId="0" xfId="0" applyNumberFormat="1" applyFont="1" applyFill="1" applyAlignment="1">
      <alignment vertical="top"/>
    </xf>
    <xf numFmtId="9" fontId="26" fillId="0" borderId="0" xfId="46" applyFont="1" applyFill="1" applyBorder="1" applyAlignment="1" applyProtection="1">
      <alignment vertical="top"/>
    </xf>
    <xf numFmtId="3" fontId="122" fillId="0" borderId="0" xfId="31" applyNumberFormat="1" applyFont="1" applyFill="1" applyBorder="1" applyAlignment="1" applyProtection="1">
      <alignment vertical="top" wrapText="1"/>
    </xf>
    <xf numFmtId="3" fontId="122" fillId="0" borderId="0" xfId="36" applyNumberFormat="1" applyFont="1" applyFill="1" applyBorder="1" applyAlignment="1" applyProtection="1">
      <alignment vertical="top"/>
    </xf>
    <xf numFmtId="9" fontId="122" fillId="0" borderId="0" xfId="46" applyFont="1" applyFill="1" applyBorder="1" applyAlignment="1" applyProtection="1">
      <alignment vertical="top"/>
    </xf>
    <xf numFmtId="3" fontId="46" fillId="0" borderId="0" xfId="31" applyNumberFormat="1" applyFont="1" applyFill="1" applyBorder="1" applyAlignment="1" applyProtection="1">
      <alignment vertical="top" wrapText="1"/>
    </xf>
    <xf numFmtId="3" fontId="46" fillId="0" borderId="0" xfId="36" applyNumberFormat="1" applyFont="1" applyFill="1" applyBorder="1" applyAlignment="1" applyProtection="1">
      <alignment vertical="top"/>
    </xf>
    <xf numFmtId="9" fontId="46" fillId="0" borderId="0" xfId="46" applyFont="1" applyFill="1" applyBorder="1" applyAlignment="1" applyProtection="1">
      <alignment vertical="top"/>
    </xf>
    <xf numFmtId="3" fontId="75" fillId="0" borderId="0" xfId="31" applyNumberFormat="1" applyFont="1" applyFill="1" applyBorder="1" applyAlignment="1" applyProtection="1">
      <alignment vertical="top" wrapText="1"/>
    </xf>
    <xf numFmtId="0" fontId="122" fillId="0" borderId="0" xfId="0" applyFont="1" applyFill="1"/>
    <xf numFmtId="3" fontId="138" fillId="0" borderId="0" xfId="36" applyNumberFormat="1" applyFont="1" applyFill="1" applyBorder="1" applyAlignment="1" applyProtection="1">
      <alignment vertical="top"/>
    </xf>
    <xf numFmtId="9" fontId="140" fillId="0" borderId="0" xfId="46" applyFont="1" applyFill="1" applyBorder="1" applyAlignment="1" applyProtection="1">
      <alignment vertical="top"/>
    </xf>
    <xf numFmtId="3" fontId="140" fillId="0" borderId="0" xfId="36" applyNumberFormat="1" applyFont="1" applyFill="1" applyBorder="1" applyAlignment="1" applyProtection="1">
      <alignment vertical="top"/>
    </xf>
    <xf numFmtId="3" fontId="138" fillId="0" borderId="0" xfId="31" applyNumberFormat="1" applyFont="1" applyFill="1" applyBorder="1" applyAlignment="1" applyProtection="1">
      <alignment vertical="top" wrapText="1"/>
    </xf>
    <xf numFmtId="9" fontId="138" fillId="0" borderId="0" xfId="46" applyFont="1" applyFill="1" applyBorder="1" applyAlignment="1" applyProtection="1">
      <alignment vertical="top"/>
    </xf>
    <xf numFmtId="3" fontId="140" fillId="0" borderId="0" xfId="31" applyNumberFormat="1" applyFont="1" applyFill="1" applyBorder="1" applyAlignment="1" applyProtection="1">
      <alignment vertical="top" wrapText="1"/>
    </xf>
    <xf numFmtId="9" fontId="7" fillId="0" borderId="0" xfId="46" applyFont="1" applyFill="1" applyBorder="1" applyAlignment="1" applyProtection="1">
      <alignment vertical="top"/>
    </xf>
    <xf numFmtId="3" fontId="142" fillId="0" borderId="0" xfId="31" applyNumberFormat="1" applyFont="1" applyFill="1" applyBorder="1" applyAlignment="1" applyProtection="1">
      <alignment vertical="top" wrapText="1"/>
    </xf>
    <xf numFmtId="3" fontId="143" fillId="0" borderId="0" xfId="36" applyNumberFormat="1" applyFont="1" applyFill="1" applyBorder="1" applyAlignment="1" applyProtection="1">
      <alignment vertical="top"/>
    </xf>
    <xf numFmtId="3" fontId="142" fillId="0" borderId="0" xfId="36" applyNumberFormat="1" applyFont="1" applyFill="1" applyBorder="1" applyAlignment="1" applyProtection="1">
      <alignment vertical="top"/>
    </xf>
    <xf numFmtId="9" fontId="142" fillId="0" borderId="0" xfId="46" applyFont="1" applyFill="1" applyBorder="1" applyAlignment="1" applyProtection="1">
      <alignment vertical="top"/>
    </xf>
    <xf numFmtId="9" fontId="44" fillId="0" borderId="0" xfId="46" applyFont="1" applyFill="1" applyBorder="1" applyAlignment="1" applyProtection="1">
      <alignment vertical="top"/>
    </xf>
    <xf numFmtId="3" fontId="141" fillId="0" borderId="0" xfId="36" applyNumberFormat="1" applyFont="1" applyFill="1" applyBorder="1" applyAlignment="1" applyProtection="1">
      <alignment vertical="top"/>
    </xf>
    <xf numFmtId="3" fontId="141" fillId="0" borderId="0" xfId="31" applyNumberFormat="1" applyFont="1" applyFill="1" applyBorder="1" applyAlignment="1" applyProtection="1">
      <alignment vertical="top" wrapText="1"/>
    </xf>
    <xf numFmtId="9" fontId="141" fillId="0" borderId="0" xfId="46" applyFont="1" applyFill="1" applyBorder="1" applyAlignment="1" applyProtection="1">
      <alignment vertical="top"/>
    </xf>
    <xf numFmtId="3" fontId="139" fillId="0" borderId="0" xfId="36" applyNumberFormat="1" applyFont="1" applyFill="1" applyBorder="1" applyAlignment="1" applyProtection="1">
      <alignment vertical="top"/>
    </xf>
    <xf numFmtId="3" fontId="139" fillId="0" borderId="0" xfId="31" applyNumberFormat="1" applyFont="1" applyFill="1" applyBorder="1" applyAlignment="1" applyProtection="1">
      <alignment vertical="top" wrapText="1"/>
    </xf>
    <xf numFmtId="9" fontId="139" fillId="0" borderId="0" xfId="46" applyFont="1" applyFill="1" applyBorder="1" applyAlignment="1" applyProtection="1">
      <alignment vertical="top"/>
    </xf>
    <xf numFmtId="3" fontId="7" fillId="0" borderId="0" xfId="46" applyNumberFormat="1" applyFont="1" applyFill="1" applyBorder="1" applyAlignment="1" applyProtection="1">
      <alignment vertical="top"/>
    </xf>
    <xf numFmtId="3" fontId="44" fillId="0" borderId="0" xfId="46" applyNumberFormat="1" applyFont="1" applyFill="1" applyBorder="1" applyAlignment="1" applyProtection="1">
      <alignment vertical="top"/>
    </xf>
    <xf numFmtId="3" fontId="26" fillId="0" borderId="0" xfId="46" applyNumberFormat="1" applyFont="1" applyFill="1" applyBorder="1" applyAlignment="1" applyProtection="1">
      <alignment vertical="top"/>
    </xf>
    <xf numFmtId="3" fontId="89" fillId="0" borderId="0" xfId="36" applyNumberFormat="1" applyFont="1" applyFill="1" applyBorder="1" applyAlignment="1" applyProtection="1">
      <alignment vertical="top"/>
    </xf>
    <xf numFmtId="0" fontId="82" fillId="0" borderId="31" xfId="0" applyFont="1" applyFill="1" applyBorder="1" applyAlignment="1">
      <alignment horizontal="center" vertical="top" wrapText="1"/>
    </xf>
    <xf numFmtId="0" fontId="7" fillId="32" borderId="31" xfId="153" applyFont="1" applyFill="1" applyBorder="1" applyAlignment="1" applyProtection="1">
      <alignment horizontal="left" vertical="top" wrapText="1"/>
      <protection locked="0"/>
    </xf>
    <xf numFmtId="0" fontId="7" fillId="32" borderId="31" xfId="153" applyFont="1" applyFill="1" applyBorder="1" applyAlignment="1" applyProtection="1">
      <alignment vertical="top" wrapText="1"/>
      <protection locked="0"/>
    </xf>
    <xf numFmtId="0" fontId="26" fillId="0" borderId="31" xfId="148" applyFont="1" applyFill="1" applyBorder="1" applyAlignment="1" applyProtection="1">
      <alignment horizontal="left" wrapText="1"/>
      <protection locked="0"/>
    </xf>
    <xf numFmtId="0" fontId="7" fillId="0" borderId="31" xfId="148" applyFont="1" applyFill="1" applyBorder="1" applyAlignment="1" applyProtection="1">
      <alignment wrapText="1"/>
      <protection locked="0"/>
    </xf>
    <xf numFmtId="0" fontId="7" fillId="0" borderId="31" xfId="0" applyFont="1" applyFill="1" applyBorder="1" applyAlignment="1" applyProtection="1">
      <alignment vertical="top" wrapText="1"/>
      <protection locked="0"/>
    </xf>
    <xf numFmtId="0" fontId="92" fillId="30" borderId="0" xfId="50" applyFont="1" applyFill="1" applyBorder="1" applyAlignment="1">
      <alignment vertical="top" wrapText="1"/>
    </xf>
    <xf numFmtId="0" fontId="92" fillId="30" borderId="0" xfId="50" applyFont="1" applyFill="1" applyBorder="1" applyAlignment="1">
      <alignment horizontal="center" vertical="top" wrapText="1"/>
    </xf>
    <xf numFmtId="0" fontId="92" fillId="30" borderId="0" xfId="50" applyFont="1" applyFill="1" applyBorder="1" applyAlignment="1">
      <alignment horizontal="right" vertical="top" wrapText="1"/>
    </xf>
    <xf numFmtId="0" fontId="103" fillId="0" borderId="0" xfId="50" applyFont="1" applyFill="1" applyBorder="1" applyAlignment="1">
      <alignment vertical="top"/>
    </xf>
    <xf numFmtId="0" fontId="103" fillId="0" borderId="0" xfId="50" applyFont="1" applyFill="1" applyBorder="1"/>
    <xf numFmtId="3" fontId="103" fillId="0" borderId="0" xfId="37" applyNumberFormat="1" applyFont="1" applyFill="1" applyBorder="1" applyAlignment="1">
      <alignment horizontal="right"/>
    </xf>
    <xf numFmtId="0" fontId="103" fillId="30" borderId="0" xfId="50" applyFont="1" applyFill="1" applyBorder="1" applyAlignment="1">
      <alignment vertical="top"/>
    </xf>
    <xf numFmtId="0" fontId="104" fillId="0" borderId="0" xfId="50" applyFont="1" applyFill="1" applyBorder="1" applyAlignment="1">
      <alignment vertical="top"/>
    </xf>
    <xf numFmtId="0" fontId="104" fillId="0" borderId="0" xfId="50" applyFont="1" applyFill="1" applyBorder="1" applyAlignment="1">
      <alignment horizontal="left" vertical="top" wrapText="1"/>
    </xf>
    <xf numFmtId="3" fontId="104" fillId="0" borderId="0" xfId="0" applyNumberFormat="1" applyFont="1" applyFill="1" applyBorder="1" applyAlignment="1" applyProtection="1">
      <alignment horizontal="right" vertical="top"/>
      <protection locked="0"/>
    </xf>
    <xf numFmtId="3" fontId="104" fillId="0" borderId="0" xfId="0" applyNumberFormat="1" applyFont="1" applyFill="1" applyBorder="1" applyAlignment="1" applyProtection="1">
      <alignment vertical="top"/>
      <protection locked="0"/>
    </xf>
    <xf numFmtId="0" fontId="103" fillId="30" borderId="0" xfId="50" applyFont="1" applyFill="1" applyBorder="1"/>
    <xf numFmtId="3" fontId="103" fillId="30" borderId="0" xfId="37" applyNumberFormat="1" applyFont="1" applyFill="1" applyBorder="1" applyAlignment="1">
      <alignment horizontal="right"/>
    </xf>
    <xf numFmtId="0" fontId="104" fillId="0" borderId="0" xfId="50" applyFont="1" applyFill="1" applyBorder="1" applyAlignment="1">
      <alignment horizontal="right" vertical="top"/>
    </xf>
    <xf numFmtId="0" fontId="97" fillId="0" borderId="0" xfId="50" applyFont="1" applyAlignment="1">
      <alignment vertical="top"/>
    </xf>
    <xf numFmtId="0" fontId="103" fillId="0" borderId="0" xfId="50" applyFont="1" applyFill="1" applyBorder="1" applyAlignment="1"/>
    <xf numFmtId="0" fontId="104" fillId="0" borderId="0" xfId="50" applyFont="1" applyFill="1" applyBorder="1" applyAlignment="1">
      <alignment horizontal="left" vertical="top"/>
    </xf>
    <xf numFmtId="0" fontId="104" fillId="31" borderId="0" xfId="164" applyFont="1" applyFill="1" applyBorder="1" applyAlignment="1">
      <alignment horizontal="right" vertical="top" wrapText="1"/>
    </xf>
    <xf numFmtId="0" fontId="103" fillId="31" borderId="0" xfId="164" applyFont="1" applyFill="1" applyBorder="1" applyAlignment="1">
      <alignment horizontal="left" vertical="top"/>
    </xf>
    <xf numFmtId="0" fontId="103" fillId="31" borderId="0" xfId="164" applyFont="1" applyFill="1" applyBorder="1" applyAlignment="1">
      <alignment horizontal="center" vertical="top"/>
    </xf>
    <xf numFmtId="3" fontId="103" fillId="31" borderId="0" xfId="164" applyNumberFormat="1" applyFont="1" applyFill="1" applyBorder="1" applyAlignment="1">
      <alignment horizontal="right" vertical="top" wrapText="1"/>
    </xf>
    <xf numFmtId="0" fontId="104" fillId="0" borderId="0" xfId="50" applyFont="1" applyFill="1" applyBorder="1" applyAlignment="1">
      <alignment vertical="top" wrapText="1"/>
    </xf>
    <xf numFmtId="3" fontId="104" fillId="0" borderId="0" xfId="37" applyNumberFormat="1" applyFont="1" applyFill="1" applyBorder="1" applyAlignment="1">
      <alignment horizontal="right" vertical="top"/>
    </xf>
    <xf numFmtId="3" fontId="104" fillId="0" borderId="0" xfId="37" applyNumberFormat="1" applyFont="1" applyFill="1" applyBorder="1" applyAlignment="1">
      <alignment horizontal="left" vertical="top" wrapText="1"/>
    </xf>
    <xf numFmtId="3" fontId="104" fillId="0" borderId="0" xfId="37" applyNumberFormat="1" applyFont="1" applyFill="1" applyBorder="1" applyAlignment="1">
      <alignment horizontal="left" vertical="center" wrapText="1"/>
    </xf>
    <xf numFmtId="0" fontId="111" fillId="0" borderId="0" xfId="50" applyFont="1" applyFill="1" applyBorder="1" applyAlignment="1">
      <alignment horizontal="left" vertical="center" wrapText="1"/>
    </xf>
    <xf numFmtId="0" fontId="92" fillId="31" borderId="0" xfId="50" applyFont="1" applyFill="1" applyBorder="1" applyAlignment="1">
      <alignment horizontal="center" vertical="top" wrapText="1"/>
    </xf>
    <xf numFmtId="0" fontId="92" fillId="31" borderId="0" xfId="50" applyFont="1" applyFill="1" applyBorder="1" applyAlignment="1">
      <alignment horizontal="left" vertical="top"/>
    </xf>
    <xf numFmtId="0" fontId="92" fillId="31" borderId="0" xfId="50" applyFont="1" applyFill="1" applyBorder="1" applyAlignment="1">
      <alignment horizontal="center" vertical="top"/>
    </xf>
    <xf numFmtId="3" fontId="92" fillId="31" borderId="0" xfId="50" applyNumberFormat="1" applyFont="1" applyFill="1" applyBorder="1" applyAlignment="1">
      <alignment horizontal="right" vertical="top" wrapText="1"/>
    </xf>
    <xf numFmtId="0" fontId="33" fillId="0" borderId="0" xfId="167" applyFont="1" applyFill="1" applyAlignment="1">
      <alignment horizontal="left"/>
    </xf>
    <xf numFmtId="0" fontId="28" fillId="0" borderId="0" xfId="167" applyFont="1" applyFill="1" applyAlignment="1">
      <alignment horizontal="left"/>
    </xf>
    <xf numFmtId="1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" fontId="7" fillId="0" borderId="0" xfId="0" applyNumberFormat="1" applyFont="1"/>
    <xf numFmtId="0" fontId="28" fillId="0" borderId="0" xfId="0" applyFont="1" applyFill="1" applyAlignment="1">
      <alignment horizontal="right"/>
    </xf>
    <xf numFmtId="0" fontId="29" fillId="0" borderId="0" xfId="0" applyFont="1" applyProtection="1">
      <protection locked="0"/>
    </xf>
    <xf numFmtId="0" fontId="7" fillId="0" borderId="0" xfId="167" applyFont="1" applyFill="1" applyBorder="1" applyAlignment="1">
      <alignment horizontal="left"/>
    </xf>
    <xf numFmtId="0" fontId="28" fillId="0" borderId="0" xfId="167" applyFont="1" applyFill="1" applyBorder="1" applyAlignment="1">
      <alignment horizontal="left"/>
    </xf>
    <xf numFmtId="1" fontId="28" fillId="0" borderId="0" xfId="167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1" fontId="7" fillId="0" borderId="0" xfId="0" applyNumberFormat="1" applyFont="1" applyBorder="1"/>
    <xf numFmtId="0" fontId="7" fillId="0" borderId="0" xfId="0" applyFont="1" applyFill="1" applyBorder="1" applyAlignment="1">
      <alignment horizontal="left"/>
    </xf>
    <xf numFmtId="0" fontId="44" fillId="0" borderId="0" xfId="167" applyFont="1" applyFill="1" applyAlignment="1" applyProtection="1">
      <alignment horizontal="left"/>
      <protection locked="0"/>
    </xf>
    <xf numFmtId="0" fontId="44" fillId="0" borderId="0" xfId="167" applyFont="1" applyFill="1" applyBorder="1" applyAlignment="1" applyProtection="1">
      <alignment horizontal="right"/>
      <protection locked="0"/>
    </xf>
    <xf numFmtId="0" fontId="28" fillId="30" borderId="31" xfId="167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top" wrapText="1"/>
    </xf>
    <xf numFmtId="0" fontId="46" fillId="0" borderId="31" xfId="0" applyFont="1" applyFill="1" applyBorder="1" applyAlignment="1">
      <alignment horizontal="center" vertical="top" wrapText="1"/>
    </xf>
    <xf numFmtId="1" fontId="7" fillId="0" borderId="31" xfId="167" applyNumberFormat="1" applyFont="1" applyFill="1" applyBorder="1" applyAlignment="1">
      <alignment horizontal="center" vertical="top" wrapText="1"/>
    </xf>
    <xf numFmtId="1" fontId="44" fillId="0" borderId="31" xfId="167" applyNumberFormat="1" applyFont="1" applyFill="1" applyBorder="1" applyAlignment="1">
      <alignment horizontal="center" vertical="top" wrapText="1"/>
    </xf>
    <xf numFmtId="0" fontId="46" fillId="0" borderId="31" xfId="167" applyFont="1" applyFill="1" applyBorder="1" applyAlignment="1">
      <alignment horizontal="center"/>
    </xf>
    <xf numFmtId="0" fontId="46" fillId="0" borderId="31" xfId="167" applyFont="1" applyFill="1" applyBorder="1" applyAlignment="1">
      <alignment horizontal="center" wrapText="1"/>
    </xf>
    <xf numFmtId="1" fontId="46" fillId="0" borderId="31" xfId="167" applyNumberFormat="1" applyFont="1" applyFill="1" applyBorder="1" applyAlignment="1">
      <alignment horizontal="center" wrapText="1"/>
    </xf>
    <xf numFmtId="1" fontId="44" fillId="0" borderId="31" xfId="167" applyNumberFormat="1" applyFont="1" applyFill="1" applyBorder="1" applyAlignment="1">
      <alignment horizontal="center" wrapText="1"/>
    </xf>
    <xf numFmtId="0" fontId="46" fillId="0" borderId="31" xfId="0" applyFont="1" applyFill="1" applyBorder="1" applyAlignment="1">
      <alignment horizontal="center"/>
    </xf>
    <xf numFmtId="0" fontId="145" fillId="0" borderId="31" xfId="167" applyFont="1" applyFill="1" applyBorder="1" applyAlignment="1">
      <alignment horizontal="left"/>
    </xf>
    <xf numFmtId="0" fontId="46" fillId="0" borderId="31" xfId="0" applyFont="1" applyFill="1" applyBorder="1" applyAlignment="1">
      <alignment horizontal="left"/>
    </xf>
    <xf numFmtId="0" fontId="7" fillId="0" borderId="31" xfId="167" applyFont="1" applyFill="1" applyBorder="1" applyAlignment="1">
      <alignment horizontal="left"/>
    </xf>
    <xf numFmtId="3" fontId="46" fillId="0" borderId="31" xfId="167" applyNumberFormat="1" applyFont="1" applyFill="1" applyBorder="1" applyAlignment="1">
      <alignment horizontal="center" wrapText="1"/>
    </xf>
    <xf numFmtId="0" fontId="46" fillId="0" borderId="31" xfId="0" applyFont="1" applyFill="1" applyBorder="1" applyAlignment="1">
      <alignment wrapText="1"/>
    </xf>
    <xf numFmtId="3" fontId="46" fillId="0" borderId="0" xfId="167" applyNumberFormat="1" applyFont="1" applyFill="1" applyBorder="1" applyAlignment="1">
      <alignment horizontal="center" wrapText="1"/>
    </xf>
    <xf numFmtId="0" fontId="46" fillId="0" borderId="31" xfId="167" applyFont="1" applyFill="1" applyBorder="1" applyAlignment="1">
      <alignment horizontal="left"/>
    </xf>
    <xf numFmtId="0" fontId="48" fillId="29" borderId="31" xfId="167" applyFont="1" applyFill="1" applyBorder="1" applyAlignment="1">
      <alignment horizontal="left"/>
    </xf>
    <xf numFmtId="3" fontId="48" fillId="29" borderId="31" xfId="167" applyNumberFormat="1" applyFont="1" applyFill="1" applyBorder="1" applyAlignment="1">
      <alignment horizontal="center"/>
    </xf>
    <xf numFmtId="3" fontId="145" fillId="29" borderId="31" xfId="167" applyNumberFormat="1" applyFont="1" applyFill="1" applyBorder="1" applyAlignment="1">
      <alignment horizontal="center"/>
    </xf>
    <xf numFmtId="167" fontId="48" fillId="29" borderId="31" xfId="167" applyNumberFormat="1" applyFont="1" applyFill="1" applyBorder="1" applyAlignment="1">
      <alignment horizontal="center"/>
    </xf>
    <xf numFmtId="3" fontId="46" fillId="29" borderId="31" xfId="168" applyNumberFormat="1" applyFont="1" applyFill="1" applyBorder="1" applyAlignment="1">
      <alignment horizontal="left"/>
    </xf>
    <xf numFmtId="0" fontId="28" fillId="0" borderId="0" xfId="167" applyFont="1" applyFill="1" applyBorder="1"/>
    <xf numFmtId="0" fontId="7" fillId="0" borderId="0" xfId="167" applyFont="1" applyFill="1" applyBorder="1" applyAlignment="1">
      <alignment horizontal="center"/>
    </xf>
    <xf numFmtId="1" fontId="7" fillId="0" borderId="0" xfId="167" applyNumberFormat="1" applyFont="1" applyFill="1" applyBorder="1" applyAlignment="1">
      <alignment horizontal="right"/>
    </xf>
    <xf numFmtId="3" fontId="147" fillId="0" borderId="0" xfId="0" applyNumberFormat="1" applyFont="1" applyFill="1" applyBorder="1" applyAlignment="1"/>
    <xf numFmtId="1" fontId="7" fillId="0" borderId="0" xfId="168" applyNumberFormat="1" applyFont="1" applyFill="1" applyBorder="1" applyAlignment="1"/>
    <xf numFmtId="3" fontId="7" fillId="0" borderId="0" xfId="168" applyNumberFormat="1" applyFont="1" applyFill="1" applyBorder="1" applyAlignment="1">
      <alignment horizontal="left"/>
    </xf>
    <xf numFmtId="0" fontId="79" fillId="0" borderId="0" xfId="0" applyFont="1" applyBorder="1"/>
    <xf numFmtId="0" fontId="29" fillId="0" borderId="0" xfId="0" applyFont="1" applyBorder="1"/>
    <xf numFmtId="0" fontId="7" fillId="0" borderId="0" xfId="0" applyFont="1" applyBorder="1" applyAlignment="1">
      <alignment horizontal="center"/>
    </xf>
    <xf numFmtId="14" fontId="29" fillId="0" borderId="0" xfId="0" applyNumberFormat="1" applyFont="1" applyBorder="1" applyAlignment="1">
      <alignment horizontal="left"/>
    </xf>
    <xf numFmtId="0" fontId="148" fillId="0" borderId="0" xfId="0" applyFont="1" applyFill="1"/>
    <xf numFmtId="0" fontId="17" fillId="0" borderId="0" xfId="0" applyFont="1" applyFill="1"/>
    <xf numFmtId="1" fontId="17" fillId="0" borderId="0" xfId="0" applyNumberFormat="1" applyFont="1" applyFill="1"/>
    <xf numFmtId="0" fontId="17" fillId="0" borderId="0" xfId="0" applyFont="1" applyFill="1" applyAlignment="1">
      <alignment horizontal="left"/>
    </xf>
    <xf numFmtId="1" fontId="37" fillId="0" borderId="0" xfId="0" applyNumberFormat="1" applyFont="1" applyFill="1"/>
    <xf numFmtId="0" fontId="37" fillId="0" borderId="0" xfId="0" applyFont="1" applyFill="1" applyAlignment="1">
      <alignment horizontal="left"/>
    </xf>
    <xf numFmtId="1" fontId="7" fillId="0" borderId="0" xfId="0" applyNumberFormat="1" applyFont="1" applyFill="1"/>
    <xf numFmtId="0" fontId="149" fillId="0" borderId="0" xfId="0" applyFont="1" applyFill="1"/>
    <xf numFmtId="1" fontId="149" fillId="0" borderId="0" xfId="0" applyNumberFormat="1" applyFont="1" applyFill="1"/>
    <xf numFmtId="0" fontId="149" fillId="0" borderId="0" xfId="0" applyFont="1" applyFill="1" applyAlignment="1">
      <alignment horizontal="left"/>
    </xf>
    <xf numFmtId="0" fontId="33" fillId="0" borderId="0" xfId="0" applyFont="1" applyProtection="1">
      <protection locked="0"/>
    </xf>
    <xf numFmtId="0" fontId="7" fillId="0" borderId="0" xfId="0" applyFont="1" applyProtection="1">
      <protection locked="0"/>
    </xf>
    <xf numFmtId="171" fontId="7" fillId="0" borderId="0" xfId="169" applyNumberFormat="1" applyFont="1" applyFill="1" applyAlignment="1" applyProtection="1">
      <alignment horizontal="right"/>
      <protection locked="0"/>
    </xf>
    <xf numFmtId="0" fontId="28" fillId="0" borderId="0" xfId="0" applyFont="1" applyProtection="1">
      <protection locked="0"/>
    </xf>
    <xf numFmtId="171" fontId="41" fillId="0" borderId="0" xfId="169" applyNumberFormat="1" applyFont="1" applyAlignment="1" applyProtection="1">
      <alignment horizontal="center"/>
      <protection locked="0"/>
    </xf>
    <xf numFmtId="171" fontId="7" fillId="0" borderId="0" xfId="169" applyNumberFormat="1" applyFont="1" applyAlignment="1" applyProtection="1">
      <alignment horizontal="right"/>
      <protection locked="0"/>
    </xf>
    <xf numFmtId="171" fontId="28" fillId="0" borderId="0" xfId="169" applyNumberFormat="1" applyFont="1" applyFill="1" applyBorder="1" applyAlignment="1" applyProtection="1">
      <alignment horizontal="right"/>
      <protection locked="0"/>
    </xf>
    <xf numFmtId="171" fontId="29" fillId="0" borderId="0" xfId="169" applyNumberFormat="1" applyFont="1" applyAlignment="1" applyProtection="1">
      <alignment horizontal="center"/>
      <protection locked="0"/>
    </xf>
    <xf numFmtId="0" fontId="29" fillId="0" borderId="31" xfId="0" applyFont="1" applyBorder="1" applyProtection="1">
      <protection locked="0"/>
    </xf>
    <xf numFmtId="0" fontId="28" fillId="34" borderId="31" xfId="0" applyFont="1" applyFill="1" applyBorder="1" applyProtection="1">
      <protection locked="0"/>
    </xf>
    <xf numFmtId="170" fontId="28" fillId="34" borderId="31" xfId="169" applyNumberFormat="1" applyFont="1" applyFill="1" applyBorder="1" applyAlignment="1" applyProtection="1">
      <alignment horizontal="center"/>
      <protection locked="0"/>
    </xf>
    <xf numFmtId="170" fontId="28" fillId="34" borderId="31" xfId="169" applyNumberFormat="1" applyFont="1" applyFill="1" applyBorder="1" applyAlignment="1" applyProtection="1">
      <alignment horizontal="left"/>
      <protection locked="0"/>
    </xf>
    <xf numFmtId="170" fontId="28" fillId="34" borderId="31" xfId="169" applyNumberFormat="1" applyFont="1" applyFill="1" applyBorder="1" applyAlignment="1" applyProtection="1">
      <alignment horizontal="center"/>
    </xf>
    <xf numFmtId="0" fontId="28" fillId="0" borderId="31" xfId="0" applyFont="1" applyFill="1" applyBorder="1" applyProtection="1">
      <protection locked="0"/>
    </xf>
    <xf numFmtId="170" fontId="28" fillId="0" borderId="33" xfId="169" applyNumberFormat="1" applyFont="1" applyFill="1" applyBorder="1" applyAlignment="1" applyProtection="1">
      <alignment horizontal="center"/>
      <protection locked="0"/>
    </xf>
    <xf numFmtId="170" fontId="28" fillId="0" borderId="31" xfId="169" applyNumberFormat="1" applyFont="1" applyFill="1" applyBorder="1" applyAlignment="1" applyProtection="1">
      <alignment horizontal="center"/>
      <protection locked="0"/>
    </xf>
    <xf numFmtId="0" fontId="28" fillId="0" borderId="30" xfId="0" applyFont="1" applyFill="1" applyBorder="1" applyProtection="1">
      <protection locked="0"/>
    </xf>
    <xf numFmtId="171" fontId="28" fillId="0" borderId="23" xfId="169" applyNumberFormat="1" applyFont="1" applyFill="1" applyBorder="1" applyAlignment="1" applyProtection="1">
      <alignment horizontal="center"/>
      <protection locked="0"/>
    </xf>
    <xf numFmtId="171" fontId="7" fillId="0" borderId="15" xfId="169" applyNumberFormat="1" applyFont="1" applyFill="1" applyBorder="1" applyAlignment="1" applyProtection="1">
      <alignment horizontal="left"/>
      <protection locked="0"/>
    </xf>
    <xf numFmtId="170" fontId="28" fillId="0" borderId="30" xfId="169" applyNumberFormat="1" applyFont="1" applyFill="1" applyBorder="1" applyAlignment="1" applyProtection="1">
      <alignment horizontal="center"/>
      <protection locked="0"/>
    </xf>
    <xf numFmtId="0" fontId="28" fillId="35" borderId="31" xfId="0" applyFont="1" applyFill="1" applyBorder="1" applyProtection="1">
      <protection locked="0"/>
    </xf>
    <xf numFmtId="170" fontId="28" fillId="35" borderId="33" xfId="169" applyNumberFormat="1" applyFont="1" applyFill="1" applyBorder="1" applyAlignment="1" applyProtection="1">
      <alignment horizontal="center"/>
      <protection locked="0"/>
    </xf>
    <xf numFmtId="170" fontId="28" fillId="35" borderId="31" xfId="169" applyNumberFormat="1" applyFont="1" applyFill="1" applyBorder="1" applyAlignment="1" applyProtection="1">
      <alignment horizontal="left"/>
      <protection locked="0"/>
    </xf>
    <xf numFmtId="170" fontId="28" fillId="35" borderId="31" xfId="169" applyNumberFormat="1" applyFont="1" applyFill="1" applyBorder="1" applyAlignment="1" applyProtection="1">
      <alignment horizontal="center"/>
    </xf>
    <xf numFmtId="0" fontId="29" fillId="35" borderId="31" xfId="0" applyFont="1" applyFill="1" applyBorder="1" applyProtection="1">
      <protection locked="0"/>
    </xf>
    <xf numFmtId="170" fontId="28" fillId="35" borderId="31" xfId="169" applyNumberFormat="1" applyFont="1" applyFill="1" applyBorder="1" applyAlignment="1" applyProtection="1">
      <alignment horizontal="left"/>
    </xf>
    <xf numFmtId="0" fontId="28" fillId="0" borderId="31" xfId="0" applyFont="1" applyBorder="1" applyAlignment="1" applyProtection="1">
      <alignment wrapText="1"/>
      <protection locked="0"/>
    </xf>
    <xf numFmtId="170" fontId="7" fillId="0" borderId="31" xfId="169" applyNumberFormat="1" applyFont="1" applyFill="1" applyBorder="1" applyAlignment="1" applyProtection="1">
      <alignment horizontal="left"/>
      <protection locked="0"/>
    </xf>
    <xf numFmtId="170" fontId="28" fillId="0" borderId="31" xfId="169" applyNumberFormat="1" applyFont="1" applyFill="1" applyBorder="1" applyAlignment="1" applyProtection="1">
      <alignment horizontal="center"/>
    </xf>
    <xf numFmtId="0" fontId="28" fillId="0" borderId="30" xfId="0" applyFont="1" applyBorder="1" applyAlignment="1" applyProtection="1">
      <alignment wrapText="1"/>
      <protection locked="0"/>
    </xf>
    <xf numFmtId="170" fontId="28" fillId="0" borderId="14" xfId="169" applyNumberFormat="1" applyFont="1" applyFill="1" applyBorder="1" applyAlignment="1" applyProtection="1">
      <alignment horizontal="center"/>
      <protection locked="0"/>
    </xf>
    <xf numFmtId="0" fontId="39" fillId="0" borderId="30" xfId="0" applyFont="1" applyBorder="1" applyAlignment="1" applyProtection="1">
      <alignment wrapText="1"/>
      <protection locked="0"/>
    </xf>
    <xf numFmtId="170" fontId="7" fillId="0" borderId="14" xfId="169" applyNumberFormat="1" applyFont="1" applyFill="1" applyBorder="1" applyAlignment="1" applyProtection="1">
      <alignment horizontal="center" wrapText="1"/>
      <protection locked="0"/>
    </xf>
    <xf numFmtId="170" fontId="7" fillId="0" borderId="15" xfId="169" applyNumberFormat="1" applyFont="1" applyFill="1" applyBorder="1" applyAlignment="1" applyProtection="1">
      <alignment horizontal="left"/>
    </xf>
    <xf numFmtId="170" fontId="7" fillId="0" borderId="15" xfId="169" applyNumberFormat="1" applyFont="1" applyFill="1" applyBorder="1" applyAlignment="1" applyProtection="1">
      <alignment horizontal="right"/>
    </xf>
    <xf numFmtId="0" fontId="39" fillId="35" borderId="31" xfId="0" applyFont="1" applyFill="1" applyBorder="1" applyAlignment="1" applyProtection="1">
      <alignment horizontal="left"/>
      <protection locked="0"/>
    </xf>
    <xf numFmtId="0" fontId="28" fillId="35" borderId="31" xfId="0" applyFont="1" applyFill="1" applyBorder="1" applyAlignment="1" applyProtection="1">
      <alignment wrapText="1"/>
      <protection locked="0"/>
    </xf>
    <xf numFmtId="170" fontId="28" fillId="35" borderId="31" xfId="169" applyNumberFormat="1" applyFont="1" applyFill="1" applyBorder="1" applyAlignment="1" applyProtection="1">
      <alignment horizontal="center" wrapText="1"/>
    </xf>
    <xf numFmtId="170" fontId="28" fillId="35" borderId="31" xfId="169" applyNumberFormat="1" applyFont="1" applyFill="1" applyBorder="1" applyAlignment="1" applyProtection="1">
      <alignment horizontal="right"/>
    </xf>
    <xf numFmtId="0" fontId="28" fillId="0" borderId="31" xfId="0" applyFont="1" applyBorder="1" applyProtection="1">
      <protection locked="0"/>
    </xf>
    <xf numFmtId="170" fontId="7" fillId="0" borderId="31" xfId="169" applyNumberFormat="1" applyFont="1" applyFill="1" applyBorder="1" applyAlignment="1" applyProtection="1">
      <alignment horizontal="center"/>
      <protection locked="0"/>
    </xf>
    <xf numFmtId="170" fontId="7" fillId="0" borderId="31" xfId="169" applyNumberFormat="1" applyFont="1" applyFill="1" applyBorder="1" applyAlignment="1" applyProtection="1">
      <alignment horizontal="left"/>
    </xf>
    <xf numFmtId="170" fontId="28" fillId="0" borderId="31" xfId="169" applyNumberFormat="1" applyFont="1" applyFill="1" applyBorder="1" applyAlignment="1" applyProtection="1">
      <alignment horizontal="right"/>
    </xf>
    <xf numFmtId="0" fontId="39" fillId="35" borderId="31" xfId="0" applyFont="1" applyFill="1" applyBorder="1" applyAlignment="1" applyProtection="1">
      <alignment wrapText="1"/>
      <protection locked="0"/>
    </xf>
    <xf numFmtId="170" fontId="28" fillId="35" borderId="17" xfId="169" applyNumberFormat="1" applyFont="1" applyFill="1" applyBorder="1" applyAlignment="1" applyProtection="1">
      <alignment horizontal="left"/>
    </xf>
    <xf numFmtId="170" fontId="28" fillId="35" borderId="30" xfId="169" applyNumberFormat="1" applyFont="1" applyFill="1" applyBorder="1" applyAlignment="1" applyProtection="1">
      <alignment horizontal="left"/>
    </xf>
    <xf numFmtId="0" fontId="39" fillId="0" borderId="15" xfId="0" applyFont="1" applyBorder="1" applyProtection="1">
      <protection locked="0"/>
    </xf>
    <xf numFmtId="170" fontId="28" fillId="0" borderId="15" xfId="169" applyNumberFormat="1" applyFont="1" applyFill="1" applyBorder="1" applyAlignment="1" applyProtection="1">
      <alignment horizontal="center"/>
      <protection locked="0"/>
    </xf>
    <xf numFmtId="170" fontId="7" fillId="0" borderId="38" xfId="169" applyNumberFormat="1" applyFont="1" applyFill="1" applyBorder="1" applyAlignment="1" applyProtection="1">
      <alignment horizontal="left"/>
      <protection locked="0"/>
    </xf>
    <xf numFmtId="170" fontId="7" fillId="0" borderId="15" xfId="169" applyNumberFormat="1" applyFont="1" applyFill="1" applyBorder="1" applyAlignment="1" applyProtection="1">
      <alignment horizontal="right"/>
      <protection locked="0"/>
    </xf>
    <xf numFmtId="0" fontId="39" fillId="36" borderId="31" xfId="0" applyFont="1" applyFill="1" applyBorder="1" applyAlignment="1" applyProtection="1">
      <alignment horizontal="left" wrapText="1"/>
      <protection locked="0"/>
    </xf>
    <xf numFmtId="170" fontId="28" fillId="36" borderId="31" xfId="169" applyNumberFormat="1" applyFont="1" applyFill="1" applyBorder="1" applyAlignment="1" applyProtection="1">
      <alignment horizontal="center"/>
      <protection locked="0"/>
    </xf>
    <xf numFmtId="170" fontId="39" fillId="36" borderId="32" xfId="169" applyNumberFormat="1" applyFont="1" applyFill="1" applyBorder="1" applyAlignment="1" applyProtection="1">
      <alignment horizontal="left"/>
    </xf>
    <xf numFmtId="170" fontId="39" fillId="36" borderId="31" xfId="169" applyNumberFormat="1" applyFont="1" applyFill="1" applyBorder="1" applyAlignment="1" applyProtection="1">
      <alignment horizontal="left"/>
    </xf>
    <xf numFmtId="0" fontId="29" fillId="36" borderId="31" xfId="0" applyFont="1" applyFill="1" applyBorder="1" applyProtection="1">
      <protection locked="0"/>
    </xf>
    <xf numFmtId="0" fontId="39" fillId="31" borderId="31" xfId="0" applyFont="1" applyFill="1" applyBorder="1" applyProtection="1">
      <protection locked="0"/>
    </xf>
    <xf numFmtId="170" fontId="28" fillId="31" borderId="31" xfId="169" applyNumberFormat="1" applyFont="1" applyFill="1" applyBorder="1" applyAlignment="1" applyProtection="1">
      <alignment horizontal="center"/>
      <protection locked="0"/>
    </xf>
    <xf numFmtId="170" fontId="28" fillId="31" borderId="32" xfId="169" applyNumberFormat="1" applyFont="1" applyFill="1" applyBorder="1" applyAlignment="1" applyProtection="1">
      <alignment horizontal="left"/>
    </xf>
    <xf numFmtId="170" fontId="39" fillId="31" borderId="31" xfId="169" applyNumberFormat="1" applyFont="1" applyFill="1" applyBorder="1" applyAlignment="1" applyProtection="1">
      <alignment horizontal="left"/>
    </xf>
    <xf numFmtId="0" fontId="29" fillId="31" borderId="31" xfId="0" applyFont="1" applyFill="1" applyBorder="1" applyProtection="1">
      <protection locked="0"/>
    </xf>
    <xf numFmtId="0" fontId="7" fillId="0" borderId="31" xfId="0" applyFont="1" applyFill="1" applyBorder="1" applyAlignment="1" applyProtection="1">
      <alignment wrapText="1"/>
      <protection locked="0"/>
    </xf>
    <xf numFmtId="170" fontId="7" fillId="0" borderId="31" xfId="169" applyNumberFormat="1" applyFont="1" applyFill="1" applyBorder="1" applyAlignment="1" applyProtection="1">
      <alignment horizontal="center" wrapText="1"/>
      <protection locked="0"/>
    </xf>
    <xf numFmtId="170" fontId="7" fillId="0" borderId="31" xfId="169" applyNumberFormat="1" applyFont="1" applyFill="1" applyBorder="1" applyAlignment="1" applyProtection="1">
      <alignment horizontal="right"/>
      <protection locked="0"/>
    </xf>
    <xf numFmtId="170" fontId="7" fillId="0" borderId="31" xfId="169" applyNumberFormat="1" applyFont="1" applyFill="1" applyBorder="1" applyAlignment="1" applyProtection="1">
      <alignment horizontal="right"/>
    </xf>
    <xf numFmtId="14" fontId="7" fillId="0" borderId="31" xfId="0" applyNumberFormat="1" applyFont="1" applyFill="1" applyBorder="1" applyAlignment="1" applyProtection="1">
      <alignment wrapText="1"/>
      <protection locked="0"/>
    </xf>
    <xf numFmtId="0" fontId="7" fillId="0" borderId="31" xfId="0" applyFont="1" applyBorder="1" applyAlignment="1" applyProtection="1">
      <alignment wrapText="1"/>
      <protection locked="0"/>
    </xf>
    <xf numFmtId="0" fontId="7" fillId="0" borderId="21" xfId="0" applyFont="1" applyFill="1" applyBorder="1" applyProtection="1">
      <protection locked="0"/>
    </xf>
    <xf numFmtId="170" fontId="7" fillId="0" borderId="21" xfId="169" applyNumberFormat="1" applyFont="1" applyFill="1" applyBorder="1" applyAlignment="1" applyProtection="1">
      <alignment horizontal="center"/>
      <protection locked="0"/>
    </xf>
    <xf numFmtId="170" fontId="7" fillId="0" borderId="21" xfId="169" applyNumberFormat="1" applyFont="1" applyFill="1" applyBorder="1" applyAlignment="1" applyProtection="1">
      <alignment horizontal="right"/>
      <protection locked="0"/>
    </xf>
    <xf numFmtId="170" fontId="7" fillId="0" borderId="21" xfId="169" applyNumberFormat="1" applyFont="1" applyFill="1" applyBorder="1" applyAlignment="1" applyProtection="1">
      <alignment horizontal="right"/>
    </xf>
    <xf numFmtId="0" fontId="7" fillId="0" borderId="15" xfId="0" applyFont="1" applyFill="1" applyBorder="1" applyProtection="1">
      <protection locked="0"/>
    </xf>
    <xf numFmtId="170" fontId="7" fillId="0" borderId="15" xfId="169" applyNumberFormat="1" applyFont="1" applyFill="1" applyBorder="1" applyAlignment="1" applyProtection="1">
      <alignment horizontal="center"/>
      <protection locked="0"/>
    </xf>
    <xf numFmtId="0" fontId="28" fillId="0" borderId="25" xfId="0" applyFont="1" applyFill="1" applyBorder="1" applyAlignment="1" applyProtection="1">
      <alignment wrapText="1"/>
      <protection locked="0"/>
    </xf>
    <xf numFmtId="170" fontId="17" fillId="0" borderId="24" xfId="169" applyNumberFormat="1" applyFont="1" applyFill="1" applyBorder="1" applyAlignment="1" applyProtection="1">
      <alignment horizontal="center" wrapText="1"/>
      <protection locked="0"/>
    </xf>
    <xf numFmtId="170" fontId="7" fillId="0" borderId="24" xfId="169" applyNumberFormat="1" applyFont="1" applyFill="1" applyBorder="1" applyAlignment="1" applyProtection="1">
      <alignment horizontal="right" wrapText="1"/>
      <protection locked="0"/>
    </xf>
    <xf numFmtId="170" fontId="7" fillId="0" borderId="24" xfId="169" applyNumberFormat="1" applyFont="1" applyFill="1" applyBorder="1" applyAlignment="1" applyProtection="1">
      <alignment horizontal="right"/>
      <protection locked="0"/>
    </xf>
    <xf numFmtId="170" fontId="7" fillId="0" borderId="31" xfId="169" applyNumberFormat="1" applyFont="1" applyBorder="1" applyAlignment="1" applyProtection="1">
      <alignment horizontal="right" wrapText="1"/>
      <protection locked="0"/>
    </xf>
    <xf numFmtId="0" fontId="28" fillId="37" borderId="21" xfId="0" applyFont="1" applyFill="1" applyBorder="1" applyAlignment="1" applyProtection="1">
      <alignment horizontal="left" wrapText="1"/>
      <protection locked="0"/>
    </xf>
    <xf numFmtId="170" fontId="28" fillId="37" borderId="21" xfId="169" applyNumberFormat="1" applyFont="1" applyFill="1" applyBorder="1" applyAlignment="1" applyProtection="1">
      <alignment horizontal="center"/>
      <protection locked="0"/>
    </xf>
    <xf numFmtId="170" fontId="28" fillId="37" borderId="21" xfId="169" applyNumberFormat="1" applyFont="1" applyFill="1" applyBorder="1" applyAlignment="1" applyProtection="1">
      <alignment horizontal="right"/>
    </xf>
    <xf numFmtId="0" fontId="28" fillId="0" borderId="0" xfId="0" applyFont="1" applyFill="1" applyBorder="1" applyAlignment="1" applyProtection="1">
      <alignment horizontal="left" wrapText="1"/>
      <protection locked="0"/>
    </xf>
    <xf numFmtId="170" fontId="28" fillId="0" borderId="0" xfId="169" applyNumberFormat="1" applyFont="1" applyFill="1" applyBorder="1" applyAlignment="1" applyProtection="1">
      <alignment horizontal="center"/>
      <protection locked="0"/>
    </xf>
    <xf numFmtId="170" fontId="28" fillId="0" borderId="0" xfId="169" applyNumberFormat="1" applyFont="1" applyFill="1" applyBorder="1" applyAlignment="1" applyProtection="1">
      <alignment horizontal="right"/>
    </xf>
    <xf numFmtId="0" fontId="7" fillId="0" borderId="0" xfId="0" applyFont="1" applyFill="1" applyProtection="1">
      <protection locked="0"/>
    </xf>
    <xf numFmtId="0" fontId="28" fillId="0" borderId="31" xfId="0" applyFont="1" applyFill="1" applyBorder="1" applyAlignment="1" applyProtection="1">
      <alignment horizontal="left" vertical="center" wrapText="1"/>
      <protection locked="0"/>
    </xf>
    <xf numFmtId="14" fontId="28" fillId="33" borderId="16" xfId="169" applyNumberFormat="1" applyFont="1" applyFill="1" applyBorder="1" applyAlignment="1" applyProtection="1">
      <alignment horizontal="center" vertical="center"/>
      <protection locked="0"/>
    </xf>
    <xf numFmtId="0" fontId="28" fillId="0" borderId="16" xfId="169" applyNumberFormat="1" applyFont="1" applyFill="1" applyBorder="1" applyAlignment="1" applyProtection="1">
      <alignment horizontal="center" vertical="top"/>
      <protection locked="0"/>
    </xf>
    <xf numFmtId="170" fontId="28" fillId="0" borderId="31" xfId="170" applyNumberFormat="1" applyFont="1" applyFill="1" applyBorder="1" applyAlignment="1" applyProtection="1">
      <alignment horizontal="right" wrapText="1"/>
    </xf>
    <xf numFmtId="0" fontId="150" fillId="0" borderId="0" xfId="0" applyFont="1" applyAlignment="1" applyProtection="1">
      <alignment horizontal="left" wrapText="1"/>
      <protection locked="0"/>
    </xf>
    <xf numFmtId="171" fontId="150" fillId="0" borderId="0" xfId="169" applyNumberFormat="1" applyFont="1" applyBorder="1" applyAlignment="1" applyProtection="1">
      <alignment horizontal="center" wrapText="1"/>
      <protection locked="0"/>
    </xf>
    <xf numFmtId="171" fontId="151" fillId="0" borderId="0" xfId="169" applyNumberFormat="1" applyFont="1" applyFill="1" applyBorder="1" applyAlignment="1" applyProtection="1">
      <alignment horizontal="right" wrapText="1"/>
      <protection locked="0"/>
    </xf>
    <xf numFmtId="171" fontId="39" fillId="0" borderId="0" xfId="169" applyNumberFormat="1" applyFont="1" applyFill="1" applyBorder="1" applyAlignment="1" applyProtection="1">
      <alignment horizontal="right"/>
      <protection locked="0"/>
    </xf>
    <xf numFmtId="0" fontId="79" fillId="0" borderId="0" xfId="0" applyFont="1" applyBorder="1" applyProtection="1">
      <protection locked="0"/>
    </xf>
    <xf numFmtId="171" fontId="151" fillId="0" borderId="0" xfId="169" applyNumberFormat="1" applyFont="1" applyFill="1" applyAlignment="1" applyProtection="1">
      <alignment horizontal="center" wrapText="1"/>
      <protection locked="0"/>
    </xf>
    <xf numFmtId="171" fontId="151" fillId="0" borderId="0" xfId="169" applyNumberFormat="1" applyFont="1" applyFill="1" applyAlignment="1" applyProtection="1">
      <alignment horizontal="right" wrapText="1"/>
      <protection locked="0"/>
    </xf>
    <xf numFmtId="171" fontId="39" fillId="0" borderId="0" xfId="169" applyNumberFormat="1" applyFont="1" applyFill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14" fontId="29" fillId="0" borderId="0" xfId="0" applyNumberFormat="1" applyFont="1" applyBorder="1" applyAlignment="1" applyProtection="1">
      <alignment horizontal="left"/>
      <protection locked="0"/>
    </xf>
    <xf numFmtId="0" fontId="151" fillId="0" borderId="0" xfId="0" applyFont="1" applyFill="1" applyAlignment="1" applyProtection="1">
      <alignment wrapText="1"/>
      <protection locked="0"/>
    </xf>
    <xf numFmtId="0" fontId="148" fillId="0" borderId="0" xfId="0" applyFont="1" applyFill="1" applyProtection="1">
      <protection locked="0"/>
    </xf>
    <xf numFmtId="171" fontId="149" fillId="0" borderId="0" xfId="169" applyNumberFormat="1" applyFont="1" applyFill="1" applyAlignment="1" applyProtection="1">
      <alignment horizontal="center" wrapText="1"/>
      <protection locked="0"/>
    </xf>
    <xf numFmtId="171" fontId="149" fillId="0" borderId="0" xfId="169" applyNumberFormat="1" applyFont="1" applyFill="1" applyAlignment="1" applyProtection="1">
      <alignment horizontal="right" wrapText="1"/>
      <protection locked="0"/>
    </xf>
    <xf numFmtId="0" fontId="28" fillId="0" borderId="0" xfId="0" applyFont="1" applyFill="1" applyProtection="1">
      <protection locked="0"/>
    </xf>
    <xf numFmtId="171" fontId="28" fillId="0" borderId="0" xfId="169" applyNumberFormat="1" applyFont="1" applyFill="1" applyAlignment="1" applyProtection="1">
      <alignment horizontal="center" wrapText="1"/>
      <protection locked="0"/>
    </xf>
    <xf numFmtId="171" fontId="28" fillId="0" borderId="0" xfId="169" applyNumberFormat="1" applyFont="1" applyFill="1" applyAlignment="1" applyProtection="1">
      <alignment horizontal="right" wrapText="1"/>
      <protection locked="0"/>
    </xf>
    <xf numFmtId="171" fontId="7" fillId="0" borderId="0" xfId="169" applyNumberFormat="1" applyFont="1" applyFill="1" applyAlignment="1" applyProtection="1">
      <alignment horizontal="center" wrapText="1"/>
      <protection locked="0"/>
    </xf>
    <xf numFmtId="171" fontId="7" fillId="0" borderId="0" xfId="169" applyNumberFormat="1" applyFont="1" applyFill="1" applyAlignment="1" applyProtection="1">
      <alignment horizontal="right"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7" fillId="0" borderId="0" xfId="0" applyFont="1" applyAlignment="1" applyProtection="1">
      <protection locked="0"/>
    </xf>
    <xf numFmtId="0" fontId="152" fillId="0" borderId="0" xfId="0" applyFont="1" applyProtection="1">
      <protection locked="0"/>
    </xf>
    <xf numFmtId="171" fontId="7" fillId="0" borderId="0" xfId="169" applyNumberFormat="1" applyFont="1" applyAlignment="1" applyProtection="1">
      <alignment horizontal="center"/>
      <protection locked="0"/>
    </xf>
    <xf numFmtId="0" fontId="7" fillId="0" borderId="0" xfId="171" applyFont="1" applyAlignment="1" applyProtection="1">
      <alignment vertical="top"/>
      <protection locked="0"/>
    </xf>
    <xf numFmtId="0" fontId="7" fillId="0" borderId="0" xfId="156" applyFont="1" applyProtection="1">
      <protection locked="0"/>
    </xf>
    <xf numFmtId="0" fontId="28" fillId="0" borderId="31" xfId="0" applyFont="1" applyBorder="1" applyAlignment="1">
      <alignment horizontal="center" vertical="top" wrapText="1"/>
    </xf>
    <xf numFmtId="0" fontId="77" fillId="0" borderId="31" xfId="157" applyFont="1" applyFill="1" applyBorder="1" applyAlignment="1">
      <alignment horizontal="center"/>
    </xf>
    <xf numFmtId="0" fontId="28" fillId="0" borderId="31" xfId="157" applyFont="1" applyBorder="1" applyAlignment="1">
      <alignment horizontal="center"/>
    </xf>
    <xf numFmtId="0" fontId="39" fillId="29" borderId="0" xfId="156" applyFont="1" applyFill="1" applyAlignment="1">
      <alignment horizontal="center"/>
    </xf>
    <xf numFmtId="164" fontId="82" fillId="0" borderId="31" xfId="87" applyFont="1" applyFill="1" applyBorder="1" applyAlignment="1">
      <alignment horizontal="center" vertical="top" wrapText="1"/>
    </xf>
    <xf numFmtId="0" fontId="82" fillId="0" borderId="31" xfId="155" applyNumberFormat="1" applyFont="1" applyFill="1" applyBorder="1" applyAlignment="1">
      <alignment horizontal="center" vertical="top" wrapText="1"/>
    </xf>
    <xf numFmtId="164" fontId="117" fillId="0" borderId="31" xfId="87" applyFont="1" applyFill="1" applyBorder="1" applyAlignment="1">
      <alignment horizontal="center" vertical="top" wrapText="1"/>
    </xf>
    <xf numFmtId="164" fontId="82" fillId="32" borderId="16" xfId="87" applyFont="1" applyFill="1" applyBorder="1" applyAlignment="1">
      <alignment horizontal="center" vertical="top" wrapText="1"/>
    </xf>
    <xf numFmtId="164" fontId="82" fillId="32" borderId="30" xfId="87" applyFont="1" applyFill="1" applyBorder="1" applyAlignment="1">
      <alignment horizontal="center" vertical="top" wrapText="1"/>
    </xf>
    <xf numFmtId="164" fontId="82" fillId="0" borderId="16" xfId="87" applyFont="1" applyFill="1" applyBorder="1" applyAlignment="1">
      <alignment horizontal="center" vertical="top" wrapText="1"/>
    </xf>
    <xf numFmtId="164" fontId="82" fillId="0" borderId="30" xfId="87" applyFont="1" applyFill="1" applyBorder="1" applyAlignment="1">
      <alignment horizontal="center" vertical="top" wrapText="1"/>
    </xf>
    <xf numFmtId="0" fontId="82" fillId="32" borderId="31" xfId="155" applyNumberFormat="1" applyFont="1" applyFill="1" applyBorder="1" applyAlignment="1">
      <alignment horizontal="center" vertical="top" wrapText="1"/>
    </xf>
    <xf numFmtId="0" fontId="7" fillId="0" borderId="16" xfId="151" applyFont="1" applyBorder="1" applyAlignment="1">
      <alignment horizontal="center" vertical="top" wrapText="1"/>
    </xf>
    <xf numFmtId="0" fontId="7" fillId="0" borderId="30" xfId="151" applyFont="1" applyBorder="1" applyAlignment="1">
      <alignment horizontal="center" vertical="top" wrapText="1"/>
    </xf>
    <xf numFmtId="0" fontId="7" fillId="0" borderId="33" xfId="151" applyFont="1" applyBorder="1" applyAlignment="1">
      <alignment horizontal="center" vertical="top"/>
    </xf>
    <xf numFmtId="0" fontId="7" fillId="0" borderId="32" xfId="151" applyFont="1" applyBorder="1" applyAlignment="1">
      <alignment horizontal="center" vertical="top"/>
    </xf>
    <xf numFmtId="0" fontId="7" fillId="0" borderId="18" xfId="151" applyFont="1" applyBorder="1" applyAlignment="1">
      <alignment horizontal="center" vertical="top" wrapText="1"/>
    </xf>
    <xf numFmtId="0" fontId="133" fillId="0" borderId="36" xfId="151" applyFont="1" applyBorder="1" applyAlignment="1">
      <alignment horizontal="center" vertical="top"/>
    </xf>
    <xf numFmtId="164" fontId="117" fillId="0" borderId="16" xfId="87" applyFont="1" applyFill="1" applyBorder="1" applyAlignment="1">
      <alignment horizontal="center" vertical="top" wrapText="1"/>
    </xf>
    <xf numFmtId="164" fontId="117" fillId="0" borderId="30" xfId="87" applyFont="1" applyFill="1" applyBorder="1" applyAlignment="1">
      <alignment horizontal="center" vertical="top" wrapText="1"/>
    </xf>
    <xf numFmtId="0" fontId="94" fillId="0" borderId="31" xfId="43" applyFont="1" applyBorder="1" applyAlignment="1">
      <alignment horizontal="center"/>
    </xf>
    <xf numFmtId="0" fontId="132" fillId="0" borderId="16" xfId="43" applyFont="1" applyBorder="1" applyAlignment="1">
      <alignment horizontal="center" vertical="top" wrapText="1"/>
    </xf>
    <xf numFmtId="0" fontId="132" fillId="0" borderId="30" xfId="43" applyFont="1" applyBorder="1" applyAlignment="1">
      <alignment horizontal="center" vertical="top" wrapText="1"/>
    </xf>
    <xf numFmtId="0" fontId="132" fillId="0" borderId="33" xfId="43" applyFont="1" applyBorder="1" applyAlignment="1">
      <alignment horizontal="center" vertical="top"/>
    </xf>
    <xf numFmtId="0" fontId="132" fillId="0" borderId="20" xfId="43" applyFont="1" applyBorder="1" applyAlignment="1">
      <alignment horizontal="center" vertical="top"/>
    </xf>
    <xf numFmtId="0" fontId="132" fillId="0" borderId="32" xfId="43" applyFont="1" applyBorder="1" applyAlignment="1">
      <alignment horizontal="center" vertical="top"/>
    </xf>
    <xf numFmtId="0" fontId="94" fillId="0" borderId="16" xfId="43" applyFont="1" applyBorder="1" applyAlignment="1">
      <alignment horizontal="center" vertical="top" wrapText="1"/>
    </xf>
    <xf numFmtId="0" fontId="94" fillId="0" borderId="30" xfId="43" applyFont="1" applyBorder="1" applyAlignment="1">
      <alignment horizontal="center" vertical="top" wrapText="1"/>
    </xf>
    <xf numFmtId="0" fontId="82" fillId="0" borderId="11" xfId="0" applyFont="1" applyFill="1" applyBorder="1" applyAlignment="1">
      <alignment horizontal="center" vertical="top" wrapText="1"/>
    </xf>
    <xf numFmtId="0" fontId="82" fillId="0" borderId="20" xfId="0" applyFont="1" applyFill="1" applyBorder="1" applyAlignment="1">
      <alignment horizontal="center" vertical="top" wrapText="1"/>
    </xf>
    <xf numFmtId="0" fontId="82" fillId="0" borderId="33" xfId="43" applyFont="1" applyFill="1" applyBorder="1" applyAlignment="1">
      <alignment horizontal="center" vertical="top" wrapText="1"/>
    </xf>
    <xf numFmtId="0" fontId="82" fillId="0" borderId="32" xfId="43" applyFont="1" applyFill="1" applyBorder="1" applyAlignment="1">
      <alignment horizontal="center" vertical="top" wrapText="1"/>
    </xf>
    <xf numFmtId="0" fontId="82" fillId="0" borderId="31" xfId="0" applyFont="1" applyFill="1" applyBorder="1" applyAlignment="1">
      <alignment horizontal="center" vertical="top" wrapText="1"/>
    </xf>
    <xf numFmtId="164" fontId="82" fillId="0" borderId="33" xfId="87" applyFont="1" applyFill="1" applyBorder="1" applyAlignment="1">
      <alignment horizontal="center" vertical="top" wrapText="1"/>
    </xf>
    <xf numFmtId="164" fontId="82" fillId="0" borderId="20" xfId="87" applyFont="1" applyFill="1" applyBorder="1" applyAlignment="1">
      <alignment horizontal="center" vertical="top" wrapText="1"/>
    </xf>
    <xf numFmtId="164" fontId="82" fillId="0" borderId="32" xfId="87" applyFont="1" applyFill="1" applyBorder="1" applyAlignment="1">
      <alignment horizontal="center" vertical="top" wrapText="1"/>
    </xf>
    <xf numFmtId="0" fontId="28" fillId="32" borderId="16" xfId="153" applyFont="1" applyFill="1" applyBorder="1" applyAlignment="1" applyProtection="1">
      <alignment horizontal="center" vertical="top" wrapText="1"/>
    </xf>
    <xf numFmtId="0" fontId="28" fillId="32" borderId="30" xfId="153" applyFont="1" applyFill="1" applyBorder="1" applyAlignment="1" applyProtection="1">
      <alignment horizontal="center" vertical="top" wrapText="1"/>
    </xf>
    <xf numFmtId="0" fontId="28" fillId="0" borderId="13" xfId="153" applyFont="1" applyFill="1" applyBorder="1" applyAlignment="1" applyProtection="1">
      <alignment horizontal="left" vertical="top" wrapText="1"/>
    </xf>
    <xf numFmtId="0" fontId="28" fillId="0" borderId="13" xfId="153" applyFont="1" applyFill="1" applyBorder="1" applyAlignment="1" applyProtection="1">
      <alignment vertical="top" wrapText="1"/>
    </xf>
    <xf numFmtId="0" fontId="26" fillId="0" borderId="13" xfId="153" applyFont="1" applyFill="1" applyBorder="1" applyAlignment="1" applyProtection="1">
      <alignment horizontal="center" vertical="top" wrapText="1"/>
    </xf>
    <xf numFmtId="0" fontId="73" fillId="0" borderId="13" xfId="153" applyFont="1" applyFill="1" applyBorder="1" applyAlignment="1" applyProtection="1">
      <alignment horizontal="center" vertical="top" wrapText="1"/>
    </xf>
    <xf numFmtId="0" fontId="73" fillId="0" borderId="16" xfId="153" applyFont="1" applyFill="1" applyBorder="1" applyAlignment="1" applyProtection="1">
      <alignment horizontal="center" vertical="top" wrapText="1"/>
    </xf>
    <xf numFmtId="0" fontId="73" fillId="0" borderId="30" xfId="153" applyFont="1" applyFill="1" applyBorder="1" applyAlignment="1" applyProtection="1">
      <alignment horizontal="center" vertical="top" wrapText="1"/>
    </xf>
    <xf numFmtId="3" fontId="28" fillId="0" borderId="35" xfId="0" applyNumberFormat="1" applyFont="1" applyBorder="1" applyAlignment="1">
      <alignment horizontal="center"/>
    </xf>
    <xf numFmtId="0" fontId="38" fillId="32" borderId="33" xfId="153" applyFont="1" applyFill="1" applyBorder="1" applyAlignment="1" applyProtection="1">
      <alignment horizontal="center" vertical="top" wrapText="1"/>
    </xf>
    <xf numFmtId="0" fontId="38" fillId="32" borderId="20" xfId="153" applyFont="1" applyFill="1" applyBorder="1" applyAlignment="1" applyProtection="1">
      <alignment horizontal="center" vertical="top" wrapText="1"/>
    </xf>
    <xf numFmtId="0" fontId="38" fillId="32" borderId="32" xfId="153" applyFont="1" applyFill="1" applyBorder="1" applyAlignment="1" applyProtection="1">
      <alignment horizontal="center" vertical="top" wrapText="1"/>
    </xf>
    <xf numFmtId="0" fontId="73" fillId="0" borderId="12" xfId="153" applyFont="1" applyFill="1" applyBorder="1" applyAlignment="1" applyProtection="1">
      <alignment horizontal="center" vertical="top" wrapText="1"/>
    </xf>
    <xf numFmtId="0" fontId="7" fillId="0" borderId="0" xfId="43" applyFont="1" applyBorder="1" applyAlignment="1">
      <alignment horizontal="left"/>
    </xf>
    <xf numFmtId="0" fontId="7" fillId="0" borderId="23" xfId="43" applyFont="1" applyBorder="1" applyAlignment="1">
      <alignment horizontal="left"/>
    </xf>
    <xf numFmtId="0" fontId="7" fillId="0" borderId="38" xfId="43" applyFont="1" applyBorder="1" applyAlignment="1">
      <alignment horizontal="left"/>
    </xf>
    <xf numFmtId="0" fontId="7" fillId="0" borderId="23" xfId="43" applyFont="1" applyBorder="1" applyAlignment="1">
      <alignment horizontal="left" wrapText="1"/>
    </xf>
    <xf numFmtId="0" fontId="7" fillId="0" borderId="0" xfId="43" applyFont="1" applyBorder="1" applyAlignment="1">
      <alignment horizontal="left" wrapText="1"/>
    </xf>
    <xf numFmtId="0" fontId="7" fillId="0" borderId="38" xfId="43" applyFont="1" applyBorder="1" applyAlignment="1">
      <alignment horizontal="left" wrapText="1"/>
    </xf>
    <xf numFmtId="0" fontId="7" fillId="0" borderId="23" xfId="151" applyBorder="1" applyAlignment="1">
      <alignment horizontal="left" wrapText="1"/>
    </xf>
    <xf numFmtId="0" fontId="7" fillId="0" borderId="0" xfId="151" applyBorder="1" applyAlignment="1">
      <alignment horizontal="left" wrapText="1"/>
    </xf>
    <xf numFmtId="0" fontId="7" fillId="0" borderId="38" xfId="151" applyBorder="1" applyAlignment="1">
      <alignment horizontal="left" wrapText="1"/>
    </xf>
    <xf numFmtId="0" fontId="7" fillId="0" borderId="14" xfId="151" applyBorder="1" applyAlignment="1">
      <alignment horizontal="left" wrapText="1"/>
    </xf>
    <xf numFmtId="0" fontId="7" fillId="0" borderId="35" xfId="151" applyBorder="1" applyAlignment="1">
      <alignment horizontal="left" wrapText="1"/>
    </xf>
    <xf numFmtId="0" fontId="7" fillId="0" borderId="17" xfId="151" applyBorder="1" applyAlignment="1">
      <alignment horizontal="left" wrapText="1"/>
    </xf>
    <xf numFmtId="0" fontId="7" fillId="0" borderId="18" xfId="43" applyFont="1" applyBorder="1" applyAlignment="1">
      <alignment horizontal="left"/>
    </xf>
    <xf numFmtId="0" fontId="7" fillId="0" borderId="36" xfId="43" applyFont="1" applyBorder="1" applyAlignment="1">
      <alignment horizontal="left"/>
    </xf>
    <xf numFmtId="0" fontId="7" fillId="0" borderId="52" xfId="43" applyFont="1" applyBorder="1" applyAlignment="1">
      <alignment horizontal="left"/>
    </xf>
    <xf numFmtId="0" fontId="26" fillId="0" borderId="23" xfId="43" applyFont="1" applyBorder="1" applyAlignment="1">
      <alignment horizontal="left" wrapText="1"/>
    </xf>
    <xf numFmtId="0" fontId="26" fillId="0" borderId="0" xfId="43" applyFont="1" applyBorder="1" applyAlignment="1">
      <alignment horizontal="left" wrapText="1"/>
    </xf>
    <xf numFmtId="0" fontId="26" fillId="0" borderId="38" xfId="43" applyFont="1" applyBorder="1" applyAlignment="1">
      <alignment horizontal="left" wrapText="1"/>
    </xf>
    <xf numFmtId="0" fontId="7" fillId="0" borderId="33" xfId="43" applyFont="1" applyBorder="1" applyAlignment="1">
      <alignment horizontal="left" vertical="top" wrapText="1"/>
    </xf>
    <xf numFmtId="0" fontId="7" fillId="0" borderId="20" xfId="43" applyBorder="1" applyAlignment="1">
      <alignment horizontal="left" vertical="top" wrapText="1"/>
    </xf>
    <xf numFmtId="0" fontId="7" fillId="0" borderId="32" xfId="43" applyBorder="1" applyAlignment="1">
      <alignment horizontal="left" vertical="top" wrapText="1"/>
    </xf>
    <xf numFmtId="0" fontId="26" fillId="0" borderId="18" xfId="43" applyFont="1" applyBorder="1" applyAlignment="1">
      <alignment horizontal="left" wrapText="1"/>
    </xf>
    <xf numFmtId="0" fontId="26" fillId="0" borderId="36" xfId="43" applyFont="1" applyBorder="1" applyAlignment="1">
      <alignment horizontal="left" wrapText="1"/>
    </xf>
    <xf numFmtId="0" fontId="26" fillId="0" borderId="52" xfId="43" applyFont="1" applyBorder="1" applyAlignment="1">
      <alignment horizontal="left" wrapText="1"/>
    </xf>
    <xf numFmtId="0" fontId="26" fillId="0" borderId="28" xfId="43" applyFont="1" applyBorder="1" applyAlignment="1">
      <alignment horizontal="left"/>
    </xf>
    <xf numFmtId="0" fontId="26" fillId="0" borderId="37" xfId="43" applyFont="1" applyBorder="1" applyAlignment="1">
      <alignment horizontal="left"/>
    </xf>
    <xf numFmtId="0" fontId="26" fillId="0" borderId="51" xfId="43" applyFont="1" applyBorder="1" applyAlignment="1">
      <alignment horizontal="left"/>
    </xf>
    <xf numFmtId="0" fontId="7" fillId="0" borderId="14" xfId="43" applyFont="1" applyBorder="1" applyAlignment="1">
      <alignment horizontal="left" vertical="top"/>
    </xf>
    <xf numFmtId="0" fontId="7" fillId="0" borderId="35" xfId="43" applyFont="1" applyBorder="1" applyAlignment="1">
      <alignment horizontal="left" vertical="top"/>
    </xf>
    <xf numFmtId="0" fontId="7" fillId="0" borderId="17" xfId="43" applyFont="1" applyBorder="1" applyAlignment="1">
      <alignment horizontal="left" vertical="top"/>
    </xf>
    <xf numFmtId="0" fontId="7" fillId="0" borderId="0" xfId="43" applyAlignment="1">
      <alignment horizontal="left"/>
    </xf>
    <xf numFmtId="0" fontId="28" fillId="0" borderId="18" xfId="43" applyFont="1" applyBorder="1" applyAlignment="1">
      <alignment horizontal="left"/>
    </xf>
    <xf numFmtId="0" fontId="28" fillId="0" borderId="36" xfId="43" applyFont="1" applyBorder="1" applyAlignment="1">
      <alignment horizontal="left"/>
    </xf>
    <xf numFmtId="0" fontId="28" fillId="0" borderId="52" xfId="43" applyFont="1" applyBorder="1" applyAlignment="1">
      <alignment horizontal="left"/>
    </xf>
    <xf numFmtId="0" fontId="7" fillId="0" borderId="33" xfId="43" applyBorder="1" applyAlignment="1">
      <alignment horizontal="left" vertical="top"/>
    </xf>
    <xf numFmtId="0" fontId="7" fillId="0" borderId="20" xfId="43" applyBorder="1" applyAlignment="1">
      <alignment horizontal="left" vertical="top"/>
    </xf>
    <xf numFmtId="0" fontId="7" fillId="0" borderId="32" xfId="43" applyBorder="1" applyAlignment="1">
      <alignment horizontal="left" vertical="top"/>
    </xf>
    <xf numFmtId="0" fontId="7" fillId="0" borderId="33" xfId="43" applyFont="1" applyBorder="1" applyAlignment="1">
      <alignment horizontal="left" vertical="top"/>
    </xf>
    <xf numFmtId="0" fontId="7" fillId="0" borderId="20" xfId="43" applyFont="1" applyBorder="1" applyAlignment="1">
      <alignment horizontal="left" vertical="top"/>
    </xf>
    <xf numFmtId="0" fontId="7" fillId="0" borderId="32" xfId="43" applyFont="1" applyBorder="1" applyAlignment="1">
      <alignment horizontal="left" vertical="top"/>
    </xf>
    <xf numFmtId="0" fontId="7" fillId="0" borderId="33" xfId="43" applyFont="1" applyFill="1" applyBorder="1" applyAlignment="1">
      <alignment horizontal="left" vertical="top" wrapText="1"/>
    </xf>
    <xf numFmtId="0" fontId="7" fillId="0" borderId="20" xfId="43" applyFont="1" applyFill="1" applyBorder="1" applyAlignment="1">
      <alignment horizontal="left" vertical="top" wrapText="1"/>
    </xf>
    <xf numFmtId="0" fontId="7" fillId="0" borderId="32" xfId="43" applyFont="1" applyFill="1" applyBorder="1" applyAlignment="1">
      <alignment horizontal="left" vertical="top" wrapText="1"/>
    </xf>
    <xf numFmtId="0" fontId="87" fillId="0" borderId="16" xfId="43" applyFont="1" applyFill="1" applyBorder="1" applyAlignment="1" applyProtection="1">
      <alignment horizontal="center" vertical="top" wrapText="1"/>
    </xf>
    <xf numFmtId="0" fontId="87" fillId="0" borderId="30" xfId="43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left" wrapText="1"/>
    </xf>
    <xf numFmtId="0" fontId="28" fillId="30" borderId="31" xfId="167" applyFont="1" applyFill="1" applyBorder="1" applyAlignment="1">
      <alignment horizontal="center"/>
    </xf>
    <xf numFmtId="0" fontId="28" fillId="33" borderId="31" xfId="0" applyFont="1" applyFill="1" applyBorder="1" applyAlignment="1">
      <alignment horizontal="center"/>
    </xf>
    <xf numFmtId="1" fontId="7" fillId="0" borderId="33" xfId="167" applyNumberFormat="1" applyFont="1" applyFill="1" applyBorder="1" applyAlignment="1">
      <alignment horizontal="center" vertical="top" wrapText="1"/>
    </xf>
    <xf numFmtId="1" fontId="7" fillId="0" borderId="20" xfId="167" applyNumberFormat="1" applyFont="1" applyFill="1" applyBorder="1" applyAlignment="1">
      <alignment horizontal="center" vertical="top" wrapText="1"/>
    </xf>
    <xf numFmtId="1" fontId="7" fillId="0" borderId="32" xfId="167" applyNumberFormat="1" applyFont="1" applyFill="1" applyBorder="1" applyAlignment="1">
      <alignment horizontal="center" vertical="top" wrapText="1"/>
    </xf>
    <xf numFmtId="3" fontId="26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171" fontId="28" fillId="0" borderId="16" xfId="169" applyNumberFormat="1" applyFont="1" applyFill="1" applyBorder="1" applyAlignment="1" applyProtection="1">
      <alignment horizontal="center" vertical="center" wrapText="1"/>
      <protection locked="0"/>
    </xf>
    <xf numFmtId="171" fontId="28" fillId="0" borderId="30" xfId="169" applyNumberFormat="1" applyFont="1" applyFill="1" applyBorder="1" applyAlignment="1" applyProtection="1">
      <alignment horizontal="center" vertical="center" wrapText="1"/>
      <protection locked="0"/>
    </xf>
    <xf numFmtId="0" fontId="7" fillId="33" borderId="33" xfId="0" applyFont="1" applyFill="1" applyBorder="1" applyAlignment="1" applyProtection="1">
      <alignment horizontal="center"/>
      <protection locked="0"/>
    </xf>
    <xf numFmtId="0" fontId="7" fillId="33" borderId="20" xfId="0" applyFont="1" applyFill="1" applyBorder="1" applyAlignment="1" applyProtection="1">
      <alignment horizontal="center"/>
      <protection locked="0"/>
    </xf>
    <xf numFmtId="0" fontId="7" fillId="33" borderId="32" xfId="0" applyFont="1" applyFill="1" applyBorder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left" wrapText="1"/>
      <protection locked="0"/>
    </xf>
    <xf numFmtId="0" fontId="29" fillId="0" borderId="16" xfId="0" applyFont="1" applyBorder="1" applyAlignment="1" applyProtection="1">
      <alignment horizontal="center"/>
      <protection locked="0"/>
    </xf>
    <xf numFmtId="0" fontId="29" fillId="0" borderId="30" xfId="0" applyFont="1" applyBorder="1" applyAlignment="1" applyProtection="1">
      <alignment horizontal="center"/>
      <protection locked="0"/>
    </xf>
    <xf numFmtId="172" fontId="28" fillId="30" borderId="16" xfId="169" applyNumberFormat="1" applyFont="1" applyFill="1" applyBorder="1" applyAlignment="1" applyProtection="1">
      <alignment horizontal="center" vertical="center" wrapText="1"/>
      <protection locked="0"/>
    </xf>
    <xf numFmtId="172" fontId="28" fillId="30" borderId="30" xfId="169" applyNumberFormat="1" applyFont="1" applyFill="1" applyBorder="1" applyAlignment="1" applyProtection="1">
      <alignment horizontal="center" vertical="center" wrapText="1"/>
      <protection locked="0"/>
    </xf>
    <xf numFmtId="14" fontId="28" fillId="33" borderId="16" xfId="169" applyNumberFormat="1" applyFont="1" applyFill="1" applyBorder="1" applyAlignment="1" applyProtection="1">
      <alignment horizontal="center" vertical="center" wrapText="1"/>
      <protection locked="0"/>
    </xf>
    <xf numFmtId="0" fontId="28" fillId="33" borderId="30" xfId="169" applyNumberFormat="1" applyFont="1" applyFill="1" applyBorder="1" applyAlignment="1" applyProtection="1">
      <alignment horizontal="center" vertical="center" wrapText="1"/>
      <protection locked="0"/>
    </xf>
    <xf numFmtId="0" fontId="7" fillId="37" borderId="0" xfId="0" applyFont="1" applyFill="1" applyAlignment="1" applyProtection="1">
      <alignment horizontal="left" wrapText="1"/>
      <protection locked="0"/>
    </xf>
    <xf numFmtId="0" fontId="7" fillId="0" borderId="0" xfId="0" applyFont="1" applyFill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152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152" fillId="0" borderId="0" xfId="0" applyFont="1" applyFill="1" applyAlignment="1" applyProtection="1">
      <alignment horizontal="left" wrapText="1"/>
      <protection locked="0"/>
    </xf>
    <xf numFmtId="0" fontId="40" fillId="0" borderId="16" xfId="43" applyFont="1" applyBorder="1" applyAlignment="1">
      <alignment horizontal="center" wrapText="1"/>
    </xf>
    <xf numFmtId="0" fontId="40" fillId="0" borderId="15" xfId="43" applyFont="1" applyBorder="1" applyAlignment="1">
      <alignment horizontal="center" wrapText="1"/>
    </xf>
    <xf numFmtId="0" fontId="40" fillId="0" borderId="27" xfId="43" applyFont="1" applyBorder="1" applyAlignment="1">
      <alignment horizontal="center" wrapText="1"/>
    </xf>
    <xf numFmtId="0" fontId="40" fillId="0" borderId="16" xfId="43" applyFont="1" applyBorder="1" applyAlignment="1">
      <alignment horizontal="center"/>
    </xf>
    <xf numFmtId="0" fontId="40" fillId="0" borderId="15" xfId="43" applyFont="1" applyBorder="1" applyAlignment="1">
      <alignment horizontal="center"/>
    </xf>
    <xf numFmtId="0" fontId="40" fillId="0" borderId="30" xfId="43" applyFont="1" applyBorder="1" applyAlignment="1">
      <alignment horizontal="center"/>
    </xf>
    <xf numFmtId="0" fontId="40" fillId="0" borderId="30" xfId="43" applyFont="1" applyBorder="1" applyAlignment="1">
      <alignment horizontal="center" wrapText="1"/>
    </xf>
    <xf numFmtId="0" fontId="34" fillId="0" borderId="34" xfId="43" applyFont="1" applyBorder="1" applyAlignment="1">
      <alignment vertical="top" wrapText="1"/>
    </xf>
    <xf numFmtId="0" fontId="34" fillId="0" borderId="20" xfId="43" applyFont="1" applyBorder="1" applyAlignment="1">
      <alignment vertical="top" wrapText="1"/>
    </xf>
    <xf numFmtId="0" fontId="34" fillId="0" borderId="48" xfId="43" applyFont="1" applyBorder="1" applyAlignment="1">
      <alignment vertical="top" wrapText="1"/>
    </xf>
    <xf numFmtId="0" fontId="40" fillId="0" borderId="49" xfId="43" applyFont="1" applyBorder="1" applyAlignment="1">
      <alignment horizontal="center"/>
    </xf>
    <xf numFmtId="0" fontId="40" fillId="0" borderId="50" xfId="43" applyFont="1" applyBorder="1" applyAlignment="1">
      <alignment horizontal="center"/>
    </xf>
    <xf numFmtId="0" fontId="40" fillId="0" borderId="44" xfId="43" applyFont="1" applyBorder="1" applyAlignment="1">
      <alignment horizontal="center"/>
    </xf>
    <xf numFmtId="0" fontId="40" fillId="0" borderId="27" xfId="43" applyFont="1" applyBorder="1" applyAlignment="1">
      <alignment horizontal="center"/>
    </xf>
    <xf numFmtId="0" fontId="28" fillId="0" borderId="0" xfId="43" applyFont="1" applyAlignment="1">
      <alignment horizontal="center"/>
    </xf>
    <xf numFmtId="0" fontId="100" fillId="0" borderId="40" xfId="43" applyFont="1" applyBorder="1" applyAlignment="1">
      <alignment horizontal="center" vertical="top" wrapText="1"/>
    </xf>
    <xf numFmtId="0" fontId="100" fillId="0" borderId="41" xfId="43" applyFont="1" applyBorder="1" applyAlignment="1">
      <alignment horizontal="center" vertical="top" wrapText="1"/>
    </xf>
    <xf numFmtId="0" fontId="100" fillId="0" borderId="42" xfId="43" applyFont="1" applyBorder="1" applyAlignment="1">
      <alignment horizontal="center" vertical="top" wrapText="1"/>
    </xf>
    <xf numFmtId="0" fontId="40" fillId="0" borderId="46" xfId="43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72">
    <cellStyle name="20% - Accent1" xfId="1" builtinId="30" customBuiltin="1"/>
    <cellStyle name="20% - Accent1 2" xfId="52"/>
    <cellStyle name="20% - Accent2" xfId="2" builtinId="34" customBuiltin="1"/>
    <cellStyle name="20% - Accent2 2" xfId="53"/>
    <cellStyle name="20% - Accent3" xfId="3" builtinId="38" customBuiltin="1"/>
    <cellStyle name="20% - Accent3 2" xfId="54"/>
    <cellStyle name="20% - Accent4" xfId="4" builtinId="42" customBuiltin="1"/>
    <cellStyle name="20% - Accent4 2" xfId="55"/>
    <cellStyle name="20% - Accent5" xfId="5" builtinId="46" customBuiltin="1"/>
    <cellStyle name="20% - Accent5 2" xfId="56"/>
    <cellStyle name="20% - Accent6" xfId="6" builtinId="50" customBuiltin="1"/>
    <cellStyle name="20% - Accent6 2" xfId="57"/>
    <cellStyle name="40% - Accent1" xfId="7" builtinId="31" customBuiltin="1"/>
    <cellStyle name="40% - Accent1 2" xfId="58"/>
    <cellStyle name="40% - Accent2" xfId="8" builtinId="35" customBuiltin="1"/>
    <cellStyle name="40% - Accent2 2" xfId="59"/>
    <cellStyle name="40% - Accent3" xfId="9" builtinId="39" customBuiltin="1"/>
    <cellStyle name="40% - Accent3 2" xfId="60"/>
    <cellStyle name="40% - Accent4" xfId="10" builtinId="43" customBuiltin="1"/>
    <cellStyle name="40% - Accent4 2" xfId="61"/>
    <cellStyle name="40% - Accent5" xfId="11" builtinId="47" customBuiltin="1"/>
    <cellStyle name="40% - Accent5 2" xfId="62"/>
    <cellStyle name="40% - Accent6" xfId="12" builtinId="51" customBuiltin="1"/>
    <cellStyle name="40% - Accent6 2" xfId="63"/>
    <cellStyle name="60% - Accent1" xfId="13" builtinId="32" customBuiltin="1"/>
    <cellStyle name="60% - Accent1 2" xfId="64"/>
    <cellStyle name="60% - Accent2" xfId="14" builtinId="36" customBuiltin="1"/>
    <cellStyle name="60% - Accent2 2" xfId="65"/>
    <cellStyle name="60% - Accent3" xfId="15" builtinId="40" customBuiltin="1"/>
    <cellStyle name="60% - Accent3 2" xfId="66"/>
    <cellStyle name="60% - Accent4" xfId="16" builtinId="44" customBuiltin="1"/>
    <cellStyle name="60% - Accent4 2" xfId="67"/>
    <cellStyle name="60% - Accent5" xfId="17" builtinId="48" customBuiltin="1"/>
    <cellStyle name="60% - Accent5 2" xfId="68"/>
    <cellStyle name="60% - Accent6" xfId="18" builtinId="52" customBuiltin="1"/>
    <cellStyle name="60% - Accent6 2" xfId="69"/>
    <cellStyle name="Accent1" xfId="19" builtinId="29" customBuiltin="1"/>
    <cellStyle name="Accent1 2" xfId="70"/>
    <cellStyle name="Accent2" xfId="20" builtinId="33" customBuiltin="1"/>
    <cellStyle name="Accent2 2" xfId="71"/>
    <cellStyle name="Accent3" xfId="21" builtinId="37" customBuiltin="1"/>
    <cellStyle name="Accent3 2" xfId="72"/>
    <cellStyle name="Accent4" xfId="22" builtinId="41" customBuiltin="1"/>
    <cellStyle name="Accent4 2" xfId="73"/>
    <cellStyle name="Accent5" xfId="47" builtinId="45" customBuiltin="1"/>
    <cellStyle name="Accent5 2" xfId="74"/>
    <cellStyle name="Accent6" xfId="48" builtinId="49" customBuiltin="1"/>
    <cellStyle name="Accent6 2" xfId="75"/>
    <cellStyle name="Bad" xfId="23" builtinId="27" customBuiltin="1"/>
    <cellStyle name="Bad 2" xfId="76"/>
    <cellStyle name="Calculation" xfId="24" builtinId="22" customBuiltin="1"/>
    <cellStyle name="Calculation 2" xfId="77"/>
    <cellStyle name="Check Cell" xfId="25" builtinId="23" customBuiltin="1"/>
    <cellStyle name="Check Cell 2" xfId="78"/>
    <cellStyle name="Comma 2" xfId="79"/>
    <cellStyle name="Comma 2 2" xfId="80"/>
    <cellStyle name="Comma 2 3" xfId="81"/>
    <cellStyle name="Comma 2 4" xfId="82"/>
    <cellStyle name="Comma 2 5" xfId="83"/>
    <cellStyle name="Comma 2 6" xfId="84"/>
    <cellStyle name="Comma 3" xfId="85"/>
    <cellStyle name="Comma 4" xfId="86"/>
    <cellStyle name="Comma_2012 personalikulude arvestamine AMETIASUTUS (vormid 8a-8b) 7 06 11" xfId="170"/>
    <cellStyle name="Comma_2012 personalikulude arvestamine HALLATAV asutus (vormid 8c-8d) 7 06 11" xfId="169"/>
    <cellStyle name="Comma_Sheet1" xfId="168"/>
    <cellStyle name="Currency 2" xfId="87"/>
    <cellStyle name="Explanatory Text" xfId="26" builtinId="53" customBuiltin="1"/>
    <cellStyle name="Explanatory Text 2" xfId="88"/>
    <cellStyle name="Good" xfId="44" builtinId="26" customBuiltin="1"/>
    <cellStyle name="Good 2" xfId="89"/>
    <cellStyle name="Hea 2" xfId="90"/>
    <cellStyle name="Heading 1" xfId="27" builtinId="16" customBuiltin="1"/>
    <cellStyle name="Heading 1 2" xfId="91"/>
    <cellStyle name="Heading 2" xfId="28" builtinId="17" customBuiltin="1"/>
    <cellStyle name="Heading 2 2" xfId="92"/>
    <cellStyle name="Heading 3" xfId="29" builtinId="18" customBuiltin="1"/>
    <cellStyle name="Heading 3 2" xfId="93"/>
    <cellStyle name="Heading 4" xfId="30" builtinId="19" customBuiltin="1"/>
    <cellStyle name="Heading 4 2" xfId="94"/>
    <cellStyle name="Hyperlink 2" xfId="45"/>
    <cellStyle name="Hyperlink 2 2" xfId="95"/>
    <cellStyle name="Hyperlink_Lisad 22.02.11 II" xfId="31"/>
    <cellStyle name="Input" xfId="32" builtinId="20" customBuiltin="1"/>
    <cellStyle name="Input 2" xfId="96"/>
    <cellStyle name="Linked Cell" xfId="33" builtinId="24" customBuiltin="1"/>
    <cellStyle name="Linked Cell 2" xfId="97"/>
    <cellStyle name="Neutral" xfId="34" builtinId="28" customBuiltin="1"/>
    <cellStyle name="Neutral 2" xfId="98"/>
    <cellStyle name="Normaallaad 2" xfId="149"/>
    <cellStyle name="Normal" xfId="0" builtinId="0"/>
    <cellStyle name="Normal 10" xfId="146"/>
    <cellStyle name="Normal 11" xfId="147"/>
    <cellStyle name="Normal 12" xfId="151"/>
    <cellStyle name="Normal 12 2" xfId="159"/>
    <cellStyle name="Normal 13 2" xfId="148"/>
    <cellStyle name="Normal 13 2 2" xfId="162"/>
    <cellStyle name="Normal 15" xfId="161"/>
    <cellStyle name="Normal 2" xfId="43"/>
    <cellStyle name="Normal 2 2" xfId="49"/>
    <cellStyle name="Normal 2 3" xfId="99"/>
    <cellStyle name="Normal 2 3 2" xfId="100"/>
    <cellStyle name="Normal 2 4" xfId="101"/>
    <cellStyle name="Normal 2 4 2" xfId="102"/>
    <cellStyle name="Normal 2 5" xfId="103"/>
    <cellStyle name="Normal 2 6" xfId="104"/>
    <cellStyle name="Normal 3" xfId="50"/>
    <cellStyle name="Normal 3 10" xfId="105"/>
    <cellStyle name="Normal 3 10 2" xfId="106"/>
    <cellStyle name="Normal 3 11" xfId="107"/>
    <cellStyle name="Normal 3 11 2" xfId="108"/>
    <cellStyle name="Normal 3 12" xfId="109"/>
    <cellStyle name="Normal 3 13" xfId="110"/>
    <cellStyle name="Normal 3 14" xfId="164"/>
    <cellStyle name="Normal 3 2" xfId="111"/>
    <cellStyle name="Normal 3 2 2" xfId="112"/>
    <cellStyle name="Normal 3 2 3" xfId="113"/>
    <cellStyle name="Normal 3 3" xfId="114"/>
    <cellStyle name="Normal 3 3 2" xfId="115"/>
    <cellStyle name="Normal 3 4" xfId="116"/>
    <cellStyle name="Normal 3 4 2" xfId="117"/>
    <cellStyle name="Normal 3 5" xfId="118"/>
    <cellStyle name="Normal 3 5 2" xfId="119"/>
    <cellStyle name="Normal 3 6" xfId="120"/>
    <cellStyle name="Normal 3 7" xfId="121"/>
    <cellStyle name="Normal 3 8" xfId="122"/>
    <cellStyle name="Normal 3 8 2" xfId="123"/>
    <cellStyle name="Normal 3 9" xfId="124"/>
    <cellStyle name="Normal 3 9 2" xfId="125"/>
    <cellStyle name="Normal 4" xfId="126"/>
    <cellStyle name="Normal 4 2" xfId="127"/>
    <cellStyle name="Normal 5" xfId="128"/>
    <cellStyle name="Normal 5 2" xfId="129"/>
    <cellStyle name="Normal 5 2 2" xfId="130"/>
    <cellStyle name="Normal 5 3" xfId="131"/>
    <cellStyle name="Normal 6" xfId="132"/>
    <cellStyle name="Normal 7" xfId="133"/>
    <cellStyle name="Normal 7 2" xfId="134"/>
    <cellStyle name="Normal 8" xfId="135"/>
    <cellStyle name="Normal 8 6" xfId="152"/>
    <cellStyle name="Normal 8 6 2" xfId="154"/>
    <cellStyle name="Normal 8 6 2 2" xfId="158"/>
    <cellStyle name="Normal 8 6 2 2 4" xfId="165"/>
    <cellStyle name="Normal 8 7" xfId="153"/>
    <cellStyle name="Normal 9" xfId="136"/>
    <cellStyle name="Normal_2002 määrus lisa 5" xfId="35"/>
    <cellStyle name="Normal_2002 määrus lisa 5 2" xfId="155"/>
    <cellStyle name="Normal_2002 määrus lisa 5_Lisad 22.02.11 II" xfId="36"/>
    <cellStyle name="Normal_eelarve muutmise vorm" xfId="157"/>
    <cellStyle name="Normal_eelarve muutmise vorm 2 2" xfId="166"/>
    <cellStyle name="Normal_Sheet1" xfId="167"/>
    <cellStyle name="Normal_vorm 1 koond" xfId="156"/>
    <cellStyle name="Normal_vorm 1 koond_Lisad 22.02.11 II" xfId="37"/>
    <cellStyle name="Normal_vorm4" xfId="171"/>
    <cellStyle name="Note" xfId="38" builtinId="10" customBuiltin="1"/>
    <cellStyle name="Note 2" xfId="137"/>
    <cellStyle name="Note 3" xfId="145"/>
    <cellStyle name="Note 4" xfId="51"/>
    <cellStyle name="Output" xfId="39" builtinId="21" customBuiltin="1"/>
    <cellStyle name="Output 2" xfId="138"/>
    <cellStyle name="Percent" xfId="150" builtinId="5"/>
    <cellStyle name="Percent 2" xfId="46"/>
    <cellStyle name="Percent 3" xfId="139"/>
    <cellStyle name="Percent 4" xfId="160"/>
    <cellStyle name="Percent 5 2 4" xfId="163"/>
    <cellStyle name="Rõhk5 2" xfId="140"/>
    <cellStyle name="Rõhk6 2" xfId="141"/>
    <cellStyle name="Title" xfId="40" builtinId="15" customBuiltin="1"/>
    <cellStyle name="Title 2" xfId="142"/>
    <cellStyle name="Total" xfId="41" builtinId="25" customBuiltin="1"/>
    <cellStyle name="Total 2" xfId="143"/>
    <cellStyle name="Warning Text" xfId="42" builtinId="11" customBuiltin="1"/>
    <cellStyle name="Warning Text 2" xfId="144"/>
  </cellStyles>
  <dxfs count="0"/>
  <tableStyles count="0" defaultTableStyle="TableStyleMedium2" defaultPivotStyle="PivotStyleLight16"/>
  <colors>
    <mruColors>
      <color rgb="FFFFFF99"/>
      <color rgb="FFFF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25</xdr:row>
      <xdr:rowOff>9525</xdr:rowOff>
    </xdr:from>
    <xdr:to>
      <xdr:col>15</xdr:col>
      <xdr:colOff>400050</xdr:colOff>
      <xdr:row>32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" y="6543675"/>
          <a:ext cx="9086850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Märkused:</a:t>
          </a:r>
          <a:endParaRPr lang="et-E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*  sh linnaeelarve, riigieelarve vahendid, välisrahastus, muu (teise 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kohaliku omavalitsusüksuse eelarve vahendid, eraõigusliku juriidilise isiku finantseerimine (sh äriettevõte, mittetulunduslik organisatsioon vm)).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 näidatakse kõigi finantseerimisallikate lõikes</a:t>
          </a:r>
        </a:p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Selgitused:</a:t>
          </a: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Tabelis kajastatakse välisprojektid ja programmid, milles linn osaleb.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Vahendite kajastamisel aastate lõikes näidatakse planeeritavad kulud.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Vormile tuleb lisada selgitused iga projekti kohta, sh projekti tingimused, kulg jm oluline informatsioon.</a:t>
          </a:r>
          <a:endParaRPr lang="et-E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tsteenistus/EELARVE%20OSAKOND/2011/2011%20EELARVE%20T&#196;ITMINE%20-%20VALGE%20RAAMAT/Koond%2026.04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linnlv.ee\data\Users\hirve\Documents\Ametikohtade%20hindamine\Copy%20of%20Koopia%20failist%20Tallinna%20Linnakantselei%20at%20palgatabel_2014_10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UKORD"/>
      <sheetName val="1 KOONDEELARVE"/>
      <sheetName val="2 KOONDEA TÄITMINE"/>
      <sheetName val="3 TULUDE KOOND"/>
      <sheetName val="4 LK TULUD"/>
      <sheetName val="5 RR - OTSTARVE"/>
      <sheetName val="6 TOETUSED"/>
      <sheetName val="Sheet1"/>
      <sheetName val="7 OMATULUD"/>
      <sheetName val="8 KULUD"/>
      <sheetName val="9 INVEST"/>
      <sheetName val="10 FIN.TEH"/>
      <sheetName val="11 EESMÄRGID"/>
      <sheetName val="Probleemid"/>
      <sheetName val="Taotlu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hend"/>
      <sheetName val="Andmed"/>
      <sheetName val="põhipalk"/>
      <sheetName val="tulemustasu2"/>
      <sheetName val="tulemustasu"/>
      <sheetName val="öötöö, riigipühad"/>
      <sheetName val="muutuvad tasud"/>
      <sheetName val="mobiiltelefon"/>
      <sheetName val="Sheet1"/>
      <sheetName val="Maakonnad"/>
      <sheetName val="Job Families"/>
      <sheetName val="Job Names"/>
      <sheetName val="Sheet2"/>
      <sheetName val="Ametiasutused põhitasud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Harjumaa</v>
          </cell>
        </row>
        <row r="2">
          <cell r="A2" t="str">
            <v>Hiiumaa</v>
          </cell>
        </row>
        <row r="3">
          <cell r="A3" t="str">
            <v>Ida-Virumaa</v>
          </cell>
        </row>
        <row r="4">
          <cell r="A4" t="str">
            <v>Jõgevamaa</v>
          </cell>
        </row>
        <row r="5">
          <cell r="A5" t="str">
            <v>Järvamaa</v>
          </cell>
        </row>
        <row r="6">
          <cell r="A6" t="str">
            <v>Läänemaa</v>
          </cell>
        </row>
        <row r="7">
          <cell r="A7" t="str">
            <v>Lääne-Virumaa</v>
          </cell>
        </row>
        <row r="8">
          <cell r="A8" t="str">
            <v>Põlvamaa</v>
          </cell>
        </row>
        <row r="9">
          <cell r="A9" t="str">
            <v>Pärnumaa</v>
          </cell>
        </row>
        <row r="10">
          <cell r="A10" t="str">
            <v>Raplamaa</v>
          </cell>
        </row>
        <row r="11">
          <cell r="A11" t="str">
            <v>Saaremaa</v>
          </cell>
        </row>
        <row r="12">
          <cell r="A12" t="str">
            <v>Tartumaa</v>
          </cell>
        </row>
        <row r="13">
          <cell r="A13" t="str">
            <v>Valgamaa</v>
          </cell>
        </row>
        <row r="14">
          <cell r="A14" t="str">
            <v>Viljandimaa</v>
          </cell>
        </row>
        <row r="15">
          <cell r="A15" t="str">
            <v>Võrumaa</v>
          </cell>
        </row>
      </sheetData>
      <sheetData sheetId="10">
        <row r="2">
          <cell r="D2" t="str">
            <v>Actual Job Family</v>
          </cell>
          <cell r="E2" t="str">
            <v>Level</v>
          </cell>
          <cell r="F2" t="str">
            <v>Points</v>
          </cell>
          <cell r="G2" t="str">
            <v>min</v>
          </cell>
          <cell r="H2" t="str">
            <v>max</v>
          </cell>
        </row>
        <row r="3">
          <cell r="D3" t="str">
            <v>AT - (Sise)auditeerimine</v>
          </cell>
          <cell r="E3">
            <v>1</v>
          </cell>
          <cell r="F3">
            <v>184</v>
          </cell>
          <cell r="G3">
            <v>172</v>
          </cell>
          <cell r="H3">
            <v>197</v>
          </cell>
        </row>
        <row r="4">
          <cell r="D4" t="str">
            <v>AT - (Sise)auditeerimine</v>
          </cell>
          <cell r="E4">
            <v>2</v>
          </cell>
          <cell r="F4">
            <v>281</v>
          </cell>
          <cell r="G4">
            <v>262</v>
          </cell>
          <cell r="H4">
            <v>300</v>
          </cell>
        </row>
        <row r="5">
          <cell r="D5" t="str">
            <v>AT - (Sise)auditeerimine</v>
          </cell>
          <cell r="E5" t="str">
            <v>3A</v>
          </cell>
          <cell r="F5">
            <v>371</v>
          </cell>
          <cell r="G5">
            <v>346</v>
          </cell>
          <cell r="H5">
            <v>397</v>
          </cell>
        </row>
        <row r="6">
          <cell r="D6" t="str">
            <v>AT - (Sise)auditeerimine</v>
          </cell>
          <cell r="E6" t="str">
            <v>3B</v>
          </cell>
          <cell r="F6">
            <v>371</v>
          </cell>
          <cell r="G6">
            <v>346</v>
          </cell>
          <cell r="H6">
            <v>397</v>
          </cell>
        </row>
        <row r="7">
          <cell r="D7" t="str">
            <v>AT - (Sise)auditeerimine</v>
          </cell>
          <cell r="E7">
            <v>4</v>
          </cell>
          <cell r="F7">
            <v>492</v>
          </cell>
          <cell r="G7">
            <v>458</v>
          </cell>
          <cell r="H7">
            <v>526</v>
          </cell>
        </row>
        <row r="8">
          <cell r="D8" t="str">
            <v>AT - Andmeait</v>
          </cell>
          <cell r="E8">
            <v>1</v>
          </cell>
          <cell r="F8">
            <v>160</v>
          </cell>
          <cell r="G8">
            <v>150</v>
          </cell>
          <cell r="H8">
            <v>149</v>
          </cell>
        </row>
        <row r="9">
          <cell r="D9" t="str">
            <v>AT - Andmeait</v>
          </cell>
          <cell r="E9">
            <v>2</v>
          </cell>
          <cell r="F9">
            <v>244</v>
          </cell>
          <cell r="G9">
            <v>228</v>
          </cell>
          <cell r="H9">
            <v>261</v>
          </cell>
        </row>
        <row r="10">
          <cell r="D10" t="str">
            <v>AT - Andmeait</v>
          </cell>
          <cell r="E10">
            <v>3</v>
          </cell>
          <cell r="F10">
            <v>323</v>
          </cell>
          <cell r="G10">
            <v>301</v>
          </cell>
          <cell r="H10">
            <v>345</v>
          </cell>
        </row>
        <row r="11">
          <cell r="D11" t="str">
            <v>AT - Andmeait</v>
          </cell>
          <cell r="E11">
            <v>4</v>
          </cell>
          <cell r="F11">
            <v>427</v>
          </cell>
          <cell r="G11">
            <v>398</v>
          </cell>
          <cell r="H11">
            <v>457</v>
          </cell>
        </row>
        <row r="12">
          <cell r="D12" t="str">
            <v>AT - Andmeanalüüs ja -seire</v>
          </cell>
          <cell r="E12">
            <v>1</v>
          </cell>
          <cell r="F12">
            <v>121</v>
          </cell>
          <cell r="G12">
            <v>113</v>
          </cell>
          <cell r="H12">
            <v>129</v>
          </cell>
        </row>
        <row r="13">
          <cell r="D13" t="str">
            <v>AT - Andmeanalüüs ja -seire</v>
          </cell>
          <cell r="E13">
            <v>2</v>
          </cell>
          <cell r="F13">
            <v>212</v>
          </cell>
          <cell r="G13">
            <v>198</v>
          </cell>
          <cell r="H13">
            <v>227</v>
          </cell>
        </row>
        <row r="14">
          <cell r="D14" t="str">
            <v>AT - Andmeanalüüs ja -seire</v>
          </cell>
          <cell r="E14">
            <v>3</v>
          </cell>
          <cell r="F14">
            <v>281</v>
          </cell>
          <cell r="G14">
            <v>262</v>
          </cell>
          <cell r="H14">
            <v>300</v>
          </cell>
        </row>
        <row r="15">
          <cell r="D15" t="str">
            <v>AT - Andmeanalüüs ja -seire</v>
          </cell>
          <cell r="E15" t="str">
            <v>4A</v>
          </cell>
          <cell r="F15">
            <v>323</v>
          </cell>
          <cell r="G15">
            <v>301</v>
          </cell>
          <cell r="H15">
            <v>345</v>
          </cell>
        </row>
        <row r="16">
          <cell r="D16" t="str">
            <v>AT - Andmeanalüüs ja -seire</v>
          </cell>
          <cell r="E16" t="str">
            <v>4B</v>
          </cell>
          <cell r="F16">
            <v>427</v>
          </cell>
          <cell r="G16">
            <v>398</v>
          </cell>
          <cell r="H16">
            <v>457</v>
          </cell>
        </row>
        <row r="17">
          <cell r="D17" t="str">
            <v>AT - Andmeanalüüs ja -seire</v>
          </cell>
          <cell r="E17" t="str">
            <v>5A</v>
          </cell>
          <cell r="F17">
            <v>427</v>
          </cell>
          <cell r="G17">
            <v>398</v>
          </cell>
          <cell r="H17">
            <v>457</v>
          </cell>
        </row>
        <row r="18">
          <cell r="D18" t="str">
            <v>AT - Andmeanalüüs ja -seire</v>
          </cell>
          <cell r="E18" t="str">
            <v>5B</v>
          </cell>
          <cell r="F18">
            <v>492</v>
          </cell>
          <cell r="G18">
            <v>458</v>
          </cell>
          <cell r="H18">
            <v>526</v>
          </cell>
        </row>
        <row r="19">
          <cell r="D19" t="str">
            <v>AT - Arengu ja poliitika kujundamine</v>
          </cell>
          <cell r="E19">
            <v>1</v>
          </cell>
          <cell r="F19">
            <v>184</v>
          </cell>
          <cell r="G19">
            <v>172</v>
          </cell>
          <cell r="H19">
            <v>197</v>
          </cell>
        </row>
        <row r="20">
          <cell r="D20" t="str">
            <v>AT - Arengu ja poliitika kujundamine</v>
          </cell>
          <cell r="E20">
            <v>2</v>
          </cell>
          <cell r="F20">
            <v>244</v>
          </cell>
          <cell r="G20">
            <v>228</v>
          </cell>
          <cell r="H20">
            <v>261</v>
          </cell>
        </row>
        <row r="21">
          <cell r="D21" t="str">
            <v>AT - Arengu ja poliitika kujundamine</v>
          </cell>
          <cell r="E21">
            <v>3</v>
          </cell>
          <cell r="F21">
            <v>323</v>
          </cell>
          <cell r="G21">
            <v>301</v>
          </cell>
          <cell r="H21">
            <v>345</v>
          </cell>
        </row>
        <row r="22">
          <cell r="D22" t="str">
            <v>AT - Arengu ja poliitika kujundamine</v>
          </cell>
          <cell r="E22">
            <v>4</v>
          </cell>
          <cell r="F22">
            <v>427</v>
          </cell>
          <cell r="G22">
            <v>398</v>
          </cell>
          <cell r="H22">
            <v>457</v>
          </cell>
        </row>
        <row r="23">
          <cell r="D23" t="str">
            <v>AT - Arengu ja poliitika kujundamine</v>
          </cell>
          <cell r="E23">
            <v>5</v>
          </cell>
          <cell r="F23">
            <v>492</v>
          </cell>
          <cell r="G23">
            <v>458</v>
          </cell>
          <cell r="H23">
            <v>526</v>
          </cell>
        </row>
        <row r="24">
          <cell r="D24" t="str">
            <v>AT - Arengu ja poliitika kujundamine</v>
          </cell>
          <cell r="E24">
            <v>6</v>
          </cell>
          <cell r="F24">
            <v>651</v>
          </cell>
          <cell r="G24">
            <v>606</v>
          </cell>
          <cell r="H24">
            <v>696</v>
          </cell>
        </row>
        <row r="25">
          <cell r="D25" t="str">
            <v>AT - Arhiivindus</v>
          </cell>
          <cell r="E25" t="str">
            <v>1B</v>
          </cell>
          <cell r="F25">
            <v>139</v>
          </cell>
          <cell r="G25">
            <v>130</v>
          </cell>
          <cell r="H25">
            <v>149</v>
          </cell>
        </row>
        <row r="26">
          <cell r="D26" t="str">
            <v>AT - Arhiivindus</v>
          </cell>
          <cell r="E26" t="str">
            <v>1A</v>
          </cell>
          <cell r="F26">
            <v>160</v>
          </cell>
          <cell r="G26">
            <v>150</v>
          </cell>
          <cell r="H26">
            <v>171</v>
          </cell>
        </row>
        <row r="27">
          <cell r="D27" t="str">
            <v>AT - Arhiivindus</v>
          </cell>
          <cell r="E27" t="str">
            <v>2B</v>
          </cell>
          <cell r="F27">
            <v>184</v>
          </cell>
          <cell r="G27">
            <v>172</v>
          </cell>
          <cell r="H27">
            <v>197</v>
          </cell>
        </row>
        <row r="28">
          <cell r="D28" t="str">
            <v>AT - Arhiivindus</v>
          </cell>
          <cell r="E28" t="str">
            <v>2A</v>
          </cell>
          <cell r="F28">
            <v>212</v>
          </cell>
          <cell r="G28">
            <v>198</v>
          </cell>
          <cell r="H28">
            <v>227</v>
          </cell>
        </row>
        <row r="29">
          <cell r="D29" t="str">
            <v>AT - Arhiivindus</v>
          </cell>
          <cell r="E29" t="str">
            <v>3A</v>
          </cell>
          <cell r="F29">
            <v>281</v>
          </cell>
          <cell r="G29">
            <v>262</v>
          </cell>
          <cell r="H29">
            <v>300</v>
          </cell>
        </row>
        <row r="30">
          <cell r="D30" t="str">
            <v>AT - Arhiivindus</v>
          </cell>
          <cell r="E30" t="str">
            <v>3B</v>
          </cell>
          <cell r="F30">
            <v>281</v>
          </cell>
          <cell r="G30">
            <v>262</v>
          </cell>
          <cell r="H30">
            <v>300</v>
          </cell>
        </row>
        <row r="31">
          <cell r="D31" t="str">
            <v>AT - Arhiivindus</v>
          </cell>
          <cell r="E31">
            <v>4</v>
          </cell>
          <cell r="F31">
            <v>427</v>
          </cell>
          <cell r="G31">
            <v>398</v>
          </cell>
          <cell r="H31">
            <v>457</v>
          </cell>
        </row>
        <row r="32">
          <cell r="D32" t="str">
            <v>AT - Ekspertiis</v>
          </cell>
          <cell r="E32">
            <v>1</v>
          </cell>
          <cell r="F32">
            <v>160</v>
          </cell>
          <cell r="G32">
            <v>150</v>
          </cell>
          <cell r="H32">
            <v>171</v>
          </cell>
        </row>
        <row r="33">
          <cell r="D33" t="str">
            <v>AT - Ekspertiis</v>
          </cell>
          <cell r="E33">
            <v>2</v>
          </cell>
          <cell r="F33">
            <v>212</v>
          </cell>
          <cell r="G33">
            <v>198</v>
          </cell>
          <cell r="H33">
            <v>227</v>
          </cell>
        </row>
        <row r="34">
          <cell r="D34" t="str">
            <v>AT - Ekspertiis</v>
          </cell>
          <cell r="E34">
            <v>3</v>
          </cell>
          <cell r="F34">
            <v>281</v>
          </cell>
          <cell r="G34">
            <v>262</v>
          </cell>
          <cell r="H34">
            <v>300</v>
          </cell>
        </row>
        <row r="35">
          <cell r="D35" t="str">
            <v>AT - Ekspertiis</v>
          </cell>
          <cell r="E35">
            <v>4</v>
          </cell>
          <cell r="F35">
            <v>323</v>
          </cell>
          <cell r="G35">
            <v>301</v>
          </cell>
          <cell r="H35">
            <v>345</v>
          </cell>
        </row>
        <row r="36">
          <cell r="D36" t="str">
            <v>AT - Ekspertiis</v>
          </cell>
          <cell r="E36">
            <v>5</v>
          </cell>
          <cell r="F36">
            <v>427</v>
          </cell>
          <cell r="G36">
            <v>398</v>
          </cell>
          <cell r="H36">
            <v>457</v>
          </cell>
        </row>
        <row r="37">
          <cell r="D37" t="str">
            <v>AT - Finantsanalüüs, -planeerimine ja -juhtimine</v>
          </cell>
          <cell r="E37">
            <v>1</v>
          </cell>
          <cell r="F37">
            <v>160</v>
          </cell>
          <cell r="G37">
            <v>150</v>
          </cell>
          <cell r="H37">
            <v>171</v>
          </cell>
        </row>
        <row r="38">
          <cell r="D38" t="str">
            <v>AT - Finantsanalüüs, -planeerimine ja -juhtimine</v>
          </cell>
          <cell r="E38">
            <v>2</v>
          </cell>
          <cell r="F38">
            <v>184</v>
          </cell>
          <cell r="G38">
            <v>172</v>
          </cell>
          <cell r="H38">
            <v>197</v>
          </cell>
        </row>
        <row r="39">
          <cell r="D39" t="str">
            <v>AT - Finantsanalüüs, -planeerimine ja -juhtimine</v>
          </cell>
          <cell r="E39">
            <v>3</v>
          </cell>
          <cell r="F39">
            <v>281</v>
          </cell>
          <cell r="G39">
            <v>262</v>
          </cell>
          <cell r="H39">
            <v>300</v>
          </cell>
        </row>
        <row r="40">
          <cell r="D40" t="str">
            <v>AT - Finantsanalüüs, -planeerimine ja -juhtimine</v>
          </cell>
          <cell r="E40">
            <v>4</v>
          </cell>
          <cell r="F40">
            <v>427</v>
          </cell>
          <cell r="G40">
            <v>398</v>
          </cell>
          <cell r="H40">
            <v>457</v>
          </cell>
        </row>
        <row r="41">
          <cell r="D41" t="str">
            <v>AT - Finantsanalüüs, -planeerimine ja -juhtimine</v>
          </cell>
          <cell r="E41">
            <v>5</v>
          </cell>
          <cell r="F41">
            <v>492</v>
          </cell>
          <cell r="G41">
            <v>458</v>
          </cell>
          <cell r="H41">
            <v>526</v>
          </cell>
        </row>
        <row r="42">
          <cell r="D42" t="str">
            <v>AT - Geomaatika</v>
          </cell>
          <cell r="E42">
            <v>1</v>
          </cell>
          <cell r="F42">
            <v>160</v>
          </cell>
          <cell r="G42">
            <v>150</v>
          </cell>
          <cell r="H42">
            <v>171</v>
          </cell>
        </row>
        <row r="43">
          <cell r="D43" t="str">
            <v>AT - Geomaatika</v>
          </cell>
          <cell r="E43">
            <v>2</v>
          </cell>
          <cell r="F43">
            <v>212</v>
          </cell>
          <cell r="G43">
            <v>198</v>
          </cell>
          <cell r="H43">
            <v>227</v>
          </cell>
        </row>
        <row r="44">
          <cell r="D44" t="str">
            <v>AT - Geomaatika</v>
          </cell>
          <cell r="E44">
            <v>3</v>
          </cell>
          <cell r="F44">
            <v>244</v>
          </cell>
          <cell r="G44">
            <v>228</v>
          </cell>
          <cell r="H44">
            <v>261</v>
          </cell>
        </row>
        <row r="45">
          <cell r="D45" t="str">
            <v>AT - Geomaatika</v>
          </cell>
          <cell r="E45">
            <v>4</v>
          </cell>
          <cell r="F45">
            <v>371</v>
          </cell>
          <cell r="G45">
            <v>346</v>
          </cell>
          <cell r="H45">
            <v>397</v>
          </cell>
        </row>
        <row r="46">
          <cell r="D46" t="str">
            <v>AT - Haridus</v>
          </cell>
          <cell r="E46">
            <v>1</v>
          </cell>
          <cell r="F46">
            <v>160</v>
          </cell>
          <cell r="G46">
            <v>150</v>
          </cell>
          <cell r="H46">
            <v>171</v>
          </cell>
        </row>
        <row r="47">
          <cell r="D47" t="str">
            <v>AT - Haridus</v>
          </cell>
          <cell r="E47" t="str">
            <v>2A</v>
          </cell>
          <cell r="F47">
            <v>244</v>
          </cell>
          <cell r="G47">
            <v>228</v>
          </cell>
          <cell r="H47">
            <v>261</v>
          </cell>
        </row>
        <row r="48">
          <cell r="D48" t="str">
            <v>AT - Haridus</v>
          </cell>
          <cell r="E48" t="str">
            <v>2B</v>
          </cell>
          <cell r="F48">
            <v>244</v>
          </cell>
          <cell r="G48">
            <v>228</v>
          </cell>
          <cell r="H48">
            <v>261</v>
          </cell>
        </row>
        <row r="49">
          <cell r="D49" t="str">
            <v>AT - Haridus</v>
          </cell>
          <cell r="E49" t="str">
            <v>3A</v>
          </cell>
          <cell r="F49">
            <v>323</v>
          </cell>
          <cell r="G49">
            <v>301</v>
          </cell>
          <cell r="H49">
            <v>345</v>
          </cell>
        </row>
        <row r="50">
          <cell r="D50" t="str">
            <v>AT - Haridus</v>
          </cell>
          <cell r="E50" t="str">
            <v>3B</v>
          </cell>
          <cell r="F50">
            <v>323</v>
          </cell>
          <cell r="G50">
            <v>301</v>
          </cell>
          <cell r="H50">
            <v>345</v>
          </cell>
        </row>
        <row r="51">
          <cell r="D51" t="str">
            <v>AT - Haridus</v>
          </cell>
          <cell r="E51">
            <v>4</v>
          </cell>
          <cell r="F51">
            <v>492</v>
          </cell>
          <cell r="G51">
            <v>458</v>
          </cell>
          <cell r="H51">
            <v>526</v>
          </cell>
        </row>
        <row r="52">
          <cell r="D52" t="str">
            <v>AT - Info ja dokumendihaldus</v>
          </cell>
          <cell r="E52">
            <v>1</v>
          </cell>
          <cell r="F52">
            <v>105</v>
          </cell>
          <cell r="G52">
            <v>98</v>
          </cell>
          <cell r="H52">
            <v>112</v>
          </cell>
        </row>
        <row r="53">
          <cell r="D53" t="str">
            <v>AT - Info ja dokumendihaldus</v>
          </cell>
          <cell r="E53">
            <v>2</v>
          </cell>
          <cell r="F53">
            <v>139</v>
          </cell>
          <cell r="G53">
            <v>130</v>
          </cell>
          <cell r="H53">
            <v>149</v>
          </cell>
        </row>
        <row r="54">
          <cell r="D54" t="str">
            <v>AT - Info ja dokumendihaldus</v>
          </cell>
          <cell r="E54">
            <v>3</v>
          </cell>
          <cell r="F54">
            <v>212</v>
          </cell>
          <cell r="G54">
            <v>198</v>
          </cell>
          <cell r="H54">
            <v>227</v>
          </cell>
        </row>
        <row r="55">
          <cell r="D55" t="str">
            <v>AT - Info ja dokumendihaldus</v>
          </cell>
          <cell r="E55">
            <v>4</v>
          </cell>
          <cell r="F55">
            <v>281</v>
          </cell>
          <cell r="G55">
            <v>262</v>
          </cell>
          <cell r="H55">
            <v>300</v>
          </cell>
        </row>
        <row r="56">
          <cell r="D56" t="str">
            <v>AT - Info ja dokumendihaldus</v>
          </cell>
          <cell r="E56">
            <v>5</v>
          </cell>
          <cell r="F56">
            <v>371</v>
          </cell>
          <cell r="G56">
            <v>346</v>
          </cell>
          <cell r="H56">
            <v>397</v>
          </cell>
        </row>
        <row r="57">
          <cell r="D57" t="str">
            <v>AT - Inseneritööd</v>
          </cell>
          <cell r="E57">
            <v>1</v>
          </cell>
          <cell r="F57">
            <v>160</v>
          </cell>
          <cell r="G57">
            <v>150</v>
          </cell>
          <cell r="H57">
            <v>171</v>
          </cell>
        </row>
        <row r="58">
          <cell r="D58" t="str">
            <v>AT - Inseneritööd</v>
          </cell>
          <cell r="E58">
            <v>2</v>
          </cell>
          <cell r="F58">
            <v>244</v>
          </cell>
          <cell r="G58">
            <v>228</v>
          </cell>
          <cell r="H58">
            <v>261</v>
          </cell>
        </row>
        <row r="59">
          <cell r="D59" t="str">
            <v>AT - Inseneritööd</v>
          </cell>
          <cell r="E59">
            <v>3</v>
          </cell>
          <cell r="F59">
            <v>323</v>
          </cell>
          <cell r="G59">
            <v>301</v>
          </cell>
          <cell r="H59">
            <v>345</v>
          </cell>
        </row>
        <row r="60">
          <cell r="D60" t="str">
            <v>AT - Inseneritööd</v>
          </cell>
          <cell r="E60">
            <v>4</v>
          </cell>
          <cell r="F60">
            <v>427</v>
          </cell>
          <cell r="G60">
            <v>398</v>
          </cell>
          <cell r="H60">
            <v>457</v>
          </cell>
        </row>
        <row r="61">
          <cell r="D61" t="str">
            <v>AT - Instruktorid-koolitajad</v>
          </cell>
          <cell r="E61">
            <v>1</v>
          </cell>
          <cell r="F61">
            <v>160</v>
          </cell>
          <cell r="G61">
            <v>150</v>
          </cell>
          <cell r="H61">
            <v>171</v>
          </cell>
        </row>
        <row r="62">
          <cell r="D62" t="str">
            <v>AT - Instruktorid-koolitajad</v>
          </cell>
          <cell r="E62">
            <v>2</v>
          </cell>
          <cell r="F62">
            <v>212</v>
          </cell>
          <cell r="G62">
            <v>198</v>
          </cell>
          <cell r="H62">
            <v>227</v>
          </cell>
        </row>
        <row r="63">
          <cell r="D63" t="str">
            <v>AT - Instruktorid-koolitajad</v>
          </cell>
          <cell r="E63">
            <v>3</v>
          </cell>
          <cell r="F63">
            <v>281</v>
          </cell>
          <cell r="G63">
            <v>262</v>
          </cell>
          <cell r="H63">
            <v>300</v>
          </cell>
        </row>
        <row r="64">
          <cell r="D64" t="str">
            <v>AT - Isikute teenindamine</v>
          </cell>
          <cell r="E64">
            <v>1</v>
          </cell>
          <cell r="F64">
            <v>79</v>
          </cell>
          <cell r="G64">
            <v>74</v>
          </cell>
          <cell r="H64">
            <v>84</v>
          </cell>
        </row>
        <row r="65">
          <cell r="D65" t="str">
            <v>AT - Isikute teenindamine</v>
          </cell>
          <cell r="E65">
            <v>2</v>
          </cell>
          <cell r="F65">
            <v>105</v>
          </cell>
          <cell r="G65">
            <v>98</v>
          </cell>
          <cell r="H65">
            <v>112</v>
          </cell>
        </row>
        <row r="66">
          <cell r="D66" t="str">
            <v>AT - Isikute teenindamine</v>
          </cell>
          <cell r="E66" t="str">
            <v>3A</v>
          </cell>
          <cell r="F66">
            <v>139</v>
          </cell>
          <cell r="G66">
            <v>130</v>
          </cell>
          <cell r="H66">
            <v>149</v>
          </cell>
        </row>
        <row r="67">
          <cell r="D67" t="str">
            <v>AT - Isikute teenindamine</v>
          </cell>
          <cell r="E67" t="str">
            <v>3B</v>
          </cell>
          <cell r="F67">
            <v>160</v>
          </cell>
          <cell r="G67">
            <v>150</v>
          </cell>
          <cell r="H67">
            <v>171</v>
          </cell>
        </row>
        <row r="68">
          <cell r="D68" t="str">
            <v>AT - Isikute teenindamine</v>
          </cell>
          <cell r="E68">
            <v>4</v>
          </cell>
          <cell r="F68">
            <v>244</v>
          </cell>
          <cell r="G68">
            <v>228</v>
          </cell>
          <cell r="H68">
            <v>261</v>
          </cell>
        </row>
        <row r="69">
          <cell r="D69" t="str">
            <v>AT - Isikute teenindamine</v>
          </cell>
          <cell r="E69">
            <v>5</v>
          </cell>
          <cell r="F69">
            <v>323</v>
          </cell>
          <cell r="G69">
            <v>301</v>
          </cell>
          <cell r="H69">
            <v>345</v>
          </cell>
        </row>
        <row r="70">
          <cell r="D70" t="str">
            <v>AT - IT - andmeturve</v>
          </cell>
          <cell r="E70">
            <v>1</v>
          </cell>
          <cell r="F70">
            <v>184</v>
          </cell>
          <cell r="G70">
            <v>172</v>
          </cell>
          <cell r="H70">
            <v>197</v>
          </cell>
        </row>
        <row r="71">
          <cell r="D71" t="str">
            <v>AT - IT - andmeturve</v>
          </cell>
          <cell r="E71">
            <v>2</v>
          </cell>
          <cell r="F71">
            <v>281</v>
          </cell>
          <cell r="G71">
            <v>262</v>
          </cell>
          <cell r="H71">
            <v>300</v>
          </cell>
        </row>
        <row r="72">
          <cell r="D72" t="str">
            <v>AT - IT - andmeturve</v>
          </cell>
          <cell r="E72">
            <v>3</v>
          </cell>
          <cell r="F72">
            <v>371</v>
          </cell>
          <cell r="G72">
            <v>346</v>
          </cell>
          <cell r="H72">
            <v>397</v>
          </cell>
        </row>
        <row r="73">
          <cell r="D73" t="str">
            <v>AT - IT - arvutigraafika</v>
          </cell>
          <cell r="E73">
            <v>1</v>
          </cell>
          <cell r="F73">
            <v>139</v>
          </cell>
          <cell r="G73">
            <v>130</v>
          </cell>
          <cell r="H73">
            <v>149</v>
          </cell>
        </row>
        <row r="74">
          <cell r="D74" t="str">
            <v>AT - IT - arvutigraafika</v>
          </cell>
          <cell r="E74">
            <v>2</v>
          </cell>
          <cell r="F74">
            <v>244</v>
          </cell>
          <cell r="G74">
            <v>228</v>
          </cell>
          <cell r="H74">
            <v>261</v>
          </cell>
        </row>
        <row r="75">
          <cell r="D75" t="str">
            <v>AT - IT - juhtimine</v>
          </cell>
          <cell r="E75">
            <v>1</v>
          </cell>
          <cell r="F75">
            <v>244</v>
          </cell>
          <cell r="G75">
            <v>228</v>
          </cell>
          <cell r="H75">
            <v>261</v>
          </cell>
        </row>
        <row r="76">
          <cell r="D76" t="str">
            <v>AT - IT - juhtimine</v>
          </cell>
          <cell r="E76">
            <v>2</v>
          </cell>
          <cell r="F76">
            <v>371</v>
          </cell>
          <cell r="G76">
            <v>346</v>
          </cell>
          <cell r="H76">
            <v>397</v>
          </cell>
        </row>
        <row r="77">
          <cell r="D77" t="str">
            <v>AT - IT - juhtimine</v>
          </cell>
          <cell r="E77">
            <v>3</v>
          </cell>
          <cell r="F77">
            <v>492</v>
          </cell>
          <cell r="G77">
            <v>458</v>
          </cell>
          <cell r="H77">
            <v>526</v>
          </cell>
        </row>
        <row r="78">
          <cell r="D78" t="str">
            <v>AT - IT - konsultandid</v>
          </cell>
          <cell r="E78">
            <v>1</v>
          </cell>
          <cell r="F78">
            <v>212</v>
          </cell>
          <cell r="G78">
            <v>198</v>
          </cell>
          <cell r="H78">
            <v>227</v>
          </cell>
        </row>
        <row r="79">
          <cell r="D79" t="str">
            <v>AT - IT - konsultandid</v>
          </cell>
          <cell r="E79">
            <v>2</v>
          </cell>
          <cell r="F79">
            <v>281</v>
          </cell>
          <cell r="G79">
            <v>262</v>
          </cell>
          <cell r="H79">
            <v>300</v>
          </cell>
        </row>
        <row r="80">
          <cell r="D80" t="str">
            <v>AT - IT - konsultandid</v>
          </cell>
          <cell r="E80">
            <v>3</v>
          </cell>
          <cell r="F80">
            <v>427</v>
          </cell>
          <cell r="G80">
            <v>398</v>
          </cell>
          <cell r="H80">
            <v>457</v>
          </cell>
        </row>
        <row r="81">
          <cell r="D81" t="str">
            <v>AT - IT - projektijuhtimine</v>
          </cell>
          <cell r="E81">
            <v>1</v>
          </cell>
          <cell r="F81">
            <v>212</v>
          </cell>
          <cell r="G81">
            <v>198</v>
          </cell>
          <cell r="H81">
            <v>227</v>
          </cell>
        </row>
        <row r="82">
          <cell r="D82" t="str">
            <v>AT - IT - projektijuhtimine</v>
          </cell>
          <cell r="E82">
            <v>2</v>
          </cell>
          <cell r="F82">
            <v>281</v>
          </cell>
          <cell r="G82">
            <v>262</v>
          </cell>
          <cell r="H82">
            <v>300</v>
          </cell>
        </row>
        <row r="83">
          <cell r="D83" t="str">
            <v>AT - IT - projektijuhtimine</v>
          </cell>
          <cell r="E83">
            <v>3</v>
          </cell>
          <cell r="F83">
            <v>371</v>
          </cell>
          <cell r="G83">
            <v>346</v>
          </cell>
          <cell r="H83">
            <v>397</v>
          </cell>
        </row>
        <row r="84">
          <cell r="D84" t="str">
            <v>AT - IT - süsteemiadministratsioon</v>
          </cell>
          <cell r="E84">
            <v>1</v>
          </cell>
          <cell r="F84">
            <v>139</v>
          </cell>
          <cell r="G84">
            <v>130</v>
          </cell>
          <cell r="H84">
            <v>149</v>
          </cell>
        </row>
        <row r="85">
          <cell r="D85" t="str">
            <v>AT - IT - süsteemiadministratsioon</v>
          </cell>
          <cell r="E85">
            <v>2</v>
          </cell>
          <cell r="F85">
            <v>212</v>
          </cell>
          <cell r="G85">
            <v>198</v>
          </cell>
          <cell r="H85">
            <v>227</v>
          </cell>
        </row>
        <row r="86">
          <cell r="D86" t="str">
            <v>AT - IT - süsteemiadministratsioon</v>
          </cell>
          <cell r="E86">
            <v>3</v>
          </cell>
          <cell r="F86">
            <v>281</v>
          </cell>
          <cell r="G86">
            <v>262</v>
          </cell>
          <cell r="H86">
            <v>300</v>
          </cell>
        </row>
        <row r="87">
          <cell r="D87" t="str">
            <v>AT - IT - süsteemiadministratsioon</v>
          </cell>
          <cell r="E87">
            <v>4</v>
          </cell>
          <cell r="F87">
            <v>427</v>
          </cell>
          <cell r="G87">
            <v>398</v>
          </cell>
          <cell r="H87">
            <v>457</v>
          </cell>
        </row>
        <row r="88">
          <cell r="D88" t="str">
            <v>AT - IT - süsteemianalüüs</v>
          </cell>
          <cell r="E88">
            <v>1</v>
          </cell>
          <cell r="F88">
            <v>160</v>
          </cell>
          <cell r="G88">
            <v>150</v>
          </cell>
          <cell r="H88">
            <v>171</v>
          </cell>
        </row>
        <row r="89">
          <cell r="D89" t="str">
            <v>AT - IT - süsteemianalüüs</v>
          </cell>
          <cell r="E89">
            <v>2</v>
          </cell>
          <cell r="F89">
            <v>244</v>
          </cell>
          <cell r="G89">
            <v>228</v>
          </cell>
          <cell r="H89">
            <v>261</v>
          </cell>
        </row>
        <row r="90">
          <cell r="D90" t="str">
            <v>AT - IT - süsteemianalüüs</v>
          </cell>
          <cell r="E90">
            <v>3</v>
          </cell>
          <cell r="F90">
            <v>323</v>
          </cell>
          <cell r="G90">
            <v>301</v>
          </cell>
          <cell r="H90">
            <v>345</v>
          </cell>
        </row>
        <row r="91">
          <cell r="D91" t="str">
            <v>AT - IT - süsteemianalüüs</v>
          </cell>
          <cell r="E91">
            <v>4</v>
          </cell>
          <cell r="F91">
            <v>492</v>
          </cell>
          <cell r="G91">
            <v>458</v>
          </cell>
          <cell r="H91">
            <v>526</v>
          </cell>
        </row>
        <row r="92">
          <cell r="D92" t="str">
            <v>AT - IT - süsteemiarhitektuur</v>
          </cell>
          <cell r="E92">
            <v>1</v>
          </cell>
          <cell r="F92">
            <v>323</v>
          </cell>
          <cell r="G92">
            <v>301</v>
          </cell>
          <cell r="H92">
            <v>345</v>
          </cell>
        </row>
        <row r="93">
          <cell r="D93" t="str">
            <v>AT - IT - süsteemiarhitektuur</v>
          </cell>
          <cell r="E93">
            <v>2</v>
          </cell>
          <cell r="F93">
            <v>427</v>
          </cell>
          <cell r="G93">
            <v>398</v>
          </cell>
          <cell r="H93">
            <v>457</v>
          </cell>
        </row>
        <row r="94">
          <cell r="D94" t="str">
            <v>AT - IT - süsteemiarhitektuur</v>
          </cell>
          <cell r="E94">
            <v>3</v>
          </cell>
          <cell r="F94">
            <v>566</v>
          </cell>
          <cell r="G94">
            <v>527</v>
          </cell>
          <cell r="H94">
            <v>605</v>
          </cell>
        </row>
        <row r="95">
          <cell r="D95" t="str">
            <v>AT - IT - tarkvara programmeerimine</v>
          </cell>
          <cell r="E95">
            <v>1</v>
          </cell>
          <cell r="F95">
            <v>160</v>
          </cell>
          <cell r="G95">
            <v>150</v>
          </cell>
          <cell r="H95">
            <v>171</v>
          </cell>
        </row>
        <row r="96">
          <cell r="D96" t="str">
            <v>AT - IT - tarkvara programmeerimine</v>
          </cell>
          <cell r="E96">
            <v>2</v>
          </cell>
          <cell r="F96">
            <v>212</v>
          </cell>
          <cell r="G96">
            <v>198</v>
          </cell>
          <cell r="H96">
            <v>227</v>
          </cell>
        </row>
        <row r="97">
          <cell r="D97" t="str">
            <v>AT - IT - tarkvara programmeerimine</v>
          </cell>
          <cell r="E97">
            <v>3</v>
          </cell>
          <cell r="F97">
            <v>281</v>
          </cell>
          <cell r="G97">
            <v>262</v>
          </cell>
          <cell r="H97">
            <v>300</v>
          </cell>
        </row>
        <row r="98">
          <cell r="D98" t="str">
            <v>AT - IT - tarkvara programmeerimine</v>
          </cell>
          <cell r="E98">
            <v>4</v>
          </cell>
          <cell r="F98">
            <v>427</v>
          </cell>
          <cell r="G98">
            <v>398</v>
          </cell>
          <cell r="H98">
            <v>457</v>
          </cell>
        </row>
        <row r="99">
          <cell r="D99" t="str">
            <v>AT - IT - teenuste tugi</v>
          </cell>
          <cell r="E99">
            <v>1</v>
          </cell>
          <cell r="F99">
            <v>160</v>
          </cell>
          <cell r="G99">
            <v>150</v>
          </cell>
          <cell r="H99">
            <v>171</v>
          </cell>
        </row>
        <row r="100">
          <cell r="D100" t="str">
            <v>AT - IT - teenuste tugi</v>
          </cell>
          <cell r="E100">
            <v>2</v>
          </cell>
          <cell r="F100">
            <v>212</v>
          </cell>
          <cell r="G100">
            <v>198</v>
          </cell>
          <cell r="H100">
            <v>227</v>
          </cell>
        </row>
        <row r="101">
          <cell r="D101" t="str">
            <v>AT - IT - teenuste tugi</v>
          </cell>
          <cell r="E101">
            <v>3</v>
          </cell>
          <cell r="F101">
            <v>281</v>
          </cell>
          <cell r="G101">
            <v>262</v>
          </cell>
          <cell r="H101">
            <v>300</v>
          </cell>
        </row>
        <row r="102">
          <cell r="D102" t="str">
            <v>AT - IT - testimine</v>
          </cell>
          <cell r="E102">
            <v>1</v>
          </cell>
          <cell r="F102">
            <v>121</v>
          </cell>
          <cell r="G102">
            <v>113</v>
          </cell>
          <cell r="H102">
            <v>129</v>
          </cell>
        </row>
        <row r="103">
          <cell r="D103" t="str">
            <v>AT - IT - testimine</v>
          </cell>
          <cell r="E103">
            <v>2</v>
          </cell>
          <cell r="F103">
            <v>160</v>
          </cell>
          <cell r="G103">
            <v>150</v>
          </cell>
          <cell r="H103">
            <v>171</v>
          </cell>
        </row>
        <row r="104">
          <cell r="D104" t="str">
            <v>AT - IT - testimine</v>
          </cell>
          <cell r="E104">
            <v>3</v>
          </cell>
          <cell r="F104">
            <v>212</v>
          </cell>
          <cell r="G104">
            <v>198</v>
          </cell>
          <cell r="H104">
            <v>227</v>
          </cell>
        </row>
        <row r="105">
          <cell r="D105" t="str">
            <v>AT - IT - testimine</v>
          </cell>
          <cell r="E105">
            <v>4</v>
          </cell>
          <cell r="F105">
            <v>281</v>
          </cell>
          <cell r="G105">
            <v>262</v>
          </cell>
          <cell r="H105">
            <v>300</v>
          </cell>
        </row>
        <row r="106">
          <cell r="D106" t="str">
            <v>AT - Kokad</v>
          </cell>
          <cell r="E106">
            <v>1</v>
          </cell>
          <cell r="F106">
            <v>79</v>
          </cell>
          <cell r="G106">
            <v>74</v>
          </cell>
          <cell r="H106">
            <v>84</v>
          </cell>
        </row>
        <row r="107">
          <cell r="D107" t="str">
            <v>AT - Kokad</v>
          </cell>
          <cell r="E107">
            <v>2</v>
          </cell>
          <cell r="F107">
            <v>105</v>
          </cell>
          <cell r="G107">
            <v>98</v>
          </cell>
          <cell r="H107">
            <v>112</v>
          </cell>
        </row>
        <row r="108">
          <cell r="D108" t="str">
            <v>AT - Kokad</v>
          </cell>
          <cell r="E108">
            <v>3</v>
          </cell>
          <cell r="F108">
            <v>160</v>
          </cell>
          <cell r="G108">
            <v>150</v>
          </cell>
          <cell r="H108">
            <v>171</v>
          </cell>
        </row>
        <row r="109">
          <cell r="D109" t="str">
            <v>AT - Kokad</v>
          </cell>
          <cell r="E109">
            <v>4</v>
          </cell>
          <cell r="F109">
            <v>281</v>
          </cell>
          <cell r="G109">
            <v>262</v>
          </cell>
          <cell r="H109">
            <v>300</v>
          </cell>
        </row>
        <row r="110">
          <cell r="D110" t="str">
            <v>AT - Kommunikatsiooni juhtimine</v>
          </cell>
          <cell r="E110">
            <v>1</v>
          </cell>
          <cell r="F110">
            <v>160</v>
          </cell>
          <cell r="G110">
            <v>150</v>
          </cell>
          <cell r="H110">
            <v>171</v>
          </cell>
        </row>
        <row r="111">
          <cell r="D111" t="str">
            <v>AT - Kommunikatsiooni juhtimine</v>
          </cell>
          <cell r="E111">
            <v>2</v>
          </cell>
          <cell r="F111">
            <v>244</v>
          </cell>
          <cell r="G111">
            <v>228</v>
          </cell>
          <cell r="H111">
            <v>261</v>
          </cell>
        </row>
        <row r="112">
          <cell r="D112" t="str">
            <v>AT - Kommunikatsiooni juhtimine</v>
          </cell>
          <cell r="E112">
            <v>3</v>
          </cell>
          <cell r="F112">
            <v>323</v>
          </cell>
          <cell r="G112">
            <v>301</v>
          </cell>
          <cell r="H112">
            <v>345</v>
          </cell>
        </row>
        <row r="113">
          <cell r="D113" t="str">
            <v>AT - Kommunikatsiooni juhtimine</v>
          </cell>
          <cell r="E113">
            <v>4</v>
          </cell>
          <cell r="F113">
            <v>492</v>
          </cell>
          <cell r="G113">
            <v>458</v>
          </cell>
          <cell r="H113">
            <v>526</v>
          </cell>
        </row>
        <row r="114">
          <cell r="D114" t="str">
            <v>AT - Koostöö korraldamine</v>
          </cell>
          <cell r="E114">
            <v>1</v>
          </cell>
          <cell r="F114">
            <v>160</v>
          </cell>
          <cell r="G114">
            <v>150</v>
          </cell>
          <cell r="H114">
            <v>171</v>
          </cell>
        </row>
        <row r="115">
          <cell r="D115" t="str">
            <v>AT - Koostöö korraldamine</v>
          </cell>
          <cell r="E115">
            <v>2</v>
          </cell>
          <cell r="F115">
            <v>212</v>
          </cell>
          <cell r="G115">
            <v>198</v>
          </cell>
          <cell r="H115">
            <v>227</v>
          </cell>
        </row>
        <row r="116">
          <cell r="D116" t="str">
            <v>AT - Koostöö korraldamine</v>
          </cell>
          <cell r="E116">
            <v>3</v>
          </cell>
          <cell r="F116">
            <v>281</v>
          </cell>
          <cell r="G116">
            <v>262</v>
          </cell>
          <cell r="H116">
            <v>300</v>
          </cell>
        </row>
        <row r="117">
          <cell r="D117" t="str">
            <v>AT - Koostöö korraldamine</v>
          </cell>
          <cell r="E117">
            <v>4</v>
          </cell>
          <cell r="F117">
            <v>427</v>
          </cell>
          <cell r="G117">
            <v>398</v>
          </cell>
          <cell r="H117">
            <v>457</v>
          </cell>
        </row>
        <row r="118">
          <cell r="D118" t="str">
            <v>AT - Korra tagamine</v>
          </cell>
          <cell r="E118">
            <v>1</v>
          </cell>
          <cell r="F118">
            <v>105</v>
          </cell>
          <cell r="G118">
            <v>98</v>
          </cell>
          <cell r="H118">
            <v>112</v>
          </cell>
        </row>
        <row r="119">
          <cell r="D119" t="str">
            <v>AT - Korra tagamine</v>
          </cell>
          <cell r="E119">
            <v>2</v>
          </cell>
          <cell r="F119">
            <v>139</v>
          </cell>
          <cell r="G119">
            <v>130</v>
          </cell>
          <cell r="H119">
            <v>149</v>
          </cell>
        </row>
        <row r="120">
          <cell r="D120" t="str">
            <v>AT - Korra tagamine</v>
          </cell>
          <cell r="E120">
            <v>3</v>
          </cell>
          <cell r="F120">
            <v>184</v>
          </cell>
          <cell r="G120">
            <v>172</v>
          </cell>
          <cell r="H120">
            <v>197</v>
          </cell>
        </row>
        <row r="121">
          <cell r="D121" t="str">
            <v>AT - Korra tagamine</v>
          </cell>
          <cell r="E121">
            <v>4</v>
          </cell>
          <cell r="F121">
            <v>212</v>
          </cell>
          <cell r="G121">
            <v>198</v>
          </cell>
          <cell r="H121">
            <v>227</v>
          </cell>
        </row>
        <row r="122">
          <cell r="D122" t="str">
            <v>AT - Korra tagamine</v>
          </cell>
          <cell r="E122">
            <v>5</v>
          </cell>
          <cell r="F122">
            <v>244</v>
          </cell>
          <cell r="G122">
            <v>228</v>
          </cell>
          <cell r="H122">
            <v>261</v>
          </cell>
        </row>
        <row r="123">
          <cell r="D123" t="str">
            <v>AT - Korra tagamine</v>
          </cell>
          <cell r="E123">
            <v>6</v>
          </cell>
          <cell r="F123">
            <v>323</v>
          </cell>
          <cell r="G123">
            <v>301</v>
          </cell>
          <cell r="H123">
            <v>345</v>
          </cell>
        </row>
        <row r="124">
          <cell r="D124" t="str">
            <v>AT - Korra tagamine</v>
          </cell>
          <cell r="E124">
            <v>7</v>
          </cell>
          <cell r="F124">
            <v>427</v>
          </cell>
          <cell r="G124">
            <v>398</v>
          </cell>
          <cell r="H124">
            <v>457</v>
          </cell>
        </row>
        <row r="125">
          <cell r="D125" t="str">
            <v>AT - Kunstilised tööd</v>
          </cell>
          <cell r="E125">
            <v>1</v>
          </cell>
          <cell r="F125">
            <v>139</v>
          </cell>
          <cell r="G125">
            <v>130</v>
          </cell>
          <cell r="H125">
            <v>149</v>
          </cell>
        </row>
        <row r="126">
          <cell r="D126" t="str">
            <v>AT - Kunstilised tööd</v>
          </cell>
          <cell r="E126">
            <v>2</v>
          </cell>
          <cell r="F126">
            <v>184</v>
          </cell>
          <cell r="G126">
            <v>172</v>
          </cell>
          <cell r="H126">
            <v>197</v>
          </cell>
        </row>
        <row r="127">
          <cell r="D127" t="str">
            <v>AT - Laboritööd</v>
          </cell>
          <cell r="E127">
            <v>1</v>
          </cell>
          <cell r="F127">
            <v>79</v>
          </cell>
          <cell r="G127">
            <v>74</v>
          </cell>
          <cell r="H127">
            <v>84</v>
          </cell>
        </row>
        <row r="128">
          <cell r="D128" t="str">
            <v>AT - Laboritööd</v>
          </cell>
          <cell r="E128">
            <v>2</v>
          </cell>
          <cell r="F128">
            <v>121</v>
          </cell>
          <cell r="G128">
            <v>113</v>
          </cell>
          <cell r="H128">
            <v>129</v>
          </cell>
        </row>
        <row r="129">
          <cell r="D129" t="str">
            <v>AT - Laboritööd</v>
          </cell>
          <cell r="E129">
            <v>3</v>
          </cell>
          <cell r="F129">
            <v>184</v>
          </cell>
          <cell r="G129">
            <v>172</v>
          </cell>
          <cell r="H129">
            <v>197</v>
          </cell>
        </row>
        <row r="130">
          <cell r="D130" t="str">
            <v>AT - Laboritööd</v>
          </cell>
          <cell r="E130">
            <v>4</v>
          </cell>
          <cell r="F130">
            <v>244</v>
          </cell>
          <cell r="G130">
            <v>228</v>
          </cell>
          <cell r="H130">
            <v>261</v>
          </cell>
        </row>
        <row r="131">
          <cell r="D131" t="str">
            <v>AT - Laboritööd</v>
          </cell>
          <cell r="E131">
            <v>5</v>
          </cell>
          <cell r="F131">
            <v>323</v>
          </cell>
          <cell r="G131">
            <v>301</v>
          </cell>
          <cell r="H131">
            <v>345</v>
          </cell>
        </row>
        <row r="132">
          <cell r="D132" t="str">
            <v>AT - Ladu</v>
          </cell>
          <cell r="E132">
            <v>1</v>
          </cell>
          <cell r="F132">
            <v>91</v>
          </cell>
          <cell r="G132">
            <v>85</v>
          </cell>
          <cell r="H132">
            <v>97</v>
          </cell>
        </row>
        <row r="133">
          <cell r="D133" t="str">
            <v>AT - Ladu</v>
          </cell>
          <cell r="E133">
            <v>2</v>
          </cell>
          <cell r="F133">
            <v>139</v>
          </cell>
          <cell r="G133">
            <v>130</v>
          </cell>
          <cell r="H133">
            <v>149</v>
          </cell>
        </row>
        <row r="134">
          <cell r="D134" t="str">
            <v>AT - Ladu</v>
          </cell>
          <cell r="E134">
            <v>3</v>
          </cell>
          <cell r="F134">
            <v>184</v>
          </cell>
          <cell r="G134">
            <v>172</v>
          </cell>
          <cell r="H134">
            <v>197</v>
          </cell>
        </row>
        <row r="135">
          <cell r="D135" t="str">
            <v>AT - Ladu</v>
          </cell>
          <cell r="E135">
            <v>4</v>
          </cell>
          <cell r="F135">
            <v>323</v>
          </cell>
          <cell r="G135">
            <v>301</v>
          </cell>
          <cell r="H135">
            <v>345</v>
          </cell>
        </row>
        <row r="136">
          <cell r="D136" t="str">
            <v>AT - Laevameeskond</v>
          </cell>
          <cell r="E136">
            <v>1</v>
          </cell>
          <cell r="F136">
            <v>91</v>
          </cell>
          <cell r="G136">
            <v>85</v>
          </cell>
          <cell r="H136">
            <v>97</v>
          </cell>
        </row>
        <row r="137">
          <cell r="D137" t="str">
            <v>AT - Laevameeskond</v>
          </cell>
          <cell r="E137">
            <v>2</v>
          </cell>
          <cell r="F137">
            <v>139</v>
          </cell>
          <cell r="G137">
            <v>130</v>
          </cell>
          <cell r="H137">
            <v>149</v>
          </cell>
        </row>
        <row r="138">
          <cell r="D138" t="str">
            <v>AT - Laevameeskond</v>
          </cell>
          <cell r="E138">
            <v>3</v>
          </cell>
          <cell r="F138">
            <v>160</v>
          </cell>
          <cell r="G138">
            <v>150</v>
          </cell>
          <cell r="H138">
            <v>171</v>
          </cell>
        </row>
        <row r="139">
          <cell r="D139" t="str">
            <v>AT - Laevameeskond</v>
          </cell>
          <cell r="E139" t="str">
            <v>4A</v>
          </cell>
          <cell r="F139">
            <v>184</v>
          </cell>
          <cell r="G139">
            <v>172</v>
          </cell>
          <cell r="H139">
            <v>197</v>
          </cell>
        </row>
        <row r="140">
          <cell r="D140" t="str">
            <v>AT - Laevameeskond</v>
          </cell>
          <cell r="E140" t="str">
            <v>4B</v>
          </cell>
          <cell r="F140">
            <v>212</v>
          </cell>
          <cell r="G140">
            <v>198</v>
          </cell>
          <cell r="H140">
            <v>227</v>
          </cell>
        </row>
        <row r="141">
          <cell r="D141" t="str">
            <v>AT - Laevameeskond</v>
          </cell>
          <cell r="E141" t="str">
            <v>4C</v>
          </cell>
          <cell r="F141">
            <v>244</v>
          </cell>
          <cell r="G141">
            <v>228</v>
          </cell>
          <cell r="H141">
            <v>261</v>
          </cell>
        </row>
        <row r="142">
          <cell r="D142" t="str">
            <v>AT - Laevameeskond</v>
          </cell>
          <cell r="E142" t="str">
            <v>5A</v>
          </cell>
          <cell r="F142">
            <v>281</v>
          </cell>
          <cell r="G142">
            <v>262</v>
          </cell>
          <cell r="H142">
            <v>300</v>
          </cell>
        </row>
        <row r="143">
          <cell r="D143" t="str">
            <v>AT - Laevameeskond</v>
          </cell>
          <cell r="E143" t="str">
            <v>5B</v>
          </cell>
          <cell r="F143">
            <v>323</v>
          </cell>
          <cell r="G143">
            <v>301</v>
          </cell>
          <cell r="H143">
            <v>345</v>
          </cell>
        </row>
        <row r="144">
          <cell r="D144" t="str">
            <v>AT - Laevameeskond</v>
          </cell>
          <cell r="E144" t="str">
            <v>5C</v>
          </cell>
          <cell r="F144">
            <v>371</v>
          </cell>
          <cell r="G144">
            <v>346</v>
          </cell>
          <cell r="H144">
            <v>397</v>
          </cell>
        </row>
        <row r="145">
          <cell r="D145" t="str">
            <v>AT - Logistika</v>
          </cell>
          <cell r="E145">
            <v>1</v>
          </cell>
          <cell r="F145">
            <v>121</v>
          </cell>
          <cell r="G145">
            <v>113</v>
          </cell>
          <cell r="H145">
            <v>129</v>
          </cell>
        </row>
        <row r="146">
          <cell r="D146" t="str">
            <v>AT - Logistika</v>
          </cell>
          <cell r="E146">
            <v>2</v>
          </cell>
          <cell r="F146">
            <v>184</v>
          </cell>
          <cell r="G146">
            <v>172</v>
          </cell>
          <cell r="H146">
            <v>197</v>
          </cell>
        </row>
        <row r="147">
          <cell r="D147" t="str">
            <v>AT - Logistika</v>
          </cell>
          <cell r="E147">
            <v>3</v>
          </cell>
          <cell r="F147">
            <v>244</v>
          </cell>
          <cell r="G147">
            <v>228</v>
          </cell>
          <cell r="H147">
            <v>261</v>
          </cell>
        </row>
        <row r="148">
          <cell r="D148" t="str">
            <v>AT - Logistika</v>
          </cell>
          <cell r="E148">
            <v>4</v>
          </cell>
          <cell r="F148">
            <v>371</v>
          </cell>
          <cell r="G148">
            <v>346</v>
          </cell>
          <cell r="H148">
            <v>397</v>
          </cell>
        </row>
        <row r="149">
          <cell r="D149" t="str">
            <v>AT - Logistika</v>
          </cell>
          <cell r="E149">
            <v>5</v>
          </cell>
          <cell r="F149">
            <v>492</v>
          </cell>
          <cell r="G149">
            <v>458</v>
          </cell>
          <cell r="H149">
            <v>526</v>
          </cell>
        </row>
        <row r="150">
          <cell r="D150" t="str">
            <v>AT - Meditsiin</v>
          </cell>
          <cell r="E150">
            <v>1</v>
          </cell>
          <cell r="F150">
            <v>91</v>
          </cell>
          <cell r="G150">
            <v>85</v>
          </cell>
          <cell r="H150">
            <v>97</v>
          </cell>
        </row>
        <row r="151">
          <cell r="D151" t="str">
            <v>AT - Meditsiin</v>
          </cell>
          <cell r="E151">
            <v>2</v>
          </cell>
          <cell r="F151">
            <v>139</v>
          </cell>
          <cell r="G151">
            <v>130</v>
          </cell>
          <cell r="H151">
            <v>149</v>
          </cell>
        </row>
        <row r="152">
          <cell r="D152" t="str">
            <v>AT - Meditsiin</v>
          </cell>
          <cell r="E152">
            <v>3</v>
          </cell>
          <cell r="F152">
            <v>244</v>
          </cell>
          <cell r="G152">
            <v>228</v>
          </cell>
          <cell r="H152">
            <v>261</v>
          </cell>
        </row>
        <row r="153">
          <cell r="D153" t="str">
            <v>AT - Meditsiin</v>
          </cell>
          <cell r="E153">
            <v>4</v>
          </cell>
          <cell r="F153">
            <v>371</v>
          </cell>
          <cell r="G153">
            <v>346</v>
          </cell>
          <cell r="H153">
            <v>397</v>
          </cell>
        </row>
        <row r="154">
          <cell r="D154" t="str">
            <v>AT - Muuseumitööd</v>
          </cell>
          <cell r="E154">
            <v>1</v>
          </cell>
          <cell r="F154">
            <v>212</v>
          </cell>
          <cell r="G154">
            <v>198</v>
          </cell>
          <cell r="H154">
            <v>227</v>
          </cell>
        </row>
        <row r="155">
          <cell r="D155" t="str">
            <v>AT - Muuseumitööd</v>
          </cell>
          <cell r="E155">
            <v>2</v>
          </cell>
          <cell r="F155">
            <v>281</v>
          </cell>
          <cell r="G155">
            <v>262</v>
          </cell>
          <cell r="H155">
            <v>300</v>
          </cell>
        </row>
        <row r="156">
          <cell r="D156" t="str">
            <v>AT - Muuseumitööd</v>
          </cell>
          <cell r="E156">
            <v>3</v>
          </cell>
          <cell r="F156">
            <v>427</v>
          </cell>
          <cell r="G156">
            <v>398</v>
          </cell>
          <cell r="H156">
            <v>457</v>
          </cell>
        </row>
        <row r="157">
          <cell r="D157" t="str">
            <v>AT - Muusikud</v>
          </cell>
          <cell r="E157">
            <v>1</v>
          </cell>
          <cell r="F157">
            <v>160</v>
          </cell>
          <cell r="G157">
            <v>150</v>
          </cell>
          <cell r="H157">
            <v>171</v>
          </cell>
        </row>
        <row r="158">
          <cell r="D158" t="str">
            <v>AT - Muusikud</v>
          </cell>
          <cell r="E158">
            <v>2</v>
          </cell>
          <cell r="F158">
            <v>244</v>
          </cell>
          <cell r="G158">
            <v>228</v>
          </cell>
          <cell r="H158">
            <v>261</v>
          </cell>
        </row>
        <row r="159">
          <cell r="D159" t="str">
            <v>AT - Nõustav ja kontrolliv järelevalve</v>
          </cell>
          <cell r="E159">
            <v>1</v>
          </cell>
          <cell r="F159">
            <v>121</v>
          </cell>
          <cell r="G159">
            <v>113</v>
          </cell>
          <cell r="H159">
            <v>129</v>
          </cell>
        </row>
        <row r="160">
          <cell r="D160" t="str">
            <v>AT - Nõustav ja kontrolliv järelevalve</v>
          </cell>
          <cell r="E160" t="str">
            <v>2A</v>
          </cell>
          <cell r="F160">
            <v>184</v>
          </cell>
          <cell r="G160">
            <v>172</v>
          </cell>
          <cell r="H160">
            <v>197</v>
          </cell>
        </row>
        <row r="161">
          <cell r="D161" t="str">
            <v>AT - Nõustav ja kontrolliv järelevalve</v>
          </cell>
          <cell r="E161" t="str">
            <v>2B</v>
          </cell>
          <cell r="F161">
            <v>212</v>
          </cell>
          <cell r="G161">
            <v>198</v>
          </cell>
          <cell r="H161">
            <v>227</v>
          </cell>
        </row>
        <row r="162">
          <cell r="D162" t="str">
            <v>AT - Nõustav ja kontrolliv järelevalve</v>
          </cell>
          <cell r="E162" t="str">
            <v>3A</v>
          </cell>
          <cell r="F162">
            <v>244</v>
          </cell>
          <cell r="G162">
            <v>228</v>
          </cell>
          <cell r="H162">
            <v>261</v>
          </cell>
        </row>
        <row r="163">
          <cell r="D163" t="str">
            <v>AT - Nõustav ja kontrolliv järelevalve</v>
          </cell>
          <cell r="E163" t="str">
            <v>3B</v>
          </cell>
          <cell r="F163">
            <v>281</v>
          </cell>
          <cell r="G163">
            <v>262</v>
          </cell>
          <cell r="H163">
            <v>300</v>
          </cell>
        </row>
        <row r="164">
          <cell r="D164" t="str">
            <v>AT - Nõustav ja kontrolliv järelevalve</v>
          </cell>
          <cell r="E164">
            <v>4</v>
          </cell>
          <cell r="F164">
            <v>323</v>
          </cell>
          <cell r="G164">
            <v>301</v>
          </cell>
          <cell r="H164">
            <v>345</v>
          </cell>
        </row>
        <row r="165">
          <cell r="D165" t="str">
            <v>AT - Nõustav ja kontrolliv järelevalve</v>
          </cell>
          <cell r="E165">
            <v>5</v>
          </cell>
          <cell r="F165">
            <v>371</v>
          </cell>
          <cell r="G165">
            <v>346</v>
          </cell>
          <cell r="H165">
            <v>397</v>
          </cell>
        </row>
        <row r="166">
          <cell r="D166" t="str">
            <v>AT - Nõustav ja kontrolliv järelevalve</v>
          </cell>
          <cell r="E166">
            <v>6</v>
          </cell>
          <cell r="F166">
            <v>427</v>
          </cell>
          <cell r="G166">
            <v>398</v>
          </cell>
          <cell r="H166">
            <v>457</v>
          </cell>
        </row>
        <row r="167">
          <cell r="D167" t="str">
            <v>AT - Operatiivinfo juhtimine</v>
          </cell>
          <cell r="E167">
            <v>1</v>
          </cell>
          <cell r="F167">
            <v>121</v>
          </cell>
          <cell r="G167">
            <v>113</v>
          </cell>
          <cell r="H167">
            <v>129</v>
          </cell>
        </row>
        <row r="168">
          <cell r="D168" t="str">
            <v>AT - Operatiivinfo juhtimine</v>
          </cell>
          <cell r="E168">
            <v>2</v>
          </cell>
          <cell r="F168">
            <v>160</v>
          </cell>
          <cell r="G168">
            <v>150</v>
          </cell>
          <cell r="H168">
            <v>171</v>
          </cell>
        </row>
        <row r="169">
          <cell r="D169" t="str">
            <v>AT - Operatiivinfo juhtimine</v>
          </cell>
          <cell r="E169" t="str">
            <v>3A</v>
          </cell>
          <cell r="F169">
            <v>244</v>
          </cell>
          <cell r="G169">
            <v>228</v>
          </cell>
          <cell r="H169">
            <v>261</v>
          </cell>
        </row>
        <row r="170">
          <cell r="D170" t="str">
            <v>AT - Operatiivinfo juhtimine</v>
          </cell>
          <cell r="E170" t="str">
            <v>3B</v>
          </cell>
          <cell r="F170">
            <v>244</v>
          </cell>
          <cell r="G170">
            <v>228</v>
          </cell>
          <cell r="H170">
            <v>261</v>
          </cell>
        </row>
        <row r="171">
          <cell r="D171" t="str">
            <v>AT - Operatiivinfo juhtimine</v>
          </cell>
          <cell r="E171">
            <v>4</v>
          </cell>
          <cell r="F171">
            <v>323</v>
          </cell>
          <cell r="G171">
            <v>301</v>
          </cell>
          <cell r="H171">
            <v>345</v>
          </cell>
        </row>
        <row r="172">
          <cell r="D172" t="str">
            <v>AT - Operatiivinfo juhtimine</v>
          </cell>
          <cell r="E172">
            <v>5</v>
          </cell>
          <cell r="F172">
            <v>492</v>
          </cell>
          <cell r="G172">
            <v>458</v>
          </cell>
          <cell r="H172">
            <v>526</v>
          </cell>
        </row>
        <row r="173">
          <cell r="D173" t="str">
            <v>AT - Organisatsiooni protsessid (tegevustõhusus ja kvaliteet)</v>
          </cell>
          <cell r="E173">
            <v>1</v>
          </cell>
          <cell r="F173">
            <v>139</v>
          </cell>
          <cell r="G173">
            <v>130</v>
          </cell>
          <cell r="H173">
            <v>149</v>
          </cell>
        </row>
        <row r="174">
          <cell r="D174" t="str">
            <v>AT - Organisatsiooni protsessid (tegevustõhusus ja kvaliteet)</v>
          </cell>
          <cell r="E174">
            <v>2</v>
          </cell>
          <cell r="F174">
            <v>184</v>
          </cell>
          <cell r="G174">
            <v>172</v>
          </cell>
          <cell r="H174">
            <v>197</v>
          </cell>
        </row>
        <row r="175">
          <cell r="D175" t="str">
            <v>AT - Organisatsiooni protsessid (tegevustõhusus ja kvaliteet)</v>
          </cell>
          <cell r="E175">
            <v>3</v>
          </cell>
          <cell r="F175">
            <v>244</v>
          </cell>
          <cell r="G175">
            <v>228</v>
          </cell>
          <cell r="H175">
            <v>261</v>
          </cell>
        </row>
        <row r="176">
          <cell r="D176" t="str">
            <v>AT - Organisatsiooni protsessid (tegevustõhusus ja kvaliteet)</v>
          </cell>
          <cell r="E176">
            <v>4</v>
          </cell>
          <cell r="F176">
            <v>323</v>
          </cell>
          <cell r="G176">
            <v>301</v>
          </cell>
          <cell r="H176">
            <v>345</v>
          </cell>
        </row>
        <row r="177">
          <cell r="D177" t="str">
            <v>AT - Organisatsiooni protsessid (tegevustõhusus ja kvaliteet)</v>
          </cell>
          <cell r="E177">
            <v>5</v>
          </cell>
          <cell r="F177">
            <v>427</v>
          </cell>
          <cell r="G177">
            <v>398</v>
          </cell>
          <cell r="H177">
            <v>457</v>
          </cell>
        </row>
        <row r="178">
          <cell r="D178" t="str">
            <v>AT - Oskustööd</v>
          </cell>
          <cell r="E178">
            <v>1</v>
          </cell>
          <cell r="F178">
            <v>105</v>
          </cell>
          <cell r="G178">
            <v>98</v>
          </cell>
          <cell r="H178">
            <v>112</v>
          </cell>
        </row>
        <row r="179">
          <cell r="D179" t="str">
            <v>AT - Oskustööd</v>
          </cell>
          <cell r="E179">
            <v>2</v>
          </cell>
          <cell r="F179">
            <v>139</v>
          </cell>
          <cell r="G179">
            <v>130</v>
          </cell>
          <cell r="H179">
            <v>149</v>
          </cell>
        </row>
        <row r="180">
          <cell r="D180" t="str">
            <v>AT - Oskustööd</v>
          </cell>
          <cell r="E180">
            <v>3</v>
          </cell>
          <cell r="F180">
            <v>184</v>
          </cell>
          <cell r="G180">
            <v>172</v>
          </cell>
          <cell r="H180">
            <v>197</v>
          </cell>
        </row>
        <row r="181">
          <cell r="D181" t="str">
            <v>AT - Oskustööd</v>
          </cell>
          <cell r="E181">
            <v>4</v>
          </cell>
          <cell r="F181">
            <v>212</v>
          </cell>
          <cell r="G181">
            <v>198</v>
          </cell>
          <cell r="H181">
            <v>227</v>
          </cell>
        </row>
        <row r="182">
          <cell r="D182" t="str">
            <v>AT - Personalijuhtimine</v>
          </cell>
          <cell r="E182">
            <v>1</v>
          </cell>
          <cell r="F182">
            <v>121</v>
          </cell>
          <cell r="G182">
            <v>113</v>
          </cell>
          <cell r="H182">
            <v>129</v>
          </cell>
        </row>
        <row r="183">
          <cell r="D183" t="str">
            <v>AT - Personalijuhtimine</v>
          </cell>
          <cell r="E183">
            <v>2</v>
          </cell>
          <cell r="F183">
            <v>184</v>
          </cell>
          <cell r="G183">
            <v>172</v>
          </cell>
          <cell r="H183">
            <v>197</v>
          </cell>
        </row>
        <row r="184">
          <cell r="D184" t="str">
            <v>AT - Personalijuhtimine</v>
          </cell>
          <cell r="E184">
            <v>3</v>
          </cell>
          <cell r="F184">
            <v>244</v>
          </cell>
          <cell r="G184">
            <v>228</v>
          </cell>
          <cell r="H184">
            <v>261</v>
          </cell>
        </row>
        <row r="185">
          <cell r="D185" t="str">
            <v>AT - Personalijuhtimine</v>
          </cell>
          <cell r="E185">
            <v>4</v>
          </cell>
          <cell r="F185">
            <v>323</v>
          </cell>
          <cell r="G185">
            <v>301</v>
          </cell>
          <cell r="H185">
            <v>345</v>
          </cell>
        </row>
        <row r="186">
          <cell r="D186" t="str">
            <v>AT - Personalijuhtimine</v>
          </cell>
          <cell r="E186">
            <v>5</v>
          </cell>
          <cell r="F186">
            <v>427</v>
          </cell>
          <cell r="G186">
            <v>398</v>
          </cell>
          <cell r="H186">
            <v>457</v>
          </cell>
        </row>
        <row r="187">
          <cell r="D187" t="str">
            <v>AT - Personalijuhtimine</v>
          </cell>
          <cell r="E187">
            <v>6</v>
          </cell>
          <cell r="F187">
            <v>492</v>
          </cell>
          <cell r="G187">
            <v>458</v>
          </cell>
          <cell r="H187">
            <v>526</v>
          </cell>
        </row>
        <row r="188">
          <cell r="D188" t="str">
            <v>AT - Piloodid</v>
          </cell>
          <cell r="E188">
            <v>1</v>
          </cell>
          <cell r="F188">
            <v>212</v>
          </cell>
          <cell r="G188">
            <v>198</v>
          </cell>
          <cell r="H188">
            <v>227</v>
          </cell>
        </row>
        <row r="189">
          <cell r="D189" t="str">
            <v>AT - Piloodid</v>
          </cell>
          <cell r="E189">
            <v>2</v>
          </cell>
          <cell r="F189">
            <v>281</v>
          </cell>
          <cell r="G189">
            <v>262</v>
          </cell>
          <cell r="H189">
            <v>300</v>
          </cell>
        </row>
        <row r="190">
          <cell r="D190" t="str">
            <v>AT - Poliitika rakendamine</v>
          </cell>
          <cell r="E190">
            <v>1</v>
          </cell>
          <cell r="F190">
            <v>160</v>
          </cell>
          <cell r="G190">
            <v>150</v>
          </cell>
          <cell r="H190">
            <v>171</v>
          </cell>
        </row>
        <row r="191">
          <cell r="D191" t="str">
            <v>AT - Poliitika rakendamine</v>
          </cell>
          <cell r="E191">
            <v>2</v>
          </cell>
          <cell r="F191">
            <v>212</v>
          </cell>
          <cell r="G191">
            <v>198</v>
          </cell>
          <cell r="H191">
            <v>227</v>
          </cell>
        </row>
        <row r="192">
          <cell r="D192" t="str">
            <v>AT - Poliitika rakendamine</v>
          </cell>
          <cell r="E192">
            <v>3</v>
          </cell>
          <cell r="F192">
            <v>281</v>
          </cell>
          <cell r="G192">
            <v>262</v>
          </cell>
          <cell r="H192">
            <v>300</v>
          </cell>
        </row>
        <row r="193">
          <cell r="D193" t="str">
            <v>AT - Poliitika rakendamine</v>
          </cell>
          <cell r="E193">
            <v>4</v>
          </cell>
          <cell r="F193">
            <v>323</v>
          </cell>
          <cell r="G193">
            <v>301</v>
          </cell>
          <cell r="H193">
            <v>345</v>
          </cell>
        </row>
        <row r="194">
          <cell r="D194" t="str">
            <v>AT - Poliitika rakendamine</v>
          </cell>
          <cell r="E194">
            <v>5</v>
          </cell>
          <cell r="F194">
            <v>427</v>
          </cell>
          <cell r="G194">
            <v>398</v>
          </cell>
          <cell r="H194">
            <v>457</v>
          </cell>
        </row>
        <row r="195">
          <cell r="D195" t="str">
            <v>AT - Poliitika rakendamine</v>
          </cell>
          <cell r="E195">
            <v>6</v>
          </cell>
          <cell r="F195">
            <v>492</v>
          </cell>
          <cell r="G195">
            <v>458</v>
          </cell>
          <cell r="H195">
            <v>526</v>
          </cell>
        </row>
        <row r="196">
          <cell r="D196" t="str">
            <v>AT - Poliitika rakendamine</v>
          </cell>
          <cell r="E196">
            <v>7</v>
          </cell>
          <cell r="F196">
            <v>566</v>
          </cell>
          <cell r="G196">
            <v>527</v>
          </cell>
          <cell r="H196">
            <v>605</v>
          </cell>
        </row>
        <row r="197">
          <cell r="D197" t="str">
            <v>AT - Projektijuhtimine</v>
          </cell>
          <cell r="E197">
            <v>1</v>
          </cell>
          <cell r="F197">
            <v>160</v>
          </cell>
          <cell r="G197">
            <v>150</v>
          </cell>
          <cell r="H197">
            <v>171</v>
          </cell>
        </row>
        <row r="198">
          <cell r="D198" t="str">
            <v>AT - Projektijuhtimine</v>
          </cell>
          <cell r="E198">
            <v>2</v>
          </cell>
          <cell r="F198">
            <v>212</v>
          </cell>
          <cell r="G198">
            <v>198</v>
          </cell>
          <cell r="H198">
            <v>227</v>
          </cell>
        </row>
        <row r="199">
          <cell r="D199" t="str">
            <v>AT - Projektijuhtimine</v>
          </cell>
          <cell r="E199">
            <v>3</v>
          </cell>
          <cell r="F199">
            <v>323</v>
          </cell>
          <cell r="G199">
            <v>301</v>
          </cell>
          <cell r="H199">
            <v>345</v>
          </cell>
        </row>
        <row r="200">
          <cell r="D200" t="str">
            <v>AT - Projektijuhtimine</v>
          </cell>
          <cell r="E200">
            <v>4</v>
          </cell>
          <cell r="F200">
            <v>427</v>
          </cell>
          <cell r="G200">
            <v>398</v>
          </cell>
          <cell r="H200">
            <v>457</v>
          </cell>
        </row>
        <row r="201">
          <cell r="D201" t="str">
            <v>AT - Päästetööd</v>
          </cell>
          <cell r="E201">
            <v>1</v>
          </cell>
          <cell r="F201">
            <v>139</v>
          </cell>
          <cell r="G201">
            <v>130</v>
          </cell>
          <cell r="H201">
            <v>149</v>
          </cell>
        </row>
        <row r="202">
          <cell r="D202" t="str">
            <v>AT - Päästetööd</v>
          </cell>
          <cell r="E202">
            <v>2</v>
          </cell>
          <cell r="F202">
            <v>184</v>
          </cell>
          <cell r="G202">
            <v>172</v>
          </cell>
          <cell r="H202">
            <v>197</v>
          </cell>
        </row>
        <row r="203">
          <cell r="D203" t="str">
            <v>AT - Päästetööd</v>
          </cell>
          <cell r="E203">
            <v>3</v>
          </cell>
          <cell r="F203">
            <v>212</v>
          </cell>
          <cell r="G203">
            <v>198</v>
          </cell>
          <cell r="H203">
            <v>227</v>
          </cell>
        </row>
        <row r="204">
          <cell r="D204" t="str">
            <v>AT - Päästetööd</v>
          </cell>
          <cell r="E204">
            <v>4</v>
          </cell>
          <cell r="F204">
            <v>244</v>
          </cell>
          <cell r="G204">
            <v>228</v>
          </cell>
          <cell r="H204">
            <v>261</v>
          </cell>
        </row>
        <row r="205">
          <cell r="D205" t="str">
            <v>AT - Päästetööd</v>
          </cell>
          <cell r="E205">
            <v>5</v>
          </cell>
          <cell r="F205">
            <v>323</v>
          </cell>
          <cell r="G205">
            <v>301</v>
          </cell>
          <cell r="H205">
            <v>345</v>
          </cell>
        </row>
        <row r="206">
          <cell r="D206" t="str">
            <v>AT - Päästetööd</v>
          </cell>
          <cell r="E206">
            <v>6</v>
          </cell>
          <cell r="F206">
            <v>427</v>
          </cell>
          <cell r="G206">
            <v>398</v>
          </cell>
          <cell r="H206">
            <v>457</v>
          </cell>
        </row>
        <row r="207">
          <cell r="D207" t="str">
            <v>AT - Raamatukogu</v>
          </cell>
          <cell r="E207">
            <v>1</v>
          </cell>
          <cell r="F207">
            <v>121</v>
          </cell>
          <cell r="G207">
            <v>113</v>
          </cell>
          <cell r="H207">
            <v>129</v>
          </cell>
        </row>
        <row r="208">
          <cell r="D208" t="str">
            <v>AT - Raamatukogu</v>
          </cell>
          <cell r="E208">
            <v>2</v>
          </cell>
          <cell r="F208">
            <v>184</v>
          </cell>
          <cell r="G208">
            <v>172</v>
          </cell>
          <cell r="H208">
            <v>197</v>
          </cell>
        </row>
        <row r="209">
          <cell r="D209" t="str">
            <v>AT - Raamatukogu</v>
          </cell>
          <cell r="E209">
            <v>3</v>
          </cell>
          <cell r="F209">
            <v>244</v>
          </cell>
          <cell r="G209">
            <v>228</v>
          </cell>
          <cell r="H209">
            <v>261</v>
          </cell>
        </row>
        <row r="210">
          <cell r="D210" t="str">
            <v>AT - Raamatukogu</v>
          </cell>
          <cell r="E210">
            <v>4</v>
          </cell>
          <cell r="F210">
            <v>427</v>
          </cell>
          <cell r="G210">
            <v>398</v>
          </cell>
          <cell r="H210">
            <v>457</v>
          </cell>
        </row>
        <row r="211">
          <cell r="D211" t="str">
            <v>AT - Raamatupidamine</v>
          </cell>
          <cell r="E211">
            <v>1</v>
          </cell>
          <cell r="F211">
            <v>105</v>
          </cell>
          <cell r="G211">
            <v>98</v>
          </cell>
          <cell r="H211">
            <v>112</v>
          </cell>
        </row>
        <row r="212">
          <cell r="D212" t="str">
            <v>AT - Raamatupidamine</v>
          </cell>
          <cell r="E212">
            <v>2</v>
          </cell>
          <cell r="F212">
            <v>184</v>
          </cell>
          <cell r="G212">
            <v>172</v>
          </cell>
          <cell r="H212">
            <v>197</v>
          </cell>
        </row>
        <row r="213">
          <cell r="D213" t="str">
            <v>AT - Raamatupidamine</v>
          </cell>
          <cell r="E213">
            <v>3</v>
          </cell>
          <cell r="F213">
            <v>244</v>
          </cell>
          <cell r="G213">
            <v>228</v>
          </cell>
          <cell r="H213">
            <v>261</v>
          </cell>
        </row>
        <row r="214">
          <cell r="D214" t="str">
            <v>AT - Raamatupidamine</v>
          </cell>
          <cell r="E214">
            <v>4</v>
          </cell>
          <cell r="F214">
            <v>371</v>
          </cell>
          <cell r="G214">
            <v>346</v>
          </cell>
          <cell r="H214">
            <v>397</v>
          </cell>
        </row>
        <row r="215">
          <cell r="D215" t="str">
            <v>AT - Raamatupidamine</v>
          </cell>
          <cell r="E215">
            <v>5</v>
          </cell>
          <cell r="F215">
            <v>492</v>
          </cell>
          <cell r="G215">
            <v>458</v>
          </cell>
          <cell r="H215">
            <v>526</v>
          </cell>
        </row>
        <row r="216">
          <cell r="D216" t="str">
            <v>AT - Registripidamine</v>
          </cell>
          <cell r="E216">
            <v>1</v>
          </cell>
          <cell r="F216">
            <v>121</v>
          </cell>
          <cell r="G216">
            <v>113</v>
          </cell>
          <cell r="H216">
            <v>129</v>
          </cell>
        </row>
        <row r="217">
          <cell r="D217" t="str">
            <v>AT - Registripidamine</v>
          </cell>
          <cell r="E217">
            <v>2</v>
          </cell>
          <cell r="F217">
            <v>184</v>
          </cell>
          <cell r="G217">
            <v>172</v>
          </cell>
          <cell r="H217">
            <v>197</v>
          </cell>
        </row>
        <row r="218">
          <cell r="D218" t="str">
            <v>AT - Registripidamine</v>
          </cell>
          <cell r="E218">
            <v>3</v>
          </cell>
          <cell r="F218">
            <v>212</v>
          </cell>
          <cell r="G218">
            <v>198</v>
          </cell>
          <cell r="H218">
            <v>227</v>
          </cell>
        </row>
        <row r="219">
          <cell r="D219" t="str">
            <v>AT - Registripidamine</v>
          </cell>
          <cell r="E219">
            <v>4</v>
          </cell>
          <cell r="F219">
            <v>281</v>
          </cell>
          <cell r="G219">
            <v>262</v>
          </cell>
          <cell r="H219">
            <v>300</v>
          </cell>
        </row>
        <row r="220">
          <cell r="D220" t="str">
            <v>AT - Registripidamine</v>
          </cell>
          <cell r="E220">
            <v>5</v>
          </cell>
          <cell r="F220">
            <v>427</v>
          </cell>
          <cell r="G220">
            <v>398</v>
          </cell>
          <cell r="H220">
            <v>457</v>
          </cell>
        </row>
        <row r="221">
          <cell r="D221" t="str">
            <v>AT - Riigihange</v>
          </cell>
          <cell r="E221">
            <v>1</v>
          </cell>
          <cell r="F221">
            <v>121</v>
          </cell>
          <cell r="G221">
            <v>113</v>
          </cell>
          <cell r="H221">
            <v>129</v>
          </cell>
        </row>
        <row r="222">
          <cell r="D222" t="str">
            <v>AT - Riigihange</v>
          </cell>
          <cell r="E222">
            <v>2</v>
          </cell>
          <cell r="F222">
            <v>212</v>
          </cell>
          <cell r="G222">
            <v>198</v>
          </cell>
          <cell r="H222">
            <v>227</v>
          </cell>
        </row>
        <row r="223">
          <cell r="D223" t="str">
            <v>AT - Riigihange</v>
          </cell>
          <cell r="E223">
            <v>3</v>
          </cell>
          <cell r="F223">
            <v>281</v>
          </cell>
          <cell r="G223">
            <v>262</v>
          </cell>
          <cell r="H223">
            <v>300</v>
          </cell>
        </row>
        <row r="224">
          <cell r="D224" t="str">
            <v>AT - Riigihange</v>
          </cell>
          <cell r="E224" t="str">
            <v>4A</v>
          </cell>
          <cell r="F224">
            <v>323</v>
          </cell>
          <cell r="G224">
            <v>301</v>
          </cell>
          <cell r="H224">
            <v>345</v>
          </cell>
        </row>
        <row r="225">
          <cell r="D225" t="str">
            <v>AT - Riigihange</v>
          </cell>
          <cell r="E225" t="str">
            <v>4B</v>
          </cell>
          <cell r="F225">
            <v>323</v>
          </cell>
          <cell r="G225">
            <v>301</v>
          </cell>
          <cell r="H225">
            <v>345</v>
          </cell>
        </row>
        <row r="226">
          <cell r="D226" t="str">
            <v>AT - Riigihange</v>
          </cell>
          <cell r="E226">
            <v>5</v>
          </cell>
          <cell r="F226">
            <v>427</v>
          </cell>
          <cell r="G226">
            <v>398</v>
          </cell>
          <cell r="H226">
            <v>457</v>
          </cell>
        </row>
        <row r="227">
          <cell r="D227" t="str">
            <v>AT - Riigikaitse</v>
          </cell>
          <cell r="E227" t="str">
            <v>1A</v>
          </cell>
          <cell r="F227">
            <v>105</v>
          </cell>
          <cell r="G227">
            <v>98</v>
          </cell>
          <cell r="H227">
            <v>112</v>
          </cell>
        </row>
        <row r="228">
          <cell r="D228" t="str">
            <v>AT - Riigikaitse</v>
          </cell>
          <cell r="E228" t="str">
            <v>1B</v>
          </cell>
          <cell r="F228">
            <v>121</v>
          </cell>
          <cell r="G228">
            <v>113</v>
          </cell>
          <cell r="H228">
            <v>129</v>
          </cell>
        </row>
        <row r="229">
          <cell r="D229" t="str">
            <v>AT - Riigikaitse</v>
          </cell>
          <cell r="E229">
            <v>2</v>
          </cell>
          <cell r="F229">
            <v>139</v>
          </cell>
          <cell r="G229">
            <v>130</v>
          </cell>
          <cell r="H229">
            <v>149</v>
          </cell>
        </row>
        <row r="230">
          <cell r="D230" t="str">
            <v>AT - Riigikaitse</v>
          </cell>
          <cell r="E230" t="str">
            <v>3A</v>
          </cell>
          <cell r="F230">
            <v>184</v>
          </cell>
          <cell r="G230">
            <v>172</v>
          </cell>
          <cell r="H230">
            <v>197</v>
          </cell>
        </row>
        <row r="231">
          <cell r="D231" t="str">
            <v>AT - Riigikaitse</v>
          </cell>
          <cell r="E231" t="str">
            <v>3B</v>
          </cell>
          <cell r="F231">
            <v>212</v>
          </cell>
          <cell r="G231">
            <v>198</v>
          </cell>
          <cell r="H231">
            <v>227</v>
          </cell>
        </row>
        <row r="232">
          <cell r="D232" t="str">
            <v>AT - Riigikaitse</v>
          </cell>
          <cell r="E232">
            <v>4</v>
          </cell>
          <cell r="F232">
            <v>281</v>
          </cell>
          <cell r="G232">
            <v>262</v>
          </cell>
          <cell r="H232">
            <v>300</v>
          </cell>
        </row>
        <row r="233">
          <cell r="D233" t="str">
            <v>AT - Riigikaitse</v>
          </cell>
          <cell r="E233" t="str">
            <v>5A</v>
          </cell>
          <cell r="F233">
            <v>371</v>
          </cell>
          <cell r="G233">
            <v>346</v>
          </cell>
          <cell r="H233">
            <v>397</v>
          </cell>
        </row>
        <row r="234">
          <cell r="D234" t="str">
            <v>AT - Riigikaitse</v>
          </cell>
          <cell r="E234" t="str">
            <v>5B</v>
          </cell>
          <cell r="F234">
            <v>492</v>
          </cell>
          <cell r="G234">
            <v>458</v>
          </cell>
          <cell r="H234">
            <v>526</v>
          </cell>
        </row>
        <row r="235">
          <cell r="D235" t="str">
            <v>AT - Riigikaitse</v>
          </cell>
          <cell r="E235">
            <v>6</v>
          </cell>
          <cell r="F235">
            <v>566</v>
          </cell>
          <cell r="G235">
            <v>527</v>
          </cell>
          <cell r="H235">
            <v>605</v>
          </cell>
        </row>
        <row r="236">
          <cell r="D236" t="str">
            <v>AT - Riigikaitse</v>
          </cell>
          <cell r="E236">
            <v>7</v>
          </cell>
          <cell r="F236">
            <v>651</v>
          </cell>
          <cell r="G236">
            <v>606</v>
          </cell>
          <cell r="H236">
            <v>696</v>
          </cell>
        </row>
        <row r="237">
          <cell r="D237" t="str">
            <v>AT - Riigikaitse</v>
          </cell>
          <cell r="E237">
            <v>8</v>
          </cell>
          <cell r="F237">
            <v>995</v>
          </cell>
          <cell r="G237">
            <v>926</v>
          </cell>
          <cell r="H237">
            <v>1066</v>
          </cell>
        </row>
        <row r="238">
          <cell r="D238" t="str">
            <v>AT - Riigivara haldamine ja sisseost</v>
          </cell>
          <cell r="E238">
            <v>1</v>
          </cell>
          <cell r="F238">
            <v>79</v>
          </cell>
          <cell r="G238">
            <v>74</v>
          </cell>
          <cell r="H238">
            <v>84</v>
          </cell>
        </row>
        <row r="239">
          <cell r="D239" t="str">
            <v>AT - Riigivara haldamine ja sisseost</v>
          </cell>
          <cell r="E239">
            <v>2</v>
          </cell>
          <cell r="F239">
            <v>121</v>
          </cell>
          <cell r="G239">
            <v>113</v>
          </cell>
          <cell r="H239">
            <v>129</v>
          </cell>
        </row>
        <row r="240">
          <cell r="D240" t="str">
            <v>AT - Riigivara haldamine ja sisseost</v>
          </cell>
          <cell r="E240">
            <v>3</v>
          </cell>
          <cell r="F240">
            <v>160</v>
          </cell>
          <cell r="G240">
            <v>150</v>
          </cell>
          <cell r="H240">
            <v>171</v>
          </cell>
        </row>
        <row r="241">
          <cell r="D241" t="str">
            <v>AT - Riigivara haldamine ja sisseost</v>
          </cell>
          <cell r="E241">
            <v>4</v>
          </cell>
          <cell r="F241">
            <v>244</v>
          </cell>
          <cell r="G241">
            <v>228</v>
          </cell>
          <cell r="H241">
            <v>261</v>
          </cell>
        </row>
        <row r="242">
          <cell r="D242" t="str">
            <v>AT - Riigivara haldamine ja sisseost</v>
          </cell>
          <cell r="E242" t="str">
            <v>5A</v>
          </cell>
          <cell r="F242">
            <v>281</v>
          </cell>
          <cell r="G242">
            <v>262</v>
          </cell>
          <cell r="H242">
            <v>300</v>
          </cell>
        </row>
        <row r="243">
          <cell r="D243" t="str">
            <v>AT - Riigivara haldamine ja sisseost</v>
          </cell>
          <cell r="E243" t="str">
            <v>5B</v>
          </cell>
          <cell r="F243">
            <v>281</v>
          </cell>
          <cell r="G243">
            <v>262</v>
          </cell>
          <cell r="H243">
            <v>300</v>
          </cell>
        </row>
        <row r="244">
          <cell r="D244" t="str">
            <v>AT - Riigivara haldamine ja sisseost</v>
          </cell>
          <cell r="E244">
            <v>6</v>
          </cell>
          <cell r="F244">
            <v>492</v>
          </cell>
          <cell r="G244">
            <v>458</v>
          </cell>
          <cell r="H244">
            <v>526</v>
          </cell>
        </row>
        <row r="245">
          <cell r="D245" t="str">
            <v>AT - Sadama kapten</v>
          </cell>
          <cell r="E245">
            <v>1</v>
          </cell>
          <cell r="F245">
            <v>212</v>
          </cell>
          <cell r="G245">
            <v>198</v>
          </cell>
          <cell r="H245">
            <v>227</v>
          </cell>
        </row>
        <row r="246">
          <cell r="D246" t="str">
            <v>AT - Sadama kapten</v>
          </cell>
          <cell r="E246">
            <v>2</v>
          </cell>
          <cell r="F246">
            <v>323</v>
          </cell>
          <cell r="G246">
            <v>301</v>
          </cell>
          <cell r="H246">
            <v>345</v>
          </cell>
        </row>
        <row r="247">
          <cell r="D247" t="str">
            <v>AT - Sekretäritööd</v>
          </cell>
          <cell r="E247">
            <v>1</v>
          </cell>
          <cell r="F247">
            <v>105</v>
          </cell>
          <cell r="G247">
            <v>98</v>
          </cell>
          <cell r="H247">
            <v>112</v>
          </cell>
        </row>
        <row r="248">
          <cell r="D248" t="str">
            <v>AT - Sekretäritööd</v>
          </cell>
          <cell r="E248">
            <v>2</v>
          </cell>
          <cell r="F248">
            <v>139</v>
          </cell>
          <cell r="G248">
            <v>130</v>
          </cell>
          <cell r="H248">
            <v>149</v>
          </cell>
        </row>
        <row r="249">
          <cell r="D249" t="str">
            <v>AT - Sekretäritööd</v>
          </cell>
          <cell r="E249">
            <v>3</v>
          </cell>
          <cell r="F249">
            <v>184</v>
          </cell>
          <cell r="G249">
            <v>172</v>
          </cell>
          <cell r="H249">
            <v>197</v>
          </cell>
        </row>
        <row r="250">
          <cell r="D250" t="str">
            <v>AT - Sekretäritööd</v>
          </cell>
          <cell r="E250">
            <v>4</v>
          </cell>
          <cell r="F250">
            <v>281</v>
          </cell>
          <cell r="G250">
            <v>262</v>
          </cell>
          <cell r="H250">
            <v>300</v>
          </cell>
        </row>
        <row r="251">
          <cell r="D251" t="str">
            <v>AT - Sisekontroll</v>
          </cell>
          <cell r="E251">
            <v>1</v>
          </cell>
          <cell r="F251">
            <v>139</v>
          </cell>
          <cell r="G251">
            <v>130</v>
          </cell>
          <cell r="H251">
            <v>149</v>
          </cell>
        </row>
        <row r="252">
          <cell r="D252" t="str">
            <v>AT - Sisekontroll</v>
          </cell>
          <cell r="E252">
            <v>2</v>
          </cell>
          <cell r="F252">
            <v>184</v>
          </cell>
          <cell r="G252">
            <v>172</v>
          </cell>
          <cell r="H252">
            <v>197</v>
          </cell>
        </row>
        <row r="253">
          <cell r="D253" t="str">
            <v>AT - Sisekontroll</v>
          </cell>
          <cell r="E253">
            <v>3</v>
          </cell>
          <cell r="F253">
            <v>281</v>
          </cell>
          <cell r="G253">
            <v>262</v>
          </cell>
          <cell r="H253">
            <v>300</v>
          </cell>
        </row>
        <row r="254">
          <cell r="D254" t="str">
            <v>AT - Sisekontroll</v>
          </cell>
          <cell r="E254">
            <v>4</v>
          </cell>
          <cell r="F254">
            <v>427</v>
          </cell>
          <cell r="G254">
            <v>398</v>
          </cell>
          <cell r="H254">
            <v>457</v>
          </cell>
        </row>
        <row r="255">
          <cell r="D255" t="str">
            <v>AT - Sotsiaalhoolekanne</v>
          </cell>
          <cell r="E255" t="str">
            <v>1A</v>
          </cell>
          <cell r="F255">
            <v>212</v>
          </cell>
          <cell r="G255">
            <v>198</v>
          </cell>
          <cell r="H255">
            <v>227</v>
          </cell>
        </row>
        <row r="256">
          <cell r="D256" t="str">
            <v>AT - Sotsiaalhoolekanne</v>
          </cell>
          <cell r="E256" t="str">
            <v>1B</v>
          </cell>
          <cell r="F256">
            <v>212</v>
          </cell>
          <cell r="G256">
            <v>198</v>
          </cell>
          <cell r="H256">
            <v>227</v>
          </cell>
        </row>
        <row r="257">
          <cell r="D257" t="str">
            <v>AT - Sotsiaalhoolekanne</v>
          </cell>
          <cell r="E257" t="str">
            <v>2A</v>
          </cell>
          <cell r="F257">
            <v>281</v>
          </cell>
          <cell r="G257">
            <v>262</v>
          </cell>
          <cell r="H257">
            <v>300</v>
          </cell>
        </row>
        <row r="258">
          <cell r="D258" t="str">
            <v>AT - Sotsiaalhoolekanne</v>
          </cell>
          <cell r="E258" t="str">
            <v>2B</v>
          </cell>
          <cell r="F258">
            <v>281</v>
          </cell>
          <cell r="G258">
            <v>262</v>
          </cell>
          <cell r="H258">
            <v>300</v>
          </cell>
        </row>
        <row r="259">
          <cell r="D259" t="str">
            <v>AT - Sotsiaalhoolekanne</v>
          </cell>
          <cell r="E259" t="str">
            <v>3A</v>
          </cell>
          <cell r="F259">
            <v>371</v>
          </cell>
          <cell r="G259">
            <v>346</v>
          </cell>
          <cell r="H259">
            <v>397</v>
          </cell>
        </row>
        <row r="260">
          <cell r="D260" t="str">
            <v>AT - Sotsiaalhoolekanne</v>
          </cell>
          <cell r="E260" t="str">
            <v>3B</v>
          </cell>
          <cell r="F260">
            <v>371</v>
          </cell>
          <cell r="G260">
            <v>346</v>
          </cell>
          <cell r="H260">
            <v>397</v>
          </cell>
        </row>
        <row r="261">
          <cell r="D261" t="str">
            <v>AT - Sotsiaalhoolekanne</v>
          </cell>
          <cell r="E261">
            <v>4</v>
          </cell>
          <cell r="F261">
            <v>427</v>
          </cell>
          <cell r="G261">
            <v>398</v>
          </cell>
          <cell r="H261">
            <v>457</v>
          </cell>
        </row>
        <row r="262">
          <cell r="D262" t="str">
            <v>AT - Sõidukijuhid</v>
          </cell>
          <cell r="E262">
            <v>1</v>
          </cell>
          <cell r="F262">
            <v>91</v>
          </cell>
          <cell r="G262">
            <v>85</v>
          </cell>
          <cell r="H262">
            <v>97</v>
          </cell>
        </row>
        <row r="263">
          <cell r="D263" t="str">
            <v>AT - Sõidukijuhid</v>
          </cell>
          <cell r="E263">
            <v>2</v>
          </cell>
          <cell r="F263">
            <v>121</v>
          </cell>
          <cell r="G263">
            <v>113</v>
          </cell>
          <cell r="H263">
            <v>129</v>
          </cell>
        </row>
        <row r="264">
          <cell r="D264" t="str">
            <v>AT - Sõidukijuhid</v>
          </cell>
          <cell r="E264">
            <v>3</v>
          </cell>
          <cell r="F264">
            <v>139</v>
          </cell>
          <cell r="G264">
            <v>130</v>
          </cell>
          <cell r="H264">
            <v>149</v>
          </cell>
        </row>
        <row r="265">
          <cell r="D265" t="str">
            <v>AT - Sõidukijuhid</v>
          </cell>
          <cell r="E265">
            <v>4</v>
          </cell>
          <cell r="F265">
            <v>160</v>
          </cell>
          <cell r="G265">
            <v>150</v>
          </cell>
          <cell r="H265">
            <v>171</v>
          </cell>
        </row>
        <row r="266">
          <cell r="D266" t="str">
            <v>AT - Toimetamine ja keeleline korrektuur</v>
          </cell>
          <cell r="E266">
            <v>1</v>
          </cell>
          <cell r="F266">
            <v>160</v>
          </cell>
          <cell r="G266">
            <v>150</v>
          </cell>
          <cell r="H266">
            <v>171</v>
          </cell>
        </row>
        <row r="267">
          <cell r="D267" t="str">
            <v>AT - Toimetamine ja keeleline korrektuur</v>
          </cell>
          <cell r="E267">
            <v>2</v>
          </cell>
          <cell r="F267">
            <v>212</v>
          </cell>
          <cell r="G267">
            <v>198</v>
          </cell>
          <cell r="H267">
            <v>227</v>
          </cell>
        </row>
        <row r="268">
          <cell r="D268" t="str">
            <v>AT - Tõlkimine</v>
          </cell>
          <cell r="E268">
            <v>1</v>
          </cell>
          <cell r="F268">
            <v>160</v>
          </cell>
          <cell r="G268">
            <v>150</v>
          </cell>
          <cell r="H268">
            <v>171</v>
          </cell>
        </row>
        <row r="269">
          <cell r="D269" t="str">
            <v>AT - Tõlkimine</v>
          </cell>
          <cell r="E269">
            <v>2</v>
          </cell>
          <cell r="F269">
            <v>212</v>
          </cell>
          <cell r="G269">
            <v>198</v>
          </cell>
          <cell r="H269">
            <v>227</v>
          </cell>
        </row>
        <row r="270">
          <cell r="D270" t="str">
            <v>AT - Tõlkimine</v>
          </cell>
          <cell r="E270">
            <v>3</v>
          </cell>
          <cell r="F270">
            <v>323</v>
          </cell>
          <cell r="G270">
            <v>301</v>
          </cell>
          <cell r="H270">
            <v>345</v>
          </cell>
        </row>
        <row r="271">
          <cell r="D271" t="str">
            <v>AT - Tõlkimine</v>
          </cell>
          <cell r="E271">
            <v>4</v>
          </cell>
          <cell r="F271">
            <v>371</v>
          </cell>
          <cell r="G271">
            <v>346</v>
          </cell>
          <cell r="H271">
            <v>397</v>
          </cell>
        </row>
        <row r="272">
          <cell r="D272" t="str">
            <v>AT - Uuriv järelevalve</v>
          </cell>
          <cell r="E272">
            <v>1</v>
          </cell>
          <cell r="F272">
            <v>160</v>
          </cell>
          <cell r="G272">
            <v>150</v>
          </cell>
          <cell r="H272">
            <v>171</v>
          </cell>
        </row>
        <row r="273">
          <cell r="D273" t="str">
            <v>AT - Uuriv järelevalve</v>
          </cell>
          <cell r="E273">
            <v>2</v>
          </cell>
          <cell r="F273">
            <v>184</v>
          </cell>
          <cell r="G273">
            <v>172</v>
          </cell>
          <cell r="H273">
            <v>197</v>
          </cell>
        </row>
        <row r="274">
          <cell r="D274" t="str">
            <v>AT - Uuriv järelevalve</v>
          </cell>
          <cell r="E274">
            <v>3</v>
          </cell>
          <cell r="F274">
            <v>244</v>
          </cell>
          <cell r="G274">
            <v>228</v>
          </cell>
          <cell r="H274">
            <v>261</v>
          </cell>
        </row>
        <row r="275">
          <cell r="D275" t="str">
            <v>AT - Uuriv järelevalve</v>
          </cell>
          <cell r="E275">
            <v>4</v>
          </cell>
          <cell r="F275">
            <v>323</v>
          </cell>
          <cell r="G275">
            <v>301</v>
          </cell>
          <cell r="H275">
            <v>345</v>
          </cell>
        </row>
        <row r="276">
          <cell r="D276" t="str">
            <v>AT - Uuriv järelevalve</v>
          </cell>
          <cell r="E276">
            <v>5</v>
          </cell>
          <cell r="F276">
            <v>371</v>
          </cell>
          <cell r="G276">
            <v>346</v>
          </cell>
          <cell r="H276">
            <v>397</v>
          </cell>
        </row>
        <row r="277">
          <cell r="D277" t="str">
            <v>AT - Uuriv järelevalve</v>
          </cell>
          <cell r="E277">
            <v>6</v>
          </cell>
          <cell r="F277">
            <v>492</v>
          </cell>
          <cell r="G277">
            <v>458</v>
          </cell>
          <cell r="H277">
            <v>526</v>
          </cell>
        </row>
        <row r="278">
          <cell r="D278" t="str">
            <v>AT - Võrguväljaannetes teabe avaldamine</v>
          </cell>
          <cell r="E278">
            <v>1</v>
          </cell>
          <cell r="F278">
            <v>121</v>
          </cell>
          <cell r="G278">
            <v>113</v>
          </cell>
          <cell r="H278">
            <v>129</v>
          </cell>
        </row>
        <row r="279">
          <cell r="D279" t="str">
            <v>AT - Võrguväljaannetes teabe avaldamine</v>
          </cell>
          <cell r="E279">
            <v>2</v>
          </cell>
          <cell r="F279">
            <v>184</v>
          </cell>
          <cell r="G279">
            <v>172</v>
          </cell>
          <cell r="H279">
            <v>197</v>
          </cell>
        </row>
        <row r="280">
          <cell r="D280" t="str">
            <v>AT - Võrguväljaannetes teabe avaldamine</v>
          </cell>
          <cell r="E280">
            <v>3</v>
          </cell>
          <cell r="F280">
            <v>212</v>
          </cell>
          <cell r="G280">
            <v>198</v>
          </cell>
          <cell r="H280">
            <v>227</v>
          </cell>
        </row>
        <row r="281">
          <cell r="D281" t="str">
            <v>AT - Võrguväljaannetes teabe avaldamine</v>
          </cell>
          <cell r="E281">
            <v>4</v>
          </cell>
          <cell r="F281">
            <v>281</v>
          </cell>
          <cell r="G281">
            <v>262</v>
          </cell>
          <cell r="H281">
            <v>300</v>
          </cell>
        </row>
        <row r="282">
          <cell r="D282" t="str">
            <v>AT - Õigusemõistmine</v>
          </cell>
          <cell r="E282">
            <v>1</v>
          </cell>
          <cell r="F282">
            <v>139</v>
          </cell>
          <cell r="G282">
            <v>130</v>
          </cell>
          <cell r="H282">
            <v>149</v>
          </cell>
        </row>
        <row r="283">
          <cell r="D283" t="str">
            <v>AT - Õigusemõistmine</v>
          </cell>
          <cell r="E283">
            <v>2</v>
          </cell>
          <cell r="F283">
            <v>160</v>
          </cell>
          <cell r="G283">
            <v>150</v>
          </cell>
          <cell r="H283">
            <v>171</v>
          </cell>
        </row>
        <row r="284">
          <cell r="D284" t="str">
            <v>AT - Õigusemõistmine</v>
          </cell>
          <cell r="E284" t="str">
            <v>3A</v>
          </cell>
          <cell r="F284">
            <v>244</v>
          </cell>
          <cell r="G284">
            <v>228</v>
          </cell>
          <cell r="H284">
            <v>261</v>
          </cell>
        </row>
        <row r="285">
          <cell r="D285" t="str">
            <v>AT - Õigusemõistmine</v>
          </cell>
          <cell r="E285" t="str">
            <v>3B</v>
          </cell>
          <cell r="F285">
            <v>281</v>
          </cell>
          <cell r="G285">
            <v>262</v>
          </cell>
          <cell r="H285">
            <v>300</v>
          </cell>
        </row>
        <row r="286">
          <cell r="D286" t="str">
            <v>AT - Õigusemõistmine</v>
          </cell>
          <cell r="E286" t="str">
            <v>3C</v>
          </cell>
          <cell r="F286">
            <v>323</v>
          </cell>
          <cell r="G286">
            <v>301</v>
          </cell>
          <cell r="H286">
            <v>345</v>
          </cell>
        </row>
        <row r="287">
          <cell r="D287" t="str">
            <v>AT - Õigusemõistmine</v>
          </cell>
          <cell r="E287" t="str">
            <v>4A</v>
          </cell>
          <cell r="F287">
            <v>371</v>
          </cell>
          <cell r="G287">
            <v>346</v>
          </cell>
          <cell r="H287">
            <v>397</v>
          </cell>
        </row>
        <row r="288">
          <cell r="D288" t="str">
            <v>AT - Õigusemõistmine</v>
          </cell>
          <cell r="E288" t="str">
            <v>4B</v>
          </cell>
          <cell r="F288">
            <v>427</v>
          </cell>
          <cell r="G288">
            <v>398</v>
          </cell>
          <cell r="H288">
            <v>457</v>
          </cell>
        </row>
        <row r="289">
          <cell r="D289" t="str">
            <v>AT - Õigusemõistmine</v>
          </cell>
          <cell r="E289">
            <v>5</v>
          </cell>
          <cell r="F289">
            <v>566</v>
          </cell>
          <cell r="G289">
            <v>527</v>
          </cell>
          <cell r="H289">
            <v>605</v>
          </cell>
        </row>
        <row r="290">
          <cell r="D290" t="str">
            <v>AT - Õigusloome</v>
          </cell>
          <cell r="E290">
            <v>1</v>
          </cell>
          <cell r="F290">
            <v>184</v>
          </cell>
          <cell r="G290">
            <v>172</v>
          </cell>
          <cell r="H290">
            <v>197</v>
          </cell>
        </row>
        <row r="291">
          <cell r="D291" t="str">
            <v>AT - Õigusloome</v>
          </cell>
          <cell r="E291">
            <v>2</v>
          </cell>
          <cell r="F291">
            <v>244</v>
          </cell>
          <cell r="G291">
            <v>228</v>
          </cell>
          <cell r="H291">
            <v>261</v>
          </cell>
        </row>
        <row r="292">
          <cell r="D292" t="str">
            <v>AT - Õigusloome</v>
          </cell>
          <cell r="E292">
            <v>3</v>
          </cell>
          <cell r="F292">
            <v>323</v>
          </cell>
          <cell r="G292">
            <v>301</v>
          </cell>
          <cell r="H292">
            <v>345</v>
          </cell>
        </row>
        <row r="293">
          <cell r="D293" t="str">
            <v>AT - Õigusloome</v>
          </cell>
          <cell r="E293">
            <v>4</v>
          </cell>
          <cell r="F293">
            <v>492</v>
          </cell>
          <cell r="G293">
            <v>458</v>
          </cell>
          <cell r="H293">
            <v>526</v>
          </cell>
        </row>
        <row r="294">
          <cell r="D294" t="str">
            <v>AT - Õigusteenused</v>
          </cell>
          <cell r="E294">
            <v>1</v>
          </cell>
          <cell r="F294">
            <v>160</v>
          </cell>
          <cell r="G294">
            <v>150</v>
          </cell>
          <cell r="H294">
            <v>171</v>
          </cell>
        </row>
        <row r="295">
          <cell r="D295" t="str">
            <v>AT - Õigusteenused</v>
          </cell>
          <cell r="E295">
            <v>2</v>
          </cell>
          <cell r="F295">
            <v>244</v>
          </cell>
          <cell r="G295">
            <v>228</v>
          </cell>
          <cell r="H295">
            <v>261</v>
          </cell>
        </row>
        <row r="296">
          <cell r="D296" t="str">
            <v>AT - Õigusteenused</v>
          </cell>
          <cell r="E296">
            <v>3</v>
          </cell>
          <cell r="F296">
            <v>323</v>
          </cell>
          <cell r="G296">
            <v>301</v>
          </cell>
          <cell r="H296">
            <v>345</v>
          </cell>
        </row>
        <row r="297">
          <cell r="D297" t="str">
            <v>AT - Õigusteenused</v>
          </cell>
          <cell r="E297">
            <v>4</v>
          </cell>
          <cell r="F297">
            <v>427</v>
          </cell>
          <cell r="G297">
            <v>398</v>
          </cell>
          <cell r="H297">
            <v>457</v>
          </cell>
        </row>
        <row r="298">
          <cell r="D298" t="str">
            <v>AT - Õigusteenused</v>
          </cell>
          <cell r="E298">
            <v>5</v>
          </cell>
          <cell r="F298">
            <v>566</v>
          </cell>
          <cell r="G298">
            <v>527</v>
          </cell>
          <cell r="H298">
            <v>605</v>
          </cell>
        </row>
        <row r="299">
          <cell r="D299" t="str">
            <v>AT - Üldjuhtimine</v>
          </cell>
          <cell r="E299">
            <v>1</v>
          </cell>
          <cell r="F299">
            <v>244</v>
          </cell>
          <cell r="G299">
            <v>228</v>
          </cell>
          <cell r="H299">
            <v>261</v>
          </cell>
        </row>
        <row r="300">
          <cell r="D300" t="str">
            <v>AT - Üldjuhtimine</v>
          </cell>
          <cell r="E300">
            <v>2</v>
          </cell>
          <cell r="F300">
            <v>323</v>
          </cell>
          <cell r="G300">
            <v>301</v>
          </cell>
          <cell r="H300">
            <v>345</v>
          </cell>
        </row>
        <row r="301">
          <cell r="D301" t="str">
            <v>AT - Üldjuhtimine</v>
          </cell>
          <cell r="E301">
            <v>3</v>
          </cell>
          <cell r="F301">
            <v>427</v>
          </cell>
          <cell r="G301">
            <v>398</v>
          </cell>
          <cell r="H301">
            <v>457</v>
          </cell>
        </row>
        <row r="302">
          <cell r="D302" t="str">
            <v>AT - Üldjuhtimine</v>
          </cell>
          <cell r="E302">
            <v>4</v>
          </cell>
          <cell r="F302">
            <v>492</v>
          </cell>
          <cell r="G302">
            <v>458</v>
          </cell>
          <cell r="H302">
            <v>526</v>
          </cell>
        </row>
        <row r="303">
          <cell r="D303" t="str">
            <v>AT - Üldjuhtimine</v>
          </cell>
          <cell r="E303">
            <v>5</v>
          </cell>
          <cell r="F303">
            <v>566</v>
          </cell>
          <cell r="G303">
            <v>527</v>
          </cell>
          <cell r="H303">
            <v>605</v>
          </cell>
        </row>
        <row r="304">
          <cell r="D304" t="str">
            <v>AT - Üldjuhtimine</v>
          </cell>
          <cell r="E304">
            <v>6</v>
          </cell>
          <cell r="F304">
            <v>651</v>
          </cell>
          <cell r="G304">
            <v>606</v>
          </cell>
          <cell r="H304">
            <v>696</v>
          </cell>
        </row>
        <row r="305">
          <cell r="D305" t="str">
            <v>AT - Üldjuhtimine</v>
          </cell>
          <cell r="E305" t="str">
            <v>7A</v>
          </cell>
          <cell r="F305">
            <v>864</v>
          </cell>
          <cell r="G305">
            <v>804</v>
          </cell>
          <cell r="H305">
            <v>925</v>
          </cell>
        </row>
        <row r="306">
          <cell r="D306" t="str">
            <v>AT - Üldjuhtimine</v>
          </cell>
          <cell r="E306" t="str">
            <v>7B</v>
          </cell>
          <cell r="F306">
            <v>995</v>
          </cell>
          <cell r="G306">
            <v>926</v>
          </cell>
          <cell r="H306">
            <v>1066</v>
          </cell>
        </row>
        <row r="307">
          <cell r="D307" t="str">
            <v>AT - Üldtööd</v>
          </cell>
          <cell r="E307">
            <v>1</v>
          </cell>
          <cell r="F307">
            <v>79</v>
          </cell>
          <cell r="G307">
            <v>74</v>
          </cell>
          <cell r="H307">
            <v>84</v>
          </cell>
        </row>
        <row r="308">
          <cell r="D308" t="str">
            <v>AT - Üldtööd</v>
          </cell>
          <cell r="E308">
            <v>2</v>
          </cell>
          <cell r="F308">
            <v>121</v>
          </cell>
          <cell r="G308">
            <v>113</v>
          </cell>
          <cell r="H308">
            <v>129</v>
          </cell>
        </row>
        <row r="309">
          <cell r="D309" t="str">
            <v>AT - Üldtööd</v>
          </cell>
          <cell r="E309">
            <v>3</v>
          </cell>
          <cell r="F309">
            <v>160</v>
          </cell>
          <cell r="G309">
            <v>150</v>
          </cell>
          <cell r="H309">
            <v>171</v>
          </cell>
        </row>
        <row r="310">
          <cell r="D310" t="str">
            <v>AT - Üldtööd</v>
          </cell>
          <cell r="E310">
            <v>4</v>
          </cell>
          <cell r="F310">
            <v>244</v>
          </cell>
          <cell r="G310">
            <v>228</v>
          </cell>
          <cell r="H310">
            <v>261</v>
          </cell>
        </row>
        <row r="311">
          <cell r="D311" t="str">
            <v>AT - Üldtööd</v>
          </cell>
          <cell r="E311">
            <v>5</v>
          </cell>
          <cell r="F311">
            <v>323</v>
          </cell>
          <cell r="G311">
            <v>301</v>
          </cell>
          <cell r="H311">
            <v>345</v>
          </cell>
        </row>
        <row r="312">
          <cell r="D312" t="str">
            <v>AT - Üldtööd</v>
          </cell>
          <cell r="E312">
            <v>6</v>
          </cell>
          <cell r="F312">
            <v>427</v>
          </cell>
          <cell r="G312">
            <v>398</v>
          </cell>
          <cell r="H312">
            <v>457</v>
          </cell>
        </row>
        <row r="313">
          <cell r="D313" t="str">
            <v>AT - Ürituste ja tseremooniate korraldamine</v>
          </cell>
          <cell r="E313">
            <v>1</v>
          </cell>
          <cell r="F313">
            <v>105</v>
          </cell>
          <cell r="G313">
            <v>98</v>
          </cell>
          <cell r="H313">
            <v>112</v>
          </cell>
        </row>
        <row r="314">
          <cell r="D314" t="str">
            <v>AT - Ürituste ja tseremooniate korraldamine</v>
          </cell>
          <cell r="E314">
            <v>2</v>
          </cell>
          <cell r="F314">
            <v>139</v>
          </cell>
          <cell r="G314">
            <v>130</v>
          </cell>
          <cell r="H314">
            <v>149</v>
          </cell>
        </row>
        <row r="315">
          <cell r="D315" t="str">
            <v>AT - Ürituste ja tseremooniate korraldamine</v>
          </cell>
          <cell r="E315">
            <v>3</v>
          </cell>
          <cell r="F315">
            <v>184</v>
          </cell>
          <cell r="G315">
            <v>172</v>
          </cell>
          <cell r="H315">
            <v>197</v>
          </cell>
        </row>
        <row r="316">
          <cell r="D316" t="str">
            <v>AT - Ürituste ja tseremooniate korraldamine</v>
          </cell>
          <cell r="E316">
            <v>4</v>
          </cell>
          <cell r="F316">
            <v>244</v>
          </cell>
          <cell r="G316">
            <v>228</v>
          </cell>
          <cell r="H316">
            <v>261</v>
          </cell>
        </row>
        <row r="317">
          <cell r="D317" t="str">
            <v>AT - Ürituste ja tseremooniate korraldamine</v>
          </cell>
          <cell r="E317">
            <v>5</v>
          </cell>
          <cell r="F317">
            <v>427</v>
          </cell>
          <cell r="G317">
            <v>398</v>
          </cell>
          <cell r="H317">
            <v>457</v>
          </cell>
        </row>
        <row r="318">
          <cell r="D318">
            <v>0</v>
          </cell>
          <cell r="E318">
            <v>0</v>
          </cell>
        </row>
        <row r="319">
          <cell r="D319">
            <v>0</v>
          </cell>
          <cell r="E319">
            <v>0</v>
          </cell>
        </row>
        <row r="320">
          <cell r="D320">
            <v>0</v>
          </cell>
          <cell r="E320">
            <v>0</v>
          </cell>
        </row>
        <row r="321">
          <cell r="D321">
            <v>0</v>
          </cell>
          <cell r="E321">
            <v>0</v>
          </cell>
        </row>
        <row r="322">
          <cell r="D322">
            <v>0</v>
          </cell>
          <cell r="E322">
            <v>0</v>
          </cell>
        </row>
        <row r="323">
          <cell r="D323">
            <v>0</v>
          </cell>
          <cell r="E323">
            <v>0</v>
          </cell>
        </row>
        <row r="324">
          <cell r="D324">
            <v>0</v>
          </cell>
          <cell r="E324">
            <v>0</v>
          </cell>
        </row>
        <row r="325">
          <cell r="D325">
            <v>0</v>
          </cell>
          <cell r="E325">
            <v>0</v>
          </cell>
        </row>
        <row r="326">
          <cell r="D326">
            <v>0</v>
          </cell>
          <cell r="E326">
            <v>0</v>
          </cell>
        </row>
        <row r="327">
          <cell r="D327">
            <v>0</v>
          </cell>
          <cell r="E327">
            <v>0</v>
          </cell>
        </row>
        <row r="328">
          <cell r="D328">
            <v>0</v>
          </cell>
          <cell r="E328">
            <v>0</v>
          </cell>
        </row>
        <row r="329">
          <cell r="D329">
            <v>0</v>
          </cell>
          <cell r="E329">
            <v>0</v>
          </cell>
        </row>
        <row r="330">
          <cell r="D330">
            <v>0</v>
          </cell>
          <cell r="E330">
            <v>0</v>
          </cell>
        </row>
        <row r="331">
          <cell r="D331">
            <v>0</v>
          </cell>
          <cell r="E331">
            <v>0</v>
          </cell>
        </row>
      </sheetData>
      <sheetData sheetId="11">
        <row r="2">
          <cell r="E2" t="str">
            <v>English</v>
          </cell>
        </row>
        <row r="3">
          <cell r="E3" t="str">
            <v>Estonian</v>
          </cell>
        </row>
        <row r="4">
          <cell r="E4" t="str">
            <v>Latvian</v>
          </cell>
        </row>
        <row r="5">
          <cell r="E5" t="str">
            <v>Lithuanian</v>
          </cell>
        </row>
        <row r="9">
          <cell r="H9">
            <v>0</v>
          </cell>
        </row>
        <row r="10">
          <cell r="H10">
            <v>1</v>
          </cell>
        </row>
        <row r="11">
          <cell r="H11" t="str">
            <v>1A</v>
          </cell>
        </row>
        <row r="12">
          <cell r="H12" t="str">
            <v>1B</v>
          </cell>
        </row>
        <row r="13">
          <cell r="H13">
            <v>2</v>
          </cell>
        </row>
        <row r="14">
          <cell r="H14" t="str">
            <v>2A</v>
          </cell>
        </row>
        <row r="15">
          <cell r="H15" t="str">
            <v>2B</v>
          </cell>
        </row>
        <row r="16">
          <cell r="H16" t="str">
            <v>2C</v>
          </cell>
        </row>
        <row r="17">
          <cell r="H17">
            <v>3</v>
          </cell>
        </row>
        <row r="18">
          <cell r="H18" t="str">
            <v>3A</v>
          </cell>
        </row>
        <row r="19">
          <cell r="H19" t="str">
            <v>3B</v>
          </cell>
        </row>
        <row r="20">
          <cell r="H20">
            <v>4</v>
          </cell>
        </row>
        <row r="21">
          <cell r="H21" t="str">
            <v>4A</v>
          </cell>
        </row>
        <row r="22">
          <cell r="H22" t="str">
            <v>4B</v>
          </cell>
        </row>
        <row r="23">
          <cell r="H23" t="str">
            <v>4C</v>
          </cell>
        </row>
        <row r="24">
          <cell r="H24">
            <v>5</v>
          </cell>
        </row>
        <row r="25">
          <cell r="H25" t="str">
            <v>5A</v>
          </cell>
        </row>
        <row r="26">
          <cell r="H26" t="str">
            <v>5B</v>
          </cell>
        </row>
        <row r="27">
          <cell r="H27" t="str">
            <v>5C</v>
          </cell>
        </row>
        <row r="28">
          <cell r="H28">
            <v>6</v>
          </cell>
        </row>
        <row r="29">
          <cell r="H29" t="str">
            <v>6A</v>
          </cell>
        </row>
        <row r="30">
          <cell r="H30" t="str">
            <v>6B</v>
          </cell>
        </row>
        <row r="31">
          <cell r="H31">
            <v>7</v>
          </cell>
        </row>
        <row r="32">
          <cell r="H32" t="str">
            <v>7A</v>
          </cell>
        </row>
        <row r="33">
          <cell r="H33" t="str">
            <v>7B</v>
          </cell>
        </row>
        <row r="34">
          <cell r="H34">
            <v>8</v>
          </cell>
        </row>
        <row r="35">
          <cell r="H35">
            <v>9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X165"/>
  <sheetViews>
    <sheetView showZeros="0" tabSelected="1" zoomScaleNormal="100" workbookViewId="0"/>
  </sheetViews>
  <sheetFormatPr defaultColWidth="11.42578125" defaultRowHeight="12.75"/>
  <cols>
    <col min="1" max="1" width="49.140625" style="553" customWidth="1"/>
    <col min="2" max="2" width="11.85546875" style="535" bestFit="1" customWidth="1"/>
    <col min="3" max="3" width="11.28515625" style="535" customWidth="1"/>
    <col min="4" max="4" width="11" style="535" bestFit="1" customWidth="1"/>
    <col min="5" max="5" width="14.140625" style="535" customWidth="1"/>
    <col min="6" max="6" width="14.42578125" style="535" customWidth="1"/>
    <col min="7" max="7" width="12.5703125" style="535" customWidth="1"/>
    <col min="8" max="8" width="10" style="535" customWidth="1"/>
    <col min="9" max="9" width="14.140625" style="535" customWidth="1"/>
    <col min="10" max="10" width="12.42578125" style="535" customWidth="1"/>
    <col min="11" max="11" width="14.140625" style="535" customWidth="1"/>
    <col min="12" max="12" width="10" style="535" customWidth="1"/>
    <col min="13" max="13" width="3.85546875" style="535" customWidth="1"/>
    <col min="14" max="17" width="11.42578125" style="535"/>
    <col min="18" max="18" width="12.140625" style="535" customWidth="1"/>
    <col min="19" max="19" width="12.7109375" style="535" customWidth="1"/>
    <col min="20" max="20" width="11" style="535" customWidth="1"/>
    <col min="21" max="16384" width="11.42578125" style="535"/>
  </cols>
  <sheetData>
    <row r="1" spans="1:24" ht="25.5">
      <c r="A1" s="534" t="s">
        <v>683</v>
      </c>
      <c r="F1" s="467" t="s">
        <v>659</v>
      </c>
      <c r="G1" s="467"/>
      <c r="H1" s="467"/>
      <c r="I1" s="467"/>
      <c r="J1" s="467"/>
      <c r="K1" s="467"/>
      <c r="L1" s="467"/>
    </row>
    <row r="2" spans="1:24" ht="7.5" customHeight="1">
      <c r="A2" s="348"/>
    </row>
    <row r="3" spans="1:24">
      <c r="A3" s="348"/>
      <c r="F3" s="536" t="s">
        <v>640</v>
      </c>
      <c r="G3" s="536"/>
      <c r="H3" s="536"/>
      <c r="I3" s="536"/>
      <c r="J3" s="536"/>
      <c r="K3" s="536"/>
      <c r="L3" s="536"/>
    </row>
    <row r="4" spans="1:24" s="538" customFormat="1">
      <c r="A4" s="537" t="s">
        <v>660</v>
      </c>
      <c r="B4" s="1053" t="s">
        <v>1022</v>
      </c>
      <c r="C4" s="1053"/>
      <c r="D4" s="1053"/>
      <c r="E4" s="1053"/>
      <c r="F4" s="1053"/>
      <c r="G4" s="1053"/>
      <c r="H4" s="1053"/>
      <c r="I4" s="1053"/>
      <c r="J4" s="1053"/>
      <c r="K4" s="1053"/>
      <c r="L4" s="1053"/>
    </row>
    <row r="5" spans="1:24" s="538" customFormat="1">
      <c r="A5" s="537"/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</row>
    <row r="6" spans="1:24" s="538" customFormat="1" ht="12.75" customHeight="1">
      <c r="A6" s="540"/>
      <c r="B6" s="1052" t="s">
        <v>661</v>
      </c>
      <c r="C6" s="1052"/>
      <c r="D6" s="1052"/>
      <c r="E6" s="1052"/>
      <c r="F6" s="1052"/>
      <c r="G6" s="1052"/>
      <c r="H6" s="1052"/>
      <c r="I6" s="1052"/>
      <c r="J6" s="1052"/>
      <c r="K6" s="1052"/>
      <c r="L6" s="1052"/>
      <c r="N6" s="1051" t="s">
        <v>653</v>
      </c>
      <c r="O6" s="1051"/>
      <c r="P6" s="1051"/>
      <c r="Q6" s="1051"/>
      <c r="R6" s="1051"/>
    </row>
    <row r="7" spans="1:24" s="538" customFormat="1" ht="39" customHeight="1">
      <c r="A7" s="541" t="s">
        <v>662</v>
      </c>
      <c r="B7" s="542" t="s">
        <v>662</v>
      </c>
      <c r="C7" s="1050" t="s">
        <v>1017</v>
      </c>
      <c r="D7" s="1050" t="s">
        <v>847</v>
      </c>
      <c r="E7" s="1050" t="s">
        <v>848</v>
      </c>
      <c r="F7" s="1050" t="s">
        <v>1018</v>
      </c>
      <c r="G7" s="1050" t="s">
        <v>537</v>
      </c>
      <c r="H7" s="1050" t="s">
        <v>858</v>
      </c>
      <c r="I7" s="1050" t="s">
        <v>1019</v>
      </c>
      <c r="J7" s="1050" t="s">
        <v>1020</v>
      </c>
      <c r="K7" s="1050" t="s">
        <v>1021</v>
      </c>
      <c r="L7" s="1050" t="s">
        <v>235</v>
      </c>
      <c r="N7" s="542" t="s">
        <v>662</v>
      </c>
      <c r="O7" s="1050" t="s">
        <v>1017</v>
      </c>
      <c r="P7" s="1050" t="s">
        <v>847</v>
      </c>
      <c r="Q7" s="1050" t="s">
        <v>848</v>
      </c>
      <c r="R7" s="1050" t="s">
        <v>1018</v>
      </c>
      <c r="S7" s="1050" t="s">
        <v>537</v>
      </c>
      <c r="T7" s="1050" t="s">
        <v>858</v>
      </c>
      <c r="U7" s="1050" t="s">
        <v>1019</v>
      </c>
      <c r="V7" s="1050" t="s">
        <v>1020</v>
      </c>
      <c r="W7" s="1050" t="s">
        <v>1021</v>
      </c>
      <c r="X7" s="1050" t="s">
        <v>235</v>
      </c>
    </row>
    <row r="8" spans="1:24" s="538" customFormat="1" ht="12.75" customHeight="1">
      <c r="A8" s="543" t="s">
        <v>663</v>
      </c>
      <c r="B8" s="544">
        <f>SUM(C8:L8)</f>
        <v>0</v>
      </c>
      <c r="C8" s="544"/>
      <c r="D8" s="544"/>
      <c r="E8" s="544"/>
      <c r="F8" s="544"/>
      <c r="G8" s="544"/>
      <c r="H8" s="544"/>
      <c r="I8" s="544"/>
      <c r="J8" s="544"/>
      <c r="K8" s="544"/>
      <c r="L8" s="544"/>
      <c r="N8" s="538">
        <f t="shared" ref="N8:N9" si="0">SUM(O8:X8)</f>
        <v>0</v>
      </c>
    </row>
    <row r="9" spans="1:24" s="538" customFormat="1" ht="12.75" customHeight="1">
      <c r="A9" s="545"/>
      <c r="B9" s="544">
        <f t="shared" ref="B9:B30" si="1">SUM(C9:L9)</f>
        <v>0</v>
      </c>
      <c r="C9" s="544"/>
      <c r="D9" s="544"/>
      <c r="E9" s="544"/>
      <c r="F9" s="544"/>
      <c r="G9" s="544"/>
      <c r="H9" s="544"/>
      <c r="I9" s="544"/>
      <c r="J9" s="544"/>
      <c r="K9" s="544"/>
      <c r="L9" s="544"/>
      <c r="N9" s="538">
        <f t="shared" si="0"/>
        <v>0</v>
      </c>
    </row>
    <row r="10" spans="1:24" s="538" customFormat="1" ht="12.75" customHeight="1">
      <c r="A10" s="543" t="s">
        <v>664</v>
      </c>
      <c r="B10" s="544">
        <f t="shared" si="1"/>
        <v>0</v>
      </c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N10" s="544">
        <f>SUM(O10:X10)</f>
        <v>0</v>
      </c>
      <c r="O10" s="544"/>
      <c r="P10" s="544"/>
      <c r="Q10" s="544"/>
      <c r="R10" s="544"/>
      <c r="S10" s="544"/>
      <c r="T10" s="544"/>
      <c r="U10" s="544"/>
      <c r="V10" s="544"/>
      <c r="W10" s="544"/>
      <c r="X10" s="544"/>
    </row>
    <row r="11" spans="1:24" s="538" customFormat="1" ht="12.75" customHeight="1">
      <c r="A11" s="545"/>
      <c r="B11" s="544">
        <f t="shared" si="1"/>
        <v>0</v>
      </c>
      <c r="C11" s="544"/>
      <c r="D11" s="544"/>
      <c r="E11" s="544"/>
      <c r="F11" s="544"/>
      <c r="G11" s="544"/>
      <c r="H11" s="544"/>
      <c r="I11" s="544"/>
      <c r="J11" s="544"/>
      <c r="K11" s="544"/>
      <c r="L11" s="544"/>
      <c r="N11" s="535">
        <f t="shared" ref="N11:N30" si="2">SUM(O11:X11)</f>
        <v>0</v>
      </c>
      <c r="O11" s="535"/>
      <c r="P11" s="535"/>
      <c r="Q11" s="535"/>
      <c r="R11" s="535"/>
      <c r="S11" s="535"/>
      <c r="T11" s="535"/>
      <c r="U11" s="535"/>
      <c r="V11" s="535"/>
      <c r="W11" s="535"/>
      <c r="X11" s="535"/>
    </row>
    <row r="12" spans="1:24" s="538" customFormat="1" ht="12.75" customHeight="1">
      <c r="A12" s="543" t="s">
        <v>665</v>
      </c>
      <c r="B12" s="544">
        <f t="shared" si="1"/>
        <v>0</v>
      </c>
      <c r="C12" s="544">
        <f>SUM(C13:C19)</f>
        <v>0</v>
      </c>
      <c r="D12" s="544">
        <f>SUM(D13:D19)</f>
        <v>0</v>
      </c>
      <c r="E12" s="544">
        <f>SUM(E13:E19)</f>
        <v>0</v>
      </c>
      <c r="F12" s="544">
        <f>SUM(F13:F19)</f>
        <v>0</v>
      </c>
      <c r="G12" s="544"/>
      <c r="H12" s="544"/>
      <c r="I12" s="544"/>
      <c r="J12" s="544"/>
      <c r="K12" s="544"/>
      <c r="L12" s="544"/>
      <c r="N12" s="544">
        <f t="shared" si="2"/>
        <v>0</v>
      </c>
      <c r="O12" s="544">
        <f>SUM(O13:O19)</f>
        <v>0</v>
      </c>
      <c r="P12" s="544">
        <f>SUM(P13:P19)</f>
        <v>0</v>
      </c>
      <c r="Q12" s="544">
        <f>SUM(Q13:Q19)</f>
        <v>0</v>
      </c>
      <c r="R12" s="544">
        <f>SUM(R13:R19)</f>
        <v>0</v>
      </c>
      <c r="S12" s="544"/>
      <c r="T12" s="544"/>
      <c r="U12" s="544"/>
      <c r="V12" s="544"/>
      <c r="W12" s="544"/>
      <c r="X12" s="544"/>
    </row>
    <row r="13" spans="1:24" s="538" customFormat="1" ht="12.75" customHeight="1">
      <c r="A13" s="546" t="s">
        <v>666</v>
      </c>
      <c r="B13" s="544">
        <f t="shared" si="1"/>
        <v>0</v>
      </c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N13" s="544">
        <f t="shared" si="2"/>
        <v>0</v>
      </c>
      <c r="O13" s="544"/>
      <c r="P13" s="544"/>
      <c r="Q13" s="544"/>
      <c r="R13" s="544"/>
      <c r="S13" s="544"/>
      <c r="T13" s="544"/>
      <c r="U13" s="544"/>
      <c r="V13" s="544"/>
      <c r="W13" s="544"/>
      <c r="X13" s="544"/>
    </row>
    <row r="14" spans="1:24" s="538" customFormat="1" ht="12.75" customHeight="1">
      <c r="A14" s="547" t="s">
        <v>667</v>
      </c>
      <c r="B14" s="544">
        <f t="shared" si="1"/>
        <v>0</v>
      </c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N14" s="544">
        <f t="shared" si="2"/>
        <v>0</v>
      </c>
      <c r="O14" s="544"/>
      <c r="P14" s="544"/>
      <c r="Q14" s="544"/>
      <c r="R14" s="544"/>
      <c r="S14" s="544"/>
      <c r="T14" s="544"/>
      <c r="U14" s="544"/>
      <c r="V14" s="544"/>
      <c r="W14" s="544"/>
      <c r="X14" s="544"/>
    </row>
    <row r="15" spans="1:24" s="538" customFormat="1" ht="12.75" customHeight="1">
      <c r="A15" s="547" t="s">
        <v>668</v>
      </c>
      <c r="B15" s="544">
        <f t="shared" si="1"/>
        <v>0</v>
      </c>
      <c r="C15" s="544"/>
      <c r="D15" s="544"/>
      <c r="E15" s="544"/>
      <c r="F15" s="544"/>
      <c r="G15" s="544"/>
      <c r="H15" s="544"/>
      <c r="I15" s="544"/>
      <c r="J15" s="544"/>
      <c r="K15" s="544"/>
      <c r="L15" s="544"/>
      <c r="N15" s="544">
        <f t="shared" si="2"/>
        <v>0</v>
      </c>
      <c r="O15" s="544"/>
      <c r="P15" s="544"/>
      <c r="Q15" s="544"/>
      <c r="R15" s="544"/>
      <c r="S15" s="544"/>
      <c r="T15" s="544"/>
      <c r="U15" s="544"/>
      <c r="V15" s="544"/>
      <c r="W15" s="544"/>
      <c r="X15" s="544"/>
    </row>
    <row r="16" spans="1:24" s="538" customFormat="1" ht="25.5">
      <c r="A16" s="547" t="s">
        <v>669</v>
      </c>
      <c r="B16" s="544">
        <f t="shared" si="1"/>
        <v>0</v>
      </c>
      <c r="C16" s="544"/>
      <c r="D16" s="544"/>
      <c r="E16" s="544"/>
      <c r="F16" s="544"/>
      <c r="G16" s="544"/>
      <c r="H16" s="544"/>
      <c r="I16" s="544"/>
      <c r="J16" s="544"/>
      <c r="K16" s="544"/>
      <c r="L16" s="544"/>
      <c r="N16" s="544">
        <f t="shared" si="2"/>
        <v>0</v>
      </c>
      <c r="O16" s="544"/>
      <c r="P16" s="544"/>
      <c r="Q16" s="544"/>
      <c r="R16" s="544"/>
      <c r="S16" s="544"/>
      <c r="T16" s="544"/>
      <c r="U16" s="544"/>
      <c r="V16" s="544"/>
      <c r="W16" s="544"/>
      <c r="X16" s="544"/>
    </row>
    <row r="17" spans="1:24" s="538" customFormat="1" ht="25.5">
      <c r="A17" s="547" t="s">
        <v>670</v>
      </c>
      <c r="B17" s="544">
        <f t="shared" si="1"/>
        <v>0</v>
      </c>
      <c r="C17" s="544"/>
      <c r="D17" s="544"/>
      <c r="E17" s="544"/>
      <c r="F17" s="544"/>
      <c r="G17" s="544"/>
      <c r="H17" s="544"/>
      <c r="I17" s="544"/>
      <c r="J17" s="544"/>
      <c r="K17" s="544"/>
      <c r="L17" s="544"/>
      <c r="N17" s="544">
        <f t="shared" si="2"/>
        <v>0</v>
      </c>
      <c r="O17" s="544"/>
      <c r="P17" s="544"/>
      <c r="Q17" s="544"/>
      <c r="R17" s="544"/>
      <c r="S17" s="544"/>
      <c r="T17" s="544"/>
      <c r="U17" s="544"/>
      <c r="V17" s="544"/>
      <c r="W17" s="544"/>
      <c r="X17" s="544"/>
    </row>
    <row r="18" spans="1:24" s="538" customFormat="1" ht="12.75" customHeight="1">
      <c r="A18" s="548" t="s">
        <v>671</v>
      </c>
      <c r="B18" s="544">
        <f t="shared" si="1"/>
        <v>0</v>
      </c>
      <c r="C18" s="544"/>
      <c r="D18" s="544"/>
      <c r="E18" s="544"/>
      <c r="F18" s="544"/>
      <c r="G18" s="544"/>
      <c r="H18" s="544"/>
      <c r="I18" s="544"/>
      <c r="J18" s="544"/>
      <c r="K18" s="544"/>
      <c r="L18" s="544"/>
      <c r="N18" s="544">
        <f t="shared" si="2"/>
        <v>0</v>
      </c>
      <c r="O18" s="544"/>
      <c r="P18" s="544"/>
      <c r="Q18" s="544"/>
      <c r="R18" s="544"/>
      <c r="S18" s="544"/>
      <c r="T18" s="544"/>
      <c r="U18" s="544"/>
      <c r="V18" s="544"/>
      <c r="W18" s="544"/>
      <c r="X18" s="544"/>
    </row>
    <row r="19" spans="1:24" s="538" customFormat="1" ht="12.75" customHeight="1">
      <c r="A19" s="548" t="s">
        <v>672</v>
      </c>
      <c r="B19" s="544">
        <f t="shared" si="1"/>
        <v>0</v>
      </c>
      <c r="C19" s="544"/>
      <c r="D19" s="544"/>
      <c r="E19" s="544"/>
      <c r="F19" s="544"/>
      <c r="G19" s="544"/>
      <c r="H19" s="544"/>
      <c r="I19" s="544"/>
      <c r="J19" s="544"/>
      <c r="K19" s="544"/>
      <c r="L19" s="544"/>
      <c r="N19" s="544">
        <f t="shared" si="2"/>
        <v>0</v>
      </c>
      <c r="O19" s="544"/>
      <c r="P19" s="544"/>
      <c r="Q19" s="544"/>
      <c r="R19" s="544"/>
      <c r="S19" s="544"/>
      <c r="T19" s="544"/>
      <c r="U19" s="544"/>
      <c r="V19" s="544"/>
      <c r="W19" s="544"/>
      <c r="X19" s="544"/>
    </row>
    <row r="20" spans="1:24" s="538" customFormat="1" ht="12.75" customHeight="1">
      <c r="A20" s="548"/>
      <c r="B20" s="544">
        <f t="shared" si="1"/>
        <v>0</v>
      </c>
      <c r="C20" s="544"/>
      <c r="D20" s="544"/>
      <c r="E20" s="544"/>
      <c r="F20" s="544"/>
      <c r="G20" s="544"/>
      <c r="H20" s="544"/>
      <c r="I20" s="544"/>
      <c r="J20" s="544"/>
      <c r="K20" s="544"/>
      <c r="L20" s="544"/>
      <c r="N20" s="538">
        <f t="shared" si="2"/>
        <v>0</v>
      </c>
    </row>
    <row r="21" spans="1:24" s="538" customFormat="1" ht="12.75" customHeight="1">
      <c r="A21" s="543" t="s">
        <v>175</v>
      </c>
      <c r="B21" s="544">
        <f t="shared" si="1"/>
        <v>0</v>
      </c>
      <c r="C21" s="544"/>
      <c r="D21" s="544"/>
      <c r="E21" s="544"/>
      <c r="F21" s="544"/>
      <c r="G21" s="544"/>
      <c r="H21" s="544"/>
      <c r="I21" s="544"/>
      <c r="J21" s="544"/>
      <c r="K21" s="544"/>
      <c r="L21" s="544"/>
      <c r="N21" s="544">
        <f t="shared" si="2"/>
        <v>0</v>
      </c>
      <c r="O21" s="544"/>
      <c r="P21" s="544"/>
      <c r="Q21" s="544"/>
      <c r="R21" s="544"/>
      <c r="S21" s="544"/>
      <c r="T21" s="544"/>
      <c r="U21" s="544"/>
      <c r="V21" s="544"/>
      <c r="W21" s="544"/>
      <c r="X21" s="544"/>
    </row>
    <row r="22" spans="1:24" s="538" customFormat="1" ht="12.75" customHeight="1">
      <c r="A22" s="549" t="s">
        <v>673</v>
      </c>
      <c r="B22" s="544">
        <f t="shared" si="1"/>
        <v>0</v>
      </c>
      <c r="C22" s="544"/>
      <c r="D22" s="544"/>
      <c r="E22" s="544"/>
      <c r="F22" s="544"/>
      <c r="G22" s="544"/>
      <c r="H22" s="544"/>
      <c r="I22" s="544"/>
      <c r="J22" s="544"/>
      <c r="K22" s="544"/>
      <c r="L22" s="544"/>
      <c r="N22" s="544">
        <f t="shared" si="2"/>
        <v>0</v>
      </c>
      <c r="O22" s="544"/>
      <c r="P22" s="544"/>
      <c r="Q22" s="544"/>
      <c r="R22" s="544"/>
      <c r="S22" s="544"/>
      <c r="T22" s="544"/>
      <c r="U22" s="544"/>
      <c r="V22" s="544"/>
      <c r="W22" s="544"/>
      <c r="X22" s="544"/>
    </row>
    <row r="23" spans="1:24" s="538" customFormat="1" ht="25.5">
      <c r="A23" s="547" t="s">
        <v>674</v>
      </c>
      <c r="B23" s="544">
        <f t="shared" si="1"/>
        <v>0</v>
      </c>
      <c r="C23" s="544"/>
      <c r="D23" s="544"/>
      <c r="E23" s="544"/>
      <c r="F23" s="544"/>
      <c r="G23" s="544"/>
      <c r="H23" s="544"/>
      <c r="I23" s="544"/>
      <c r="J23" s="544"/>
      <c r="K23" s="544"/>
      <c r="L23" s="544"/>
      <c r="N23" s="544">
        <f t="shared" si="2"/>
        <v>0</v>
      </c>
      <c r="O23" s="544"/>
      <c r="P23" s="544"/>
      <c r="Q23" s="544"/>
      <c r="R23" s="544"/>
      <c r="S23" s="544"/>
      <c r="T23" s="544"/>
      <c r="U23" s="544"/>
      <c r="V23" s="544"/>
      <c r="W23" s="544"/>
      <c r="X23" s="544"/>
    </row>
    <row r="24" spans="1:24" s="538" customFormat="1" ht="12.75" customHeight="1">
      <c r="A24" s="545"/>
      <c r="B24" s="544">
        <f t="shared" si="1"/>
        <v>0</v>
      </c>
      <c r="C24" s="544"/>
      <c r="D24" s="544"/>
      <c r="E24" s="544"/>
      <c r="F24" s="544"/>
      <c r="G24" s="544"/>
      <c r="H24" s="544"/>
      <c r="I24" s="544"/>
      <c r="J24" s="544"/>
      <c r="K24" s="544"/>
      <c r="L24" s="544"/>
      <c r="N24" s="538">
        <f t="shared" si="2"/>
        <v>0</v>
      </c>
    </row>
    <row r="25" spans="1:24" s="538" customFormat="1" ht="12.75" customHeight="1">
      <c r="A25" s="543" t="s">
        <v>675</v>
      </c>
      <c r="B25" s="544">
        <f t="shared" si="1"/>
        <v>0</v>
      </c>
      <c r="C25" s="544"/>
      <c r="D25" s="544"/>
      <c r="E25" s="544"/>
      <c r="F25" s="544"/>
      <c r="G25" s="544"/>
      <c r="H25" s="544"/>
      <c r="I25" s="544"/>
      <c r="J25" s="544"/>
      <c r="K25" s="544"/>
      <c r="L25" s="544"/>
      <c r="N25" s="800">
        <f t="shared" si="2"/>
        <v>0</v>
      </c>
      <c r="O25" s="800"/>
      <c r="P25" s="800"/>
      <c r="Q25" s="800"/>
      <c r="R25" s="800"/>
      <c r="S25" s="800"/>
      <c r="T25" s="800"/>
      <c r="U25" s="800"/>
      <c r="V25" s="800"/>
      <c r="W25" s="800"/>
      <c r="X25" s="800"/>
    </row>
    <row r="26" spans="1:24" s="538" customFormat="1" ht="12.75" customHeight="1">
      <c r="A26" s="545"/>
      <c r="B26" s="544">
        <f t="shared" si="1"/>
        <v>0</v>
      </c>
      <c r="C26" s="544"/>
      <c r="D26" s="544"/>
      <c r="E26" s="544"/>
      <c r="F26" s="544"/>
      <c r="G26" s="544"/>
      <c r="H26" s="544"/>
      <c r="I26" s="544"/>
      <c r="J26" s="544"/>
      <c r="K26" s="544"/>
      <c r="L26" s="544"/>
      <c r="N26" s="538">
        <f t="shared" si="2"/>
        <v>0</v>
      </c>
    </row>
    <row r="27" spans="1:24" s="538" customFormat="1" ht="12.75" customHeight="1">
      <c r="A27" s="543" t="s">
        <v>676</v>
      </c>
      <c r="B27" s="544">
        <f t="shared" si="1"/>
        <v>0</v>
      </c>
      <c r="C27" s="544"/>
      <c r="D27" s="544"/>
      <c r="E27" s="544"/>
      <c r="F27" s="544"/>
      <c r="G27" s="544"/>
      <c r="H27" s="544"/>
      <c r="I27" s="544"/>
      <c r="J27" s="544"/>
      <c r="K27" s="544"/>
      <c r="L27" s="544"/>
      <c r="N27" s="538">
        <f t="shared" si="2"/>
        <v>0</v>
      </c>
    </row>
    <row r="28" spans="1:24" s="538" customFormat="1" ht="24.75" customHeight="1">
      <c r="A28" s="547" t="s">
        <v>677</v>
      </c>
      <c r="B28" s="544">
        <f t="shared" si="1"/>
        <v>0</v>
      </c>
      <c r="C28" s="544"/>
      <c r="D28" s="544"/>
      <c r="E28" s="544"/>
      <c r="F28" s="544"/>
      <c r="G28" s="544"/>
      <c r="H28" s="544"/>
      <c r="I28" s="544"/>
      <c r="J28" s="544"/>
      <c r="K28" s="544"/>
      <c r="L28" s="544"/>
      <c r="N28" s="538">
        <f t="shared" si="2"/>
        <v>0</v>
      </c>
    </row>
    <row r="29" spans="1:24" s="538" customFormat="1" ht="12.75" customHeight="1">
      <c r="A29" s="545"/>
      <c r="B29" s="544">
        <f t="shared" si="1"/>
        <v>0</v>
      </c>
      <c r="C29" s="544"/>
      <c r="D29" s="544"/>
      <c r="E29" s="544"/>
      <c r="F29" s="544"/>
      <c r="G29" s="544"/>
      <c r="H29" s="544"/>
      <c r="I29" s="544"/>
      <c r="J29" s="544"/>
      <c r="K29" s="544"/>
      <c r="L29" s="544"/>
      <c r="N29" s="538">
        <f t="shared" si="2"/>
        <v>0</v>
      </c>
    </row>
    <row r="30" spans="1:24" s="538" customFormat="1" ht="12.75" customHeight="1">
      <c r="A30" s="543" t="s">
        <v>678</v>
      </c>
      <c r="B30" s="544">
        <f t="shared" si="1"/>
        <v>0</v>
      </c>
      <c r="C30" s="544"/>
      <c r="D30" s="544"/>
      <c r="E30" s="544"/>
      <c r="F30" s="544"/>
      <c r="G30" s="544"/>
      <c r="H30" s="544"/>
      <c r="I30" s="544"/>
      <c r="J30" s="544"/>
      <c r="K30" s="544"/>
      <c r="L30" s="544"/>
      <c r="N30" s="538">
        <f t="shared" si="2"/>
        <v>0</v>
      </c>
    </row>
    <row r="31" spans="1:24" s="538" customFormat="1" ht="12.75" customHeight="1">
      <c r="A31" s="349"/>
      <c r="B31" s="550"/>
    </row>
    <row r="32" spans="1:24" s="538" customFormat="1" ht="12.75" customHeight="1">
      <c r="A32" s="349"/>
      <c r="B32" s="550"/>
    </row>
    <row r="33" spans="1:3" s="538" customFormat="1" ht="12.75" customHeight="1">
      <c r="A33" s="349"/>
      <c r="B33" s="550"/>
      <c r="C33" s="550"/>
    </row>
    <row r="34" spans="1:3" s="538" customFormat="1" ht="12.75" customHeight="1">
      <c r="A34" s="551" t="s">
        <v>679</v>
      </c>
    </row>
    <row r="35" spans="1:3" ht="14.25" customHeight="1">
      <c r="A35" s="552" t="s">
        <v>680</v>
      </c>
      <c r="B35" s="552"/>
      <c r="C35" s="552"/>
    </row>
    <row r="36" spans="1:3" ht="15" customHeight="1">
      <c r="A36" s="276" t="s">
        <v>681</v>
      </c>
      <c r="B36" s="553"/>
      <c r="C36" s="553"/>
    </row>
    <row r="37" spans="1:3" ht="15" customHeight="1">
      <c r="A37" s="276"/>
      <c r="B37" s="553"/>
      <c r="C37" s="553"/>
    </row>
    <row r="38" spans="1:3" ht="15" customHeight="1">
      <c r="A38" s="276" t="s">
        <v>837</v>
      </c>
      <c r="B38" s="553"/>
      <c r="C38" s="553"/>
    </row>
    <row r="39" spans="1:3">
      <c r="A39" s="554"/>
      <c r="B39" s="347"/>
      <c r="C39" s="347"/>
    </row>
    <row r="40" spans="1:3">
      <c r="A40" s="554"/>
      <c r="B40" s="347"/>
      <c r="C40" s="347"/>
    </row>
    <row r="41" spans="1:3">
      <c r="B41" s="553"/>
      <c r="C41" s="553"/>
    </row>
    <row r="42" spans="1:3" s="350" customFormat="1">
      <c r="A42" s="553"/>
      <c r="B42" s="347"/>
      <c r="C42" s="347"/>
    </row>
    <row r="43" spans="1:3" s="350" customFormat="1">
      <c r="A43" s="555"/>
      <c r="B43" s="347"/>
      <c r="C43" s="347"/>
    </row>
    <row r="44" spans="1:3">
      <c r="A44" s="555"/>
      <c r="B44" s="553"/>
      <c r="C44" s="553"/>
    </row>
    <row r="45" spans="1:3">
      <c r="B45" s="553"/>
      <c r="C45" s="553"/>
    </row>
    <row r="46" spans="1:3">
      <c r="B46" s="553"/>
      <c r="C46" s="553"/>
    </row>
    <row r="47" spans="1:3">
      <c r="B47" s="553"/>
      <c r="C47" s="553"/>
    </row>
    <row r="48" spans="1:3">
      <c r="B48" s="553"/>
      <c r="C48" s="553"/>
    </row>
    <row r="49" spans="2:3">
      <c r="B49" s="553"/>
      <c r="C49" s="553"/>
    </row>
    <row r="50" spans="2:3">
      <c r="B50" s="553"/>
      <c r="C50" s="553"/>
    </row>
    <row r="51" spans="2:3">
      <c r="B51" s="553"/>
      <c r="C51" s="553"/>
    </row>
    <row r="52" spans="2:3">
      <c r="B52" s="553"/>
      <c r="C52" s="553"/>
    </row>
    <row r="53" spans="2:3">
      <c r="B53" s="553"/>
      <c r="C53" s="553"/>
    </row>
    <row r="54" spans="2:3">
      <c r="B54" s="553"/>
      <c r="C54" s="553"/>
    </row>
    <row r="55" spans="2:3">
      <c r="B55" s="553"/>
      <c r="C55" s="553"/>
    </row>
    <row r="56" spans="2:3">
      <c r="B56" s="553"/>
      <c r="C56" s="553"/>
    </row>
    <row r="57" spans="2:3">
      <c r="B57" s="553"/>
      <c r="C57" s="553"/>
    </row>
    <row r="58" spans="2:3">
      <c r="B58" s="553"/>
      <c r="C58" s="553"/>
    </row>
    <row r="59" spans="2:3">
      <c r="B59" s="553"/>
      <c r="C59" s="553"/>
    </row>
    <row r="60" spans="2:3">
      <c r="B60" s="553"/>
      <c r="C60" s="553"/>
    </row>
    <row r="61" spans="2:3">
      <c r="B61" s="553"/>
      <c r="C61" s="553"/>
    </row>
    <row r="62" spans="2:3">
      <c r="B62" s="553"/>
      <c r="C62" s="553"/>
    </row>
    <row r="63" spans="2:3">
      <c r="B63" s="553"/>
      <c r="C63" s="553"/>
    </row>
    <row r="64" spans="2:3">
      <c r="B64" s="553"/>
      <c r="C64" s="553"/>
    </row>
    <row r="65" spans="2:3">
      <c r="B65" s="553"/>
      <c r="C65" s="553"/>
    </row>
    <row r="66" spans="2:3">
      <c r="B66" s="553"/>
      <c r="C66" s="553"/>
    </row>
    <row r="67" spans="2:3">
      <c r="B67" s="553"/>
      <c r="C67" s="553"/>
    </row>
    <row r="68" spans="2:3">
      <c r="B68" s="553"/>
      <c r="C68" s="553"/>
    </row>
    <row r="69" spans="2:3">
      <c r="B69" s="553"/>
      <c r="C69" s="553"/>
    </row>
    <row r="70" spans="2:3">
      <c r="B70" s="553"/>
      <c r="C70" s="553"/>
    </row>
    <row r="71" spans="2:3">
      <c r="B71" s="553"/>
      <c r="C71" s="553"/>
    </row>
    <row r="72" spans="2:3">
      <c r="B72" s="553"/>
      <c r="C72" s="553"/>
    </row>
    <row r="73" spans="2:3">
      <c r="B73" s="553"/>
      <c r="C73" s="553"/>
    </row>
    <row r="74" spans="2:3">
      <c r="B74" s="553"/>
      <c r="C74" s="553"/>
    </row>
    <row r="75" spans="2:3">
      <c r="B75" s="553"/>
      <c r="C75" s="553"/>
    </row>
    <row r="76" spans="2:3">
      <c r="B76" s="553"/>
      <c r="C76" s="553"/>
    </row>
    <row r="77" spans="2:3">
      <c r="B77" s="553"/>
      <c r="C77" s="553"/>
    </row>
    <row r="78" spans="2:3">
      <c r="B78" s="553"/>
      <c r="C78" s="553"/>
    </row>
    <row r="79" spans="2:3">
      <c r="B79" s="553"/>
      <c r="C79" s="553"/>
    </row>
    <row r="80" spans="2:3">
      <c r="B80" s="553"/>
      <c r="C80" s="553"/>
    </row>
    <row r="81" spans="2:3">
      <c r="B81" s="553"/>
      <c r="C81" s="553"/>
    </row>
    <row r="82" spans="2:3">
      <c r="B82" s="553"/>
      <c r="C82" s="553"/>
    </row>
    <row r="83" spans="2:3">
      <c r="B83" s="553"/>
      <c r="C83" s="553"/>
    </row>
    <row r="84" spans="2:3">
      <c r="B84" s="553"/>
      <c r="C84" s="553"/>
    </row>
    <row r="85" spans="2:3">
      <c r="B85" s="553"/>
      <c r="C85" s="553"/>
    </row>
    <row r="86" spans="2:3">
      <c r="B86" s="553"/>
      <c r="C86" s="553"/>
    </row>
    <row r="87" spans="2:3">
      <c r="B87" s="553"/>
      <c r="C87" s="553"/>
    </row>
    <row r="88" spans="2:3">
      <c r="B88" s="553"/>
      <c r="C88" s="553"/>
    </row>
    <row r="89" spans="2:3">
      <c r="B89" s="553"/>
      <c r="C89" s="553"/>
    </row>
    <row r="90" spans="2:3">
      <c r="B90" s="553"/>
      <c r="C90" s="553"/>
    </row>
    <row r="91" spans="2:3">
      <c r="B91" s="553"/>
      <c r="C91" s="553"/>
    </row>
    <row r="92" spans="2:3">
      <c r="B92" s="553"/>
      <c r="C92" s="553"/>
    </row>
    <row r="93" spans="2:3">
      <c r="B93" s="553"/>
      <c r="C93" s="553"/>
    </row>
    <row r="94" spans="2:3">
      <c r="B94" s="553"/>
      <c r="C94" s="553"/>
    </row>
    <row r="95" spans="2:3">
      <c r="B95" s="553"/>
      <c r="C95" s="553"/>
    </row>
    <row r="96" spans="2:3">
      <c r="B96" s="553"/>
      <c r="C96" s="553"/>
    </row>
    <row r="97" spans="2:3">
      <c r="B97" s="553"/>
      <c r="C97" s="553"/>
    </row>
    <row r="98" spans="2:3">
      <c r="B98" s="553"/>
      <c r="C98" s="553"/>
    </row>
    <row r="99" spans="2:3">
      <c r="B99" s="553"/>
      <c r="C99" s="553"/>
    </row>
    <row r="100" spans="2:3">
      <c r="B100" s="553"/>
      <c r="C100" s="553"/>
    </row>
    <row r="101" spans="2:3">
      <c r="B101" s="553"/>
      <c r="C101" s="553"/>
    </row>
    <row r="102" spans="2:3">
      <c r="B102" s="553"/>
      <c r="C102" s="553"/>
    </row>
    <row r="103" spans="2:3">
      <c r="B103" s="553"/>
      <c r="C103" s="553"/>
    </row>
    <row r="104" spans="2:3">
      <c r="B104" s="553"/>
      <c r="C104" s="553"/>
    </row>
    <row r="105" spans="2:3">
      <c r="B105" s="553"/>
      <c r="C105" s="553"/>
    </row>
    <row r="106" spans="2:3">
      <c r="B106" s="553"/>
      <c r="C106" s="553"/>
    </row>
    <row r="107" spans="2:3">
      <c r="B107" s="553"/>
      <c r="C107" s="553"/>
    </row>
    <row r="108" spans="2:3">
      <c r="B108" s="553"/>
      <c r="C108" s="553"/>
    </row>
    <row r="109" spans="2:3">
      <c r="B109" s="553"/>
      <c r="C109" s="553"/>
    </row>
    <row r="110" spans="2:3">
      <c r="B110" s="553"/>
      <c r="C110" s="553"/>
    </row>
    <row r="111" spans="2:3">
      <c r="B111" s="553"/>
      <c r="C111" s="553"/>
    </row>
    <row r="112" spans="2:3">
      <c r="B112" s="553"/>
      <c r="C112" s="553"/>
    </row>
    <row r="113" spans="2:3">
      <c r="B113" s="553"/>
      <c r="C113" s="553"/>
    </row>
    <row r="114" spans="2:3">
      <c r="B114" s="553"/>
      <c r="C114" s="553"/>
    </row>
    <row r="115" spans="2:3">
      <c r="B115" s="553"/>
      <c r="C115" s="553"/>
    </row>
    <row r="116" spans="2:3">
      <c r="B116" s="553"/>
      <c r="C116" s="553"/>
    </row>
    <row r="117" spans="2:3">
      <c r="B117" s="553"/>
      <c r="C117" s="553"/>
    </row>
    <row r="118" spans="2:3">
      <c r="B118" s="553"/>
      <c r="C118" s="553"/>
    </row>
    <row r="119" spans="2:3">
      <c r="B119" s="553"/>
      <c r="C119" s="553"/>
    </row>
    <row r="120" spans="2:3">
      <c r="B120" s="553"/>
      <c r="C120" s="553"/>
    </row>
    <row r="121" spans="2:3">
      <c r="B121" s="553"/>
      <c r="C121" s="553"/>
    </row>
    <row r="122" spans="2:3">
      <c r="B122" s="553"/>
      <c r="C122" s="553"/>
    </row>
    <row r="123" spans="2:3">
      <c r="B123" s="553"/>
      <c r="C123" s="553"/>
    </row>
    <row r="124" spans="2:3">
      <c r="B124" s="553"/>
      <c r="C124" s="553"/>
    </row>
    <row r="125" spans="2:3">
      <c r="B125" s="553"/>
      <c r="C125" s="553"/>
    </row>
    <row r="126" spans="2:3">
      <c r="B126" s="553"/>
      <c r="C126" s="553"/>
    </row>
    <row r="127" spans="2:3">
      <c r="B127" s="553"/>
      <c r="C127" s="553"/>
    </row>
    <row r="128" spans="2:3">
      <c r="B128" s="553"/>
      <c r="C128" s="553"/>
    </row>
    <row r="129" spans="2:3">
      <c r="B129" s="553"/>
      <c r="C129" s="553"/>
    </row>
    <row r="130" spans="2:3">
      <c r="B130" s="553"/>
      <c r="C130" s="553"/>
    </row>
    <row r="131" spans="2:3">
      <c r="B131" s="553"/>
      <c r="C131" s="553"/>
    </row>
    <row r="132" spans="2:3">
      <c r="B132" s="553"/>
      <c r="C132" s="553"/>
    </row>
    <row r="133" spans="2:3">
      <c r="B133" s="553"/>
      <c r="C133" s="553"/>
    </row>
    <row r="134" spans="2:3">
      <c r="B134" s="553"/>
      <c r="C134" s="553"/>
    </row>
    <row r="135" spans="2:3">
      <c r="B135" s="553"/>
      <c r="C135" s="553"/>
    </row>
    <row r="136" spans="2:3">
      <c r="B136" s="553"/>
      <c r="C136" s="553"/>
    </row>
    <row r="137" spans="2:3">
      <c r="B137" s="553"/>
      <c r="C137" s="553"/>
    </row>
    <row r="138" spans="2:3">
      <c r="B138" s="553"/>
      <c r="C138" s="553"/>
    </row>
    <row r="139" spans="2:3">
      <c r="B139" s="553"/>
      <c r="C139" s="553"/>
    </row>
    <row r="140" spans="2:3">
      <c r="B140" s="553"/>
      <c r="C140" s="553"/>
    </row>
    <row r="141" spans="2:3">
      <c r="B141" s="553"/>
      <c r="C141" s="553"/>
    </row>
    <row r="142" spans="2:3">
      <c r="B142" s="553"/>
      <c r="C142" s="553"/>
    </row>
    <row r="143" spans="2:3">
      <c r="B143" s="553"/>
      <c r="C143" s="553"/>
    </row>
    <row r="144" spans="2:3">
      <c r="B144" s="553"/>
      <c r="C144" s="553"/>
    </row>
    <row r="145" spans="2:3">
      <c r="B145" s="553"/>
      <c r="C145" s="553"/>
    </row>
    <row r="146" spans="2:3">
      <c r="B146" s="553"/>
      <c r="C146" s="553"/>
    </row>
    <row r="147" spans="2:3">
      <c r="B147" s="553"/>
      <c r="C147" s="553"/>
    </row>
    <row r="148" spans="2:3">
      <c r="B148" s="553"/>
      <c r="C148" s="553"/>
    </row>
    <row r="149" spans="2:3">
      <c r="B149" s="553"/>
      <c r="C149" s="553"/>
    </row>
    <row r="150" spans="2:3">
      <c r="B150" s="553"/>
      <c r="C150" s="553"/>
    </row>
    <row r="151" spans="2:3">
      <c r="B151" s="553"/>
      <c r="C151" s="553"/>
    </row>
    <row r="152" spans="2:3">
      <c r="B152" s="553"/>
      <c r="C152" s="553"/>
    </row>
    <row r="153" spans="2:3">
      <c r="B153" s="553"/>
      <c r="C153" s="553"/>
    </row>
    <row r="154" spans="2:3">
      <c r="B154" s="553"/>
      <c r="C154" s="553"/>
    </row>
    <row r="155" spans="2:3">
      <c r="B155" s="553"/>
      <c r="C155" s="553"/>
    </row>
    <row r="156" spans="2:3">
      <c r="B156" s="553"/>
      <c r="C156" s="553"/>
    </row>
    <row r="157" spans="2:3">
      <c r="B157" s="553"/>
      <c r="C157" s="553"/>
    </row>
    <row r="158" spans="2:3">
      <c r="B158" s="553"/>
      <c r="C158" s="553"/>
    </row>
    <row r="159" spans="2:3">
      <c r="B159" s="553"/>
      <c r="C159" s="553"/>
    </row>
    <row r="160" spans="2:3">
      <c r="B160" s="553"/>
      <c r="C160" s="553"/>
    </row>
    <row r="161" spans="2:3">
      <c r="B161" s="553"/>
      <c r="C161" s="553"/>
    </row>
    <row r="162" spans="2:3">
      <c r="B162" s="553"/>
      <c r="C162" s="553"/>
    </row>
    <row r="163" spans="2:3">
      <c r="B163" s="553"/>
      <c r="C163" s="553"/>
    </row>
    <row r="164" spans="2:3">
      <c r="B164" s="553"/>
      <c r="C164" s="553"/>
    </row>
    <row r="165" spans="2:3">
      <c r="B165" s="553"/>
      <c r="C165" s="553"/>
    </row>
  </sheetData>
  <mergeCells count="3">
    <mergeCell ref="N6:R6"/>
    <mergeCell ref="B6:L6"/>
    <mergeCell ref="B4:L4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6" tint="0.59999389629810485"/>
  </sheetPr>
  <dimension ref="A1:Z303"/>
  <sheetViews>
    <sheetView showZeros="0" zoomScaleNormal="100" zoomScaleSheetLayoutView="85" workbookViewId="0">
      <pane xSplit="3" ySplit="4" topLeftCell="D5" activePane="bottomRight" state="frozen"/>
      <selection activeCell="J31" sqref="J31"/>
      <selection pane="topRight" activeCell="J31" sqref="J31"/>
      <selection pane="bottomLeft" activeCell="J31" sqref="J31"/>
      <selection pane="bottomRight" activeCell="C4" sqref="C4"/>
    </sheetView>
  </sheetViews>
  <sheetFormatPr defaultColWidth="9.140625" defaultRowHeight="12.75"/>
  <cols>
    <col min="1" max="1" width="12.85546875" style="52" hidden="1" customWidth="1"/>
    <col min="2" max="2" width="9.140625" style="6" hidden="1" customWidth="1"/>
    <col min="3" max="3" width="42.140625" style="52" customWidth="1"/>
    <col min="4" max="4" width="14.140625" style="241" bestFit="1" customWidth="1"/>
    <col min="5" max="5" width="12.7109375" style="241" hidden="1" customWidth="1"/>
    <col min="6" max="6" width="12" style="241" hidden="1" customWidth="1"/>
    <col min="7" max="7" width="10.42578125" style="241" bestFit="1" customWidth="1"/>
    <col min="8" max="8" width="14.140625" style="241" bestFit="1" customWidth="1"/>
    <col min="9" max="10" width="12.7109375" style="6" hidden="1" customWidth="1"/>
    <col min="11" max="11" width="14.140625" style="6" hidden="1" customWidth="1"/>
    <col min="12" max="12" width="17.42578125" style="6" hidden="1" customWidth="1"/>
    <col min="13" max="13" width="17" style="6" hidden="1" customWidth="1"/>
    <col min="14" max="14" width="14.5703125" style="6" hidden="1" customWidth="1"/>
    <col min="15" max="15" width="17" style="6" hidden="1" customWidth="1"/>
    <col min="16" max="16" width="13.140625" style="6" hidden="1" customWidth="1"/>
    <col min="17" max="18" width="16.28515625" style="6" hidden="1" customWidth="1"/>
    <col min="19" max="19" width="17.140625" style="495" bestFit="1" customWidth="1"/>
    <col min="20" max="20" width="14.140625" style="6" bestFit="1" customWidth="1"/>
    <col min="21" max="21" width="12.7109375" style="6" customWidth="1"/>
    <col min="22" max="22" width="12.7109375" style="6" bestFit="1" customWidth="1"/>
    <col min="23" max="23" width="7.7109375" style="508" bestFit="1" customWidth="1"/>
    <col min="24" max="24" width="24.7109375" style="508" customWidth="1"/>
    <col min="25" max="25" width="12.140625" style="6" customWidth="1"/>
    <col min="26" max="26" width="29.85546875" style="6" customWidth="1"/>
    <col min="27" max="16384" width="9.140625" style="6"/>
  </cols>
  <sheetData>
    <row r="1" spans="1:26" ht="15">
      <c r="A1" s="56"/>
      <c r="C1" s="56" t="s">
        <v>103</v>
      </c>
      <c r="Z1" s="525" t="s">
        <v>650</v>
      </c>
    </row>
    <row r="2" spans="1:26" ht="10.5" customHeight="1">
      <c r="D2" s="216"/>
      <c r="E2" s="216"/>
      <c r="F2" s="216"/>
      <c r="G2" s="216"/>
      <c r="H2" s="216"/>
    </row>
    <row r="3" spans="1:26" ht="12.75" customHeight="1">
      <c r="A3" s="4"/>
      <c r="C3" s="4"/>
      <c r="D3" s="1078">
        <v>2018</v>
      </c>
      <c r="E3" s="1079"/>
      <c r="F3" s="1079"/>
      <c r="G3" s="1079"/>
      <c r="H3" s="1079"/>
      <c r="I3" s="1079"/>
      <c r="J3" s="1079"/>
      <c r="K3" s="1079"/>
      <c r="L3" s="1082">
        <v>2019</v>
      </c>
      <c r="M3" s="1082"/>
      <c r="N3" s="1082"/>
      <c r="O3" s="1082"/>
      <c r="P3" s="1082"/>
      <c r="Q3" s="1082"/>
      <c r="R3" s="1082"/>
      <c r="S3" s="1082"/>
      <c r="T3" s="1082"/>
      <c r="U3" s="1082"/>
      <c r="V3" s="1083" t="s">
        <v>643</v>
      </c>
      <c r="W3" s="1084"/>
      <c r="X3" s="1085"/>
      <c r="Y3" s="1080">
        <v>2019</v>
      </c>
      <c r="Z3" s="1081"/>
    </row>
    <row r="4" spans="1:26" ht="47.45" customHeight="1">
      <c r="A4" s="255"/>
      <c r="C4" s="119"/>
      <c r="D4" s="254" t="s">
        <v>341</v>
      </c>
      <c r="E4" s="254" t="s">
        <v>810</v>
      </c>
      <c r="F4" s="254" t="s">
        <v>370</v>
      </c>
      <c r="G4" s="760" t="s">
        <v>797</v>
      </c>
      <c r="H4" s="254" t="s">
        <v>342</v>
      </c>
      <c r="I4" s="271" t="s">
        <v>377</v>
      </c>
      <c r="J4" s="271" t="s">
        <v>378</v>
      </c>
      <c r="K4" s="271" t="s">
        <v>379</v>
      </c>
      <c r="L4" s="504" t="s">
        <v>381</v>
      </c>
      <c r="M4" s="504" t="s">
        <v>382</v>
      </c>
      <c r="N4" s="844" t="s">
        <v>872</v>
      </c>
      <c r="O4" s="504" t="s">
        <v>380</v>
      </c>
      <c r="P4" s="504" t="s">
        <v>383</v>
      </c>
      <c r="Q4" s="504" t="s">
        <v>384</v>
      </c>
      <c r="R4" s="504" t="s">
        <v>385</v>
      </c>
      <c r="S4" s="505" t="s">
        <v>651</v>
      </c>
      <c r="T4" s="506" t="s">
        <v>652</v>
      </c>
      <c r="U4" s="504" t="s">
        <v>646</v>
      </c>
      <c r="V4" s="448" t="s">
        <v>47</v>
      </c>
      <c r="W4" s="509" t="s">
        <v>641</v>
      </c>
      <c r="X4" s="761" t="s">
        <v>798</v>
      </c>
      <c r="Y4" s="506" t="s">
        <v>653</v>
      </c>
      <c r="Z4" s="506" t="s">
        <v>654</v>
      </c>
    </row>
    <row r="5" spans="1:26" ht="12" customHeight="1">
      <c r="A5" s="256"/>
      <c r="C5" s="114"/>
      <c r="D5" s="198"/>
      <c r="E5" s="198"/>
      <c r="F5" s="198"/>
      <c r="G5" s="198"/>
      <c r="H5" s="198">
        <f t="shared" ref="H5:H61" si="0">SUM(D5:G5)</f>
        <v>0</v>
      </c>
      <c r="I5" s="198"/>
      <c r="J5" s="198"/>
      <c r="K5" s="198">
        <f t="shared" ref="K5:K7" si="1">H5-SUM(I5:J5)</f>
        <v>0</v>
      </c>
      <c r="L5" s="198"/>
      <c r="M5" s="198"/>
      <c r="N5" s="198"/>
      <c r="O5" s="198"/>
      <c r="P5" s="198">
        <f t="shared" ref="P5:P63" si="2">SUM(L5:O5)</f>
        <v>0</v>
      </c>
      <c r="Q5" s="198"/>
      <c r="R5" s="198"/>
      <c r="S5" s="198">
        <f t="shared" ref="S5:S62" si="3">K5+P5+Q5+R5</f>
        <v>0</v>
      </c>
      <c r="T5" s="159">
        <v>0</v>
      </c>
      <c r="U5" s="159">
        <f t="shared" ref="U5:U63" si="4">T5-S5</f>
        <v>0</v>
      </c>
      <c r="V5" s="159">
        <f t="shared" ref="V5:V63" si="5">T5-H5</f>
        <v>0</v>
      </c>
      <c r="W5" s="514" t="str">
        <f t="shared" ref="W5:W63" si="6">IF(H5=0,"",V5/H5)</f>
        <v/>
      </c>
      <c r="X5" s="514"/>
      <c r="Y5" s="159"/>
    </row>
    <row r="6" spans="1:26" ht="15.75">
      <c r="A6" s="256"/>
      <c r="C6" s="137" t="s">
        <v>178</v>
      </c>
      <c r="D6" s="181"/>
      <c r="E6" s="181"/>
      <c r="F6" s="181"/>
      <c r="G6" s="181"/>
      <c r="H6" s="181">
        <f t="shared" si="0"/>
        <v>0</v>
      </c>
      <c r="I6" s="181"/>
      <c r="J6" s="181"/>
      <c r="K6" s="181">
        <f t="shared" si="1"/>
        <v>0</v>
      </c>
      <c r="L6" s="181"/>
      <c r="M6" s="181"/>
      <c r="N6" s="181"/>
      <c r="O6" s="181"/>
      <c r="P6" s="181">
        <f t="shared" si="2"/>
        <v>0</v>
      </c>
      <c r="Q6" s="181"/>
      <c r="R6" s="181"/>
      <c r="S6" s="497">
        <f t="shared" si="3"/>
        <v>0</v>
      </c>
      <c r="T6" s="181">
        <v>0</v>
      </c>
      <c r="U6" s="181">
        <f t="shared" si="4"/>
        <v>0</v>
      </c>
      <c r="V6" s="181">
        <f t="shared" si="5"/>
        <v>0</v>
      </c>
      <c r="W6" s="515" t="str">
        <f t="shared" si="6"/>
        <v/>
      </c>
      <c r="X6" s="515"/>
      <c r="Y6" s="181"/>
    </row>
    <row r="7" spans="1:26" ht="12" customHeight="1">
      <c r="A7" s="256"/>
      <c r="C7" s="116"/>
      <c r="D7" s="199"/>
      <c r="E7" s="199"/>
      <c r="F7" s="199"/>
      <c r="G7" s="199"/>
      <c r="H7" s="199">
        <f t="shared" si="0"/>
        <v>0</v>
      </c>
      <c r="I7" s="199"/>
      <c r="J7" s="199"/>
      <c r="K7" s="199">
        <f t="shared" si="1"/>
        <v>0</v>
      </c>
      <c r="L7" s="199"/>
      <c r="M7" s="199"/>
      <c r="N7" s="199"/>
      <c r="O7" s="199"/>
      <c r="P7" s="199">
        <f t="shared" si="2"/>
        <v>0</v>
      </c>
      <c r="Q7" s="199"/>
      <c r="R7" s="199"/>
      <c r="S7" s="199">
        <f t="shared" si="3"/>
        <v>0</v>
      </c>
      <c r="T7" s="507">
        <v>0</v>
      </c>
      <c r="U7" s="507">
        <f t="shared" si="4"/>
        <v>0</v>
      </c>
      <c r="V7" s="507">
        <f t="shared" si="5"/>
        <v>0</v>
      </c>
      <c r="W7" s="452" t="str">
        <f t="shared" si="6"/>
        <v/>
      </c>
      <c r="X7" s="452"/>
      <c r="Y7" s="507"/>
    </row>
    <row r="8" spans="1:26" ht="12" customHeight="1">
      <c r="A8" s="256"/>
      <c r="C8" s="138" t="s">
        <v>175</v>
      </c>
      <c r="D8" s="182">
        <f>D16+D204</f>
        <v>47705782</v>
      </c>
      <c r="E8" s="182"/>
      <c r="F8" s="182">
        <f>F16+F204</f>
        <v>36470</v>
      </c>
      <c r="G8" s="182"/>
      <c r="H8" s="182">
        <f t="shared" si="0"/>
        <v>47742252</v>
      </c>
      <c r="I8" s="182">
        <f>I16+I204</f>
        <v>303447</v>
      </c>
      <c r="J8" s="182">
        <f>J16+J204</f>
        <v>12965558</v>
      </c>
      <c r="K8" s="182">
        <f>H8-SUM(I8:J8)-G8</f>
        <v>34473247</v>
      </c>
      <c r="L8" s="182">
        <f>L16+L204</f>
        <v>-664000</v>
      </c>
      <c r="M8" s="182">
        <f>M16+M204</f>
        <v>308060</v>
      </c>
      <c r="N8" s="182"/>
      <c r="O8" s="182">
        <f>O16+O204</f>
        <v>0</v>
      </c>
      <c r="P8" s="182">
        <f t="shared" si="2"/>
        <v>-355940</v>
      </c>
      <c r="Q8" s="182">
        <f>Q16+Q204</f>
        <v>14653365</v>
      </c>
      <c r="R8" s="182">
        <f>R16+R204</f>
        <v>194571</v>
      </c>
      <c r="S8" s="496">
        <f t="shared" si="3"/>
        <v>48965243</v>
      </c>
      <c r="T8" s="182">
        <f>T16+T204</f>
        <v>48965243</v>
      </c>
      <c r="U8" s="182">
        <f t="shared" si="4"/>
        <v>0</v>
      </c>
      <c r="V8" s="182">
        <f t="shared" si="5"/>
        <v>1222991</v>
      </c>
      <c r="W8" s="510">
        <f t="shared" si="6"/>
        <v>2.5616533547684346E-2</v>
      </c>
      <c r="X8" s="510"/>
      <c r="Y8" s="182"/>
    </row>
    <row r="9" spans="1:26" ht="12" customHeight="1">
      <c r="A9" s="256"/>
      <c r="C9" s="139" t="s">
        <v>339</v>
      </c>
      <c r="D9" s="183">
        <v>1830000</v>
      </c>
      <c r="E9" s="183"/>
      <c r="F9" s="183"/>
      <c r="G9" s="183"/>
      <c r="H9" s="183">
        <f t="shared" si="0"/>
        <v>1830000</v>
      </c>
      <c r="I9" s="183"/>
      <c r="J9" s="183"/>
      <c r="K9" s="183">
        <f t="shared" ref="K9:K72" si="7">H9-SUM(I9:J9)-G9</f>
        <v>1830000</v>
      </c>
      <c r="L9" s="183"/>
      <c r="M9" s="183"/>
      <c r="N9" s="183"/>
      <c r="O9" s="183"/>
      <c r="P9" s="183">
        <f t="shared" si="2"/>
        <v>0</v>
      </c>
      <c r="Q9" s="183"/>
      <c r="R9" s="183"/>
      <c r="S9" s="253">
        <f t="shared" si="3"/>
        <v>1830000</v>
      </c>
      <c r="T9" s="183">
        <v>1830000</v>
      </c>
      <c r="U9" s="183">
        <f t="shared" si="4"/>
        <v>0</v>
      </c>
      <c r="V9" s="183">
        <f t="shared" si="5"/>
        <v>0</v>
      </c>
      <c r="W9" s="511">
        <f t="shared" si="6"/>
        <v>0</v>
      </c>
      <c r="X9" s="511"/>
      <c r="Y9" s="183"/>
    </row>
    <row r="10" spans="1:26" ht="12" customHeight="1">
      <c r="A10" s="256"/>
      <c r="C10" s="146" t="s">
        <v>104</v>
      </c>
      <c r="D10" s="184">
        <f>D11+D13+D12</f>
        <v>47705782</v>
      </c>
      <c r="E10" s="184"/>
      <c r="F10" s="184">
        <f t="shared" ref="F10" si="8">F11+F13+F12</f>
        <v>36470</v>
      </c>
      <c r="G10" s="184"/>
      <c r="H10" s="184">
        <f t="shared" si="0"/>
        <v>47742252</v>
      </c>
      <c r="I10" s="184">
        <f>I11+I13+I12</f>
        <v>303447</v>
      </c>
      <c r="J10" s="184">
        <f>J11+J13+J12</f>
        <v>12965558</v>
      </c>
      <c r="K10" s="184">
        <f t="shared" si="7"/>
        <v>34473247</v>
      </c>
      <c r="L10" s="184">
        <f>L12+L13+L11</f>
        <v>-664000</v>
      </c>
      <c r="M10" s="184">
        <f t="shared" ref="M10:R10" si="9">M12+M13+M11</f>
        <v>308060</v>
      </c>
      <c r="N10" s="184"/>
      <c r="O10" s="184">
        <f t="shared" si="9"/>
        <v>0</v>
      </c>
      <c r="P10" s="184">
        <f t="shared" si="2"/>
        <v>-355940</v>
      </c>
      <c r="Q10" s="184">
        <f t="shared" si="9"/>
        <v>14653365</v>
      </c>
      <c r="R10" s="184">
        <f t="shared" si="9"/>
        <v>194571</v>
      </c>
      <c r="S10" s="496">
        <f t="shared" si="3"/>
        <v>48965243</v>
      </c>
      <c r="T10" s="184">
        <f t="shared" ref="T10" si="10">T11+T13+T12</f>
        <v>48965243</v>
      </c>
      <c r="U10" s="184">
        <f t="shared" si="4"/>
        <v>0</v>
      </c>
      <c r="V10" s="182">
        <f t="shared" si="5"/>
        <v>1222991</v>
      </c>
      <c r="W10" s="510">
        <f t="shared" si="6"/>
        <v>2.5616533547684346E-2</v>
      </c>
      <c r="X10" s="510"/>
      <c r="Y10" s="182"/>
    </row>
    <row r="11" spans="1:26" ht="12" customHeight="1">
      <c r="A11" s="256"/>
      <c r="C11" s="140" t="s">
        <v>105</v>
      </c>
      <c r="D11" s="183">
        <f>'Omatulud (3)'!C6-275220</f>
        <v>12965558</v>
      </c>
      <c r="E11" s="183"/>
      <c r="F11" s="183"/>
      <c r="G11" s="183"/>
      <c r="H11" s="183">
        <f t="shared" si="0"/>
        <v>12965558</v>
      </c>
      <c r="I11" s="183"/>
      <c r="J11" s="183">
        <v>12965558</v>
      </c>
      <c r="K11" s="183">
        <f t="shared" si="7"/>
        <v>0</v>
      </c>
      <c r="L11" s="183"/>
      <c r="M11" s="183"/>
      <c r="N11" s="183"/>
      <c r="O11" s="183"/>
      <c r="P11" s="183">
        <f t="shared" si="2"/>
        <v>0</v>
      </c>
      <c r="Q11" s="183">
        <f>Q16+Q204</f>
        <v>14653365</v>
      </c>
      <c r="R11" s="183"/>
      <c r="S11" s="253">
        <f t="shared" si="3"/>
        <v>14653365</v>
      </c>
      <c r="T11" s="183">
        <v>14653365</v>
      </c>
      <c r="U11" s="183">
        <f t="shared" si="4"/>
        <v>0</v>
      </c>
      <c r="V11" s="183">
        <f t="shared" si="5"/>
        <v>1687807</v>
      </c>
      <c r="W11" s="511">
        <f t="shared" si="6"/>
        <v>0.13017619449930345</v>
      </c>
      <c r="X11" s="511"/>
      <c r="Y11" s="183"/>
    </row>
    <row r="12" spans="1:26" ht="12" customHeight="1">
      <c r="A12" s="256"/>
      <c r="C12" s="131" t="s">
        <v>101</v>
      </c>
      <c r="D12" s="183">
        <f>D251+D255+D259</f>
        <v>303447</v>
      </c>
      <c r="E12" s="183"/>
      <c r="F12" s="183"/>
      <c r="G12" s="183"/>
      <c r="H12" s="183">
        <f t="shared" si="0"/>
        <v>303447</v>
      </c>
      <c r="I12" s="183">
        <f>I251+I255+I259</f>
        <v>303447</v>
      </c>
      <c r="J12" s="183"/>
      <c r="K12" s="183">
        <f t="shared" si="7"/>
        <v>0</v>
      </c>
      <c r="L12" s="183"/>
      <c r="M12" s="183"/>
      <c r="N12" s="183"/>
      <c r="O12" s="183"/>
      <c r="P12" s="183">
        <f t="shared" si="2"/>
        <v>0</v>
      </c>
      <c r="Q12" s="183"/>
      <c r="R12" s="183">
        <f>R251+R256</f>
        <v>194571</v>
      </c>
      <c r="S12" s="253">
        <f t="shared" si="3"/>
        <v>194571</v>
      </c>
      <c r="T12" s="183">
        <v>194571</v>
      </c>
      <c r="U12" s="183">
        <f t="shared" si="4"/>
        <v>0</v>
      </c>
      <c r="V12" s="183">
        <f t="shared" si="5"/>
        <v>-108876</v>
      </c>
      <c r="W12" s="511">
        <f t="shared" si="6"/>
        <v>-0.35879741767096068</v>
      </c>
      <c r="X12" s="511"/>
      <c r="Y12" s="183"/>
    </row>
    <row r="13" spans="1:26" ht="24" customHeight="1">
      <c r="A13" s="256"/>
      <c r="C13" s="131" t="s">
        <v>106</v>
      </c>
      <c r="D13" s="183">
        <f>D8-D11-D12</f>
        <v>34436777</v>
      </c>
      <c r="E13" s="183"/>
      <c r="F13" s="183">
        <f t="shared" ref="F13" si="11">F8-F11-F12</f>
        <v>36470</v>
      </c>
      <c r="G13" s="183"/>
      <c r="H13" s="183">
        <f t="shared" si="0"/>
        <v>34473247</v>
      </c>
      <c r="I13" s="183">
        <f>I8-I11-I12</f>
        <v>0</v>
      </c>
      <c r="J13" s="183">
        <f>J8-J11-J12</f>
        <v>0</v>
      </c>
      <c r="K13" s="183">
        <f t="shared" si="7"/>
        <v>34473247</v>
      </c>
      <c r="L13" s="183">
        <f>L8-L11-L12</f>
        <v>-664000</v>
      </c>
      <c r="M13" s="183">
        <f>M8-M11-M12</f>
        <v>308060</v>
      </c>
      <c r="N13" s="183"/>
      <c r="O13" s="183"/>
      <c r="P13" s="183">
        <f t="shared" si="2"/>
        <v>-355940</v>
      </c>
      <c r="Q13" s="183"/>
      <c r="R13" s="183"/>
      <c r="S13" s="253">
        <f t="shared" si="3"/>
        <v>34117307</v>
      </c>
      <c r="T13" s="183">
        <f>T8-T11-T12</f>
        <v>34117307</v>
      </c>
      <c r="U13" s="183">
        <f t="shared" si="4"/>
        <v>0</v>
      </c>
      <c r="V13" s="183">
        <f t="shared" si="5"/>
        <v>-355940</v>
      </c>
      <c r="W13" s="511">
        <f t="shared" si="6"/>
        <v>-1.0325108046828313E-2</v>
      </c>
      <c r="X13" s="511"/>
      <c r="Y13" s="183"/>
    </row>
    <row r="14" spans="1:26" s="259" customFormat="1" ht="11.25">
      <c r="C14" s="260" t="s">
        <v>367</v>
      </c>
      <c r="D14" s="261">
        <f>D18+D77+D101+D168+D209+D214+D246+D249+D264+D267+D301</f>
        <v>14532869</v>
      </c>
      <c r="E14" s="261"/>
      <c r="F14" s="261">
        <f>F18+F77+F101+F168+F209+F214+F246+F249+F264+F267+F301</f>
        <v>27257</v>
      </c>
      <c r="G14" s="261"/>
      <c r="H14" s="261">
        <f t="shared" si="0"/>
        <v>14560126</v>
      </c>
      <c r="I14" s="261">
        <f>I18+I77+I101+I168+I209+I214+I246+I249+I264+I267+I301</f>
        <v>51830</v>
      </c>
      <c r="J14" s="261">
        <f>J18+J77+J101+J168+J209+J214+J246+J249+J264+J267+J301</f>
        <v>5702874</v>
      </c>
      <c r="K14" s="261">
        <f t="shared" si="7"/>
        <v>8805422</v>
      </c>
      <c r="L14" s="261">
        <f>L18+L77+L101+L168+L209+L214+L246+L249+L264+L267</f>
        <v>0</v>
      </c>
      <c r="M14" s="261">
        <f>M18+M77+M101+M168+M209+M214+M246+M249+M264+M267</f>
        <v>119590</v>
      </c>
      <c r="N14" s="261"/>
      <c r="O14" s="261">
        <f>O18+O77+O101+O168+O209+O214+O246+O249+O264+O267</f>
        <v>0</v>
      </c>
      <c r="P14" s="261">
        <f t="shared" si="2"/>
        <v>119590</v>
      </c>
      <c r="Q14" s="261">
        <f>Q18+Q77+Q101+Q168+Q209+Q214+Q246+Q249+Q264+Q267</f>
        <v>5888996</v>
      </c>
      <c r="R14" s="261">
        <f>R18+R77+R101+R168+R209+R214+R246+R249+R264+R267</f>
        <v>0</v>
      </c>
      <c r="S14" s="501">
        <f t="shared" si="3"/>
        <v>14814008</v>
      </c>
      <c r="T14" s="261">
        <f>T18+T77+T101+T168+T209+T214+T246+T249+T264+T267+T301</f>
        <v>14814008</v>
      </c>
      <c r="U14" s="393">
        <f t="shared" si="4"/>
        <v>0</v>
      </c>
      <c r="V14" s="393">
        <f t="shared" si="5"/>
        <v>253882</v>
      </c>
      <c r="W14" s="519">
        <f t="shared" si="6"/>
        <v>1.7436799654068927E-2</v>
      </c>
      <c r="X14" s="519"/>
      <c r="Y14" s="393"/>
    </row>
    <row r="15" spans="1:26" s="259" customFormat="1">
      <c r="C15" s="263"/>
      <c r="D15" s="262"/>
      <c r="E15" s="262"/>
      <c r="F15" s="262"/>
      <c r="G15" s="262"/>
      <c r="H15" s="262">
        <f t="shared" si="0"/>
        <v>0</v>
      </c>
      <c r="I15" s="262"/>
      <c r="J15" s="262"/>
      <c r="K15" s="262">
        <f t="shared" si="7"/>
        <v>0</v>
      </c>
      <c r="L15" s="262"/>
      <c r="M15" s="262"/>
      <c r="N15" s="262"/>
      <c r="O15" s="262"/>
      <c r="P15" s="262">
        <f t="shared" si="2"/>
        <v>0</v>
      </c>
      <c r="Q15" s="262"/>
      <c r="R15" s="262"/>
      <c r="S15" s="496">
        <f t="shared" si="3"/>
        <v>0</v>
      </c>
      <c r="T15" s="182">
        <v>0</v>
      </c>
      <c r="U15" s="182">
        <f t="shared" si="4"/>
        <v>0</v>
      </c>
      <c r="V15" s="182">
        <f t="shared" si="5"/>
        <v>0</v>
      </c>
      <c r="W15" s="510" t="str">
        <f t="shared" si="6"/>
        <v/>
      </c>
      <c r="X15" s="510"/>
      <c r="Y15" s="182"/>
    </row>
    <row r="16" spans="1:26" ht="17.25" customHeight="1">
      <c r="A16" s="256" t="s">
        <v>318</v>
      </c>
      <c r="B16" s="6" t="s">
        <v>178</v>
      </c>
      <c r="C16" s="141" t="s">
        <v>179</v>
      </c>
      <c r="D16" s="193">
        <f>D17+D76+D100+D167</f>
        <v>17846079</v>
      </c>
      <c r="E16" s="193"/>
      <c r="F16" s="193"/>
      <c r="G16" s="193"/>
      <c r="H16" s="193">
        <f t="shared" si="0"/>
        <v>17846079</v>
      </c>
      <c r="I16" s="193"/>
      <c r="J16" s="193">
        <f>J17+J76+J100+J167</f>
        <v>3863730</v>
      </c>
      <c r="K16" s="193">
        <f t="shared" si="7"/>
        <v>13982349</v>
      </c>
      <c r="L16" s="193">
        <f>L17+L76+L100+L167</f>
        <v>0</v>
      </c>
      <c r="M16" s="193">
        <f>M17+M76+M100+M167</f>
        <v>118500</v>
      </c>
      <c r="N16" s="193"/>
      <c r="O16" s="193">
        <f>O17+O76+O100+O167</f>
        <v>0</v>
      </c>
      <c r="P16" s="193">
        <f t="shared" si="2"/>
        <v>118500</v>
      </c>
      <c r="Q16" s="193">
        <f>Q17+Q76+Q100+Q167</f>
        <v>4059519</v>
      </c>
      <c r="R16" s="193">
        <f>R17+R76+R100+R167</f>
        <v>0</v>
      </c>
      <c r="S16" s="498">
        <f t="shared" si="3"/>
        <v>18160368</v>
      </c>
      <c r="T16" s="193">
        <f>T17+T76+T100+T167</f>
        <v>18160368</v>
      </c>
      <c r="U16" s="193">
        <f t="shared" si="4"/>
        <v>0</v>
      </c>
      <c r="V16" s="192">
        <f t="shared" si="5"/>
        <v>314289</v>
      </c>
      <c r="W16" s="516">
        <f t="shared" si="6"/>
        <v>1.7611095412051019E-2</v>
      </c>
      <c r="X16" s="516"/>
      <c r="Y16" s="192"/>
    </row>
    <row r="17" spans="1:25">
      <c r="A17" s="256"/>
      <c r="C17" s="134" t="s">
        <v>180</v>
      </c>
      <c r="D17" s="191">
        <f>D20+D24+D28+D33+D38+D43+D47+D56+D62+D67+D72</f>
        <v>6876658</v>
      </c>
      <c r="E17" s="191"/>
      <c r="F17" s="191"/>
      <c r="G17" s="191"/>
      <c r="H17" s="191">
        <f t="shared" si="0"/>
        <v>6876658</v>
      </c>
      <c r="I17" s="191"/>
      <c r="J17" s="191">
        <f>J20+J24+J28+J33+J38+J43+J47+J56+J62+J67+J72</f>
        <v>1734611</v>
      </c>
      <c r="K17" s="191">
        <f t="shared" si="7"/>
        <v>5142047</v>
      </c>
      <c r="L17" s="191">
        <f>L20+L24+L28+L33+L38+L43+L47+L56+L62+L67+L72</f>
        <v>0</v>
      </c>
      <c r="M17" s="191">
        <f>M20+M24+M28+M33+M38+M43+M47+M56+M62+M67+M72</f>
        <v>77500</v>
      </c>
      <c r="N17" s="191"/>
      <c r="O17" s="191">
        <f>O20+O24+O28+O33+O38+O43+O47+O56+O62+O67+O72</f>
        <v>0</v>
      </c>
      <c r="P17" s="191">
        <f t="shared" si="2"/>
        <v>77500</v>
      </c>
      <c r="Q17" s="191">
        <f>Q20+Q24+Q28+Q33+Q38+Q43+Q47+Q56+Q62+Q67+Q72</f>
        <v>1902202</v>
      </c>
      <c r="R17" s="191">
        <f>R20+R24+R28+R33+R38+R43+R47+R56+R62+R67+R72</f>
        <v>0</v>
      </c>
      <c r="S17" s="496">
        <f t="shared" si="3"/>
        <v>7121749</v>
      </c>
      <c r="T17" s="191">
        <f>T20+T24+T28+T33+T38+T43+T47+T56+T62+T67+T72</f>
        <v>7121749</v>
      </c>
      <c r="U17" s="191">
        <f t="shared" si="4"/>
        <v>0</v>
      </c>
      <c r="V17" s="182">
        <f t="shared" si="5"/>
        <v>245091</v>
      </c>
      <c r="W17" s="510">
        <f t="shared" si="6"/>
        <v>3.5641004685706343E-2</v>
      </c>
      <c r="X17" s="510"/>
      <c r="Y17" s="182"/>
    </row>
    <row r="18" spans="1:25">
      <c r="A18" s="256"/>
      <c r="C18" s="135" t="s">
        <v>107</v>
      </c>
      <c r="D18" s="186">
        <f>D29+D34+D48+D63+D68+D73</f>
        <v>2989191</v>
      </c>
      <c r="E18" s="186"/>
      <c r="F18" s="186"/>
      <c r="G18" s="186"/>
      <c r="H18" s="186">
        <f t="shared" si="0"/>
        <v>2989191</v>
      </c>
      <c r="I18" s="186"/>
      <c r="J18" s="186">
        <f>J29+J34+J48+J63+J68+J73</f>
        <v>255360</v>
      </c>
      <c r="K18" s="186">
        <f t="shared" si="7"/>
        <v>2733831</v>
      </c>
      <c r="L18" s="186">
        <f>L29+L34+L48+L63+L68+L73</f>
        <v>0</v>
      </c>
      <c r="M18" s="186">
        <f>M29+M34+M48+M63+M68+M73</f>
        <v>48610</v>
      </c>
      <c r="N18" s="186"/>
      <c r="O18" s="186">
        <f>O29+O34+O48+O63+O68+O73</f>
        <v>0</v>
      </c>
      <c r="P18" s="186">
        <f t="shared" si="2"/>
        <v>48610</v>
      </c>
      <c r="Q18" s="186">
        <f>Q29+Q34+Q48+Q63+Q68+Q73</f>
        <v>441482</v>
      </c>
      <c r="R18" s="186">
        <f>R29+R34+R48+R63+R68+R73</f>
        <v>0</v>
      </c>
      <c r="S18" s="187">
        <f t="shared" si="3"/>
        <v>3223923</v>
      </c>
      <c r="T18" s="186">
        <f>T29+T34+T48+T63+T68+T73</f>
        <v>3223923</v>
      </c>
      <c r="U18" s="186">
        <f t="shared" si="4"/>
        <v>0</v>
      </c>
      <c r="V18" s="186">
        <f t="shared" si="5"/>
        <v>234732</v>
      </c>
      <c r="W18" s="513">
        <f t="shared" si="6"/>
        <v>7.8526932537934177E-2</v>
      </c>
      <c r="X18" s="513"/>
      <c r="Y18" s="186"/>
    </row>
    <row r="19" spans="1:25" ht="12" customHeight="1">
      <c r="A19" s="256"/>
      <c r="C19" s="144" t="s">
        <v>176</v>
      </c>
      <c r="D19" s="191"/>
      <c r="E19" s="191"/>
      <c r="F19" s="191"/>
      <c r="G19" s="191"/>
      <c r="H19" s="191">
        <f t="shared" si="0"/>
        <v>0</v>
      </c>
      <c r="I19" s="191"/>
      <c r="J19" s="191"/>
      <c r="K19" s="191">
        <f t="shared" si="7"/>
        <v>0</v>
      </c>
      <c r="L19" s="191"/>
      <c r="M19" s="191"/>
      <c r="N19" s="191"/>
      <c r="O19" s="191"/>
      <c r="P19" s="191">
        <f t="shared" si="2"/>
        <v>0</v>
      </c>
      <c r="Q19" s="191"/>
      <c r="R19" s="191"/>
      <c r="S19" s="496">
        <f t="shared" si="3"/>
        <v>0</v>
      </c>
      <c r="T19" s="182">
        <v>0</v>
      </c>
      <c r="U19" s="182">
        <f t="shared" si="4"/>
        <v>0</v>
      </c>
      <c r="V19" s="182">
        <f t="shared" si="5"/>
        <v>0</v>
      </c>
      <c r="W19" s="510" t="str">
        <f t="shared" si="6"/>
        <v/>
      </c>
      <c r="X19" s="510"/>
      <c r="Y19" s="182"/>
    </row>
    <row r="20" spans="1:25" ht="12" customHeight="1">
      <c r="A20" s="256"/>
      <c r="C20" s="145" t="s">
        <v>181</v>
      </c>
      <c r="D20" s="196">
        <v>1475420</v>
      </c>
      <c r="E20" s="196"/>
      <c r="F20" s="196"/>
      <c r="G20" s="196"/>
      <c r="H20" s="196">
        <f t="shared" si="0"/>
        <v>1475420</v>
      </c>
      <c r="I20" s="196"/>
      <c r="J20" s="196"/>
      <c r="K20" s="196">
        <f t="shared" si="7"/>
        <v>1475420</v>
      </c>
      <c r="L20" s="196"/>
      <c r="M20" s="196"/>
      <c r="N20" s="196"/>
      <c r="O20" s="196"/>
      <c r="P20" s="196">
        <f t="shared" si="2"/>
        <v>0</v>
      </c>
      <c r="Q20" s="196"/>
      <c r="R20" s="196"/>
      <c r="S20" s="209">
        <f t="shared" si="3"/>
        <v>1475420</v>
      </c>
      <c r="T20" s="185">
        <v>1475420</v>
      </c>
      <c r="U20" s="185">
        <f t="shared" si="4"/>
        <v>0</v>
      </c>
      <c r="V20" s="185">
        <f t="shared" si="5"/>
        <v>0</v>
      </c>
      <c r="W20" s="512">
        <f t="shared" si="6"/>
        <v>0</v>
      </c>
      <c r="X20" s="512"/>
      <c r="Y20" s="185"/>
    </row>
    <row r="21" spans="1:25">
      <c r="A21" s="256"/>
      <c r="C21" s="145"/>
      <c r="D21" s="196"/>
      <c r="E21" s="196"/>
      <c r="F21" s="196"/>
      <c r="G21" s="196"/>
      <c r="H21" s="196">
        <f t="shared" si="0"/>
        <v>0</v>
      </c>
      <c r="I21" s="196"/>
      <c r="J21" s="196"/>
      <c r="K21" s="196">
        <f t="shared" si="7"/>
        <v>0</v>
      </c>
      <c r="L21" s="196"/>
      <c r="M21" s="196"/>
      <c r="N21" s="196"/>
      <c r="O21" s="196"/>
      <c r="P21" s="196">
        <f t="shared" si="2"/>
        <v>0</v>
      </c>
      <c r="Q21" s="196"/>
      <c r="R21" s="196"/>
      <c r="S21" s="209">
        <f t="shared" si="3"/>
        <v>0</v>
      </c>
      <c r="T21" s="185">
        <v>0</v>
      </c>
      <c r="U21" s="185">
        <f t="shared" si="4"/>
        <v>0</v>
      </c>
      <c r="V21" s="185">
        <f t="shared" si="5"/>
        <v>0</v>
      </c>
      <c r="W21" s="512" t="str">
        <f t="shared" si="6"/>
        <v/>
      </c>
      <c r="X21" s="512"/>
      <c r="Y21" s="185"/>
    </row>
    <row r="22" spans="1:25" ht="12" customHeight="1">
      <c r="A22" s="256"/>
      <c r="C22" s="150"/>
      <c r="D22" s="196"/>
      <c r="E22" s="196"/>
      <c r="F22" s="196"/>
      <c r="G22" s="196"/>
      <c r="H22" s="196">
        <f t="shared" si="0"/>
        <v>0</v>
      </c>
      <c r="I22" s="196"/>
      <c r="J22" s="196"/>
      <c r="K22" s="196">
        <f t="shared" si="7"/>
        <v>0</v>
      </c>
      <c r="L22" s="196"/>
      <c r="M22" s="196"/>
      <c r="N22" s="196"/>
      <c r="O22" s="196"/>
      <c r="P22" s="196">
        <f t="shared" si="2"/>
        <v>0</v>
      </c>
      <c r="Q22" s="196"/>
      <c r="R22" s="196"/>
      <c r="S22" s="209">
        <f t="shared" si="3"/>
        <v>0</v>
      </c>
      <c r="T22" s="185">
        <v>0</v>
      </c>
      <c r="U22" s="185">
        <f t="shared" si="4"/>
        <v>0</v>
      </c>
      <c r="V22" s="185">
        <f t="shared" si="5"/>
        <v>0</v>
      </c>
      <c r="W22" s="512" t="str">
        <f t="shared" si="6"/>
        <v/>
      </c>
      <c r="X22" s="512"/>
      <c r="Y22" s="185"/>
    </row>
    <row r="23" spans="1:25" ht="12" customHeight="1">
      <c r="A23" s="256"/>
      <c r="C23" s="144" t="s">
        <v>176</v>
      </c>
      <c r="D23" s="191"/>
      <c r="E23" s="191"/>
      <c r="F23" s="191"/>
      <c r="G23" s="191"/>
      <c r="H23" s="191">
        <f t="shared" si="0"/>
        <v>0</v>
      </c>
      <c r="I23" s="191"/>
      <c r="J23" s="191"/>
      <c r="K23" s="191">
        <f t="shared" si="7"/>
        <v>0</v>
      </c>
      <c r="L23" s="191"/>
      <c r="M23" s="191"/>
      <c r="N23" s="191"/>
      <c r="O23" s="191"/>
      <c r="P23" s="191">
        <f t="shared" si="2"/>
        <v>0</v>
      </c>
      <c r="Q23" s="191"/>
      <c r="R23" s="191"/>
      <c r="S23" s="209">
        <f t="shared" si="3"/>
        <v>0</v>
      </c>
      <c r="T23" s="185">
        <v>0</v>
      </c>
      <c r="U23" s="185">
        <f t="shared" si="4"/>
        <v>0</v>
      </c>
      <c r="V23" s="185">
        <f t="shared" si="5"/>
        <v>0</v>
      </c>
      <c r="W23" s="512" t="str">
        <f t="shared" si="6"/>
        <v/>
      </c>
      <c r="X23" s="512"/>
      <c r="Y23" s="185"/>
    </row>
    <row r="24" spans="1:25" ht="12" customHeight="1">
      <c r="A24" s="256"/>
      <c r="C24" s="145" t="s">
        <v>182</v>
      </c>
      <c r="D24" s="196">
        <v>75820</v>
      </c>
      <c r="E24" s="196"/>
      <c r="F24" s="196"/>
      <c r="G24" s="196"/>
      <c r="H24" s="196">
        <f t="shared" si="0"/>
        <v>75820</v>
      </c>
      <c r="I24" s="196"/>
      <c r="J24" s="196"/>
      <c r="K24" s="196">
        <f t="shared" si="7"/>
        <v>75820</v>
      </c>
      <c r="L24" s="196"/>
      <c r="M24" s="196"/>
      <c r="N24" s="196"/>
      <c r="O24" s="196"/>
      <c r="P24" s="196">
        <f t="shared" si="2"/>
        <v>0</v>
      </c>
      <c r="Q24" s="196"/>
      <c r="R24" s="196"/>
      <c r="S24" s="209">
        <f t="shared" si="3"/>
        <v>75820</v>
      </c>
      <c r="T24" s="185">
        <v>75820</v>
      </c>
      <c r="U24" s="185">
        <f t="shared" si="4"/>
        <v>0</v>
      </c>
      <c r="V24" s="185">
        <f t="shared" si="5"/>
        <v>0</v>
      </c>
      <c r="W24" s="512">
        <f t="shared" si="6"/>
        <v>0</v>
      </c>
      <c r="X24" s="512"/>
      <c r="Y24" s="185"/>
    </row>
    <row r="25" spans="1:25" ht="12" customHeight="1">
      <c r="A25" s="256"/>
      <c r="C25" s="145"/>
      <c r="D25" s="196"/>
      <c r="E25" s="196"/>
      <c r="F25" s="196"/>
      <c r="G25" s="196"/>
      <c r="H25" s="196">
        <f t="shared" si="0"/>
        <v>0</v>
      </c>
      <c r="I25" s="196"/>
      <c r="J25" s="196"/>
      <c r="K25" s="196">
        <f t="shared" si="7"/>
        <v>0</v>
      </c>
      <c r="L25" s="196"/>
      <c r="M25" s="196"/>
      <c r="N25" s="196"/>
      <c r="O25" s="196"/>
      <c r="P25" s="196">
        <f t="shared" si="2"/>
        <v>0</v>
      </c>
      <c r="Q25" s="196"/>
      <c r="R25" s="196"/>
      <c r="S25" s="209">
        <f t="shared" si="3"/>
        <v>0</v>
      </c>
      <c r="T25" s="185">
        <v>0</v>
      </c>
      <c r="U25" s="185">
        <f t="shared" si="4"/>
        <v>0</v>
      </c>
      <c r="V25" s="185">
        <f t="shared" si="5"/>
        <v>0</v>
      </c>
      <c r="W25" s="512" t="str">
        <f t="shared" si="6"/>
        <v/>
      </c>
      <c r="X25" s="512"/>
      <c r="Y25" s="185"/>
    </row>
    <row r="26" spans="1:25" ht="12" customHeight="1">
      <c r="A26" s="256"/>
      <c r="C26" s="150"/>
      <c r="D26" s="196"/>
      <c r="E26" s="196"/>
      <c r="F26" s="196"/>
      <c r="G26" s="196"/>
      <c r="H26" s="196">
        <f t="shared" si="0"/>
        <v>0</v>
      </c>
      <c r="I26" s="196"/>
      <c r="J26" s="196"/>
      <c r="K26" s="196">
        <f t="shared" si="7"/>
        <v>0</v>
      </c>
      <c r="L26" s="196"/>
      <c r="M26" s="196"/>
      <c r="N26" s="196"/>
      <c r="O26" s="196"/>
      <c r="P26" s="196">
        <f t="shared" si="2"/>
        <v>0</v>
      </c>
      <c r="Q26" s="196"/>
      <c r="R26" s="196"/>
      <c r="S26" s="209">
        <f t="shared" si="3"/>
        <v>0</v>
      </c>
      <c r="T26" s="185">
        <v>0</v>
      </c>
      <c r="U26" s="185">
        <f t="shared" si="4"/>
        <v>0</v>
      </c>
      <c r="V26" s="185">
        <f t="shared" si="5"/>
        <v>0</v>
      </c>
      <c r="W26" s="512" t="str">
        <f t="shared" si="6"/>
        <v/>
      </c>
      <c r="X26" s="512"/>
      <c r="Y26" s="185"/>
    </row>
    <row r="27" spans="1:25" ht="12" customHeight="1">
      <c r="A27" s="256"/>
      <c r="C27" s="144" t="s">
        <v>176</v>
      </c>
      <c r="D27" s="191"/>
      <c r="E27" s="191"/>
      <c r="F27" s="191"/>
      <c r="G27" s="191"/>
      <c r="H27" s="191">
        <f t="shared" si="0"/>
        <v>0</v>
      </c>
      <c r="I27" s="191"/>
      <c r="J27" s="191"/>
      <c r="K27" s="191">
        <f t="shared" si="7"/>
        <v>0</v>
      </c>
      <c r="L27" s="191"/>
      <c r="M27" s="191"/>
      <c r="N27" s="191"/>
      <c r="O27" s="191"/>
      <c r="P27" s="191">
        <f t="shared" si="2"/>
        <v>0</v>
      </c>
      <c r="Q27" s="191"/>
      <c r="R27" s="191"/>
      <c r="S27" s="209">
        <f t="shared" si="3"/>
        <v>0</v>
      </c>
      <c r="T27" s="185">
        <v>0</v>
      </c>
      <c r="U27" s="185">
        <f t="shared" si="4"/>
        <v>0</v>
      </c>
      <c r="V27" s="185">
        <f t="shared" si="5"/>
        <v>0</v>
      </c>
      <c r="W27" s="512" t="str">
        <f t="shared" si="6"/>
        <v/>
      </c>
      <c r="X27" s="512"/>
      <c r="Y27" s="185"/>
    </row>
    <row r="28" spans="1:25" ht="12" customHeight="1">
      <c r="A28" s="256"/>
      <c r="C28" s="145" t="s">
        <v>183</v>
      </c>
      <c r="D28" s="196">
        <v>252170</v>
      </c>
      <c r="E28" s="196"/>
      <c r="F28" s="196"/>
      <c r="G28" s="196"/>
      <c r="H28" s="196">
        <f t="shared" si="0"/>
        <v>252170</v>
      </c>
      <c r="I28" s="196"/>
      <c r="J28" s="196"/>
      <c r="K28" s="196">
        <f t="shared" si="7"/>
        <v>252170</v>
      </c>
      <c r="L28" s="196"/>
      <c r="M28" s="196">
        <v>19900</v>
      </c>
      <c r="N28" s="196"/>
      <c r="O28" s="196"/>
      <c r="P28" s="196">
        <f t="shared" si="2"/>
        <v>19900</v>
      </c>
      <c r="Q28" s="196"/>
      <c r="R28" s="196"/>
      <c r="S28" s="209">
        <f t="shared" si="3"/>
        <v>272070</v>
      </c>
      <c r="T28" s="185">
        <v>272070</v>
      </c>
      <c r="U28" s="185">
        <f t="shared" si="4"/>
        <v>0</v>
      </c>
      <c r="V28" s="185">
        <f t="shared" si="5"/>
        <v>19900</v>
      </c>
      <c r="W28" s="512">
        <f t="shared" si="6"/>
        <v>7.8915017646825555E-2</v>
      </c>
      <c r="X28" s="512"/>
      <c r="Y28" s="185"/>
    </row>
    <row r="29" spans="1:25" ht="12" customHeight="1">
      <c r="A29" s="256"/>
      <c r="C29" s="142" t="s">
        <v>107</v>
      </c>
      <c r="D29" s="186">
        <v>16250</v>
      </c>
      <c r="E29" s="186"/>
      <c r="F29" s="186"/>
      <c r="G29" s="186"/>
      <c r="H29" s="186">
        <f t="shared" si="0"/>
        <v>16250</v>
      </c>
      <c r="I29" s="186"/>
      <c r="J29" s="186"/>
      <c r="K29" s="186">
        <f t="shared" si="7"/>
        <v>16250</v>
      </c>
      <c r="L29" s="186"/>
      <c r="M29" s="186">
        <v>14870</v>
      </c>
      <c r="N29" s="186"/>
      <c r="O29" s="186"/>
      <c r="P29" s="186">
        <f t="shared" si="2"/>
        <v>14870</v>
      </c>
      <c r="Q29" s="186"/>
      <c r="R29" s="186"/>
      <c r="S29" s="187">
        <f t="shared" si="3"/>
        <v>31120</v>
      </c>
      <c r="T29" s="186">
        <v>31120</v>
      </c>
      <c r="U29" s="186">
        <f t="shared" si="4"/>
        <v>0</v>
      </c>
      <c r="V29" s="186">
        <f t="shared" si="5"/>
        <v>14870</v>
      </c>
      <c r="W29" s="513">
        <f t="shared" si="6"/>
        <v>0.91507692307692312</v>
      </c>
      <c r="X29" s="513"/>
      <c r="Y29" s="186"/>
    </row>
    <row r="30" spans="1:25" ht="12" customHeight="1">
      <c r="A30" s="256"/>
      <c r="C30" s="145"/>
      <c r="D30" s="196"/>
      <c r="E30" s="196"/>
      <c r="F30" s="196"/>
      <c r="G30" s="196"/>
      <c r="H30" s="196">
        <f t="shared" si="0"/>
        <v>0</v>
      </c>
      <c r="I30" s="196"/>
      <c r="J30" s="196"/>
      <c r="K30" s="196">
        <f t="shared" si="7"/>
        <v>0</v>
      </c>
      <c r="L30" s="196"/>
      <c r="M30" s="196"/>
      <c r="N30" s="196"/>
      <c r="O30" s="196"/>
      <c r="P30" s="196">
        <f t="shared" si="2"/>
        <v>0</v>
      </c>
      <c r="Q30" s="196"/>
      <c r="R30" s="196"/>
      <c r="S30" s="209">
        <f t="shared" si="3"/>
        <v>0</v>
      </c>
      <c r="T30" s="185">
        <v>0</v>
      </c>
      <c r="U30" s="185">
        <f t="shared" si="4"/>
        <v>0</v>
      </c>
      <c r="V30" s="185">
        <f t="shared" si="5"/>
        <v>0</v>
      </c>
      <c r="W30" s="512" t="str">
        <f t="shared" si="6"/>
        <v/>
      </c>
      <c r="X30" s="512"/>
      <c r="Y30" s="185"/>
    </row>
    <row r="31" spans="1:25" ht="12" customHeight="1">
      <c r="A31" s="256"/>
      <c r="C31" s="149"/>
      <c r="D31" s="200"/>
      <c r="E31" s="200"/>
      <c r="F31" s="200"/>
      <c r="G31" s="200"/>
      <c r="H31" s="200">
        <f t="shared" si="0"/>
        <v>0</v>
      </c>
      <c r="I31" s="200"/>
      <c r="J31" s="200"/>
      <c r="K31" s="200">
        <f t="shared" si="7"/>
        <v>0</v>
      </c>
      <c r="L31" s="200"/>
      <c r="M31" s="200"/>
      <c r="N31" s="200"/>
      <c r="O31" s="200"/>
      <c r="P31" s="200">
        <f t="shared" si="2"/>
        <v>0</v>
      </c>
      <c r="Q31" s="200"/>
      <c r="R31" s="200"/>
      <c r="S31" s="209">
        <f t="shared" si="3"/>
        <v>0</v>
      </c>
      <c r="T31" s="185">
        <v>0</v>
      </c>
      <c r="U31" s="185">
        <f t="shared" si="4"/>
        <v>0</v>
      </c>
      <c r="V31" s="185">
        <f t="shared" si="5"/>
        <v>0</v>
      </c>
      <c r="W31" s="512" t="str">
        <f t="shared" si="6"/>
        <v/>
      </c>
      <c r="X31" s="512"/>
      <c r="Y31" s="185"/>
    </row>
    <row r="32" spans="1:25" ht="12" customHeight="1">
      <c r="A32" s="256"/>
      <c r="C32" s="144" t="s">
        <v>176</v>
      </c>
      <c r="D32" s="191"/>
      <c r="E32" s="191"/>
      <c r="F32" s="191"/>
      <c r="G32" s="191"/>
      <c r="H32" s="191">
        <f t="shared" si="0"/>
        <v>0</v>
      </c>
      <c r="I32" s="191"/>
      <c r="J32" s="191"/>
      <c r="K32" s="191">
        <f t="shared" si="7"/>
        <v>0</v>
      </c>
      <c r="L32" s="191"/>
      <c r="M32" s="191"/>
      <c r="N32" s="191"/>
      <c r="O32" s="191"/>
      <c r="P32" s="191">
        <f t="shared" si="2"/>
        <v>0</v>
      </c>
      <c r="Q32" s="191"/>
      <c r="R32" s="191"/>
      <c r="S32" s="209">
        <f t="shared" si="3"/>
        <v>0</v>
      </c>
      <c r="T32" s="185">
        <v>0</v>
      </c>
      <c r="U32" s="185">
        <f t="shared" si="4"/>
        <v>0</v>
      </c>
      <c r="V32" s="185">
        <f t="shared" si="5"/>
        <v>0</v>
      </c>
      <c r="W32" s="512" t="str">
        <f t="shared" si="6"/>
        <v/>
      </c>
      <c r="X32" s="512"/>
      <c r="Y32" s="185"/>
    </row>
    <row r="33" spans="1:25" ht="25.5">
      <c r="A33" s="256"/>
      <c r="C33" s="145" t="s">
        <v>184</v>
      </c>
      <c r="D33" s="196">
        <v>496670</v>
      </c>
      <c r="E33" s="196"/>
      <c r="F33" s="196"/>
      <c r="G33" s="196"/>
      <c r="H33" s="196">
        <f t="shared" si="0"/>
        <v>496670</v>
      </c>
      <c r="I33" s="196"/>
      <c r="J33" s="196"/>
      <c r="K33" s="196">
        <f t="shared" si="7"/>
        <v>496670</v>
      </c>
      <c r="L33" s="196"/>
      <c r="M33" s="196">
        <v>24000</v>
      </c>
      <c r="N33" s="196"/>
      <c r="O33" s="196"/>
      <c r="P33" s="196">
        <f t="shared" si="2"/>
        <v>24000</v>
      </c>
      <c r="Q33" s="196"/>
      <c r="R33" s="196"/>
      <c r="S33" s="209">
        <f t="shared" si="3"/>
        <v>520670</v>
      </c>
      <c r="T33" s="185">
        <v>520670</v>
      </c>
      <c r="U33" s="185">
        <f t="shared" si="4"/>
        <v>0</v>
      </c>
      <c r="V33" s="185">
        <f t="shared" si="5"/>
        <v>24000</v>
      </c>
      <c r="W33" s="512">
        <f t="shared" si="6"/>
        <v>4.832182334346749E-2</v>
      </c>
      <c r="X33" s="512"/>
      <c r="Y33" s="185"/>
    </row>
    <row r="34" spans="1:25" ht="12" customHeight="1">
      <c r="A34" s="256"/>
      <c r="C34" s="142" t="s">
        <v>107</v>
      </c>
      <c r="D34" s="186">
        <v>371612</v>
      </c>
      <c r="E34" s="186"/>
      <c r="F34" s="186"/>
      <c r="G34" s="186"/>
      <c r="H34" s="186">
        <f t="shared" si="0"/>
        <v>371612</v>
      </c>
      <c r="I34" s="186"/>
      <c r="J34" s="186"/>
      <c r="K34" s="186">
        <f t="shared" si="7"/>
        <v>371612</v>
      </c>
      <c r="L34" s="186"/>
      <c r="M34" s="186">
        <v>17600</v>
      </c>
      <c r="N34" s="186"/>
      <c r="O34" s="186"/>
      <c r="P34" s="186">
        <f t="shared" si="2"/>
        <v>17600</v>
      </c>
      <c r="Q34" s="186"/>
      <c r="R34" s="186"/>
      <c r="S34" s="187">
        <f t="shared" si="3"/>
        <v>389212</v>
      </c>
      <c r="T34" s="186">
        <v>389212</v>
      </c>
      <c r="U34" s="186">
        <f t="shared" si="4"/>
        <v>0</v>
      </c>
      <c r="V34" s="186">
        <f t="shared" si="5"/>
        <v>17600</v>
      </c>
      <c r="W34" s="513">
        <f t="shared" si="6"/>
        <v>4.7361226225202634E-2</v>
      </c>
      <c r="X34" s="513"/>
      <c r="Y34" s="186"/>
    </row>
    <row r="35" spans="1:25" ht="12" customHeight="1">
      <c r="A35" s="256"/>
      <c r="C35" s="145"/>
      <c r="D35" s="196"/>
      <c r="E35" s="196"/>
      <c r="F35" s="196"/>
      <c r="G35" s="196"/>
      <c r="H35" s="196">
        <f t="shared" si="0"/>
        <v>0</v>
      </c>
      <c r="I35" s="196"/>
      <c r="J35" s="196"/>
      <c r="K35" s="196">
        <f t="shared" si="7"/>
        <v>0</v>
      </c>
      <c r="L35" s="196"/>
      <c r="M35" s="196"/>
      <c r="N35" s="196"/>
      <c r="O35" s="196"/>
      <c r="P35" s="196">
        <f t="shared" si="2"/>
        <v>0</v>
      </c>
      <c r="Q35" s="196"/>
      <c r="R35" s="196"/>
      <c r="S35" s="209">
        <f t="shared" si="3"/>
        <v>0</v>
      </c>
      <c r="T35" s="185">
        <v>0</v>
      </c>
      <c r="U35" s="185">
        <f t="shared" si="4"/>
        <v>0</v>
      </c>
      <c r="V35" s="185">
        <f t="shared" si="5"/>
        <v>0</v>
      </c>
      <c r="W35" s="512" t="str">
        <f t="shared" si="6"/>
        <v/>
      </c>
      <c r="X35" s="512"/>
      <c r="Y35" s="185"/>
    </row>
    <row r="36" spans="1:25" ht="12" customHeight="1">
      <c r="A36" s="256"/>
      <c r="C36" s="150"/>
      <c r="D36" s="196"/>
      <c r="E36" s="196"/>
      <c r="F36" s="196"/>
      <c r="G36" s="196"/>
      <c r="H36" s="196">
        <f t="shared" si="0"/>
        <v>0</v>
      </c>
      <c r="I36" s="196"/>
      <c r="J36" s="196"/>
      <c r="K36" s="196">
        <f t="shared" si="7"/>
        <v>0</v>
      </c>
      <c r="L36" s="196"/>
      <c r="M36" s="196"/>
      <c r="N36" s="196"/>
      <c r="O36" s="196"/>
      <c r="P36" s="196">
        <f t="shared" si="2"/>
        <v>0</v>
      </c>
      <c r="Q36" s="196"/>
      <c r="R36" s="196"/>
      <c r="S36" s="209">
        <f t="shared" si="3"/>
        <v>0</v>
      </c>
      <c r="T36" s="185">
        <v>0</v>
      </c>
      <c r="U36" s="185">
        <f t="shared" si="4"/>
        <v>0</v>
      </c>
      <c r="V36" s="185">
        <f t="shared" si="5"/>
        <v>0</v>
      </c>
      <c r="W36" s="512" t="str">
        <f t="shared" si="6"/>
        <v/>
      </c>
      <c r="X36" s="512"/>
      <c r="Y36" s="185"/>
    </row>
    <row r="37" spans="1:25" ht="12" customHeight="1">
      <c r="A37" s="256"/>
      <c r="C37" s="144" t="s">
        <v>176</v>
      </c>
      <c r="D37" s="191"/>
      <c r="E37" s="191"/>
      <c r="F37" s="191"/>
      <c r="G37" s="191"/>
      <c r="H37" s="191">
        <f t="shared" si="0"/>
        <v>0</v>
      </c>
      <c r="I37" s="191"/>
      <c r="J37" s="191"/>
      <c r="K37" s="191">
        <f t="shared" si="7"/>
        <v>0</v>
      </c>
      <c r="L37" s="191"/>
      <c r="M37" s="191"/>
      <c r="N37" s="191"/>
      <c r="O37" s="191"/>
      <c r="P37" s="191">
        <f t="shared" si="2"/>
        <v>0</v>
      </c>
      <c r="Q37" s="191"/>
      <c r="R37" s="191"/>
      <c r="S37" s="209">
        <f t="shared" si="3"/>
        <v>0</v>
      </c>
      <c r="T37" s="185">
        <v>0</v>
      </c>
      <c r="U37" s="185">
        <f t="shared" si="4"/>
        <v>0</v>
      </c>
      <c r="V37" s="185">
        <f t="shared" si="5"/>
        <v>0</v>
      </c>
      <c r="W37" s="512" t="str">
        <f t="shared" si="6"/>
        <v/>
      </c>
      <c r="X37" s="512"/>
      <c r="Y37" s="185"/>
    </row>
    <row r="38" spans="1:25" ht="12" customHeight="1">
      <c r="A38" s="256"/>
      <c r="C38" s="145" t="s">
        <v>185</v>
      </c>
      <c r="D38" s="196">
        <v>199870</v>
      </c>
      <c r="E38" s="196"/>
      <c r="F38" s="196"/>
      <c r="G38" s="196"/>
      <c r="H38" s="196">
        <f t="shared" si="0"/>
        <v>199870</v>
      </c>
      <c r="I38" s="196"/>
      <c r="J38" s="196">
        <v>6957</v>
      </c>
      <c r="K38" s="196">
        <f t="shared" si="7"/>
        <v>192913</v>
      </c>
      <c r="L38" s="196"/>
      <c r="M38" s="196"/>
      <c r="N38" s="196"/>
      <c r="O38" s="196"/>
      <c r="P38" s="196">
        <f t="shared" si="2"/>
        <v>0</v>
      </c>
      <c r="Q38" s="196">
        <v>6957</v>
      </c>
      <c r="R38" s="196"/>
      <c r="S38" s="209">
        <f t="shared" si="3"/>
        <v>199870</v>
      </c>
      <c r="T38" s="185">
        <v>199870</v>
      </c>
      <c r="U38" s="185">
        <f t="shared" si="4"/>
        <v>0</v>
      </c>
      <c r="V38" s="185">
        <f t="shared" si="5"/>
        <v>0</v>
      </c>
      <c r="W38" s="512">
        <f t="shared" si="6"/>
        <v>0</v>
      </c>
      <c r="X38" s="512"/>
      <c r="Y38" s="185"/>
    </row>
    <row r="39" spans="1:25" ht="24.75" customHeight="1">
      <c r="A39" s="256"/>
      <c r="C39" s="802" t="s">
        <v>844</v>
      </c>
      <c r="D39" s="814">
        <v>139410</v>
      </c>
      <c r="E39" s="814"/>
      <c r="F39" s="814"/>
      <c r="G39" s="814"/>
      <c r="H39" s="814">
        <f t="shared" si="0"/>
        <v>139410</v>
      </c>
      <c r="I39" s="814"/>
      <c r="J39" s="814"/>
      <c r="K39" s="814">
        <f t="shared" si="7"/>
        <v>139410</v>
      </c>
      <c r="L39" s="814"/>
      <c r="M39" s="814"/>
      <c r="N39" s="814"/>
      <c r="O39" s="814">
        <f t="shared" ref="O39:O41" si="12">SUM(L39:N39)</f>
        <v>0</v>
      </c>
      <c r="P39" s="814">
        <f t="shared" si="2"/>
        <v>0</v>
      </c>
      <c r="Q39" s="814"/>
      <c r="S39" s="815">
        <f>K39+O39+P39+Q39</f>
        <v>139410</v>
      </c>
      <c r="T39" s="815">
        <v>139410</v>
      </c>
      <c r="U39" s="815">
        <f t="shared" si="4"/>
        <v>0</v>
      </c>
      <c r="V39" s="816">
        <f t="shared" si="5"/>
        <v>0</v>
      </c>
      <c r="W39" s="816">
        <f t="shared" si="6"/>
        <v>0</v>
      </c>
      <c r="X39" s="815"/>
      <c r="Y39" s="185"/>
    </row>
    <row r="40" spans="1:25" ht="16.5" customHeight="1">
      <c r="A40" s="256"/>
      <c r="C40" s="802" t="s">
        <v>845</v>
      </c>
      <c r="D40" s="814">
        <v>60460</v>
      </c>
      <c r="E40" s="814"/>
      <c r="F40" s="814"/>
      <c r="G40" s="814"/>
      <c r="H40" s="814">
        <f t="shared" si="0"/>
        <v>60460</v>
      </c>
      <c r="I40" s="814"/>
      <c r="J40" s="814"/>
      <c r="K40" s="814">
        <f t="shared" si="7"/>
        <v>60460</v>
      </c>
      <c r="L40" s="814"/>
      <c r="M40" s="814"/>
      <c r="N40" s="814"/>
      <c r="O40" s="814"/>
      <c r="P40" s="814">
        <f t="shared" si="2"/>
        <v>0</v>
      </c>
      <c r="Q40" s="814"/>
      <c r="S40" s="815">
        <f>K40+O40+P40+Q40</f>
        <v>60460</v>
      </c>
      <c r="T40" s="815">
        <v>60460</v>
      </c>
      <c r="U40" s="815">
        <f t="shared" si="4"/>
        <v>0</v>
      </c>
      <c r="V40" s="816">
        <f t="shared" si="5"/>
        <v>0</v>
      </c>
      <c r="W40" s="816">
        <f t="shared" si="6"/>
        <v>0</v>
      </c>
      <c r="X40" s="815"/>
      <c r="Y40" s="185"/>
    </row>
    <row r="41" spans="1:25" ht="12" customHeight="1">
      <c r="A41" s="256"/>
      <c r="C41" s="151"/>
      <c r="D41" s="240"/>
      <c r="E41" s="240"/>
      <c r="F41" s="240"/>
      <c r="G41" s="240"/>
      <c r="H41" s="240">
        <f t="shared" si="0"/>
        <v>0</v>
      </c>
      <c r="I41" s="240"/>
      <c r="J41" s="240"/>
      <c r="K41" s="240">
        <f t="shared" si="7"/>
        <v>0</v>
      </c>
      <c r="L41" s="240"/>
      <c r="M41" s="240"/>
      <c r="N41" s="240"/>
      <c r="O41" s="817">
        <f t="shared" si="12"/>
        <v>0</v>
      </c>
      <c r="P41" s="240">
        <f t="shared" si="2"/>
        <v>0</v>
      </c>
      <c r="Q41" s="240"/>
      <c r="R41" s="815">
        <f t="shared" ref="R41" si="13">K41+O41+P41+Q41</f>
        <v>0</v>
      </c>
      <c r="S41" s="818">
        <v>0</v>
      </c>
      <c r="T41" s="818">
        <f t="shared" ref="T41" si="14">S41-R41</f>
        <v>0</v>
      </c>
      <c r="U41" s="818">
        <f t="shared" si="4"/>
        <v>0</v>
      </c>
      <c r="V41" s="819">
        <f t="shared" si="5"/>
        <v>0</v>
      </c>
      <c r="W41" s="819" t="str">
        <f t="shared" si="6"/>
        <v/>
      </c>
      <c r="X41" s="818"/>
      <c r="Y41" s="185"/>
    </row>
    <row r="42" spans="1:25" ht="12" customHeight="1">
      <c r="A42" s="256"/>
      <c r="C42" s="144" t="s">
        <v>176</v>
      </c>
      <c r="D42" s="191"/>
      <c r="E42" s="191"/>
      <c r="F42" s="191"/>
      <c r="G42" s="191"/>
      <c r="H42" s="191">
        <f t="shared" si="0"/>
        <v>0</v>
      </c>
      <c r="I42" s="191"/>
      <c r="J42" s="191"/>
      <c r="K42" s="191">
        <f t="shared" si="7"/>
        <v>0</v>
      </c>
      <c r="L42" s="191"/>
      <c r="M42" s="191"/>
      <c r="N42" s="191"/>
      <c r="O42" s="191"/>
      <c r="P42" s="191">
        <f t="shared" si="2"/>
        <v>0</v>
      </c>
      <c r="Q42" s="191"/>
      <c r="R42" s="191"/>
      <c r="S42" s="209">
        <f t="shared" si="3"/>
        <v>0</v>
      </c>
      <c r="T42" s="185">
        <v>0</v>
      </c>
      <c r="U42" s="185">
        <f t="shared" si="4"/>
        <v>0</v>
      </c>
      <c r="V42" s="185">
        <f t="shared" si="5"/>
        <v>0</v>
      </c>
      <c r="W42" s="512" t="str">
        <f t="shared" si="6"/>
        <v/>
      </c>
      <c r="X42" s="512"/>
      <c r="Y42" s="185"/>
    </row>
    <row r="43" spans="1:25" ht="12" customHeight="1">
      <c r="A43" s="256"/>
      <c r="C43" s="145" t="s">
        <v>186</v>
      </c>
      <c r="D43" s="196">
        <v>12000</v>
      </c>
      <c r="E43" s="196"/>
      <c r="F43" s="196"/>
      <c r="G43" s="196"/>
      <c r="H43" s="196">
        <f t="shared" si="0"/>
        <v>12000</v>
      </c>
      <c r="I43" s="196"/>
      <c r="J43" s="196"/>
      <c r="K43" s="196">
        <f t="shared" si="7"/>
        <v>12000</v>
      </c>
      <c r="L43" s="196"/>
      <c r="M43" s="196"/>
      <c r="N43" s="196"/>
      <c r="O43" s="196"/>
      <c r="P43" s="196">
        <f t="shared" si="2"/>
        <v>0</v>
      </c>
      <c r="Q43" s="196"/>
      <c r="R43" s="196"/>
      <c r="S43" s="209">
        <f t="shared" si="3"/>
        <v>12000</v>
      </c>
      <c r="T43" s="185">
        <v>12000</v>
      </c>
      <c r="U43" s="185">
        <f t="shared" si="4"/>
        <v>0</v>
      </c>
      <c r="V43" s="185">
        <f t="shared" si="5"/>
        <v>0</v>
      </c>
      <c r="W43" s="512">
        <f t="shared" si="6"/>
        <v>0</v>
      </c>
      <c r="X43" s="512"/>
      <c r="Y43" s="185"/>
    </row>
    <row r="44" spans="1:25" ht="12" customHeight="1">
      <c r="A44" s="256"/>
      <c r="C44" s="145"/>
      <c r="D44" s="196"/>
      <c r="E44" s="196"/>
      <c r="F44" s="196"/>
      <c r="G44" s="196"/>
      <c r="H44" s="196">
        <f t="shared" si="0"/>
        <v>0</v>
      </c>
      <c r="I44" s="196"/>
      <c r="J44" s="196"/>
      <c r="K44" s="196">
        <f t="shared" si="7"/>
        <v>0</v>
      </c>
      <c r="L44" s="196"/>
      <c r="M44" s="196"/>
      <c r="N44" s="196"/>
      <c r="O44" s="196"/>
      <c r="P44" s="196">
        <f t="shared" si="2"/>
        <v>0</v>
      </c>
      <c r="Q44" s="196"/>
      <c r="R44" s="196"/>
      <c r="S44" s="209">
        <f t="shared" si="3"/>
        <v>0</v>
      </c>
      <c r="T44" s="185">
        <v>0</v>
      </c>
      <c r="U44" s="185">
        <f t="shared" si="4"/>
        <v>0</v>
      </c>
      <c r="V44" s="185">
        <f t="shared" si="5"/>
        <v>0</v>
      </c>
      <c r="W44" s="512" t="str">
        <f t="shared" si="6"/>
        <v/>
      </c>
      <c r="X44" s="512"/>
      <c r="Y44" s="185"/>
    </row>
    <row r="45" spans="1:25">
      <c r="A45" s="256"/>
      <c r="C45" s="147"/>
      <c r="D45" s="159"/>
      <c r="E45" s="159"/>
      <c r="F45" s="159"/>
      <c r="G45" s="159"/>
      <c r="H45" s="159">
        <f t="shared" si="0"/>
        <v>0</v>
      </c>
      <c r="I45" s="159"/>
      <c r="J45" s="159"/>
      <c r="K45" s="159">
        <f t="shared" si="7"/>
        <v>0</v>
      </c>
      <c r="L45" s="159"/>
      <c r="M45" s="159"/>
      <c r="N45" s="159"/>
      <c r="O45" s="159"/>
      <c r="P45" s="159">
        <f t="shared" si="2"/>
        <v>0</v>
      </c>
      <c r="Q45" s="159"/>
      <c r="R45" s="159"/>
      <c r="S45" s="209">
        <f t="shared" si="3"/>
        <v>0</v>
      </c>
      <c r="T45" s="185">
        <v>0</v>
      </c>
      <c r="U45" s="185">
        <f t="shared" si="4"/>
        <v>0</v>
      </c>
      <c r="V45" s="185">
        <f t="shared" si="5"/>
        <v>0</v>
      </c>
      <c r="W45" s="512" t="str">
        <f t="shared" si="6"/>
        <v/>
      </c>
      <c r="X45" s="512"/>
      <c r="Y45" s="185"/>
    </row>
    <row r="46" spans="1:25">
      <c r="A46" s="256"/>
      <c r="C46" s="144" t="s">
        <v>176</v>
      </c>
      <c r="D46" s="191"/>
      <c r="E46" s="191"/>
      <c r="F46" s="191"/>
      <c r="G46" s="191"/>
      <c r="H46" s="191">
        <f t="shared" si="0"/>
        <v>0</v>
      </c>
      <c r="I46" s="191"/>
      <c r="J46" s="191"/>
      <c r="K46" s="191">
        <f t="shared" si="7"/>
        <v>0</v>
      </c>
      <c r="L46" s="191"/>
      <c r="M46" s="191"/>
      <c r="N46" s="191"/>
      <c r="O46" s="191"/>
      <c r="P46" s="191">
        <f t="shared" si="2"/>
        <v>0</v>
      </c>
      <c r="Q46" s="191"/>
      <c r="R46" s="191"/>
      <c r="S46" s="209">
        <f t="shared" si="3"/>
        <v>0</v>
      </c>
      <c r="T46" s="185">
        <v>0</v>
      </c>
      <c r="U46" s="185">
        <f t="shared" si="4"/>
        <v>0</v>
      </c>
      <c r="V46" s="185">
        <f t="shared" si="5"/>
        <v>0</v>
      </c>
      <c r="W46" s="512" t="str">
        <f t="shared" si="6"/>
        <v/>
      </c>
      <c r="X46" s="512"/>
      <c r="Y46" s="185"/>
    </row>
    <row r="47" spans="1:25" ht="35.25">
      <c r="A47" s="256"/>
      <c r="C47" s="145" t="s">
        <v>321</v>
      </c>
      <c r="D47" s="196">
        <f>2857003-100000</f>
        <v>2757003</v>
      </c>
      <c r="E47" s="196"/>
      <c r="F47" s="196"/>
      <c r="G47" s="196"/>
      <c r="H47" s="196">
        <f t="shared" si="0"/>
        <v>2757003</v>
      </c>
      <c r="I47" s="196"/>
      <c r="J47" s="196">
        <f>306515+318315</f>
        <v>624830</v>
      </c>
      <c r="K47" s="196">
        <f t="shared" si="7"/>
        <v>2132173</v>
      </c>
      <c r="L47" s="196"/>
      <c r="M47" s="196">
        <f>21600+2400</f>
        <v>24000</v>
      </c>
      <c r="N47" s="196"/>
      <c r="O47" s="196"/>
      <c r="P47" s="196">
        <f t="shared" si="2"/>
        <v>24000</v>
      </c>
      <c r="Q47" s="196">
        <v>633145</v>
      </c>
      <c r="R47" s="196"/>
      <c r="S47" s="209">
        <f t="shared" si="3"/>
        <v>2789318</v>
      </c>
      <c r="T47" s="185">
        <v>2789318</v>
      </c>
      <c r="U47" s="185">
        <f t="shared" si="4"/>
        <v>0</v>
      </c>
      <c r="V47" s="185">
        <f t="shared" si="5"/>
        <v>32315</v>
      </c>
      <c r="W47" s="512">
        <f t="shared" si="6"/>
        <v>1.1721060876611306E-2</v>
      </c>
      <c r="X47" s="512"/>
      <c r="Y47" s="185"/>
    </row>
    <row r="48" spans="1:25" ht="12" customHeight="1">
      <c r="A48" s="256"/>
      <c r="C48" s="142" t="s">
        <v>107</v>
      </c>
      <c r="D48" s="186">
        <f>1672357-74730</f>
        <v>1597627</v>
      </c>
      <c r="E48" s="186"/>
      <c r="F48" s="186"/>
      <c r="G48" s="186"/>
      <c r="H48" s="186">
        <f t="shared" si="0"/>
        <v>1597627</v>
      </c>
      <c r="I48" s="186"/>
      <c r="J48" s="186"/>
      <c r="K48" s="186">
        <f t="shared" si="7"/>
        <v>1597627</v>
      </c>
      <c r="L48" s="186"/>
      <c r="M48" s="186">
        <v>16140</v>
      </c>
      <c r="N48" s="186"/>
      <c r="O48" s="186"/>
      <c r="P48" s="186">
        <f t="shared" si="2"/>
        <v>16140</v>
      </c>
      <c r="Q48" s="186">
        <v>186122</v>
      </c>
      <c r="R48" s="186"/>
      <c r="S48" s="187">
        <f t="shared" si="3"/>
        <v>1799889</v>
      </c>
      <c r="T48" s="186">
        <v>1799889</v>
      </c>
      <c r="U48" s="186">
        <f t="shared" si="4"/>
        <v>0</v>
      </c>
      <c r="V48" s="186">
        <f t="shared" si="5"/>
        <v>202262</v>
      </c>
      <c r="W48" s="513">
        <f t="shared" si="6"/>
        <v>0.12660151587322949</v>
      </c>
      <c r="X48" s="513"/>
      <c r="Y48" s="186"/>
    </row>
    <row r="49" spans="1:25" ht="12" customHeight="1">
      <c r="A49" s="256"/>
      <c r="C49" s="803" t="s">
        <v>846</v>
      </c>
      <c r="D49" s="815">
        <v>16600</v>
      </c>
      <c r="E49" s="815"/>
      <c r="F49" s="815"/>
      <c r="G49" s="815"/>
      <c r="H49" s="187">
        <f t="shared" ref="H49:H52" si="15">SUM(D49:G49)</f>
        <v>16600</v>
      </c>
      <c r="I49" s="815"/>
      <c r="J49" s="815"/>
      <c r="K49" s="187">
        <f t="shared" si="7"/>
        <v>16600</v>
      </c>
      <c r="L49" s="815"/>
      <c r="M49" s="815"/>
      <c r="N49" s="815"/>
      <c r="O49" s="814"/>
      <c r="P49" s="187">
        <f t="shared" si="2"/>
        <v>0</v>
      </c>
      <c r="Q49" s="815"/>
      <c r="S49" s="187">
        <f>K49+O49+P49+Q49</f>
        <v>16600</v>
      </c>
      <c r="T49" s="815">
        <v>16600</v>
      </c>
      <c r="U49" s="186">
        <f t="shared" si="4"/>
        <v>0</v>
      </c>
      <c r="V49" s="186">
        <f t="shared" si="5"/>
        <v>0</v>
      </c>
      <c r="W49" s="513">
        <f t="shared" si="6"/>
        <v>0</v>
      </c>
      <c r="X49" s="513"/>
      <c r="Y49" s="186"/>
    </row>
    <row r="50" spans="1:25" ht="12" customHeight="1">
      <c r="A50" s="256"/>
      <c r="C50" s="802" t="s">
        <v>847</v>
      </c>
      <c r="D50" s="815">
        <v>1113868</v>
      </c>
      <c r="E50" s="815"/>
      <c r="F50" s="815"/>
      <c r="G50" s="815"/>
      <c r="H50" s="187">
        <f t="shared" si="15"/>
        <v>1113868</v>
      </c>
      <c r="I50" s="815"/>
      <c r="J50" s="815"/>
      <c r="K50" s="187">
        <f t="shared" si="7"/>
        <v>1113868</v>
      </c>
      <c r="L50" s="815"/>
      <c r="M50" s="815"/>
      <c r="N50" s="815"/>
      <c r="O50" s="814"/>
      <c r="P50" s="187">
        <f t="shared" si="2"/>
        <v>0</v>
      </c>
      <c r="Q50" s="815"/>
      <c r="S50" s="187">
        <f>K50+O50+P50+Q50</f>
        <v>1113868</v>
      </c>
      <c r="T50" s="815">
        <v>1113868</v>
      </c>
      <c r="U50" s="186">
        <f t="shared" si="4"/>
        <v>0</v>
      </c>
      <c r="V50" s="186">
        <f t="shared" si="5"/>
        <v>0</v>
      </c>
      <c r="W50" s="513">
        <f t="shared" si="6"/>
        <v>0</v>
      </c>
      <c r="X50" s="513"/>
      <c r="Y50" s="186"/>
    </row>
    <row r="51" spans="1:25" ht="12" customHeight="1">
      <c r="A51" s="256"/>
      <c r="C51" s="801" t="s">
        <v>107</v>
      </c>
      <c r="D51" s="187">
        <v>615110</v>
      </c>
      <c r="E51" s="187"/>
      <c r="F51" s="187"/>
      <c r="G51" s="187"/>
      <c r="H51" s="187">
        <f t="shared" si="15"/>
        <v>615110</v>
      </c>
      <c r="I51" s="187"/>
      <c r="J51" s="187"/>
      <c r="K51" s="187">
        <f t="shared" si="7"/>
        <v>615110</v>
      </c>
      <c r="L51" s="187"/>
      <c r="M51" s="187"/>
      <c r="N51" s="187"/>
      <c r="O51" s="820"/>
      <c r="P51" s="187">
        <f t="shared" si="2"/>
        <v>0</v>
      </c>
      <c r="Q51" s="187"/>
      <c r="S51" s="187">
        <f>K51+O51+P51+Q51</f>
        <v>615110</v>
      </c>
      <c r="T51" s="187">
        <v>615110</v>
      </c>
      <c r="U51" s="186">
        <f t="shared" si="4"/>
        <v>0</v>
      </c>
      <c r="V51" s="186">
        <f t="shared" si="5"/>
        <v>0</v>
      </c>
      <c r="W51" s="513">
        <f t="shared" si="6"/>
        <v>0</v>
      </c>
      <c r="X51" s="513"/>
      <c r="Y51" s="186"/>
    </row>
    <row r="52" spans="1:25" ht="12" customHeight="1">
      <c r="A52" s="256"/>
      <c r="C52" s="802" t="s">
        <v>848</v>
      </c>
      <c r="D52" s="815">
        <v>1626535</v>
      </c>
      <c r="E52" s="815"/>
      <c r="F52" s="815"/>
      <c r="G52" s="815"/>
      <c r="H52" s="187">
        <f t="shared" si="15"/>
        <v>1626535</v>
      </c>
      <c r="I52" s="815"/>
      <c r="J52" s="815"/>
      <c r="K52" s="187">
        <f t="shared" si="7"/>
        <v>1626535</v>
      </c>
      <c r="L52" s="815"/>
      <c r="M52" s="815"/>
      <c r="N52" s="815"/>
      <c r="O52" s="814"/>
      <c r="P52" s="187">
        <f t="shared" si="2"/>
        <v>0</v>
      </c>
      <c r="Q52" s="815"/>
      <c r="S52" s="187">
        <f>K52+O52+P52+Q52</f>
        <v>1626535</v>
      </c>
      <c r="T52" s="815">
        <v>1626535</v>
      </c>
      <c r="U52" s="186">
        <f t="shared" si="4"/>
        <v>0</v>
      </c>
      <c r="V52" s="186">
        <f t="shared" si="5"/>
        <v>0</v>
      </c>
      <c r="W52" s="513">
        <f t="shared" si="6"/>
        <v>0</v>
      </c>
      <c r="X52" s="513"/>
      <c r="Y52" s="186"/>
    </row>
    <row r="53" spans="1:25" ht="12" customHeight="1">
      <c r="A53" s="256"/>
      <c r="C53" s="801" t="s">
        <v>107</v>
      </c>
      <c r="D53" s="187">
        <v>982517</v>
      </c>
      <c r="E53" s="187"/>
      <c r="F53" s="187"/>
      <c r="G53" s="187"/>
      <c r="H53" s="187">
        <f t="shared" ref="H53" si="16">SUM(D53:G53)</f>
        <v>982517</v>
      </c>
      <c r="I53" s="187"/>
      <c r="J53" s="187"/>
      <c r="K53" s="187">
        <f t="shared" si="7"/>
        <v>982517</v>
      </c>
      <c r="L53" s="187"/>
      <c r="M53" s="187"/>
      <c r="N53" s="187"/>
      <c r="O53" s="503">
        <f t="shared" ref="O53" si="17">SUM(L53:N53)</f>
        <v>0</v>
      </c>
      <c r="P53" s="187">
        <f t="shared" si="2"/>
        <v>0</v>
      </c>
      <c r="Q53" s="187"/>
      <c r="S53" s="187">
        <f>K53+O53+P53+Q53</f>
        <v>982517</v>
      </c>
      <c r="T53" s="209">
        <v>982517</v>
      </c>
      <c r="U53" s="186">
        <f t="shared" si="4"/>
        <v>0</v>
      </c>
      <c r="V53" s="185">
        <f t="shared" si="5"/>
        <v>0</v>
      </c>
      <c r="W53" s="512">
        <f t="shared" si="6"/>
        <v>0</v>
      </c>
      <c r="X53" s="512"/>
      <c r="Y53" s="185"/>
    </row>
    <row r="54" spans="1:25" ht="12" customHeight="1">
      <c r="A54" s="256"/>
      <c r="C54" s="150"/>
      <c r="D54" s="196"/>
      <c r="E54" s="196"/>
      <c r="F54" s="196"/>
      <c r="G54" s="196"/>
      <c r="H54" s="196">
        <f t="shared" si="0"/>
        <v>0</v>
      </c>
      <c r="I54" s="196"/>
      <c r="J54" s="196"/>
      <c r="K54" s="196">
        <f t="shared" si="7"/>
        <v>0</v>
      </c>
      <c r="L54" s="196"/>
      <c r="M54" s="196"/>
      <c r="N54" s="196"/>
      <c r="O54" s="196"/>
      <c r="P54" s="196">
        <f t="shared" si="2"/>
        <v>0</v>
      </c>
      <c r="Q54" s="196"/>
      <c r="R54" s="196"/>
      <c r="S54" s="209">
        <f t="shared" si="3"/>
        <v>0</v>
      </c>
      <c r="T54" s="185">
        <v>0</v>
      </c>
      <c r="U54" s="186">
        <f t="shared" si="4"/>
        <v>0</v>
      </c>
      <c r="V54" s="185">
        <f t="shared" si="5"/>
        <v>0</v>
      </c>
      <c r="W54" s="512" t="str">
        <f t="shared" si="6"/>
        <v/>
      </c>
      <c r="X54" s="512"/>
      <c r="Y54" s="185"/>
    </row>
    <row r="55" spans="1:25" ht="12" customHeight="1">
      <c r="A55" s="256"/>
      <c r="C55" s="144" t="s">
        <v>176</v>
      </c>
      <c r="D55" s="191"/>
      <c r="E55" s="191"/>
      <c r="F55" s="191"/>
      <c r="G55" s="191"/>
      <c r="H55" s="191">
        <f t="shared" si="0"/>
        <v>0</v>
      </c>
      <c r="I55" s="191"/>
      <c r="J55" s="191"/>
      <c r="K55" s="191">
        <f t="shared" si="7"/>
        <v>0</v>
      </c>
      <c r="L55" s="191"/>
      <c r="M55" s="191"/>
      <c r="N55" s="191"/>
      <c r="O55" s="191"/>
      <c r="P55" s="191">
        <f t="shared" si="2"/>
        <v>0</v>
      </c>
      <c r="Q55" s="191"/>
      <c r="R55" s="191"/>
      <c r="S55" s="209">
        <f t="shared" si="3"/>
        <v>0</v>
      </c>
      <c r="T55" s="185">
        <v>0</v>
      </c>
      <c r="U55" s="186">
        <f t="shared" si="4"/>
        <v>0</v>
      </c>
      <c r="V55" s="185">
        <f t="shared" si="5"/>
        <v>0</v>
      </c>
      <c r="W55" s="512" t="str">
        <f t="shared" si="6"/>
        <v/>
      </c>
      <c r="X55" s="512"/>
      <c r="Y55" s="185"/>
    </row>
    <row r="56" spans="1:25" ht="12" customHeight="1">
      <c r="A56" s="256"/>
      <c r="C56" s="145" t="s">
        <v>187</v>
      </c>
      <c r="D56" s="196">
        <v>20780</v>
      </c>
      <c r="E56" s="196"/>
      <c r="F56" s="196"/>
      <c r="G56" s="196"/>
      <c r="H56" s="196">
        <f t="shared" si="0"/>
        <v>20780</v>
      </c>
      <c r="I56" s="196"/>
      <c r="J56" s="196"/>
      <c r="K56" s="196">
        <f t="shared" si="7"/>
        <v>20780</v>
      </c>
      <c r="L56" s="196"/>
      <c r="M56" s="196"/>
      <c r="N56" s="196"/>
      <c r="O56" s="196"/>
      <c r="P56" s="196">
        <f t="shared" si="2"/>
        <v>0</v>
      </c>
      <c r="Q56" s="196"/>
      <c r="R56" s="196"/>
      <c r="S56" s="209">
        <f t="shared" si="3"/>
        <v>20780</v>
      </c>
      <c r="T56" s="185">
        <v>20780</v>
      </c>
      <c r="U56" s="186">
        <f t="shared" si="4"/>
        <v>0</v>
      </c>
      <c r="V56" s="185">
        <f t="shared" si="5"/>
        <v>0</v>
      </c>
      <c r="W56" s="512">
        <f t="shared" si="6"/>
        <v>0</v>
      </c>
      <c r="X56" s="512"/>
      <c r="Y56" s="185"/>
    </row>
    <row r="57" spans="1:25" ht="12" customHeight="1">
      <c r="A57" s="256"/>
      <c r="C57" s="802" t="s">
        <v>849</v>
      </c>
      <c r="D57" s="814">
        <v>14320</v>
      </c>
      <c r="E57" s="814"/>
      <c r="F57" s="814"/>
      <c r="G57" s="814"/>
      <c r="H57" s="814">
        <f t="shared" si="0"/>
        <v>14320</v>
      </c>
      <c r="I57" s="814"/>
      <c r="J57" s="814"/>
      <c r="K57" s="814">
        <f t="shared" si="7"/>
        <v>14320</v>
      </c>
      <c r="L57" s="814"/>
      <c r="M57" s="814"/>
      <c r="N57" s="814"/>
      <c r="O57" s="814"/>
      <c r="P57" s="814">
        <f t="shared" si="2"/>
        <v>0</v>
      </c>
      <c r="Q57" s="814"/>
      <c r="S57" s="815">
        <f>K57+O57+P57+Q57</f>
        <v>14320</v>
      </c>
      <c r="T57" s="815">
        <v>14320</v>
      </c>
      <c r="U57" s="186">
        <f t="shared" si="4"/>
        <v>0</v>
      </c>
      <c r="V57" s="816">
        <f t="shared" si="5"/>
        <v>0</v>
      </c>
      <c r="W57" s="816">
        <f t="shared" si="6"/>
        <v>0</v>
      </c>
      <c r="X57" s="512"/>
      <c r="Y57" s="185"/>
    </row>
    <row r="58" spans="1:25" ht="12" customHeight="1">
      <c r="A58" s="256"/>
      <c r="C58" s="804" t="s">
        <v>850</v>
      </c>
      <c r="D58" s="814">
        <v>6460</v>
      </c>
      <c r="E58" s="814"/>
      <c r="F58" s="814"/>
      <c r="G58" s="814"/>
      <c r="H58" s="814">
        <f t="shared" si="0"/>
        <v>6460</v>
      </c>
      <c r="I58" s="814"/>
      <c r="J58" s="814"/>
      <c r="K58" s="814">
        <f t="shared" si="7"/>
        <v>6460</v>
      </c>
      <c r="L58" s="814"/>
      <c r="M58" s="814"/>
      <c r="N58" s="814"/>
      <c r="O58" s="814"/>
      <c r="P58" s="814">
        <f t="shared" si="2"/>
        <v>0</v>
      </c>
      <c r="Q58" s="814"/>
      <c r="S58" s="815">
        <f>K58+O58+P58+Q58</f>
        <v>6460</v>
      </c>
      <c r="T58" s="815">
        <v>6460</v>
      </c>
      <c r="U58" s="186">
        <f t="shared" si="4"/>
        <v>0</v>
      </c>
      <c r="V58" s="816">
        <f t="shared" si="5"/>
        <v>0</v>
      </c>
      <c r="W58" s="816">
        <f t="shared" si="6"/>
        <v>0</v>
      </c>
      <c r="X58" s="512"/>
      <c r="Y58" s="185"/>
    </row>
    <row r="59" spans="1:25" ht="12" customHeight="1">
      <c r="A59" s="256"/>
      <c r="C59" s="152"/>
      <c r="D59" s="187"/>
      <c r="E59" s="187"/>
      <c r="F59" s="187"/>
      <c r="G59" s="187"/>
      <c r="H59" s="187">
        <f t="shared" si="0"/>
        <v>0</v>
      </c>
      <c r="I59" s="187"/>
      <c r="J59" s="187"/>
      <c r="K59" s="187">
        <f t="shared" si="7"/>
        <v>0</v>
      </c>
      <c r="L59" s="187"/>
      <c r="M59" s="187"/>
      <c r="N59" s="187"/>
      <c r="O59" s="814">
        <f t="shared" ref="O59" si="18">SUM(L59:N59)</f>
        <v>0</v>
      </c>
      <c r="P59" s="187">
        <f t="shared" si="2"/>
        <v>0</v>
      </c>
      <c r="Q59" s="187"/>
      <c r="R59" s="815">
        <f t="shared" ref="R59" si="19">K59+O59+P59+Q59</f>
        <v>0</v>
      </c>
      <c r="S59" s="815">
        <v>0</v>
      </c>
      <c r="T59" s="815">
        <f t="shared" ref="T59" si="20">S59-R59</f>
        <v>0</v>
      </c>
      <c r="U59" s="815">
        <f t="shared" si="4"/>
        <v>0</v>
      </c>
      <c r="V59" s="816">
        <f t="shared" si="5"/>
        <v>0</v>
      </c>
      <c r="W59" s="816" t="str">
        <f t="shared" si="6"/>
        <v/>
      </c>
      <c r="X59" s="512"/>
      <c r="Y59" s="185"/>
    </row>
    <row r="60" spans="1:25" ht="12" customHeight="1">
      <c r="A60" s="256"/>
      <c r="C60" s="150"/>
      <c r="D60" s="196"/>
      <c r="E60" s="196"/>
      <c r="F60" s="196"/>
      <c r="G60" s="196"/>
      <c r="H60" s="196">
        <f t="shared" si="0"/>
        <v>0</v>
      </c>
      <c r="I60" s="196"/>
      <c r="J60" s="196"/>
      <c r="K60" s="196">
        <f t="shared" si="7"/>
        <v>0</v>
      </c>
      <c r="L60" s="196"/>
      <c r="M60" s="196"/>
      <c r="N60" s="196"/>
      <c r="O60" s="196"/>
      <c r="P60" s="196">
        <f t="shared" si="2"/>
        <v>0</v>
      </c>
      <c r="Q60" s="196"/>
      <c r="R60" s="196"/>
      <c r="S60" s="209">
        <f t="shared" si="3"/>
        <v>0</v>
      </c>
      <c r="T60" s="185">
        <v>0</v>
      </c>
      <c r="U60" s="185">
        <f t="shared" si="4"/>
        <v>0</v>
      </c>
      <c r="V60" s="185">
        <f t="shared" si="5"/>
        <v>0</v>
      </c>
      <c r="W60" s="512" t="str">
        <f t="shared" si="6"/>
        <v/>
      </c>
      <c r="X60" s="512"/>
      <c r="Y60" s="185"/>
    </row>
    <row r="61" spans="1:25" ht="12" customHeight="1">
      <c r="A61" s="256"/>
      <c r="C61" s="144" t="s">
        <v>176</v>
      </c>
      <c r="D61" s="191"/>
      <c r="E61" s="191"/>
      <c r="F61" s="191"/>
      <c r="G61" s="191"/>
      <c r="H61" s="191">
        <f t="shared" si="0"/>
        <v>0</v>
      </c>
      <c r="I61" s="191"/>
      <c r="J61" s="191"/>
      <c r="K61" s="191">
        <f t="shared" si="7"/>
        <v>0</v>
      </c>
      <c r="L61" s="191"/>
      <c r="M61" s="191"/>
      <c r="N61" s="191"/>
      <c r="O61" s="191"/>
      <c r="P61" s="191">
        <f t="shared" si="2"/>
        <v>0</v>
      </c>
      <c r="Q61" s="191"/>
      <c r="R61" s="191"/>
      <c r="S61" s="209">
        <f t="shared" si="3"/>
        <v>0</v>
      </c>
      <c r="T61" s="185">
        <v>0</v>
      </c>
      <c r="U61" s="185">
        <f t="shared" si="4"/>
        <v>0</v>
      </c>
      <c r="V61" s="185">
        <f t="shared" si="5"/>
        <v>0</v>
      </c>
      <c r="W61" s="512" t="str">
        <f t="shared" si="6"/>
        <v/>
      </c>
      <c r="X61" s="512"/>
      <c r="Y61" s="185"/>
    </row>
    <row r="62" spans="1:25" ht="12" customHeight="1">
      <c r="A62" s="256"/>
      <c r="C62" s="145" t="s">
        <v>322</v>
      </c>
      <c r="D62" s="196">
        <f>1486925-290000</f>
        <v>1196925</v>
      </c>
      <c r="E62" s="196"/>
      <c r="F62" s="196"/>
      <c r="G62" s="196"/>
      <c r="H62" s="196">
        <f t="shared" ref="H62:H143" si="21">SUM(D62:G62)</f>
        <v>1196925</v>
      </c>
      <c r="I62" s="196"/>
      <c r="J62" s="196">
        <v>712824</v>
      </c>
      <c r="K62" s="196">
        <f t="shared" si="7"/>
        <v>484101</v>
      </c>
      <c r="L62" s="196"/>
      <c r="M62" s="196">
        <v>9600</v>
      </c>
      <c r="N62" s="196"/>
      <c r="O62" s="196"/>
      <c r="P62" s="196">
        <f t="shared" si="2"/>
        <v>9600</v>
      </c>
      <c r="Q62" s="196">
        <v>832100</v>
      </c>
      <c r="R62" s="196"/>
      <c r="S62" s="209">
        <f t="shared" si="3"/>
        <v>1325801</v>
      </c>
      <c r="T62" s="185">
        <v>1325801</v>
      </c>
      <c r="U62" s="185">
        <f t="shared" si="4"/>
        <v>0</v>
      </c>
      <c r="V62" s="185">
        <f t="shared" si="5"/>
        <v>128876</v>
      </c>
      <c r="W62" s="512">
        <f t="shared" si="6"/>
        <v>0.10767257764688681</v>
      </c>
      <c r="X62" s="512"/>
      <c r="Y62" s="185"/>
    </row>
    <row r="63" spans="1:25" ht="12" customHeight="1">
      <c r="A63" s="256"/>
      <c r="C63" s="142" t="s">
        <v>107</v>
      </c>
      <c r="D63" s="186">
        <f>928972-180630</f>
        <v>748342</v>
      </c>
      <c r="E63" s="186"/>
      <c r="F63" s="186"/>
      <c r="G63" s="186"/>
      <c r="H63" s="186">
        <f t="shared" si="21"/>
        <v>748342</v>
      </c>
      <c r="I63" s="186"/>
      <c r="J63" s="186"/>
      <c r="K63" s="186">
        <f t="shared" si="7"/>
        <v>748342</v>
      </c>
      <c r="L63" s="186"/>
      <c r="M63" s="186"/>
      <c r="N63" s="186"/>
      <c r="O63" s="186"/>
      <c r="P63" s="186">
        <f t="shared" si="2"/>
        <v>0</v>
      </c>
      <c r="Q63" s="186"/>
      <c r="R63" s="186"/>
      <c r="S63" s="187">
        <f t="shared" ref="S63:S144" si="22">K63+P63+Q63+R63</f>
        <v>748342</v>
      </c>
      <c r="T63" s="186">
        <v>748342</v>
      </c>
      <c r="U63" s="186">
        <f t="shared" si="4"/>
        <v>0</v>
      </c>
      <c r="V63" s="186">
        <f t="shared" si="5"/>
        <v>0</v>
      </c>
      <c r="W63" s="513">
        <f t="shared" si="6"/>
        <v>0</v>
      </c>
      <c r="X63" s="513"/>
      <c r="Y63" s="186"/>
    </row>
    <row r="64" spans="1:25" ht="12" customHeight="1">
      <c r="A64" s="256"/>
      <c r="C64" s="135"/>
      <c r="D64" s="186"/>
      <c r="E64" s="186"/>
      <c r="F64" s="186"/>
      <c r="G64" s="186"/>
      <c r="H64" s="186">
        <f t="shared" si="21"/>
        <v>0</v>
      </c>
      <c r="I64" s="186"/>
      <c r="J64" s="186"/>
      <c r="K64" s="186">
        <f t="shared" si="7"/>
        <v>0</v>
      </c>
      <c r="L64" s="186"/>
      <c r="M64" s="186"/>
      <c r="N64" s="186"/>
      <c r="O64" s="186"/>
      <c r="P64" s="186">
        <f t="shared" ref="P64:P127" si="23">SUM(L64:O64)</f>
        <v>0</v>
      </c>
      <c r="Q64" s="186"/>
      <c r="R64" s="186"/>
      <c r="S64" s="209">
        <f t="shared" si="22"/>
        <v>0</v>
      </c>
      <c r="T64" s="185">
        <v>0</v>
      </c>
      <c r="U64" s="185">
        <f t="shared" ref="U64:U127" si="24">T64-S64</f>
        <v>0</v>
      </c>
      <c r="V64" s="185">
        <f t="shared" ref="V64:V127" si="25">T64-H64</f>
        <v>0</v>
      </c>
      <c r="W64" s="512" t="str">
        <f t="shared" ref="W64:W127" si="26">IF(H64=0,"",V64/H64)</f>
        <v/>
      </c>
      <c r="X64" s="512"/>
      <c r="Y64" s="185"/>
    </row>
    <row r="65" spans="1:25" ht="12" customHeight="1">
      <c r="A65" s="256"/>
      <c r="C65" s="149"/>
      <c r="D65" s="200"/>
      <c r="E65" s="200"/>
      <c r="F65" s="200"/>
      <c r="G65" s="200"/>
      <c r="H65" s="200">
        <f t="shared" si="21"/>
        <v>0</v>
      </c>
      <c r="I65" s="200"/>
      <c r="J65" s="200"/>
      <c r="K65" s="200">
        <f t="shared" si="7"/>
        <v>0</v>
      </c>
      <c r="L65" s="200"/>
      <c r="M65" s="200"/>
      <c r="N65" s="200"/>
      <c r="O65" s="200"/>
      <c r="P65" s="200">
        <f t="shared" si="23"/>
        <v>0</v>
      </c>
      <c r="Q65" s="200"/>
      <c r="R65" s="200"/>
      <c r="S65" s="209">
        <f t="shared" si="22"/>
        <v>0</v>
      </c>
      <c r="T65" s="185">
        <v>0</v>
      </c>
      <c r="U65" s="185">
        <f t="shared" si="24"/>
        <v>0</v>
      </c>
      <c r="V65" s="185">
        <f t="shared" si="25"/>
        <v>0</v>
      </c>
      <c r="W65" s="512" t="str">
        <f t="shared" si="26"/>
        <v/>
      </c>
      <c r="X65" s="512"/>
      <c r="Y65" s="185"/>
    </row>
    <row r="66" spans="1:25" ht="12" customHeight="1">
      <c r="A66" s="256"/>
      <c r="C66" s="144" t="s">
        <v>176</v>
      </c>
      <c r="D66" s="200"/>
      <c r="E66" s="200"/>
      <c r="F66" s="200"/>
      <c r="G66" s="200"/>
      <c r="H66" s="200">
        <f t="shared" si="21"/>
        <v>0</v>
      </c>
      <c r="I66" s="200"/>
      <c r="J66" s="200"/>
      <c r="K66" s="200">
        <f t="shared" si="7"/>
        <v>0</v>
      </c>
      <c r="L66" s="200"/>
      <c r="M66" s="200"/>
      <c r="N66" s="200"/>
      <c r="O66" s="200"/>
      <c r="P66" s="200">
        <f t="shared" si="23"/>
        <v>0</v>
      </c>
      <c r="Q66" s="200"/>
      <c r="R66" s="200"/>
      <c r="S66" s="209">
        <f t="shared" si="22"/>
        <v>0</v>
      </c>
      <c r="T66" s="185">
        <v>0</v>
      </c>
      <c r="U66" s="185">
        <f t="shared" si="24"/>
        <v>0</v>
      </c>
      <c r="V66" s="185">
        <f t="shared" si="25"/>
        <v>0</v>
      </c>
      <c r="W66" s="512" t="str">
        <f t="shared" si="26"/>
        <v/>
      </c>
      <c r="X66" s="512"/>
      <c r="Y66" s="185"/>
    </row>
    <row r="67" spans="1:25" ht="12" customHeight="1">
      <c r="A67" s="256"/>
      <c r="C67" s="145" t="s">
        <v>323</v>
      </c>
      <c r="D67" s="239">
        <v>290000</v>
      </c>
      <c r="E67" s="239"/>
      <c r="F67" s="239"/>
      <c r="G67" s="239"/>
      <c r="H67" s="239">
        <f t="shared" si="21"/>
        <v>290000</v>
      </c>
      <c r="I67" s="239"/>
      <c r="J67" s="239">
        <v>290000</v>
      </c>
      <c r="K67" s="239">
        <f t="shared" si="7"/>
        <v>0</v>
      </c>
      <c r="L67" s="239"/>
      <c r="M67" s="239"/>
      <c r="N67" s="239"/>
      <c r="O67" s="239"/>
      <c r="P67" s="239">
        <f t="shared" si="23"/>
        <v>0</v>
      </c>
      <c r="Q67" s="239">
        <v>330000</v>
      </c>
      <c r="R67" s="239"/>
      <c r="S67" s="209">
        <f t="shared" si="22"/>
        <v>330000</v>
      </c>
      <c r="T67" s="185">
        <v>330000</v>
      </c>
      <c r="U67" s="185">
        <f t="shared" si="24"/>
        <v>0</v>
      </c>
      <c r="V67" s="185">
        <f t="shared" si="25"/>
        <v>40000</v>
      </c>
      <c r="W67" s="512">
        <f t="shared" si="26"/>
        <v>0.13793103448275862</v>
      </c>
      <c r="X67" s="512"/>
      <c r="Y67" s="185"/>
    </row>
    <row r="68" spans="1:25" ht="12" customHeight="1">
      <c r="A68" s="256"/>
      <c r="C68" s="142" t="s">
        <v>107</v>
      </c>
      <c r="D68" s="240">
        <v>180630</v>
      </c>
      <c r="E68" s="240"/>
      <c r="F68" s="240"/>
      <c r="G68" s="240"/>
      <c r="H68" s="240">
        <f t="shared" si="21"/>
        <v>180630</v>
      </c>
      <c r="I68" s="240"/>
      <c r="J68" s="240">
        <v>180630</v>
      </c>
      <c r="K68" s="240">
        <f t="shared" si="7"/>
        <v>0</v>
      </c>
      <c r="L68" s="240"/>
      <c r="M68" s="240"/>
      <c r="N68" s="240"/>
      <c r="O68" s="240"/>
      <c r="P68" s="240">
        <f t="shared" si="23"/>
        <v>0</v>
      </c>
      <c r="Q68" s="240">
        <v>180630</v>
      </c>
      <c r="R68" s="240"/>
      <c r="S68" s="209">
        <f t="shared" si="22"/>
        <v>180630</v>
      </c>
      <c r="T68" s="185">
        <v>180630</v>
      </c>
      <c r="U68" s="185">
        <f t="shared" si="24"/>
        <v>0</v>
      </c>
      <c r="V68" s="185">
        <f t="shared" si="25"/>
        <v>0</v>
      </c>
      <c r="W68" s="512">
        <f t="shared" si="26"/>
        <v>0</v>
      </c>
      <c r="X68" s="512"/>
      <c r="Y68" s="185"/>
    </row>
    <row r="69" spans="1:25" ht="12" customHeight="1">
      <c r="A69" s="256"/>
      <c r="C69" s="142"/>
      <c r="D69" s="240"/>
      <c r="E69" s="240"/>
      <c r="F69" s="240"/>
      <c r="G69" s="240"/>
      <c r="H69" s="240">
        <f t="shared" si="21"/>
        <v>0</v>
      </c>
      <c r="I69" s="240"/>
      <c r="J69" s="240"/>
      <c r="K69" s="240">
        <f t="shared" si="7"/>
        <v>0</v>
      </c>
      <c r="L69" s="240"/>
      <c r="M69" s="240"/>
      <c r="N69" s="240"/>
      <c r="O69" s="240"/>
      <c r="P69" s="240">
        <f t="shared" si="23"/>
        <v>0</v>
      </c>
      <c r="Q69" s="240"/>
      <c r="R69" s="240"/>
      <c r="S69" s="209">
        <f t="shared" si="22"/>
        <v>0</v>
      </c>
      <c r="T69" s="185">
        <v>0</v>
      </c>
      <c r="U69" s="185">
        <f t="shared" si="24"/>
        <v>0</v>
      </c>
      <c r="V69" s="185">
        <f t="shared" si="25"/>
        <v>0</v>
      </c>
      <c r="W69" s="512" t="str">
        <f t="shared" si="26"/>
        <v/>
      </c>
      <c r="X69" s="512"/>
      <c r="Y69" s="185"/>
    </row>
    <row r="70" spans="1:25" ht="12" customHeight="1">
      <c r="A70" s="256"/>
      <c r="C70" s="135"/>
      <c r="D70" s="200"/>
      <c r="E70" s="200"/>
      <c r="F70" s="200"/>
      <c r="G70" s="200"/>
      <c r="H70" s="200">
        <f t="shared" si="21"/>
        <v>0</v>
      </c>
      <c r="I70" s="200"/>
      <c r="J70" s="200"/>
      <c r="K70" s="200">
        <f t="shared" si="7"/>
        <v>0</v>
      </c>
      <c r="L70" s="200"/>
      <c r="M70" s="200"/>
      <c r="N70" s="200"/>
      <c r="O70" s="200"/>
      <c r="P70" s="200">
        <f t="shared" si="23"/>
        <v>0</v>
      </c>
      <c r="Q70" s="200"/>
      <c r="R70" s="200"/>
      <c r="S70" s="209">
        <f t="shared" si="22"/>
        <v>0</v>
      </c>
      <c r="T70" s="185">
        <v>0</v>
      </c>
      <c r="U70" s="185">
        <f t="shared" si="24"/>
        <v>0</v>
      </c>
      <c r="V70" s="185">
        <f t="shared" si="25"/>
        <v>0</v>
      </c>
      <c r="W70" s="512" t="str">
        <f t="shared" si="26"/>
        <v/>
      </c>
      <c r="X70" s="512"/>
      <c r="Y70" s="185"/>
    </row>
    <row r="71" spans="1:25" ht="12" customHeight="1">
      <c r="A71" s="256"/>
      <c r="C71" s="144" t="s">
        <v>176</v>
      </c>
      <c r="D71" s="200"/>
      <c r="E71" s="200"/>
      <c r="F71" s="200"/>
      <c r="G71" s="200"/>
      <c r="H71" s="200">
        <f t="shared" si="21"/>
        <v>0</v>
      </c>
      <c r="I71" s="200"/>
      <c r="J71" s="200"/>
      <c r="K71" s="200">
        <f t="shared" si="7"/>
        <v>0</v>
      </c>
      <c r="L71" s="200"/>
      <c r="M71" s="200"/>
      <c r="N71" s="200"/>
      <c r="O71" s="200"/>
      <c r="P71" s="200">
        <f t="shared" si="23"/>
        <v>0</v>
      </c>
      <c r="Q71" s="200"/>
      <c r="R71" s="200"/>
      <c r="S71" s="209">
        <f t="shared" si="22"/>
        <v>0</v>
      </c>
      <c r="T71" s="185">
        <v>0</v>
      </c>
      <c r="U71" s="185">
        <f t="shared" si="24"/>
        <v>0</v>
      </c>
      <c r="V71" s="185">
        <f t="shared" si="25"/>
        <v>0</v>
      </c>
      <c r="W71" s="512" t="str">
        <f t="shared" si="26"/>
        <v/>
      </c>
      <c r="X71" s="512"/>
      <c r="Y71" s="185"/>
    </row>
    <row r="72" spans="1:25" ht="12" customHeight="1">
      <c r="A72" s="256"/>
      <c r="C72" s="145" t="s">
        <v>324</v>
      </c>
      <c r="D72" s="239">
        <v>100000</v>
      </c>
      <c r="E72" s="239"/>
      <c r="F72" s="239"/>
      <c r="G72" s="239"/>
      <c r="H72" s="239">
        <f t="shared" si="21"/>
        <v>100000</v>
      </c>
      <c r="I72" s="239"/>
      <c r="J72" s="239">
        <v>100000</v>
      </c>
      <c r="K72" s="239">
        <f t="shared" si="7"/>
        <v>0</v>
      </c>
      <c r="L72" s="239"/>
      <c r="M72" s="239"/>
      <c r="N72" s="239"/>
      <c r="O72" s="239"/>
      <c r="P72" s="239">
        <f t="shared" si="23"/>
        <v>0</v>
      </c>
      <c r="Q72" s="239">
        <v>100000</v>
      </c>
      <c r="R72" s="239"/>
      <c r="S72" s="209">
        <f t="shared" si="22"/>
        <v>100000</v>
      </c>
      <c r="T72" s="185">
        <v>100000</v>
      </c>
      <c r="U72" s="185">
        <f t="shared" si="24"/>
        <v>0</v>
      </c>
      <c r="V72" s="185">
        <f t="shared" si="25"/>
        <v>0</v>
      </c>
      <c r="W72" s="512">
        <f t="shared" si="26"/>
        <v>0</v>
      </c>
      <c r="X72" s="512"/>
      <c r="Y72" s="185"/>
    </row>
    <row r="73" spans="1:25" ht="12" customHeight="1">
      <c r="A73" s="256"/>
      <c r="C73" s="142" t="s">
        <v>107</v>
      </c>
      <c r="D73" s="240">
        <v>74730</v>
      </c>
      <c r="E73" s="240"/>
      <c r="F73" s="240"/>
      <c r="G73" s="240"/>
      <c r="H73" s="240">
        <f t="shared" si="21"/>
        <v>74730</v>
      </c>
      <c r="I73" s="240"/>
      <c r="J73" s="240">
        <v>74730</v>
      </c>
      <c r="K73" s="240">
        <f t="shared" ref="K73:K136" si="27">H73-SUM(I73:J73)-G73</f>
        <v>0</v>
      </c>
      <c r="L73" s="240"/>
      <c r="M73" s="240"/>
      <c r="N73" s="240"/>
      <c r="O73" s="240"/>
      <c r="P73" s="240">
        <f t="shared" si="23"/>
        <v>0</v>
      </c>
      <c r="Q73" s="240">
        <v>74730</v>
      </c>
      <c r="R73" s="240"/>
      <c r="S73" s="209">
        <f t="shared" si="22"/>
        <v>74730</v>
      </c>
      <c r="T73" s="185">
        <v>74730</v>
      </c>
      <c r="U73" s="185">
        <f t="shared" si="24"/>
        <v>0</v>
      </c>
      <c r="V73" s="185">
        <f t="shared" si="25"/>
        <v>0</v>
      </c>
      <c r="W73" s="512">
        <f t="shared" si="26"/>
        <v>0</v>
      </c>
      <c r="X73" s="512"/>
      <c r="Y73" s="185"/>
    </row>
    <row r="74" spans="1:25" ht="12" customHeight="1">
      <c r="A74" s="256"/>
      <c r="C74" s="142"/>
      <c r="D74" s="200"/>
      <c r="E74" s="200"/>
      <c r="F74" s="200"/>
      <c r="G74" s="200"/>
      <c r="H74" s="200">
        <f t="shared" si="21"/>
        <v>0</v>
      </c>
      <c r="I74" s="200"/>
      <c r="J74" s="200"/>
      <c r="K74" s="200">
        <f t="shared" si="27"/>
        <v>0</v>
      </c>
      <c r="L74" s="200"/>
      <c r="M74" s="200"/>
      <c r="N74" s="200"/>
      <c r="O74" s="200"/>
      <c r="P74" s="200">
        <f t="shared" si="23"/>
        <v>0</v>
      </c>
      <c r="Q74" s="200"/>
      <c r="R74" s="200"/>
      <c r="S74" s="209">
        <f t="shared" si="22"/>
        <v>0</v>
      </c>
      <c r="T74" s="185">
        <v>0</v>
      </c>
      <c r="U74" s="185">
        <f t="shared" si="24"/>
        <v>0</v>
      </c>
      <c r="V74" s="185">
        <f t="shared" si="25"/>
        <v>0</v>
      </c>
      <c r="W74" s="512" t="str">
        <f t="shared" si="26"/>
        <v/>
      </c>
      <c r="X74" s="512"/>
      <c r="Y74" s="185"/>
    </row>
    <row r="75" spans="1:25" ht="12" customHeight="1">
      <c r="A75" s="256"/>
      <c r="C75" s="153"/>
      <c r="D75" s="201"/>
      <c r="E75" s="201"/>
      <c r="F75" s="201"/>
      <c r="G75" s="201"/>
      <c r="H75" s="201">
        <f t="shared" si="21"/>
        <v>0</v>
      </c>
      <c r="I75" s="201"/>
      <c r="J75" s="201"/>
      <c r="K75" s="201">
        <f t="shared" si="27"/>
        <v>0</v>
      </c>
      <c r="L75" s="201"/>
      <c r="M75" s="201"/>
      <c r="N75" s="201"/>
      <c r="O75" s="201"/>
      <c r="P75" s="201">
        <f t="shared" si="23"/>
        <v>0</v>
      </c>
      <c r="Q75" s="201"/>
      <c r="R75" s="201"/>
      <c r="S75" s="209">
        <f t="shared" si="22"/>
        <v>0</v>
      </c>
      <c r="T75" s="185">
        <v>0</v>
      </c>
      <c r="U75" s="185">
        <f t="shared" si="24"/>
        <v>0</v>
      </c>
      <c r="V75" s="185">
        <f t="shared" si="25"/>
        <v>0</v>
      </c>
      <c r="W75" s="512" t="str">
        <f t="shared" si="26"/>
        <v/>
      </c>
      <c r="X75" s="512"/>
      <c r="Y75" s="185"/>
    </row>
    <row r="76" spans="1:25" ht="12.75" customHeight="1">
      <c r="A76" s="256"/>
      <c r="C76" s="134" t="s">
        <v>188</v>
      </c>
      <c r="D76" s="191">
        <f>D79+D85+D89+D93+D97</f>
        <v>5175620</v>
      </c>
      <c r="E76" s="191"/>
      <c r="F76" s="191"/>
      <c r="G76" s="191"/>
      <c r="H76" s="191">
        <f t="shared" si="21"/>
        <v>5175620</v>
      </c>
      <c r="I76" s="191"/>
      <c r="J76" s="191">
        <f>J79+J85+J89+J93+J97</f>
        <v>1824758</v>
      </c>
      <c r="K76" s="191">
        <f t="shared" si="27"/>
        <v>3350862</v>
      </c>
      <c r="L76" s="191">
        <f>L79+L85+L89+L93+L97</f>
        <v>0</v>
      </c>
      <c r="M76" s="191">
        <f t="shared" ref="M76:R76" si="28">M79+M85+M89+M93+M97</f>
        <v>0</v>
      </c>
      <c r="N76" s="191"/>
      <c r="O76" s="191">
        <f t="shared" si="28"/>
        <v>0</v>
      </c>
      <c r="P76" s="191">
        <f t="shared" si="23"/>
        <v>0</v>
      </c>
      <c r="Q76" s="191">
        <f t="shared" si="28"/>
        <v>1884860</v>
      </c>
      <c r="R76" s="191">
        <f t="shared" si="28"/>
        <v>0</v>
      </c>
      <c r="S76" s="496">
        <f t="shared" si="22"/>
        <v>5235722</v>
      </c>
      <c r="T76" s="191">
        <f t="shared" ref="T76" si="29">T79+T85+T89+T93+T97</f>
        <v>5235722</v>
      </c>
      <c r="U76" s="191">
        <f t="shared" si="24"/>
        <v>0</v>
      </c>
      <c r="V76" s="182">
        <f t="shared" si="25"/>
        <v>60102</v>
      </c>
      <c r="W76" s="510">
        <f t="shared" si="26"/>
        <v>1.1612521784829643E-2</v>
      </c>
      <c r="X76" s="510"/>
      <c r="Y76" s="182"/>
    </row>
    <row r="77" spans="1:25" ht="12" customHeight="1">
      <c r="A77" s="256"/>
      <c r="C77" s="135" t="s">
        <v>107</v>
      </c>
      <c r="D77" s="186">
        <f>D80</f>
        <v>1615992</v>
      </c>
      <c r="E77" s="186"/>
      <c r="F77" s="186"/>
      <c r="G77" s="186"/>
      <c r="H77" s="186">
        <f t="shared" si="21"/>
        <v>1615992</v>
      </c>
      <c r="I77" s="186"/>
      <c r="J77" s="186">
        <f>J80</f>
        <v>0</v>
      </c>
      <c r="K77" s="186">
        <f t="shared" si="27"/>
        <v>1615992</v>
      </c>
      <c r="L77" s="186">
        <f>L80</f>
        <v>0</v>
      </c>
      <c r="M77" s="186">
        <f t="shared" ref="M77:R77" si="30">M80</f>
        <v>0</v>
      </c>
      <c r="N77" s="186"/>
      <c r="O77" s="186">
        <f t="shared" si="30"/>
        <v>0</v>
      </c>
      <c r="P77" s="186">
        <f t="shared" si="23"/>
        <v>0</v>
      </c>
      <c r="Q77" s="186">
        <f t="shared" si="30"/>
        <v>0</v>
      </c>
      <c r="R77" s="186">
        <f t="shared" si="30"/>
        <v>0</v>
      </c>
      <c r="S77" s="187">
        <f t="shared" si="22"/>
        <v>1615992</v>
      </c>
      <c r="T77" s="186">
        <f t="shared" ref="T77" si="31">T80</f>
        <v>1615992</v>
      </c>
      <c r="U77" s="186">
        <f t="shared" si="24"/>
        <v>0</v>
      </c>
      <c r="V77" s="186">
        <f t="shared" si="25"/>
        <v>0</v>
      </c>
      <c r="W77" s="513">
        <f t="shared" si="26"/>
        <v>0</v>
      </c>
      <c r="X77" s="513"/>
      <c r="Y77" s="186"/>
    </row>
    <row r="78" spans="1:25" ht="12" customHeight="1">
      <c r="A78" s="256"/>
      <c r="C78" s="144" t="s">
        <v>176</v>
      </c>
      <c r="D78" s="191"/>
      <c r="E78" s="191"/>
      <c r="F78" s="191"/>
      <c r="G78" s="191"/>
      <c r="H78" s="191">
        <f t="shared" si="21"/>
        <v>0</v>
      </c>
      <c r="I78" s="191"/>
      <c r="J78" s="191"/>
      <c r="K78" s="191">
        <f t="shared" si="27"/>
        <v>0</v>
      </c>
      <c r="L78" s="191"/>
      <c r="M78" s="191"/>
      <c r="N78" s="191"/>
      <c r="O78" s="191"/>
      <c r="P78" s="191">
        <f t="shared" si="23"/>
        <v>0</v>
      </c>
      <c r="Q78" s="191"/>
      <c r="R78" s="191"/>
      <c r="S78" s="209">
        <f t="shared" si="22"/>
        <v>0</v>
      </c>
      <c r="T78" s="185">
        <v>0</v>
      </c>
      <c r="U78" s="185">
        <f t="shared" si="24"/>
        <v>0</v>
      </c>
      <c r="V78" s="185">
        <f t="shared" si="25"/>
        <v>0</v>
      </c>
      <c r="W78" s="512" t="str">
        <f t="shared" si="26"/>
        <v/>
      </c>
      <c r="X78" s="512"/>
      <c r="Y78" s="185"/>
    </row>
    <row r="79" spans="1:25" ht="12" customHeight="1">
      <c r="A79" s="256"/>
      <c r="C79" s="145" t="s">
        <v>255</v>
      </c>
      <c r="D79" s="196">
        <v>4940490</v>
      </c>
      <c r="E79" s="196"/>
      <c r="F79" s="196"/>
      <c r="G79" s="196"/>
      <c r="H79" s="196">
        <f t="shared" si="21"/>
        <v>4940490</v>
      </c>
      <c r="I79" s="196"/>
      <c r="J79" s="196">
        <v>1824758</v>
      </c>
      <c r="K79" s="196">
        <f t="shared" si="27"/>
        <v>3115732</v>
      </c>
      <c r="L79" s="196"/>
      <c r="M79" s="196"/>
      <c r="N79" s="196"/>
      <c r="O79" s="196"/>
      <c r="P79" s="196">
        <f t="shared" si="23"/>
        <v>0</v>
      </c>
      <c r="Q79" s="196">
        <v>1884860</v>
      </c>
      <c r="R79" s="196"/>
      <c r="S79" s="209">
        <f t="shared" si="22"/>
        <v>5000592</v>
      </c>
      <c r="T79" s="185">
        <v>5000592</v>
      </c>
      <c r="U79" s="185">
        <f t="shared" si="24"/>
        <v>0</v>
      </c>
      <c r="V79" s="185">
        <f t="shared" si="25"/>
        <v>60102</v>
      </c>
      <c r="W79" s="512">
        <f t="shared" si="26"/>
        <v>1.2165190092480705E-2</v>
      </c>
      <c r="X79" s="512"/>
      <c r="Y79" s="185"/>
    </row>
    <row r="80" spans="1:25" ht="12" customHeight="1">
      <c r="A80" s="256"/>
      <c r="C80" s="142" t="s">
        <v>107</v>
      </c>
      <c r="D80" s="186">
        <v>1615992</v>
      </c>
      <c r="E80" s="186"/>
      <c r="F80" s="186"/>
      <c r="G80" s="186"/>
      <c r="H80" s="186">
        <f t="shared" si="21"/>
        <v>1615992</v>
      </c>
      <c r="I80" s="186"/>
      <c r="J80" s="186"/>
      <c r="K80" s="186">
        <f t="shared" si="27"/>
        <v>1615992</v>
      </c>
      <c r="L80" s="186"/>
      <c r="M80" s="186"/>
      <c r="N80" s="186"/>
      <c r="O80" s="186"/>
      <c r="P80" s="186">
        <f t="shared" si="23"/>
        <v>0</v>
      </c>
      <c r="Q80" s="186"/>
      <c r="R80" s="186"/>
      <c r="S80" s="187">
        <f t="shared" si="22"/>
        <v>1615992</v>
      </c>
      <c r="T80" s="186">
        <v>1615992</v>
      </c>
      <c r="U80" s="186">
        <f t="shared" si="24"/>
        <v>0</v>
      </c>
      <c r="V80" s="186">
        <f t="shared" si="25"/>
        <v>0</v>
      </c>
      <c r="W80" s="513">
        <f t="shared" si="26"/>
        <v>0</v>
      </c>
      <c r="X80" s="513"/>
      <c r="Y80" s="186"/>
    </row>
    <row r="81" spans="1:25" ht="12" customHeight="1">
      <c r="A81" s="256"/>
      <c r="C81" s="802" t="s">
        <v>851</v>
      </c>
      <c r="D81" s="814">
        <v>3284341</v>
      </c>
      <c r="E81" s="814"/>
      <c r="F81" s="814"/>
      <c r="G81" s="814"/>
      <c r="H81" s="814">
        <f t="shared" si="21"/>
        <v>3284341</v>
      </c>
      <c r="I81" s="814"/>
      <c r="J81" s="814"/>
      <c r="K81" s="814">
        <f t="shared" si="27"/>
        <v>3284341</v>
      </c>
      <c r="L81" s="814"/>
      <c r="M81" s="814"/>
      <c r="N81" s="814"/>
      <c r="O81" s="814">
        <f t="shared" ref="O81:O82" si="32">SUM(L81:N81)</f>
        <v>0</v>
      </c>
      <c r="P81" s="814">
        <f t="shared" si="23"/>
        <v>0</v>
      </c>
      <c r="Q81" s="814"/>
      <c r="R81" s="815"/>
      <c r="S81" s="815">
        <v>3284341</v>
      </c>
      <c r="T81" s="815">
        <f t="shared" ref="T81:T82" si="33">S81-R81</f>
        <v>3284341</v>
      </c>
      <c r="U81" s="815">
        <f t="shared" si="24"/>
        <v>0</v>
      </c>
      <c r="V81" s="816">
        <f t="shared" si="25"/>
        <v>0</v>
      </c>
      <c r="W81" s="816">
        <f t="shared" si="26"/>
        <v>0</v>
      </c>
      <c r="X81" s="815"/>
      <c r="Y81" s="821"/>
    </row>
    <row r="82" spans="1:25" ht="12" customHeight="1">
      <c r="A82" s="256"/>
      <c r="C82" s="804" t="s">
        <v>214</v>
      </c>
      <c r="D82" s="812">
        <v>1656149</v>
      </c>
      <c r="E82" s="812"/>
      <c r="F82" s="812"/>
      <c r="G82" s="812"/>
      <c r="H82" s="812">
        <f t="shared" si="21"/>
        <v>1656149</v>
      </c>
      <c r="I82" s="812"/>
      <c r="J82" s="812"/>
      <c r="K82" s="812">
        <f t="shared" si="27"/>
        <v>1656149</v>
      </c>
      <c r="L82" s="812"/>
      <c r="M82" s="812"/>
      <c r="N82" s="812"/>
      <c r="O82" s="814">
        <f t="shared" si="32"/>
        <v>0</v>
      </c>
      <c r="P82" s="812">
        <f t="shared" si="23"/>
        <v>0</v>
      </c>
      <c r="Q82" s="812"/>
      <c r="R82" s="815"/>
      <c r="S82" s="815">
        <v>1656149</v>
      </c>
      <c r="T82" s="815">
        <f t="shared" si="33"/>
        <v>1656149</v>
      </c>
      <c r="U82" s="815">
        <f t="shared" si="24"/>
        <v>0</v>
      </c>
      <c r="V82" s="816">
        <f t="shared" si="25"/>
        <v>0</v>
      </c>
      <c r="W82" s="816">
        <f t="shared" si="26"/>
        <v>0</v>
      </c>
      <c r="X82" s="815"/>
      <c r="Y82" s="821"/>
    </row>
    <row r="83" spans="1:25" ht="12" customHeight="1">
      <c r="A83" s="256"/>
      <c r="C83" s="804"/>
      <c r="D83" s="159"/>
      <c r="E83" s="159"/>
      <c r="F83" s="159"/>
      <c r="G83" s="159"/>
      <c r="H83" s="159"/>
      <c r="I83" s="159"/>
      <c r="J83" s="159"/>
      <c r="K83" s="159">
        <f t="shared" si="27"/>
        <v>0</v>
      </c>
      <c r="L83" s="159"/>
      <c r="M83" s="159"/>
      <c r="N83" s="159"/>
      <c r="O83" s="159"/>
      <c r="P83" s="159">
        <f t="shared" si="23"/>
        <v>0</v>
      </c>
      <c r="Q83" s="159"/>
      <c r="R83" s="159"/>
      <c r="S83" s="209"/>
      <c r="T83" s="185"/>
      <c r="U83" s="185">
        <f t="shared" si="24"/>
        <v>0</v>
      </c>
      <c r="V83" s="185">
        <f t="shared" si="25"/>
        <v>0</v>
      </c>
      <c r="W83" s="512" t="str">
        <f t="shared" si="26"/>
        <v/>
      </c>
      <c r="X83" s="512"/>
      <c r="Y83" s="185"/>
    </row>
    <row r="84" spans="1:25" ht="12" customHeight="1">
      <c r="A84" s="256"/>
      <c r="C84" s="144" t="s">
        <v>176</v>
      </c>
      <c r="D84" s="191"/>
      <c r="E84" s="191"/>
      <c r="F84" s="191"/>
      <c r="G84" s="191"/>
      <c r="H84" s="191">
        <f t="shared" si="21"/>
        <v>0</v>
      </c>
      <c r="I84" s="191"/>
      <c r="J84" s="191"/>
      <c r="K84" s="191">
        <f t="shared" si="27"/>
        <v>0</v>
      </c>
      <c r="L84" s="191"/>
      <c r="M84" s="191"/>
      <c r="N84" s="191"/>
      <c r="O84" s="191"/>
      <c r="P84" s="191">
        <f t="shared" si="23"/>
        <v>0</v>
      </c>
      <c r="Q84" s="191"/>
      <c r="R84" s="191"/>
      <c r="S84" s="209">
        <f t="shared" si="22"/>
        <v>0</v>
      </c>
      <c r="T84" s="185">
        <v>0</v>
      </c>
      <c r="U84" s="185">
        <f t="shared" si="24"/>
        <v>0</v>
      </c>
      <c r="V84" s="185">
        <f t="shared" si="25"/>
        <v>0</v>
      </c>
      <c r="W84" s="512" t="str">
        <f t="shared" si="26"/>
        <v/>
      </c>
      <c r="X84" s="512"/>
      <c r="Y84" s="185"/>
    </row>
    <row r="85" spans="1:25" ht="12" customHeight="1">
      <c r="A85" s="256"/>
      <c r="C85" s="145" t="s">
        <v>189</v>
      </c>
      <c r="D85" s="196">
        <v>26910</v>
      </c>
      <c r="E85" s="196"/>
      <c r="F85" s="196"/>
      <c r="G85" s="196"/>
      <c r="H85" s="196">
        <f t="shared" si="21"/>
        <v>26910</v>
      </c>
      <c r="I85" s="196"/>
      <c r="J85" s="196"/>
      <c r="K85" s="196">
        <f t="shared" si="27"/>
        <v>26910</v>
      </c>
      <c r="L85" s="196"/>
      <c r="M85" s="196"/>
      <c r="N85" s="196"/>
      <c r="O85" s="196"/>
      <c r="P85" s="196">
        <f t="shared" si="23"/>
        <v>0</v>
      </c>
      <c r="Q85" s="196"/>
      <c r="R85" s="196"/>
      <c r="S85" s="209">
        <f t="shared" si="22"/>
        <v>26910</v>
      </c>
      <c r="T85" s="185">
        <v>26910</v>
      </c>
      <c r="U85" s="185">
        <f t="shared" si="24"/>
        <v>0</v>
      </c>
      <c r="V85" s="185">
        <f t="shared" si="25"/>
        <v>0</v>
      </c>
      <c r="W85" s="512">
        <f t="shared" si="26"/>
        <v>0</v>
      </c>
      <c r="X85" s="512"/>
      <c r="Y85" s="185"/>
    </row>
    <row r="86" spans="1:25" ht="12" customHeight="1">
      <c r="A86" s="256"/>
      <c r="C86" s="145"/>
      <c r="D86" s="196"/>
      <c r="E86" s="196"/>
      <c r="F86" s="196"/>
      <c r="G86" s="196"/>
      <c r="H86" s="196">
        <f t="shared" si="21"/>
        <v>0</v>
      </c>
      <c r="I86" s="196"/>
      <c r="J86" s="196"/>
      <c r="K86" s="196">
        <f t="shared" si="27"/>
        <v>0</v>
      </c>
      <c r="L86" s="196"/>
      <c r="M86" s="196"/>
      <c r="N86" s="196"/>
      <c r="O86" s="196"/>
      <c r="P86" s="196">
        <f t="shared" si="23"/>
        <v>0</v>
      </c>
      <c r="Q86" s="196"/>
      <c r="R86" s="196"/>
      <c r="S86" s="209">
        <f t="shared" si="22"/>
        <v>0</v>
      </c>
      <c r="T86" s="185">
        <v>0</v>
      </c>
      <c r="U86" s="185">
        <f t="shared" si="24"/>
        <v>0</v>
      </c>
      <c r="V86" s="185">
        <f t="shared" si="25"/>
        <v>0</v>
      </c>
      <c r="W86" s="512" t="str">
        <f t="shared" si="26"/>
        <v/>
      </c>
      <c r="X86" s="512"/>
      <c r="Y86" s="185"/>
    </row>
    <row r="87" spans="1:25" ht="12" customHeight="1">
      <c r="A87" s="256"/>
      <c r="C87" s="149"/>
      <c r="D87" s="200"/>
      <c r="E87" s="200"/>
      <c r="F87" s="200"/>
      <c r="G87" s="200"/>
      <c r="H87" s="200">
        <f t="shared" si="21"/>
        <v>0</v>
      </c>
      <c r="I87" s="200"/>
      <c r="J87" s="200"/>
      <c r="K87" s="200">
        <f t="shared" si="27"/>
        <v>0</v>
      </c>
      <c r="L87" s="200"/>
      <c r="M87" s="200"/>
      <c r="N87" s="200"/>
      <c r="O87" s="200"/>
      <c r="P87" s="200">
        <f t="shared" si="23"/>
        <v>0</v>
      </c>
      <c r="Q87" s="200"/>
      <c r="R87" s="200"/>
      <c r="S87" s="209">
        <f t="shared" si="22"/>
        <v>0</v>
      </c>
      <c r="T87" s="185">
        <v>0</v>
      </c>
      <c r="U87" s="185">
        <f t="shared" si="24"/>
        <v>0</v>
      </c>
      <c r="V87" s="185">
        <f t="shared" si="25"/>
        <v>0</v>
      </c>
      <c r="W87" s="512" t="str">
        <f t="shared" si="26"/>
        <v/>
      </c>
      <c r="X87" s="512"/>
      <c r="Y87" s="185"/>
    </row>
    <row r="88" spans="1:25">
      <c r="A88" s="256"/>
      <c r="C88" s="144" t="s">
        <v>176</v>
      </c>
      <c r="D88" s="191"/>
      <c r="E88" s="191"/>
      <c r="F88" s="191"/>
      <c r="G88" s="191"/>
      <c r="H88" s="191">
        <f t="shared" si="21"/>
        <v>0</v>
      </c>
      <c r="I88" s="191"/>
      <c r="J88" s="191"/>
      <c r="K88" s="191">
        <f t="shared" si="27"/>
        <v>0</v>
      </c>
      <c r="L88" s="191"/>
      <c r="M88" s="191"/>
      <c r="N88" s="191"/>
      <c r="O88" s="191"/>
      <c r="P88" s="191">
        <f t="shared" si="23"/>
        <v>0</v>
      </c>
      <c r="Q88" s="191"/>
      <c r="R88" s="191"/>
      <c r="S88" s="209">
        <f t="shared" si="22"/>
        <v>0</v>
      </c>
      <c r="T88" s="185">
        <v>0</v>
      </c>
      <c r="U88" s="185">
        <f t="shared" si="24"/>
        <v>0</v>
      </c>
      <c r="V88" s="185">
        <f t="shared" si="25"/>
        <v>0</v>
      </c>
      <c r="W88" s="512" t="str">
        <f t="shared" si="26"/>
        <v/>
      </c>
      <c r="X88" s="512"/>
      <c r="Y88" s="185"/>
    </row>
    <row r="89" spans="1:25">
      <c r="A89" s="256"/>
      <c r="C89" s="145" t="s">
        <v>190</v>
      </c>
      <c r="D89" s="196">
        <v>137000</v>
      </c>
      <c r="E89" s="196"/>
      <c r="F89" s="196"/>
      <c r="G89" s="196"/>
      <c r="H89" s="196">
        <f t="shared" si="21"/>
        <v>137000</v>
      </c>
      <c r="I89" s="196"/>
      <c r="J89" s="196"/>
      <c r="K89" s="196">
        <f t="shared" si="27"/>
        <v>137000</v>
      </c>
      <c r="L89" s="196"/>
      <c r="M89" s="196"/>
      <c r="N89" s="196"/>
      <c r="O89" s="196"/>
      <c r="P89" s="196">
        <f t="shared" si="23"/>
        <v>0</v>
      </c>
      <c r="Q89" s="196"/>
      <c r="R89" s="196"/>
      <c r="S89" s="209">
        <f t="shared" si="22"/>
        <v>137000</v>
      </c>
      <c r="T89" s="185">
        <v>137000</v>
      </c>
      <c r="U89" s="185">
        <f t="shared" si="24"/>
        <v>0</v>
      </c>
      <c r="V89" s="185">
        <f t="shared" si="25"/>
        <v>0</v>
      </c>
      <c r="W89" s="512">
        <f t="shared" si="26"/>
        <v>0</v>
      </c>
      <c r="X89" s="512"/>
      <c r="Y89" s="185"/>
    </row>
    <row r="90" spans="1:25">
      <c r="A90" s="256"/>
      <c r="C90" s="149"/>
      <c r="D90" s="200"/>
      <c r="E90" s="200"/>
      <c r="F90" s="200"/>
      <c r="G90" s="200"/>
      <c r="H90" s="200">
        <f t="shared" si="21"/>
        <v>0</v>
      </c>
      <c r="I90" s="200"/>
      <c r="J90" s="200"/>
      <c r="K90" s="200">
        <f t="shared" si="27"/>
        <v>0</v>
      </c>
      <c r="L90" s="200"/>
      <c r="M90" s="200"/>
      <c r="N90" s="200"/>
      <c r="O90" s="200"/>
      <c r="P90" s="200">
        <f t="shared" si="23"/>
        <v>0</v>
      </c>
      <c r="Q90" s="200"/>
      <c r="R90" s="200"/>
      <c r="S90" s="209">
        <f t="shared" si="22"/>
        <v>0</v>
      </c>
      <c r="T90" s="185">
        <v>0</v>
      </c>
      <c r="U90" s="185">
        <f t="shared" si="24"/>
        <v>0</v>
      </c>
      <c r="V90" s="185">
        <f t="shared" si="25"/>
        <v>0</v>
      </c>
      <c r="W90" s="512" t="str">
        <f t="shared" si="26"/>
        <v/>
      </c>
      <c r="X90" s="512"/>
      <c r="Y90" s="185"/>
    </row>
    <row r="91" spans="1:25">
      <c r="A91" s="256"/>
      <c r="C91" s="149"/>
      <c r="D91" s="200"/>
      <c r="E91" s="200"/>
      <c r="F91" s="200"/>
      <c r="G91" s="200"/>
      <c r="H91" s="200">
        <f t="shared" si="21"/>
        <v>0</v>
      </c>
      <c r="I91" s="200"/>
      <c r="J91" s="200"/>
      <c r="K91" s="200">
        <f t="shared" si="27"/>
        <v>0</v>
      </c>
      <c r="L91" s="200"/>
      <c r="M91" s="200"/>
      <c r="N91" s="200"/>
      <c r="O91" s="200"/>
      <c r="P91" s="200">
        <f t="shared" si="23"/>
        <v>0</v>
      </c>
      <c r="Q91" s="200"/>
      <c r="R91" s="200"/>
      <c r="S91" s="209">
        <f t="shared" si="22"/>
        <v>0</v>
      </c>
      <c r="T91" s="185">
        <v>0</v>
      </c>
      <c r="U91" s="185">
        <f t="shared" si="24"/>
        <v>0</v>
      </c>
      <c r="V91" s="185">
        <f t="shared" si="25"/>
        <v>0</v>
      </c>
      <c r="W91" s="512" t="str">
        <f t="shared" si="26"/>
        <v/>
      </c>
      <c r="X91" s="512"/>
      <c r="Y91" s="185"/>
    </row>
    <row r="92" spans="1:25">
      <c r="A92" s="256"/>
      <c r="C92" s="144" t="s">
        <v>176</v>
      </c>
      <c r="D92" s="191"/>
      <c r="E92" s="191"/>
      <c r="F92" s="191"/>
      <c r="G92" s="191"/>
      <c r="H92" s="191">
        <f t="shared" si="21"/>
        <v>0</v>
      </c>
      <c r="I92" s="191"/>
      <c r="J92" s="191"/>
      <c r="K92" s="191">
        <f t="shared" si="27"/>
        <v>0</v>
      </c>
      <c r="L92" s="191"/>
      <c r="M92" s="191"/>
      <c r="N92" s="191"/>
      <c r="O92" s="191"/>
      <c r="P92" s="191">
        <f t="shared" si="23"/>
        <v>0</v>
      </c>
      <c r="Q92" s="191"/>
      <c r="R92" s="191"/>
      <c r="S92" s="209">
        <f t="shared" si="22"/>
        <v>0</v>
      </c>
      <c r="T92" s="185">
        <v>0</v>
      </c>
      <c r="U92" s="185">
        <f t="shared" si="24"/>
        <v>0</v>
      </c>
      <c r="V92" s="185">
        <f t="shared" si="25"/>
        <v>0</v>
      </c>
      <c r="W92" s="512" t="str">
        <f t="shared" si="26"/>
        <v/>
      </c>
      <c r="X92" s="512"/>
      <c r="Y92" s="185"/>
    </row>
    <row r="93" spans="1:25">
      <c r="A93" s="256"/>
      <c r="C93" s="145" t="s">
        <v>191</v>
      </c>
      <c r="D93" s="196">
        <v>16220</v>
      </c>
      <c r="E93" s="196"/>
      <c r="F93" s="196"/>
      <c r="G93" s="196"/>
      <c r="H93" s="196">
        <f t="shared" si="21"/>
        <v>16220</v>
      </c>
      <c r="I93" s="196"/>
      <c r="J93" s="196"/>
      <c r="K93" s="196">
        <f t="shared" si="27"/>
        <v>16220</v>
      </c>
      <c r="L93" s="196"/>
      <c r="M93" s="196"/>
      <c r="N93" s="196"/>
      <c r="O93" s="196"/>
      <c r="P93" s="196">
        <f t="shared" si="23"/>
        <v>0</v>
      </c>
      <c r="Q93" s="196"/>
      <c r="R93" s="196"/>
      <c r="S93" s="209">
        <f t="shared" si="22"/>
        <v>16220</v>
      </c>
      <c r="T93" s="185">
        <v>16220</v>
      </c>
      <c r="U93" s="185">
        <f t="shared" si="24"/>
        <v>0</v>
      </c>
      <c r="V93" s="185">
        <f t="shared" si="25"/>
        <v>0</v>
      </c>
      <c r="W93" s="512">
        <f t="shared" si="26"/>
        <v>0</v>
      </c>
      <c r="X93" s="512"/>
      <c r="Y93" s="185"/>
    </row>
    <row r="94" spans="1:25">
      <c r="A94" s="256"/>
      <c r="C94" s="149"/>
      <c r="D94" s="200"/>
      <c r="E94" s="200"/>
      <c r="F94" s="200"/>
      <c r="G94" s="200"/>
      <c r="H94" s="200">
        <f t="shared" si="21"/>
        <v>0</v>
      </c>
      <c r="I94" s="200"/>
      <c r="J94" s="200"/>
      <c r="K94" s="200">
        <f t="shared" si="27"/>
        <v>0</v>
      </c>
      <c r="L94" s="200"/>
      <c r="M94" s="200"/>
      <c r="N94" s="200"/>
      <c r="O94" s="200"/>
      <c r="P94" s="200">
        <f t="shared" si="23"/>
        <v>0</v>
      </c>
      <c r="Q94" s="200"/>
      <c r="R94" s="200"/>
      <c r="S94" s="209">
        <f t="shared" si="22"/>
        <v>0</v>
      </c>
      <c r="T94" s="185">
        <v>0</v>
      </c>
      <c r="U94" s="185">
        <f t="shared" si="24"/>
        <v>0</v>
      </c>
      <c r="V94" s="185">
        <f t="shared" si="25"/>
        <v>0</v>
      </c>
      <c r="W94" s="512" t="str">
        <f t="shared" si="26"/>
        <v/>
      </c>
      <c r="X94" s="512"/>
      <c r="Y94" s="185"/>
    </row>
    <row r="95" spans="1:25">
      <c r="A95" s="256"/>
      <c r="C95" s="149"/>
      <c r="D95" s="200"/>
      <c r="E95" s="200"/>
      <c r="F95" s="200"/>
      <c r="G95" s="200"/>
      <c r="H95" s="200">
        <f t="shared" si="21"/>
        <v>0</v>
      </c>
      <c r="I95" s="200"/>
      <c r="J95" s="200"/>
      <c r="K95" s="200">
        <f t="shared" si="27"/>
        <v>0</v>
      </c>
      <c r="L95" s="200"/>
      <c r="M95" s="200"/>
      <c r="N95" s="200"/>
      <c r="O95" s="200"/>
      <c r="P95" s="200">
        <f t="shared" si="23"/>
        <v>0</v>
      </c>
      <c r="Q95" s="200"/>
      <c r="R95" s="200"/>
      <c r="S95" s="209">
        <f t="shared" si="22"/>
        <v>0</v>
      </c>
      <c r="T95" s="185">
        <v>0</v>
      </c>
      <c r="U95" s="185">
        <f t="shared" si="24"/>
        <v>0</v>
      </c>
      <c r="V95" s="185">
        <f t="shared" si="25"/>
        <v>0</v>
      </c>
      <c r="W95" s="512" t="str">
        <f t="shared" si="26"/>
        <v/>
      </c>
      <c r="X95" s="512"/>
      <c r="Y95" s="185"/>
    </row>
    <row r="96" spans="1:25">
      <c r="A96" s="256"/>
      <c r="C96" s="144" t="s">
        <v>176</v>
      </c>
      <c r="D96" s="191"/>
      <c r="E96" s="191"/>
      <c r="F96" s="191"/>
      <c r="G96" s="191"/>
      <c r="H96" s="191">
        <f t="shared" si="21"/>
        <v>0</v>
      </c>
      <c r="I96" s="191"/>
      <c r="J96" s="191"/>
      <c r="K96" s="191">
        <f t="shared" si="27"/>
        <v>0</v>
      </c>
      <c r="L96" s="191"/>
      <c r="M96" s="191"/>
      <c r="N96" s="191"/>
      <c r="O96" s="191"/>
      <c r="P96" s="191">
        <f t="shared" si="23"/>
        <v>0</v>
      </c>
      <c r="Q96" s="191"/>
      <c r="R96" s="191"/>
      <c r="S96" s="209">
        <f t="shared" si="22"/>
        <v>0</v>
      </c>
      <c r="T96" s="185">
        <v>0</v>
      </c>
      <c r="U96" s="185">
        <f t="shared" si="24"/>
        <v>0</v>
      </c>
      <c r="V96" s="185">
        <f t="shared" si="25"/>
        <v>0</v>
      </c>
      <c r="W96" s="512" t="str">
        <f t="shared" si="26"/>
        <v/>
      </c>
      <c r="X96" s="512"/>
      <c r="Y96" s="185"/>
    </row>
    <row r="97" spans="1:25">
      <c r="A97" s="256"/>
      <c r="C97" s="145" t="s">
        <v>192</v>
      </c>
      <c r="D97" s="196">
        <f>50000+5000</f>
        <v>55000</v>
      </c>
      <c r="E97" s="196"/>
      <c r="F97" s="196"/>
      <c r="G97" s="196"/>
      <c r="H97" s="196">
        <f t="shared" si="21"/>
        <v>55000</v>
      </c>
      <c r="I97" s="196"/>
      <c r="J97" s="196"/>
      <c r="K97" s="196">
        <f t="shared" si="27"/>
        <v>55000</v>
      </c>
      <c r="L97" s="196"/>
      <c r="M97" s="196"/>
      <c r="N97" s="196"/>
      <c r="O97" s="196"/>
      <c r="P97" s="196">
        <f t="shared" si="23"/>
        <v>0</v>
      </c>
      <c r="Q97" s="196"/>
      <c r="R97" s="196"/>
      <c r="S97" s="209">
        <f t="shared" si="22"/>
        <v>55000</v>
      </c>
      <c r="T97" s="185">
        <v>55000</v>
      </c>
      <c r="U97" s="185">
        <f t="shared" si="24"/>
        <v>0</v>
      </c>
      <c r="V97" s="185">
        <f t="shared" si="25"/>
        <v>0</v>
      </c>
      <c r="W97" s="512">
        <f t="shared" si="26"/>
        <v>0</v>
      </c>
      <c r="X97" s="512"/>
      <c r="Y97" s="185"/>
    </row>
    <row r="98" spans="1:25">
      <c r="A98" s="256"/>
      <c r="C98" s="149"/>
      <c r="D98" s="200"/>
      <c r="E98" s="200"/>
      <c r="F98" s="200"/>
      <c r="G98" s="200"/>
      <c r="H98" s="200">
        <f t="shared" si="21"/>
        <v>0</v>
      </c>
      <c r="I98" s="200"/>
      <c r="J98" s="200"/>
      <c r="K98" s="200">
        <f t="shared" si="27"/>
        <v>0</v>
      </c>
      <c r="L98" s="200"/>
      <c r="M98" s="200"/>
      <c r="N98" s="200"/>
      <c r="O98" s="200"/>
      <c r="P98" s="200">
        <f t="shared" si="23"/>
        <v>0</v>
      </c>
      <c r="Q98" s="200"/>
      <c r="R98" s="200"/>
      <c r="S98" s="209">
        <f t="shared" si="22"/>
        <v>0</v>
      </c>
      <c r="T98" s="185">
        <v>0</v>
      </c>
      <c r="U98" s="185">
        <f t="shared" si="24"/>
        <v>0</v>
      </c>
      <c r="V98" s="185">
        <f t="shared" si="25"/>
        <v>0</v>
      </c>
      <c r="W98" s="512" t="str">
        <f t="shared" si="26"/>
        <v/>
      </c>
      <c r="X98" s="512"/>
      <c r="Y98" s="185"/>
    </row>
    <row r="99" spans="1:25">
      <c r="A99" s="256"/>
      <c r="C99" s="149"/>
      <c r="D99" s="200"/>
      <c r="E99" s="200"/>
      <c r="F99" s="200"/>
      <c r="G99" s="200"/>
      <c r="H99" s="200">
        <f t="shared" si="21"/>
        <v>0</v>
      </c>
      <c r="I99" s="200"/>
      <c r="J99" s="200"/>
      <c r="K99" s="200">
        <f t="shared" si="27"/>
        <v>0</v>
      </c>
      <c r="L99" s="200"/>
      <c r="M99" s="200"/>
      <c r="N99" s="200"/>
      <c r="O99" s="200"/>
      <c r="P99" s="200">
        <f t="shared" si="23"/>
        <v>0</v>
      </c>
      <c r="Q99" s="200"/>
      <c r="R99" s="200"/>
      <c r="S99" s="209">
        <f t="shared" si="22"/>
        <v>0</v>
      </c>
      <c r="T99" s="185">
        <v>0</v>
      </c>
      <c r="U99" s="185">
        <f t="shared" si="24"/>
        <v>0</v>
      </c>
      <c r="V99" s="185">
        <f t="shared" si="25"/>
        <v>0</v>
      </c>
      <c r="W99" s="512" t="str">
        <f t="shared" si="26"/>
        <v/>
      </c>
      <c r="X99" s="512"/>
      <c r="Y99" s="185"/>
    </row>
    <row r="100" spans="1:25">
      <c r="A100" s="256"/>
      <c r="C100" s="134" t="s">
        <v>193</v>
      </c>
      <c r="D100" s="191">
        <f>D103+D107+D112+D117+D129+D144+D148+D153+D158+D163</f>
        <v>4235033</v>
      </c>
      <c r="E100" s="191"/>
      <c r="F100" s="191"/>
      <c r="G100" s="191"/>
      <c r="H100" s="191">
        <f t="shared" si="21"/>
        <v>4235033</v>
      </c>
      <c r="I100" s="191"/>
      <c r="J100" s="191">
        <f>J103+J107+J112+J117+J129+J144+J148+J153+J158+J163</f>
        <v>304361</v>
      </c>
      <c r="K100" s="191">
        <f t="shared" si="27"/>
        <v>3930672</v>
      </c>
      <c r="L100" s="191">
        <f>L103+L107+L112+L117+L129+L144+L148+L153+L158+L163</f>
        <v>0</v>
      </c>
      <c r="M100" s="191">
        <f>M103+M107+M112+M117+M129+M144+M148+M153+M158+M163</f>
        <v>41000</v>
      </c>
      <c r="N100" s="191"/>
      <c r="O100" s="191">
        <f>O103+O107+O112+O117+O129+O144+O148+O153+O158+O163</f>
        <v>0</v>
      </c>
      <c r="P100" s="191">
        <f t="shared" si="23"/>
        <v>41000</v>
      </c>
      <c r="Q100" s="191">
        <f>Q103+Q107+Q112+Q117+Q129+Q144+Q148+Q153+Q158+Q163</f>
        <v>272457</v>
      </c>
      <c r="R100" s="191">
        <f>R103+R107+R112+R117+R129+R144+R148+R153+R158+R163</f>
        <v>0</v>
      </c>
      <c r="S100" s="496">
        <f t="shared" si="22"/>
        <v>4244129</v>
      </c>
      <c r="T100" s="191">
        <f>T103+T107+T112+T117+T129+T144+T148+T153+T158+T163</f>
        <v>4244129</v>
      </c>
      <c r="U100" s="191">
        <f t="shared" si="24"/>
        <v>0</v>
      </c>
      <c r="V100" s="182">
        <f t="shared" si="25"/>
        <v>9096</v>
      </c>
      <c r="W100" s="510">
        <f t="shared" si="26"/>
        <v>2.1477990844463312E-3</v>
      </c>
      <c r="X100" s="510"/>
      <c r="Y100" s="182"/>
    </row>
    <row r="101" spans="1:25">
      <c r="A101" s="256"/>
      <c r="C101" s="135" t="s">
        <v>107</v>
      </c>
      <c r="D101" s="186">
        <f>D108+D113+D130+D145+D149+D154+D159+D164</f>
        <v>2402703</v>
      </c>
      <c r="E101" s="186"/>
      <c r="F101" s="186"/>
      <c r="G101" s="186"/>
      <c r="H101" s="186">
        <f t="shared" si="21"/>
        <v>2402703</v>
      </c>
      <c r="I101" s="186"/>
      <c r="J101" s="186">
        <f>J108+J113+J118+J130+J145+J149+J154+J159+J164</f>
        <v>0</v>
      </c>
      <c r="K101" s="186">
        <f t="shared" si="27"/>
        <v>2402703</v>
      </c>
      <c r="L101" s="186">
        <f>L108+L113+L118+L130+L145+L149+L154+L159+L164</f>
        <v>0</v>
      </c>
      <c r="M101" s="186">
        <f>M108+M113+M118+M130+M145+M149+M154+M159+M164</f>
        <v>29940</v>
      </c>
      <c r="N101" s="186"/>
      <c r="O101" s="186">
        <f>O108+O113+O118+O130+O145+O149+O154+O159+O164</f>
        <v>0</v>
      </c>
      <c r="P101" s="186">
        <f t="shared" si="23"/>
        <v>29940</v>
      </c>
      <c r="Q101" s="186">
        <f>Q108+Q113+Q118+Q130+Q145+Q149+Q154+Q159+Q164</f>
        <v>0</v>
      </c>
      <c r="R101" s="186">
        <f>R108+R113+R118+R130+R145+R149+R154+R159+R164</f>
        <v>0</v>
      </c>
      <c r="S101" s="187">
        <f t="shared" si="22"/>
        <v>2432643</v>
      </c>
      <c r="T101" s="186">
        <f>T108+T113+T130+T145+T149+T154+T159+T164</f>
        <v>2432643</v>
      </c>
      <c r="U101" s="186">
        <f t="shared" si="24"/>
        <v>0</v>
      </c>
      <c r="V101" s="186">
        <f t="shared" si="25"/>
        <v>29940</v>
      </c>
      <c r="W101" s="513">
        <f t="shared" si="26"/>
        <v>1.2460965837225824E-2</v>
      </c>
      <c r="X101" s="513"/>
      <c r="Y101" s="186"/>
    </row>
    <row r="102" spans="1:25">
      <c r="A102" s="256"/>
      <c r="C102" s="144" t="s">
        <v>176</v>
      </c>
      <c r="D102" s="191"/>
      <c r="E102" s="191"/>
      <c r="F102" s="191"/>
      <c r="G102" s="191"/>
      <c r="H102" s="191">
        <f t="shared" si="21"/>
        <v>0</v>
      </c>
      <c r="I102" s="191"/>
      <c r="J102" s="191"/>
      <c r="K102" s="191">
        <f t="shared" si="27"/>
        <v>0</v>
      </c>
      <c r="L102" s="191"/>
      <c r="M102" s="191"/>
      <c r="N102" s="191"/>
      <c r="O102" s="191"/>
      <c r="P102" s="191">
        <f t="shared" si="23"/>
        <v>0</v>
      </c>
      <c r="Q102" s="191"/>
      <c r="R102" s="191"/>
      <c r="S102" s="209">
        <f t="shared" si="22"/>
        <v>0</v>
      </c>
      <c r="T102" s="185">
        <v>0</v>
      </c>
      <c r="U102" s="185">
        <f t="shared" si="24"/>
        <v>0</v>
      </c>
      <c r="V102" s="185">
        <f t="shared" si="25"/>
        <v>0</v>
      </c>
      <c r="W102" s="512" t="str">
        <f t="shared" si="26"/>
        <v/>
      </c>
      <c r="X102" s="512"/>
      <c r="Y102" s="185"/>
    </row>
    <row r="103" spans="1:25">
      <c r="A103" s="256"/>
      <c r="C103" s="145" t="s">
        <v>194</v>
      </c>
      <c r="D103" s="196">
        <v>39680</v>
      </c>
      <c r="E103" s="196"/>
      <c r="F103" s="196"/>
      <c r="G103" s="196"/>
      <c r="H103" s="196">
        <f t="shared" si="21"/>
        <v>39680</v>
      </c>
      <c r="I103" s="196"/>
      <c r="J103" s="196"/>
      <c r="K103" s="196">
        <f t="shared" si="27"/>
        <v>39680</v>
      </c>
      <c r="L103" s="196"/>
      <c r="M103" s="196"/>
      <c r="N103" s="196"/>
      <c r="O103" s="196"/>
      <c r="P103" s="196">
        <f t="shared" si="23"/>
        <v>0</v>
      </c>
      <c r="Q103" s="196"/>
      <c r="R103" s="196"/>
      <c r="S103" s="209">
        <f t="shared" si="22"/>
        <v>39680</v>
      </c>
      <c r="T103" s="185">
        <v>39680</v>
      </c>
      <c r="U103" s="185">
        <f t="shared" si="24"/>
        <v>0</v>
      </c>
      <c r="V103" s="185">
        <f t="shared" si="25"/>
        <v>0</v>
      </c>
      <c r="W103" s="512">
        <f t="shared" si="26"/>
        <v>0</v>
      </c>
      <c r="X103" s="512"/>
      <c r="Y103" s="185"/>
    </row>
    <row r="104" spans="1:25">
      <c r="A104" s="256"/>
      <c r="C104" s="145"/>
      <c r="D104" s="196"/>
      <c r="E104" s="196"/>
      <c r="F104" s="196"/>
      <c r="G104" s="196"/>
      <c r="H104" s="196">
        <f t="shared" si="21"/>
        <v>0</v>
      </c>
      <c r="I104" s="196"/>
      <c r="J104" s="196"/>
      <c r="K104" s="196">
        <f t="shared" si="27"/>
        <v>0</v>
      </c>
      <c r="L104" s="196"/>
      <c r="M104" s="196"/>
      <c r="N104" s="196"/>
      <c r="O104" s="196"/>
      <c r="P104" s="196">
        <f t="shared" si="23"/>
        <v>0</v>
      </c>
      <c r="Q104" s="196"/>
      <c r="R104" s="196"/>
      <c r="S104" s="209">
        <f t="shared" si="22"/>
        <v>0</v>
      </c>
      <c r="T104" s="185">
        <v>0</v>
      </c>
      <c r="U104" s="185">
        <f t="shared" si="24"/>
        <v>0</v>
      </c>
      <c r="V104" s="185">
        <f t="shared" si="25"/>
        <v>0</v>
      </c>
      <c r="W104" s="512" t="str">
        <f t="shared" si="26"/>
        <v/>
      </c>
      <c r="X104" s="512"/>
      <c r="Y104" s="185"/>
    </row>
    <row r="105" spans="1:25">
      <c r="A105" s="256"/>
      <c r="C105" s="150"/>
      <c r="D105" s="196"/>
      <c r="E105" s="196"/>
      <c r="F105" s="196"/>
      <c r="G105" s="196"/>
      <c r="H105" s="196">
        <f t="shared" si="21"/>
        <v>0</v>
      </c>
      <c r="I105" s="196"/>
      <c r="J105" s="196"/>
      <c r="K105" s="196">
        <f t="shared" si="27"/>
        <v>0</v>
      </c>
      <c r="L105" s="196"/>
      <c r="M105" s="196"/>
      <c r="N105" s="196"/>
      <c r="O105" s="196"/>
      <c r="P105" s="196">
        <f t="shared" si="23"/>
        <v>0</v>
      </c>
      <c r="Q105" s="196"/>
      <c r="R105" s="196"/>
      <c r="S105" s="209">
        <f t="shared" si="22"/>
        <v>0</v>
      </c>
      <c r="T105" s="185">
        <v>0</v>
      </c>
      <c r="U105" s="185">
        <f t="shared" si="24"/>
        <v>0</v>
      </c>
      <c r="V105" s="185">
        <f t="shared" si="25"/>
        <v>0</v>
      </c>
      <c r="W105" s="512" t="str">
        <f t="shared" si="26"/>
        <v/>
      </c>
      <c r="X105" s="512"/>
      <c r="Y105" s="185"/>
    </row>
    <row r="106" spans="1:25">
      <c r="A106" s="256"/>
      <c r="C106" s="144" t="s">
        <v>176</v>
      </c>
      <c r="D106" s="191"/>
      <c r="E106" s="191"/>
      <c r="F106" s="191"/>
      <c r="G106" s="191"/>
      <c r="H106" s="191">
        <f t="shared" si="21"/>
        <v>0</v>
      </c>
      <c r="I106" s="191"/>
      <c r="J106" s="191"/>
      <c r="K106" s="191">
        <f t="shared" si="27"/>
        <v>0</v>
      </c>
      <c r="L106" s="191"/>
      <c r="M106" s="191"/>
      <c r="N106" s="191"/>
      <c r="O106" s="191"/>
      <c r="P106" s="191">
        <f t="shared" si="23"/>
        <v>0</v>
      </c>
      <c r="Q106" s="191"/>
      <c r="R106" s="191"/>
      <c r="S106" s="209">
        <f t="shared" si="22"/>
        <v>0</v>
      </c>
      <c r="T106" s="185">
        <v>0</v>
      </c>
      <c r="U106" s="185">
        <f t="shared" si="24"/>
        <v>0</v>
      </c>
      <c r="V106" s="185">
        <f t="shared" si="25"/>
        <v>0</v>
      </c>
      <c r="W106" s="512" t="str">
        <f t="shared" si="26"/>
        <v/>
      </c>
      <c r="X106" s="512"/>
      <c r="Y106" s="185"/>
    </row>
    <row r="107" spans="1:25">
      <c r="A107" s="256"/>
      <c r="C107" s="145" t="s">
        <v>195</v>
      </c>
      <c r="D107" s="196">
        <v>541350</v>
      </c>
      <c r="E107" s="196"/>
      <c r="F107" s="196"/>
      <c r="G107" s="196"/>
      <c r="H107" s="196">
        <f t="shared" si="21"/>
        <v>541350</v>
      </c>
      <c r="I107" s="196"/>
      <c r="J107" s="196"/>
      <c r="K107" s="196">
        <f t="shared" si="27"/>
        <v>541350</v>
      </c>
      <c r="L107" s="196"/>
      <c r="M107" s="196"/>
      <c r="N107" s="196"/>
      <c r="O107" s="196"/>
      <c r="P107" s="196">
        <f t="shared" si="23"/>
        <v>0</v>
      </c>
      <c r="Q107" s="196"/>
      <c r="R107" s="196"/>
      <c r="S107" s="209">
        <f t="shared" si="22"/>
        <v>541350</v>
      </c>
      <c r="T107" s="185">
        <v>541350</v>
      </c>
      <c r="U107" s="185">
        <f t="shared" si="24"/>
        <v>0</v>
      </c>
      <c r="V107" s="185">
        <f t="shared" si="25"/>
        <v>0</v>
      </c>
      <c r="W107" s="512">
        <f t="shared" si="26"/>
        <v>0</v>
      </c>
      <c r="X107" s="512"/>
      <c r="Y107" s="185"/>
    </row>
    <row r="108" spans="1:25">
      <c r="A108" s="256"/>
      <c r="C108" s="142" t="s">
        <v>107</v>
      </c>
      <c r="D108" s="186">
        <v>366135</v>
      </c>
      <c r="E108" s="186"/>
      <c r="F108" s="186"/>
      <c r="G108" s="186"/>
      <c r="H108" s="186">
        <f t="shared" si="21"/>
        <v>366135</v>
      </c>
      <c r="I108" s="186"/>
      <c r="J108" s="186"/>
      <c r="K108" s="186">
        <f t="shared" si="27"/>
        <v>366135</v>
      </c>
      <c r="L108" s="186"/>
      <c r="M108" s="186"/>
      <c r="N108" s="186"/>
      <c r="O108" s="186"/>
      <c r="P108" s="186">
        <f t="shared" si="23"/>
        <v>0</v>
      </c>
      <c r="Q108" s="186"/>
      <c r="R108" s="186"/>
      <c r="S108" s="187">
        <f t="shared" si="22"/>
        <v>366135</v>
      </c>
      <c r="T108" s="186">
        <v>366135</v>
      </c>
      <c r="U108" s="186">
        <f t="shared" si="24"/>
        <v>0</v>
      </c>
      <c r="V108" s="186">
        <f t="shared" si="25"/>
        <v>0</v>
      </c>
      <c r="W108" s="513">
        <f t="shared" si="26"/>
        <v>0</v>
      </c>
      <c r="X108" s="513"/>
      <c r="Y108" s="186"/>
    </row>
    <row r="109" spans="1:25">
      <c r="A109" s="256"/>
      <c r="C109" s="145"/>
      <c r="D109" s="196"/>
      <c r="E109" s="196"/>
      <c r="F109" s="196"/>
      <c r="G109" s="196"/>
      <c r="H109" s="196">
        <f t="shared" si="21"/>
        <v>0</v>
      </c>
      <c r="I109" s="196"/>
      <c r="J109" s="196"/>
      <c r="K109" s="196">
        <f t="shared" si="27"/>
        <v>0</v>
      </c>
      <c r="L109" s="196"/>
      <c r="M109" s="196"/>
      <c r="N109" s="196"/>
      <c r="O109" s="196"/>
      <c r="P109" s="196">
        <f t="shared" si="23"/>
        <v>0</v>
      </c>
      <c r="Q109" s="196"/>
      <c r="R109" s="196"/>
      <c r="S109" s="209">
        <f t="shared" si="22"/>
        <v>0</v>
      </c>
      <c r="T109" s="185">
        <v>0</v>
      </c>
      <c r="U109" s="185">
        <f t="shared" si="24"/>
        <v>0</v>
      </c>
      <c r="V109" s="185">
        <f t="shared" si="25"/>
        <v>0</v>
      </c>
      <c r="W109" s="512" t="str">
        <f t="shared" si="26"/>
        <v/>
      </c>
      <c r="X109" s="512"/>
      <c r="Y109" s="185"/>
    </row>
    <row r="110" spans="1:25">
      <c r="A110" s="256"/>
      <c r="C110" s="151"/>
      <c r="D110" s="202"/>
      <c r="E110" s="202"/>
      <c r="F110" s="202"/>
      <c r="G110" s="202"/>
      <c r="H110" s="202">
        <f t="shared" si="21"/>
        <v>0</v>
      </c>
      <c r="I110" s="202"/>
      <c r="J110" s="202"/>
      <c r="K110" s="202">
        <f t="shared" si="27"/>
        <v>0</v>
      </c>
      <c r="L110" s="202"/>
      <c r="M110" s="202"/>
      <c r="N110" s="202"/>
      <c r="O110" s="202"/>
      <c r="P110" s="202">
        <f t="shared" si="23"/>
        <v>0</v>
      </c>
      <c r="Q110" s="202"/>
      <c r="R110" s="202"/>
      <c r="S110" s="209">
        <f t="shared" si="22"/>
        <v>0</v>
      </c>
      <c r="T110" s="185">
        <v>0</v>
      </c>
      <c r="U110" s="185">
        <f t="shared" si="24"/>
        <v>0</v>
      </c>
      <c r="V110" s="185">
        <f t="shared" si="25"/>
        <v>0</v>
      </c>
      <c r="W110" s="512" t="str">
        <f t="shared" si="26"/>
        <v/>
      </c>
      <c r="X110" s="512"/>
      <c r="Y110" s="185"/>
    </row>
    <row r="111" spans="1:25">
      <c r="A111" s="256"/>
      <c r="C111" s="144" t="s">
        <v>176</v>
      </c>
      <c r="D111" s="191"/>
      <c r="E111" s="191"/>
      <c r="F111" s="191"/>
      <c r="G111" s="191"/>
      <c r="H111" s="191">
        <f t="shared" si="21"/>
        <v>0</v>
      </c>
      <c r="I111" s="191"/>
      <c r="J111" s="191"/>
      <c r="K111" s="191">
        <f t="shared" si="27"/>
        <v>0</v>
      </c>
      <c r="L111" s="191"/>
      <c r="M111" s="191"/>
      <c r="N111" s="191"/>
      <c r="O111" s="191"/>
      <c r="P111" s="191">
        <f t="shared" si="23"/>
        <v>0</v>
      </c>
      <c r="Q111" s="191"/>
      <c r="R111" s="191"/>
      <c r="S111" s="209">
        <f t="shared" si="22"/>
        <v>0</v>
      </c>
      <c r="T111" s="185">
        <v>0</v>
      </c>
      <c r="U111" s="185">
        <f t="shared" si="24"/>
        <v>0</v>
      </c>
      <c r="V111" s="185">
        <f t="shared" si="25"/>
        <v>0</v>
      </c>
      <c r="W111" s="512" t="str">
        <f t="shared" si="26"/>
        <v/>
      </c>
      <c r="X111" s="512"/>
      <c r="Y111" s="185"/>
    </row>
    <row r="112" spans="1:25">
      <c r="A112" s="256"/>
      <c r="C112" s="145" t="s">
        <v>256</v>
      </c>
      <c r="D112" s="196">
        <v>76616</v>
      </c>
      <c r="E112" s="196"/>
      <c r="F112" s="196"/>
      <c r="G112" s="196"/>
      <c r="H112" s="196">
        <f t="shared" si="21"/>
        <v>76616</v>
      </c>
      <c r="I112" s="196"/>
      <c r="J112" s="196"/>
      <c r="K112" s="196">
        <f t="shared" si="27"/>
        <v>76616</v>
      </c>
      <c r="L112" s="196"/>
      <c r="M112" s="196"/>
      <c r="N112" s="196"/>
      <c r="O112" s="196"/>
      <c r="P112" s="196">
        <f t="shared" si="23"/>
        <v>0</v>
      </c>
      <c r="Q112" s="196"/>
      <c r="R112" s="196"/>
      <c r="S112" s="209">
        <f t="shared" si="22"/>
        <v>76616</v>
      </c>
      <c r="T112" s="185">
        <v>76616</v>
      </c>
      <c r="U112" s="185">
        <f t="shared" si="24"/>
        <v>0</v>
      </c>
      <c r="V112" s="185">
        <f t="shared" si="25"/>
        <v>0</v>
      </c>
      <c r="W112" s="512">
        <f t="shared" si="26"/>
        <v>0</v>
      </c>
      <c r="X112" s="512"/>
      <c r="Y112" s="185"/>
    </row>
    <row r="113" spans="1:25">
      <c r="A113" s="256"/>
      <c r="C113" s="142" t="s">
        <v>107</v>
      </c>
      <c r="D113" s="186">
        <v>26842</v>
      </c>
      <c r="E113" s="186"/>
      <c r="F113" s="186"/>
      <c r="G113" s="186"/>
      <c r="H113" s="186">
        <f t="shared" si="21"/>
        <v>26842</v>
      </c>
      <c r="I113" s="186"/>
      <c r="J113" s="186"/>
      <c r="K113" s="186">
        <f t="shared" si="27"/>
        <v>26842</v>
      </c>
      <c r="L113" s="186"/>
      <c r="M113" s="186"/>
      <c r="N113" s="186"/>
      <c r="O113" s="186"/>
      <c r="P113" s="186">
        <f t="shared" si="23"/>
        <v>0</v>
      </c>
      <c r="Q113" s="186"/>
      <c r="R113" s="186"/>
      <c r="S113" s="187">
        <f t="shared" si="22"/>
        <v>26842</v>
      </c>
      <c r="T113" s="186">
        <v>26842</v>
      </c>
      <c r="U113" s="186">
        <f t="shared" si="24"/>
        <v>0</v>
      </c>
      <c r="V113" s="186">
        <f t="shared" si="25"/>
        <v>0</v>
      </c>
      <c r="W113" s="513">
        <f t="shared" si="26"/>
        <v>0</v>
      </c>
      <c r="X113" s="513"/>
      <c r="Y113" s="186"/>
    </row>
    <row r="114" spans="1:25">
      <c r="A114" s="256"/>
      <c r="C114" s="145"/>
      <c r="D114" s="196"/>
      <c r="E114" s="196"/>
      <c r="F114" s="196"/>
      <c r="G114" s="196"/>
      <c r="H114" s="196">
        <f t="shared" si="21"/>
        <v>0</v>
      </c>
      <c r="I114" s="196"/>
      <c r="J114" s="196"/>
      <c r="K114" s="196">
        <f t="shared" si="27"/>
        <v>0</v>
      </c>
      <c r="L114" s="196"/>
      <c r="M114" s="196"/>
      <c r="N114" s="196"/>
      <c r="O114" s="196"/>
      <c r="P114" s="196">
        <f t="shared" si="23"/>
        <v>0</v>
      </c>
      <c r="Q114" s="196"/>
      <c r="R114" s="196"/>
      <c r="S114" s="209">
        <f t="shared" si="22"/>
        <v>0</v>
      </c>
      <c r="T114" s="185">
        <v>0</v>
      </c>
      <c r="U114" s="185">
        <f t="shared" si="24"/>
        <v>0</v>
      </c>
      <c r="V114" s="185">
        <f t="shared" si="25"/>
        <v>0</v>
      </c>
      <c r="W114" s="512" t="str">
        <f t="shared" si="26"/>
        <v/>
      </c>
      <c r="X114" s="512"/>
      <c r="Y114" s="185"/>
    </row>
    <row r="115" spans="1:25">
      <c r="A115" s="256"/>
      <c r="C115" s="149"/>
      <c r="D115" s="191"/>
      <c r="E115" s="191"/>
      <c r="F115" s="191"/>
      <c r="G115" s="191"/>
      <c r="H115" s="191">
        <f t="shared" si="21"/>
        <v>0</v>
      </c>
      <c r="I115" s="191"/>
      <c r="J115" s="191"/>
      <c r="K115" s="191">
        <f t="shared" si="27"/>
        <v>0</v>
      </c>
      <c r="L115" s="191"/>
      <c r="M115" s="191"/>
      <c r="N115" s="191"/>
      <c r="O115" s="191"/>
      <c r="P115" s="191">
        <f t="shared" si="23"/>
        <v>0</v>
      </c>
      <c r="Q115" s="191"/>
      <c r="R115" s="191"/>
      <c r="S115" s="209">
        <f t="shared" si="22"/>
        <v>0</v>
      </c>
      <c r="T115" s="185">
        <v>0</v>
      </c>
      <c r="U115" s="185">
        <f t="shared" si="24"/>
        <v>0</v>
      </c>
      <c r="V115" s="185">
        <f t="shared" si="25"/>
        <v>0</v>
      </c>
      <c r="W115" s="512" t="str">
        <f t="shared" si="26"/>
        <v/>
      </c>
      <c r="X115" s="512"/>
      <c r="Y115" s="185"/>
    </row>
    <row r="116" spans="1:25">
      <c r="A116" s="256"/>
      <c r="C116" s="144" t="s">
        <v>176</v>
      </c>
      <c r="D116" s="191"/>
      <c r="E116" s="191"/>
      <c r="F116" s="191"/>
      <c r="G116" s="191"/>
      <c r="H116" s="191">
        <f t="shared" si="21"/>
        <v>0</v>
      </c>
      <c r="I116" s="191"/>
      <c r="J116" s="191"/>
      <c r="K116" s="191">
        <f t="shared" si="27"/>
        <v>0</v>
      </c>
      <c r="L116" s="191"/>
      <c r="M116" s="191"/>
      <c r="N116" s="191"/>
      <c r="O116" s="191"/>
      <c r="P116" s="191">
        <f t="shared" si="23"/>
        <v>0</v>
      </c>
      <c r="Q116" s="191"/>
      <c r="R116" s="191"/>
      <c r="S116" s="209">
        <f t="shared" si="22"/>
        <v>0</v>
      </c>
      <c r="T116" s="185">
        <v>0</v>
      </c>
      <c r="U116" s="185">
        <f t="shared" si="24"/>
        <v>0</v>
      </c>
      <c r="V116" s="185">
        <f t="shared" si="25"/>
        <v>0</v>
      </c>
      <c r="W116" s="512" t="str">
        <f t="shared" si="26"/>
        <v/>
      </c>
      <c r="X116" s="512"/>
      <c r="Y116" s="185"/>
    </row>
    <row r="117" spans="1:25">
      <c r="A117" s="256"/>
      <c r="C117" s="145" t="s">
        <v>196</v>
      </c>
      <c r="D117" s="196">
        <f>165836-8660+6000</f>
        <v>163176</v>
      </c>
      <c r="E117" s="196"/>
      <c r="F117" s="196"/>
      <c r="G117" s="196"/>
      <c r="H117" s="196">
        <f t="shared" si="21"/>
        <v>163176</v>
      </c>
      <c r="I117" s="196"/>
      <c r="J117" s="196"/>
      <c r="K117" s="196">
        <f t="shared" si="27"/>
        <v>163176</v>
      </c>
      <c r="L117" s="196"/>
      <c r="M117" s="196"/>
      <c r="N117" s="196"/>
      <c r="O117" s="196"/>
      <c r="P117" s="196">
        <f t="shared" si="23"/>
        <v>0</v>
      </c>
      <c r="Q117" s="196"/>
      <c r="R117" s="196"/>
      <c r="S117" s="209">
        <f t="shared" si="22"/>
        <v>163176</v>
      </c>
      <c r="T117" s="185">
        <v>163176</v>
      </c>
      <c r="U117" s="185">
        <f t="shared" si="24"/>
        <v>0</v>
      </c>
      <c r="V117" s="185">
        <f t="shared" si="25"/>
        <v>0</v>
      </c>
      <c r="W117" s="512">
        <f t="shared" si="26"/>
        <v>0</v>
      </c>
      <c r="X117" s="512"/>
      <c r="Y117" s="185"/>
    </row>
    <row r="118" spans="1:25">
      <c r="A118" s="256"/>
      <c r="C118" s="152" t="s">
        <v>197</v>
      </c>
      <c r="D118" s="186">
        <v>45545</v>
      </c>
      <c r="E118" s="186"/>
      <c r="F118" s="186"/>
      <c r="G118" s="186"/>
      <c r="H118" s="186">
        <f t="shared" si="21"/>
        <v>45545</v>
      </c>
      <c r="I118" s="186"/>
      <c r="J118" s="186"/>
      <c r="K118" s="186">
        <f t="shared" si="27"/>
        <v>45545</v>
      </c>
      <c r="L118" s="186"/>
      <c r="M118" s="186"/>
      <c r="N118" s="186"/>
      <c r="O118" s="186"/>
      <c r="P118" s="186">
        <f t="shared" si="23"/>
        <v>0</v>
      </c>
      <c r="Q118" s="186"/>
      <c r="R118" s="186"/>
      <c r="S118" s="187">
        <f t="shared" si="22"/>
        <v>45545</v>
      </c>
      <c r="T118" s="186">
        <v>45545</v>
      </c>
      <c r="U118" s="186">
        <f t="shared" si="24"/>
        <v>0</v>
      </c>
      <c r="V118" s="186">
        <f t="shared" si="25"/>
        <v>0</v>
      </c>
      <c r="W118" s="513">
        <f t="shared" si="26"/>
        <v>0</v>
      </c>
      <c r="X118" s="513"/>
      <c r="Y118" s="186"/>
    </row>
    <row r="119" spans="1:25" ht="24">
      <c r="A119" s="256"/>
      <c r="C119" s="804" t="s">
        <v>852</v>
      </c>
      <c r="D119" s="815">
        <v>9891</v>
      </c>
      <c r="E119" s="815"/>
      <c r="F119" s="815"/>
      <c r="G119" s="815"/>
      <c r="H119" s="814">
        <f t="shared" si="21"/>
        <v>9891</v>
      </c>
      <c r="I119" s="815"/>
      <c r="J119" s="815"/>
      <c r="K119" s="814">
        <f t="shared" si="27"/>
        <v>9891</v>
      </c>
      <c r="L119" s="815"/>
      <c r="M119" s="815"/>
      <c r="N119" s="815"/>
      <c r="O119" s="814"/>
      <c r="P119" s="814">
        <f t="shared" si="23"/>
        <v>0</v>
      </c>
      <c r="Q119" s="815"/>
      <c r="R119" s="815"/>
      <c r="S119" s="815">
        <v>9891</v>
      </c>
      <c r="T119" s="815">
        <v>9891</v>
      </c>
      <c r="U119" s="815">
        <f t="shared" si="24"/>
        <v>0</v>
      </c>
      <c r="V119" s="816">
        <f t="shared" si="25"/>
        <v>0</v>
      </c>
      <c r="W119" s="816">
        <f t="shared" si="26"/>
        <v>0</v>
      </c>
      <c r="X119" s="815"/>
      <c r="Y119" s="821"/>
    </row>
    <row r="120" spans="1:25">
      <c r="A120" s="256"/>
      <c r="C120" s="805" t="s">
        <v>853</v>
      </c>
      <c r="D120" s="815">
        <v>12500</v>
      </c>
      <c r="E120" s="815"/>
      <c r="F120" s="815"/>
      <c r="G120" s="815"/>
      <c r="H120" s="814">
        <f t="shared" si="21"/>
        <v>12500</v>
      </c>
      <c r="I120" s="815"/>
      <c r="J120" s="815"/>
      <c r="K120" s="814">
        <f t="shared" si="27"/>
        <v>12500</v>
      </c>
      <c r="L120" s="815"/>
      <c r="M120" s="815"/>
      <c r="N120" s="815"/>
      <c r="O120" s="814"/>
      <c r="P120" s="814">
        <f t="shared" si="23"/>
        <v>0</v>
      </c>
      <c r="Q120" s="815"/>
      <c r="R120" s="815"/>
      <c r="S120" s="815">
        <v>12500</v>
      </c>
      <c r="T120" s="815">
        <v>12500</v>
      </c>
      <c r="U120" s="815">
        <f t="shared" si="24"/>
        <v>0</v>
      </c>
      <c r="V120" s="816">
        <f t="shared" si="25"/>
        <v>0</v>
      </c>
      <c r="W120" s="816">
        <f t="shared" si="26"/>
        <v>0</v>
      </c>
      <c r="X120" s="815"/>
      <c r="Y120" s="821"/>
    </row>
    <row r="121" spans="1:25">
      <c r="A121" s="256"/>
      <c r="C121" s="805" t="s">
        <v>854</v>
      </c>
      <c r="D121" s="815"/>
      <c r="E121" s="815"/>
      <c r="F121" s="815"/>
      <c r="G121" s="815"/>
      <c r="H121" s="814">
        <f t="shared" si="21"/>
        <v>0</v>
      </c>
      <c r="I121" s="815"/>
      <c r="J121" s="815"/>
      <c r="K121" s="814">
        <f t="shared" si="27"/>
        <v>0</v>
      </c>
      <c r="L121" s="815"/>
      <c r="M121" s="815"/>
      <c r="N121" s="815"/>
      <c r="O121" s="814"/>
      <c r="P121" s="814">
        <f t="shared" si="23"/>
        <v>0</v>
      </c>
      <c r="Q121" s="815"/>
      <c r="R121" s="815"/>
      <c r="S121" s="815"/>
      <c r="T121" s="815"/>
      <c r="U121" s="815">
        <f t="shared" si="24"/>
        <v>0</v>
      </c>
      <c r="V121" s="816">
        <f t="shared" si="25"/>
        <v>0</v>
      </c>
      <c r="W121" s="816" t="str">
        <f t="shared" si="26"/>
        <v/>
      </c>
      <c r="X121" s="815"/>
      <c r="Y121" s="821"/>
    </row>
    <row r="122" spans="1:25">
      <c r="A122" s="256"/>
      <c r="C122" s="806" t="s">
        <v>107</v>
      </c>
      <c r="D122" s="815"/>
      <c r="E122" s="815"/>
      <c r="F122" s="815"/>
      <c r="G122" s="815"/>
      <c r="H122" s="814">
        <f t="shared" si="21"/>
        <v>0</v>
      </c>
      <c r="I122" s="815"/>
      <c r="J122" s="815"/>
      <c r="K122" s="814">
        <f t="shared" si="27"/>
        <v>0</v>
      </c>
      <c r="L122" s="815"/>
      <c r="M122" s="815"/>
      <c r="N122" s="815"/>
      <c r="O122" s="814"/>
      <c r="P122" s="814">
        <f t="shared" si="23"/>
        <v>0</v>
      </c>
      <c r="Q122" s="815"/>
      <c r="R122" s="815"/>
      <c r="S122" s="815"/>
      <c r="T122" s="815"/>
      <c r="U122" s="815">
        <f t="shared" si="24"/>
        <v>0</v>
      </c>
      <c r="V122" s="816">
        <f t="shared" si="25"/>
        <v>0</v>
      </c>
      <c r="W122" s="816" t="str">
        <f t="shared" si="26"/>
        <v/>
      </c>
      <c r="X122" s="815"/>
      <c r="Y122" s="821"/>
    </row>
    <row r="123" spans="1:25">
      <c r="A123" s="256"/>
      <c r="C123" s="805" t="s">
        <v>197</v>
      </c>
      <c r="D123" s="815">
        <v>45545</v>
      </c>
      <c r="E123" s="815"/>
      <c r="F123" s="815"/>
      <c r="G123" s="815"/>
      <c r="H123" s="814">
        <f t="shared" si="21"/>
        <v>45545</v>
      </c>
      <c r="I123" s="815"/>
      <c r="J123" s="815"/>
      <c r="K123" s="814">
        <f t="shared" si="27"/>
        <v>45545</v>
      </c>
      <c r="L123" s="815"/>
      <c r="M123" s="815"/>
      <c r="N123" s="815"/>
      <c r="O123" s="814"/>
      <c r="P123" s="814">
        <f t="shared" si="23"/>
        <v>0</v>
      </c>
      <c r="Q123" s="815"/>
      <c r="R123" s="815"/>
      <c r="S123" s="815">
        <v>45545</v>
      </c>
      <c r="T123" s="815">
        <v>45545</v>
      </c>
      <c r="U123" s="815">
        <f t="shared" si="24"/>
        <v>0</v>
      </c>
      <c r="V123" s="816">
        <f t="shared" si="25"/>
        <v>0</v>
      </c>
      <c r="W123" s="816">
        <f t="shared" si="26"/>
        <v>0</v>
      </c>
      <c r="X123" s="815"/>
      <c r="Y123" s="821"/>
    </row>
    <row r="124" spans="1:25">
      <c r="A124" s="256"/>
      <c r="C124" s="805" t="s">
        <v>855</v>
      </c>
      <c r="D124" s="815">
        <v>16340</v>
      </c>
      <c r="E124" s="815"/>
      <c r="F124" s="815"/>
      <c r="G124" s="815"/>
      <c r="H124" s="814">
        <f t="shared" si="21"/>
        <v>16340</v>
      </c>
      <c r="I124" s="815"/>
      <c r="J124" s="815"/>
      <c r="K124" s="814">
        <f t="shared" si="27"/>
        <v>16340</v>
      </c>
      <c r="L124" s="815"/>
      <c r="M124" s="815"/>
      <c r="N124" s="815"/>
      <c r="O124" s="814"/>
      <c r="P124" s="814">
        <f t="shared" si="23"/>
        <v>0</v>
      </c>
      <c r="Q124" s="815"/>
      <c r="R124" s="815"/>
      <c r="S124" s="815">
        <v>16340</v>
      </c>
      <c r="T124" s="815">
        <v>16340</v>
      </c>
      <c r="U124" s="815">
        <f t="shared" si="24"/>
        <v>0</v>
      </c>
      <c r="V124" s="816">
        <f t="shared" si="25"/>
        <v>0</v>
      </c>
      <c r="W124" s="816">
        <f t="shared" si="26"/>
        <v>0</v>
      </c>
      <c r="X124" s="815"/>
      <c r="Y124" s="821"/>
    </row>
    <row r="125" spans="1:25">
      <c r="A125" s="256"/>
      <c r="C125" s="806" t="s">
        <v>107</v>
      </c>
      <c r="D125" s="815"/>
      <c r="E125" s="815"/>
      <c r="F125" s="815"/>
      <c r="G125" s="815"/>
      <c r="H125" s="814">
        <f t="shared" si="21"/>
        <v>0</v>
      </c>
      <c r="I125" s="815"/>
      <c r="J125" s="815"/>
      <c r="K125" s="814">
        <f t="shared" si="27"/>
        <v>0</v>
      </c>
      <c r="L125" s="815"/>
      <c r="M125" s="815"/>
      <c r="N125" s="815"/>
      <c r="O125" s="814"/>
      <c r="P125" s="814">
        <f t="shared" si="23"/>
        <v>0</v>
      </c>
      <c r="Q125" s="815"/>
      <c r="R125" s="815"/>
      <c r="S125" s="815"/>
      <c r="T125" s="815"/>
      <c r="U125" s="815">
        <f t="shared" si="24"/>
        <v>0</v>
      </c>
      <c r="V125" s="816">
        <f t="shared" si="25"/>
        <v>0</v>
      </c>
      <c r="W125" s="816" t="str">
        <f t="shared" si="26"/>
        <v/>
      </c>
      <c r="X125" s="815"/>
      <c r="Y125" s="821"/>
    </row>
    <row r="126" spans="1:25">
      <c r="A126" s="256"/>
      <c r="C126" s="807" t="s">
        <v>856</v>
      </c>
      <c r="D126" s="815">
        <v>78900</v>
      </c>
      <c r="E126" s="815"/>
      <c r="F126" s="815"/>
      <c r="G126" s="815"/>
      <c r="H126" s="814">
        <f t="shared" si="21"/>
        <v>78900</v>
      </c>
      <c r="I126" s="815"/>
      <c r="J126" s="815"/>
      <c r="K126" s="814">
        <f t="shared" si="27"/>
        <v>78900</v>
      </c>
      <c r="L126" s="815"/>
      <c r="M126" s="815"/>
      <c r="N126" s="815"/>
      <c r="O126" s="814"/>
      <c r="P126" s="814">
        <f t="shared" si="23"/>
        <v>0</v>
      </c>
      <c r="Q126" s="815"/>
      <c r="R126" s="815"/>
      <c r="S126" s="815">
        <v>78900</v>
      </c>
      <c r="T126" s="815">
        <v>78900</v>
      </c>
      <c r="U126" s="815">
        <f t="shared" si="24"/>
        <v>0</v>
      </c>
      <c r="V126" s="816">
        <f t="shared" si="25"/>
        <v>0</v>
      </c>
      <c r="W126" s="816">
        <f t="shared" si="26"/>
        <v>0</v>
      </c>
      <c r="X126" s="815"/>
      <c r="Y126" s="821"/>
    </row>
    <row r="127" spans="1:25">
      <c r="A127" s="256"/>
      <c r="C127" s="150"/>
      <c r="D127" s="196"/>
      <c r="E127" s="196"/>
      <c r="F127" s="196"/>
      <c r="G127" s="196"/>
      <c r="H127" s="196">
        <f t="shared" si="21"/>
        <v>0</v>
      </c>
      <c r="I127" s="196"/>
      <c r="J127" s="196"/>
      <c r="K127" s="196">
        <f t="shared" si="27"/>
        <v>0</v>
      </c>
      <c r="L127" s="196"/>
      <c r="M127" s="196"/>
      <c r="N127" s="196"/>
      <c r="O127" s="196">
        <f t="shared" ref="O127" si="34">SUM(L127:N127)</f>
        <v>0</v>
      </c>
      <c r="P127" s="196">
        <f t="shared" si="23"/>
        <v>0</v>
      </c>
      <c r="Q127" s="196"/>
      <c r="R127" s="209"/>
      <c r="S127" s="185">
        <v>0</v>
      </c>
      <c r="T127" s="185">
        <v>0</v>
      </c>
      <c r="U127" s="185">
        <f t="shared" si="24"/>
        <v>0</v>
      </c>
      <c r="V127" s="828">
        <f t="shared" si="25"/>
        <v>0</v>
      </c>
      <c r="W127" s="828" t="str">
        <f t="shared" si="26"/>
        <v/>
      </c>
      <c r="X127" s="185"/>
    </row>
    <row r="128" spans="1:25">
      <c r="A128" s="256"/>
      <c r="C128" s="144" t="s">
        <v>176</v>
      </c>
      <c r="D128" s="191"/>
      <c r="E128" s="191"/>
      <c r="F128" s="191"/>
      <c r="G128" s="191"/>
      <c r="H128" s="191">
        <f t="shared" si="21"/>
        <v>0</v>
      </c>
      <c r="I128" s="191"/>
      <c r="J128" s="191"/>
      <c r="K128" s="191">
        <f t="shared" si="27"/>
        <v>0</v>
      </c>
      <c r="L128" s="191"/>
      <c r="M128" s="191"/>
      <c r="N128" s="191"/>
      <c r="O128" s="191"/>
      <c r="P128" s="191">
        <f t="shared" ref="P128:P191" si="35">SUM(L128:O128)</f>
        <v>0</v>
      </c>
      <c r="Q128" s="191"/>
      <c r="R128" s="191"/>
      <c r="S128" s="209">
        <f t="shared" si="22"/>
        <v>0</v>
      </c>
      <c r="T128" s="185">
        <v>0</v>
      </c>
      <c r="U128" s="185">
        <f t="shared" ref="U128:U191" si="36">T128-S128</f>
        <v>0</v>
      </c>
      <c r="V128" s="185">
        <f t="shared" ref="V128:V191" si="37">T128-H128</f>
        <v>0</v>
      </c>
      <c r="W128" s="512" t="str">
        <f t="shared" ref="W128:W191" si="38">IF(H128=0,"",V128/H128)</f>
        <v/>
      </c>
      <c r="X128" s="512"/>
      <c r="Y128" s="185"/>
    </row>
    <row r="129" spans="1:25" ht="35.25">
      <c r="A129" s="256"/>
      <c r="C129" s="145" t="s">
        <v>198</v>
      </c>
      <c r="D129" s="196">
        <v>1082982</v>
      </c>
      <c r="E129" s="196"/>
      <c r="F129" s="196"/>
      <c r="G129" s="196"/>
      <c r="H129" s="196">
        <f t="shared" si="21"/>
        <v>1082982</v>
      </c>
      <c r="I129" s="196"/>
      <c r="J129" s="196"/>
      <c r="K129" s="196">
        <f t="shared" si="27"/>
        <v>1082982</v>
      </c>
      <c r="L129" s="196"/>
      <c r="M129" s="196">
        <f>M131</f>
        <v>19000</v>
      </c>
      <c r="N129" s="196"/>
      <c r="O129" s="196"/>
      <c r="P129" s="196">
        <f t="shared" si="35"/>
        <v>19000</v>
      </c>
      <c r="Q129" s="196"/>
      <c r="R129" s="209"/>
      <c r="S129" s="185">
        <v>1101982</v>
      </c>
      <c r="T129" s="185">
        <f t="shared" ref="T129:T141" si="39">S129-R129</f>
        <v>1101982</v>
      </c>
      <c r="U129" s="185">
        <f t="shared" si="36"/>
        <v>0</v>
      </c>
      <c r="V129" s="840">
        <f t="shared" si="37"/>
        <v>19000</v>
      </c>
      <c r="W129" s="828">
        <f t="shared" si="38"/>
        <v>1.7544151241664221E-2</v>
      </c>
      <c r="X129" s="512"/>
      <c r="Y129" s="185"/>
    </row>
    <row r="130" spans="1:25">
      <c r="A130" s="256"/>
      <c r="C130" s="142" t="s">
        <v>107</v>
      </c>
      <c r="D130" s="186">
        <f>D134+D136+D138+D140</f>
        <v>622584</v>
      </c>
      <c r="E130" s="186"/>
      <c r="F130" s="186"/>
      <c r="G130" s="186"/>
      <c r="H130" s="186">
        <f>SUM(D130:G130)</f>
        <v>622584</v>
      </c>
      <c r="I130" s="186"/>
      <c r="J130" s="186"/>
      <c r="K130" s="186">
        <f t="shared" si="27"/>
        <v>622584</v>
      </c>
      <c r="L130" s="186"/>
      <c r="M130" s="186">
        <v>13970</v>
      </c>
      <c r="N130" s="186"/>
      <c r="O130" s="222"/>
      <c r="P130" s="186">
        <f t="shared" si="35"/>
        <v>13970</v>
      </c>
      <c r="Q130" s="186"/>
      <c r="R130" s="187"/>
      <c r="S130" s="186">
        <v>636554</v>
      </c>
      <c r="T130" s="186">
        <f t="shared" si="39"/>
        <v>636554</v>
      </c>
      <c r="U130" s="186">
        <f t="shared" si="36"/>
        <v>0</v>
      </c>
      <c r="V130" s="841">
        <f t="shared" si="37"/>
        <v>13970</v>
      </c>
      <c r="W130" s="833">
        <f t="shared" si="38"/>
        <v>2.2438739190213691E-2</v>
      </c>
      <c r="X130" s="513"/>
      <c r="Y130" s="186"/>
    </row>
    <row r="131" spans="1:25">
      <c r="A131" s="256"/>
      <c r="C131" s="804" t="s">
        <v>857</v>
      </c>
      <c r="D131" s="822">
        <f>D132+D133+D135</f>
        <v>126050</v>
      </c>
      <c r="E131" s="822">
        <f t="shared" ref="E131:Q131" si="40">E132+E133+E135</f>
        <v>0</v>
      </c>
      <c r="F131" s="822">
        <f t="shared" si="40"/>
        <v>0</v>
      </c>
      <c r="G131" s="822">
        <f t="shared" si="40"/>
        <v>0</v>
      </c>
      <c r="H131" s="822">
        <f t="shared" ref="H131:H140" si="41">SUM(D131:G131)</f>
        <v>126050</v>
      </c>
      <c r="I131" s="822">
        <f t="shared" si="40"/>
        <v>0</v>
      </c>
      <c r="J131" s="822">
        <f t="shared" si="40"/>
        <v>0</v>
      </c>
      <c r="K131" s="822">
        <f t="shared" si="27"/>
        <v>126050</v>
      </c>
      <c r="L131" s="822">
        <f t="shared" si="40"/>
        <v>0</v>
      </c>
      <c r="M131" s="822">
        <f t="shared" si="40"/>
        <v>19000</v>
      </c>
      <c r="N131" s="822">
        <f t="shared" si="40"/>
        <v>0</v>
      </c>
      <c r="O131" s="822">
        <f t="shared" si="40"/>
        <v>0</v>
      </c>
      <c r="P131" s="822">
        <f t="shared" si="35"/>
        <v>19000</v>
      </c>
      <c r="Q131" s="822">
        <f t="shared" si="40"/>
        <v>0</v>
      </c>
      <c r="S131" s="822">
        <f t="shared" ref="S131:S140" si="42">K131+O131+P131+Q131</f>
        <v>145050</v>
      </c>
      <c r="T131" s="822">
        <v>126050</v>
      </c>
      <c r="U131" s="822">
        <f t="shared" si="36"/>
        <v>-19000</v>
      </c>
      <c r="V131" s="822">
        <f t="shared" si="37"/>
        <v>0</v>
      </c>
      <c r="W131" s="823">
        <f t="shared" si="38"/>
        <v>0</v>
      </c>
      <c r="X131" s="513"/>
      <c r="Y131" s="186"/>
    </row>
    <row r="132" spans="1:25">
      <c r="A132" s="256"/>
      <c r="C132" s="808" t="s">
        <v>214</v>
      </c>
      <c r="D132" s="822">
        <v>8462</v>
      </c>
      <c r="E132" s="822"/>
      <c r="F132" s="822"/>
      <c r="G132" s="822"/>
      <c r="H132" s="822">
        <f t="shared" si="41"/>
        <v>8462</v>
      </c>
      <c r="I132" s="822"/>
      <c r="J132" s="822"/>
      <c r="K132" s="822">
        <f t="shared" si="27"/>
        <v>8462</v>
      </c>
      <c r="L132" s="822"/>
      <c r="M132" s="822"/>
      <c r="N132" s="822"/>
      <c r="O132" s="825"/>
      <c r="P132" s="822">
        <f t="shared" si="35"/>
        <v>0</v>
      </c>
      <c r="Q132" s="822"/>
      <c r="S132" s="822">
        <f t="shared" si="42"/>
        <v>8462</v>
      </c>
      <c r="T132" s="822">
        <v>8462</v>
      </c>
      <c r="U132" s="822">
        <f t="shared" si="36"/>
        <v>0</v>
      </c>
      <c r="V132" s="826">
        <f t="shared" si="37"/>
        <v>0</v>
      </c>
      <c r="W132" s="826">
        <f t="shared" si="38"/>
        <v>0</v>
      </c>
      <c r="X132" s="513"/>
      <c r="Y132" s="186"/>
    </row>
    <row r="133" spans="1:25">
      <c r="A133" s="256"/>
      <c r="C133" s="808" t="s">
        <v>537</v>
      </c>
      <c r="D133" s="822">
        <v>71008</v>
      </c>
      <c r="E133" s="822"/>
      <c r="F133" s="822"/>
      <c r="G133" s="822"/>
      <c r="H133" s="822">
        <f t="shared" si="41"/>
        <v>71008</v>
      </c>
      <c r="I133" s="822"/>
      <c r="J133" s="822"/>
      <c r="K133" s="822">
        <f t="shared" si="27"/>
        <v>71008</v>
      </c>
      <c r="L133" s="822"/>
      <c r="M133" s="822">
        <v>19000</v>
      </c>
      <c r="N133" s="822"/>
      <c r="O133" s="825"/>
      <c r="P133" s="822">
        <f t="shared" si="35"/>
        <v>19000</v>
      </c>
      <c r="Q133" s="822"/>
      <c r="S133" s="822">
        <f t="shared" si="42"/>
        <v>90008</v>
      </c>
      <c r="T133" s="822">
        <v>71008</v>
      </c>
      <c r="U133" s="822">
        <f t="shared" si="36"/>
        <v>-19000</v>
      </c>
      <c r="V133" s="826">
        <f t="shared" si="37"/>
        <v>0</v>
      </c>
      <c r="W133" s="826">
        <f t="shared" si="38"/>
        <v>0</v>
      </c>
      <c r="X133" s="513"/>
      <c r="Y133" s="186"/>
    </row>
    <row r="134" spans="1:25">
      <c r="A134" s="256"/>
      <c r="C134" s="809" t="s">
        <v>107</v>
      </c>
      <c r="D134" s="824"/>
      <c r="E134" s="824"/>
      <c r="F134" s="824"/>
      <c r="G134" s="824"/>
      <c r="H134" s="824">
        <f t="shared" si="41"/>
        <v>0</v>
      </c>
      <c r="I134" s="824"/>
      <c r="J134" s="824"/>
      <c r="K134" s="824">
        <f t="shared" si="27"/>
        <v>0</v>
      </c>
      <c r="L134" s="824"/>
      <c r="M134" s="824">
        <v>13970</v>
      </c>
      <c r="N134" s="824"/>
      <c r="O134" s="827"/>
      <c r="P134" s="824">
        <f t="shared" si="35"/>
        <v>13970</v>
      </c>
      <c r="Q134" s="824"/>
      <c r="S134" s="824">
        <f>K134+O134+P134+Q134</f>
        <v>13970</v>
      </c>
      <c r="T134" s="824">
        <v>43000</v>
      </c>
      <c r="U134" s="824">
        <f t="shared" si="36"/>
        <v>29030</v>
      </c>
      <c r="V134" s="823">
        <f t="shared" si="37"/>
        <v>43000</v>
      </c>
      <c r="W134" s="823" t="str">
        <f t="shared" si="38"/>
        <v/>
      </c>
      <c r="X134" s="513"/>
      <c r="Y134" s="186"/>
    </row>
    <row r="135" spans="1:25">
      <c r="A135" s="256"/>
      <c r="C135" s="808" t="s">
        <v>858</v>
      </c>
      <c r="D135" s="822">
        <v>46580</v>
      </c>
      <c r="E135" s="822"/>
      <c r="F135" s="822"/>
      <c r="G135" s="822"/>
      <c r="H135" s="822">
        <f t="shared" si="41"/>
        <v>46580</v>
      </c>
      <c r="I135" s="822"/>
      <c r="J135" s="822"/>
      <c r="K135" s="822">
        <f t="shared" si="27"/>
        <v>46580</v>
      </c>
      <c r="L135" s="822"/>
      <c r="M135" s="822"/>
      <c r="N135" s="822"/>
      <c r="O135" s="825"/>
      <c r="P135" s="822">
        <f t="shared" si="35"/>
        <v>0</v>
      </c>
      <c r="Q135" s="822"/>
      <c r="S135" s="822">
        <f t="shared" si="42"/>
        <v>46580</v>
      </c>
      <c r="T135" s="822">
        <v>46580</v>
      </c>
      <c r="U135" s="822">
        <f t="shared" si="36"/>
        <v>0</v>
      </c>
      <c r="V135" s="826">
        <f t="shared" si="37"/>
        <v>0</v>
      </c>
      <c r="W135" s="826">
        <f t="shared" si="38"/>
        <v>0</v>
      </c>
      <c r="X135" s="513"/>
      <c r="Y135" s="186"/>
    </row>
    <row r="136" spans="1:25">
      <c r="A136" s="256"/>
      <c r="C136" s="809" t="s">
        <v>107</v>
      </c>
      <c r="D136" s="824">
        <v>29842</v>
      </c>
      <c r="E136" s="824"/>
      <c r="F136" s="824"/>
      <c r="G136" s="824"/>
      <c r="H136" s="824">
        <f t="shared" si="41"/>
        <v>29842</v>
      </c>
      <c r="I136" s="824"/>
      <c r="J136" s="824"/>
      <c r="K136" s="824">
        <f t="shared" si="27"/>
        <v>29842</v>
      </c>
      <c r="L136" s="824"/>
      <c r="M136" s="824"/>
      <c r="N136" s="824"/>
      <c r="O136" s="827"/>
      <c r="P136" s="824">
        <f t="shared" si="35"/>
        <v>0</v>
      </c>
      <c r="Q136" s="824"/>
      <c r="S136" s="824">
        <f t="shared" si="42"/>
        <v>29842</v>
      </c>
      <c r="T136" s="824">
        <v>29842</v>
      </c>
      <c r="U136" s="824">
        <f t="shared" si="36"/>
        <v>0</v>
      </c>
      <c r="V136" s="823">
        <f t="shared" si="37"/>
        <v>0</v>
      </c>
      <c r="W136" s="823">
        <f t="shared" si="38"/>
        <v>0</v>
      </c>
      <c r="X136" s="513"/>
      <c r="Y136" s="186"/>
    </row>
    <row r="137" spans="1:25" ht="24">
      <c r="A137" s="256"/>
      <c r="C137" s="805" t="s">
        <v>859</v>
      </c>
      <c r="D137" s="822">
        <v>311654</v>
      </c>
      <c r="E137" s="822"/>
      <c r="F137" s="822"/>
      <c r="G137" s="822"/>
      <c r="H137" s="822">
        <f t="shared" si="41"/>
        <v>311654</v>
      </c>
      <c r="I137" s="822"/>
      <c r="J137" s="822"/>
      <c r="K137" s="822">
        <f t="shared" ref="K137:K200" si="43">H137-SUM(I137:J137)-G137</f>
        <v>311654</v>
      </c>
      <c r="L137" s="822"/>
      <c r="M137" s="822"/>
      <c r="N137" s="822"/>
      <c r="O137" s="825"/>
      <c r="P137" s="822">
        <f t="shared" si="35"/>
        <v>0</v>
      </c>
      <c r="Q137" s="822"/>
      <c r="S137" s="822">
        <f t="shared" si="42"/>
        <v>311654</v>
      </c>
      <c r="T137" s="822">
        <v>311654</v>
      </c>
      <c r="U137" s="822">
        <f t="shared" si="36"/>
        <v>0</v>
      </c>
      <c r="V137" s="826">
        <f t="shared" si="37"/>
        <v>0</v>
      </c>
      <c r="W137" s="826">
        <f t="shared" si="38"/>
        <v>0</v>
      </c>
      <c r="X137" s="513"/>
      <c r="Y137" s="186"/>
    </row>
    <row r="138" spans="1:25">
      <c r="A138" s="256"/>
      <c r="C138" s="806" t="s">
        <v>107</v>
      </c>
      <c r="D138" s="824">
        <v>196598</v>
      </c>
      <c r="E138" s="824"/>
      <c r="F138" s="824"/>
      <c r="G138" s="824"/>
      <c r="H138" s="824">
        <f t="shared" si="41"/>
        <v>196598</v>
      </c>
      <c r="I138" s="824"/>
      <c r="J138" s="824"/>
      <c r="K138" s="824">
        <f t="shared" si="43"/>
        <v>196598</v>
      </c>
      <c r="L138" s="824"/>
      <c r="M138" s="824"/>
      <c r="N138" s="824"/>
      <c r="O138" s="827"/>
      <c r="P138" s="824">
        <f t="shared" si="35"/>
        <v>0</v>
      </c>
      <c r="Q138" s="824"/>
      <c r="S138" s="824">
        <f t="shared" si="42"/>
        <v>196598</v>
      </c>
      <c r="T138" s="824">
        <v>196598</v>
      </c>
      <c r="U138" s="824">
        <f t="shared" si="36"/>
        <v>0</v>
      </c>
      <c r="V138" s="823">
        <f t="shared" si="37"/>
        <v>0</v>
      </c>
      <c r="W138" s="823">
        <f t="shared" si="38"/>
        <v>0</v>
      </c>
      <c r="X138" s="513"/>
      <c r="Y138" s="186"/>
    </row>
    <row r="139" spans="1:25">
      <c r="A139" s="256"/>
      <c r="C139" s="807" t="s">
        <v>860</v>
      </c>
      <c r="D139" s="822">
        <v>637756</v>
      </c>
      <c r="E139" s="822"/>
      <c r="F139" s="822"/>
      <c r="G139" s="822"/>
      <c r="H139" s="822">
        <f t="shared" si="41"/>
        <v>637756</v>
      </c>
      <c r="I139" s="822"/>
      <c r="J139" s="822"/>
      <c r="K139" s="822">
        <f t="shared" si="43"/>
        <v>637756</v>
      </c>
      <c r="L139" s="822"/>
      <c r="M139" s="822"/>
      <c r="N139" s="822"/>
      <c r="O139" s="825"/>
      <c r="P139" s="822">
        <f t="shared" si="35"/>
        <v>0</v>
      </c>
      <c r="Q139" s="822"/>
      <c r="S139" s="822">
        <f t="shared" si="42"/>
        <v>637756</v>
      </c>
      <c r="T139" s="822">
        <v>637756</v>
      </c>
      <c r="U139" s="822">
        <f t="shared" si="36"/>
        <v>0</v>
      </c>
      <c r="V139" s="826">
        <f t="shared" si="37"/>
        <v>0</v>
      </c>
      <c r="W139" s="826">
        <f t="shared" si="38"/>
        <v>0</v>
      </c>
      <c r="X139" s="513"/>
      <c r="Y139" s="186"/>
    </row>
    <row r="140" spans="1:25">
      <c r="A140" s="256"/>
      <c r="C140" s="806" t="s">
        <v>107</v>
      </c>
      <c r="D140" s="824">
        <v>396144</v>
      </c>
      <c r="E140" s="824"/>
      <c r="F140" s="824"/>
      <c r="G140" s="824"/>
      <c r="H140" s="824">
        <f t="shared" si="41"/>
        <v>396144</v>
      </c>
      <c r="I140" s="824"/>
      <c r="J140" s="824"/>
      <c r="K140" s="824">
        <f t="shared" si="43"/>
        <v>396144</v>
      </c>
      <c r="L140" s="824"/>
      <c r="M140" s="824"/>
      <c r="N140" s="824"/>
      <c r="O140" s="827"/>
      <c r="P140" s="824">
        <f t="shared" si="35"/>
        <v>0</v>
      </c>
      <c r="Q140" s="824"/>
      <c r="S140" s="824">
        <f t="shared" si="42"/>
        <v>396144</v>
      </c>
      <c r="T140" s="824">
        <v>396144</v>
      </c>
      <c r="U140" s="824">
        <f t="shared" si="36"/>
        <v>0</v>
      </c>
      <c r="V140" s="823">
        <f t="shared" si="37"/>
        <v>0</v>
      </c>
      <c r="W140" s="823">
        <f t="shared" si="38"/>
        <v>0</v>
      </c>
      <c r="X140" s="513"/>
      <c r="Y140" s="186"/>
    </row>
    <row r="141" spans="1:25">
      <c r="A141" s="256"/>
      <c r="C141" s="145"/>
      <c r="D141" s="829"/>
      <c r="E141" s="829"/>
      <c r="F141" s="829"/>
      <c r="G141" s="829"/>
      <c r="H141" s="829">
        <f t="shared" si="21"/>
        <v>0</v>
      </c>
      <c r="I141" s="829"/>
      <c r="J141" s="829"/>
      <c r="K141" s="830">
        <f t="shared" si="43"/>
        <v>0</v>
      </c>
      <c r="L141" s="829"/>
      <c r="M141" s="829"/>
      <c r="N141" s="829"/>
      <c r="O141" s="829">
        <f t="shared" ref="O141" si="44">SUM(L141:N141)</f>
        <v>0</v>
      </c>
      <c r="P141" s="830">
        <f t="shared" si="35"/>
        <v>0</v>
      </c>
      <c r="Q141" s="829"/>
      <c r="R141" s="830">
        <f t="shared" ref="R141" si="45">K141+O141+P141+Q141</f>
        <v>0</v>
      </c>
      <c r="S141" s="831">
        <v>0</v>
      </c>
      <c r="T141" s="831">
        <f t="shared" si="39"/>
        <v>0</v>
      </c>
      <c r="U141" s="831">
        <f t="shared" si="36"/>
        <v>0</v>
      </c>
      <c r="V141" s="832">
        <f t="shared" si="37"/>
        <v>0</v>
      </c>
      <c r="W141" s="832" t="str">
        <f t="shared" si="38"/>
        <v/>
      </c>
      <c r="X141" s="512"/>
      <c r="Y141" s="185"/>
    </row>
    <row r="142" spans="1:25">
      <c r="A142" s="256"/>
      <c r="C142" s="156"/>
      <c r="D142" s="203"/>
      <c r="E142" s="203"/>
      <c r="F142" s="203"/>
      <c r="G142" s="203"/>
      <c r="H142" s="203">
        <f t="shared" si="21"/>
        <v>0</v>
      </c>
      <c r="I142" s="203"/>
      <c r="J142" s="203"/>
      <c r="K142" s="203">
        <f t="shared" si="43"/>
        <v>0</v>
      </c>
      <c r="L142" s="203"/>
      <c r="M142" s="203"/>
      <c r="N142" s="203"/>
      <c r="O142" s="203"/>
      <c r="P142" s="203">
        <f t="shared" si="35"/>
        <v>0</v>
      </c>
      <c r="Q142" s="203"/>
      <c r="R142" s="203"/>
      <c r="S142" s="209">
        <f t="shared" si="22"/>
        <v>0</v>
      </c>
      <c r="T142" s="185">
        <v>0</v>
      </c>
      <c r="U142" s="185">
        <f t="shared" si="36"/>
        <v>0</v>
      </c>
      <c r="V142" s="185">
        <f t="shared" si="37"/>
        <v>0</v>
      </c>
      <c r="W142" s="512" t="str">
        <f t="shared" si="38"/>
        <v/>
      </c>
      <c r="X142" s="512"/>
      <c r="Y142" s="185"/>
    </row>
    <row r="143" spans="1:25" ht="12.75" customHeight="1">
      <c r="A143" s="256"/>
      <c r="C143" s="144" t="s">
        <v>176</v>
      </c>
      <c r="D143" s="191"/>
      <c r="E143" s="191"/>
      <c r="F143" s="191"/>
      <c r="G143" s="191"/>
      <c r="H143" s="191">
        <f t="shared" si="21"/>
        <v>0</v>
      </c>
      <c r="I143" s="191"/>
      <c r="J143" s="191"/>
      <c r="K143" s="191">
        <f t="shared" si="43"/>
        <v>0</v>
      </c>
      <c r="L143" s="191"/>
      <c r="M143" s="191"/>
      <c r="N143" s="191"/>
      <c r="O143" s="191"/>
      <c r="P143" s="191">
        <f t="shared" si="35"/>
        <v>0</v>
      </c>
      <c r="Q143" s="191"/>
      <c r="R143" s="191"/>
      <c r="S143" s="209">
        <f t="shared" si="22"/>
        <v>0</v>
      </c>
      <c r="T143" s="185">
        <v>0</v>
      </c>
      <c r="U143" s="185">
        <f t="shared" si="36"/>
        <v>0</v>
      </c>
      <c r="V143" s="185">
        <f t="shared" si="37"/>
        <v>0</v>
      </c>
      <c r="W143" s="512" t="str">
        <f t="shared" si="38"/>
        <v/>
      </c>
      <c r="X143" s="512"/>
      <c r="Y143" s="185"/>
    </row>
    <row r="144" spans="1:25">
      <c r="A144" s="256"/>
      <c r="C144" s="145" t="s">
        <v>257</v>
      </c>
      <c r="D144" s="196">
        <f>106958+8660</f>
        <v>115618</v>
      </c>
      <c r="E144" s="196"/>
      <c r="F144" s="196"/>
      <c r="G144" s="196"/>
      <c r="H144" s="196">
        <f t="shared" ref="H144:H207" si="46">SUM(D144:G144)</f>
        <v>115618</v>
      </c>
      <c r="I144" s="196"/>
      <c r="J144" s="196"/>
      <c r="K144" s="196">
        <f t="shared" si="43"/>
        <v>115618</v>
      </c>
      <c r="L144" s="196"/>
      <c r="M144" s="196"/>
      <c r="N144" s="196"/>
      <c r="O144" s="196"/>
      <c r="P144" s="196">
        <f t="shared" si="35"/>
        <v>0</v>
      </c>
      <c r="Q144" s="196"/>
      <c r="R144" s="196"/>
      <c r="S144" s="209">
        <f t="shared" si="22"/>
        <v>115618</v>
      </c>
      <c r="T144" s="185">
        <v>115618</v>
      </c>
      <c r="U144" s="185">
        <f t="shared" si="36"/>
        <v>0</v>
      </c>
      <c r="V144" s="185">
        <f t="shared" si="37"/>
        <v>0</v>
      </c>
      <c r="W144" s="512">
        <f t="shared" si="38"/>
        <v>0</v>
      </c>
      <c r="X144" s="512"/>
      <c r="Y144" s="185"/>
    </row>
    <row r="145" spans="1:25">
      <c r="A145" s="256"/>
      <c r="C145" s="142" t="s">
        <v>107</v>
      </c>
      <c r="D145" s="186">
        <f>45039+6470</f>
        <v>51509</v>
      </c>
      <c r="E145" s="186"/>
      <c r="F145" s="186"/>
      <c r="G145" s="186"/>
      <c r="H145" s="186">
        <f t="shared" si="46"/>
        <v>51509</v>
      </c>
      <c r="I145" s="186"/>
      <c r="J145" s="186"/>
      <c r="K145" s="186">
        <f t="shared" si="43"/>
        <v>51509</v>
      </c>
      <c r="L145" s="186"/>
      <c r="M145" s="186"/>
      <c r="N145" s="186"/>
      <c r="O145" s="186"/>
      <c r="P145" s="186">
        <f t="shared" si="35"/>
        <v>0</v>
      </c>
      <c r="Q145" s="186"/>
      <c r="R145" s="186"/>
      <c r="S145" s="187">
        <f t="shared" ref="S145:S208" si="47">K145+P145+Q145+R145</f>
        <v>51509</v>
      </c>
      <c r="T145" s="186">
        <v>51509</v>
      </c>
      <c r="U145" s="186">
        <f t="shared" si="36"/>
        <v>0</v>
      </c>
      <c r="V145" s="186">
        <f t="shared" si="37"/>
        <v>0</v>
      </c>
      <c r="W145" s="513">
        <f t="shared" si="38"/>
        <v>0</v>
      </c>
      <c r="X145" s="513"/>
      <c r="Y145" s="186"/>
    </row>
    <row r="146" spans="1:25" ht="13.5" customHeight="1">
      <c r="A146" s="256"/>
      <c r="C146" s="145"/>
      <c r="D146" s="196"/>
      <c r="E146" s="196"/>
      <c r="F146" s="196"/>
      <c r="G146" s="196"/>
      <c r="H146" s="196">
        <f t="shared" si="46"/>
        <v>0</v>
      </c>
      <c r="I146" s="196"/>
      <c r="J146" s="196"/>
      <c r="K146" s="196">
        <f t="shared" si="43"/>
        <v>0</v>
      </c>
      <c r="L146" s="196"/>
      <c r="M146" s="196"/>
      <c r="N146" s="196"/>
      <c r="O146" s="196"/>
      <c r="P146" s="196">
        <f t="shared" si="35"/>
        <v>0</v>
      </c>
      <c r="Q146" s="196"/>
      <c r="R146" s="196"/>
      <c r="S146" s="209">
        <f t="shared" si="47"/>
        <v>0</v>
      </c>
      <c r="T146" s="185">
        <v>0</v>
      </c>
      <c r="U146" s="185">
        <f t="shared" si="36"/>
        <v>0</v>
      </c>
      <c r="V146" s="185">
        <f t="shared" si="37"/>
        <v>0</v>
      </c>
      <c r="W146" s="512" t="str">
        <f t="shared" si="38"/>
        <v/>
      </c>
      <c r="X146" s="512"/>
      <c r="Y146" s="185"/>
    </row>
    <row r="147" spans="1:25">
      <c r="A147" s="256"/>
      <c r="C147" s="6"/>
      <c r="D147" s="191"/>
      <c r="E147" s="191"/>
      <c r="F147" s="191"/>
      <c r="G147" s="191"/>
      <c r="H147" s="191">
        <f t="shared" si="46"/>
        <v>0</v>
      </c>
      <c r="I147" s="191"/>
      <c r="J147" s="191"/>
      <c r="K147" s="191">
        <f t="shared" si="43"/>
        <v>0</v>
      </c>
      <c r="L147" s="191"/>
      <c r="M147" s="191"/>
      <c r="N147" s="191"/>
      <c r="O147" s="191"/>
      <c r="P147" s="191">
        <f t="shared" si="35"/>
        <v>0</v>
      </c>
      <c r="Q147" s="191"/>
      <c r="R147" s="191"/>
      <c r="S147" s="209">
        <f t="shared" si="47"/>
        <v>0</v>
      </c>
      <c r="T147" s="185">
        <v>0</v>
      </c>
      <c r="U147" s="185">
        <f t="shared" si="36"/>
        <v>0</v>
      </c>
      <c r="V147" s="185">
        <f t="shared" si="37"/>
        <v>0</v>
      </c>
      <c r="W147" s="512" t="str">
        <f t="shared" si="38"/>
        <v/>
      </c>
      <c r="X147" s="512"/>
      <c r="Y147" s="185"/>
    </row>
    <row r="148" spans="1:25">
      <c r="A148" s="256"/>
      <c r="C148" s="145" t="s">
        <v>199</v>
      </c>
      <c r="D148" s="196">
        <v>980462</v>
      </c>
      <c r="E148" s="196"/>
      <c r="F148" s="196"/>
      <c r="G148" s="196"/>
      <c r="H148" s="196">
        <f t="shared" si="46"/>
        <v>980462</v>
      </c>
      <c r="I148" s="196"/>
      <c r="J148" s="196">
        <v>304361</v>
      </c>
      <c r="K148" s="196">
        <f t="shared" si="43"/>
        <v>676101</v>
      </c>
      <c r="L148" s="196"/>
      <c r="M148" s="196"/>
      <c r="N148" s="196"/>
      <c r="O148" s="196"/>
      <c r="P148" s="196">
        <f t="shared" si="35"/>
        <v>0</v>
      </c>
      <c r="Q148" s="196">
        <v>272457</v>
      </c>
      <c r="R148" s="196"/>
      <c r="S148" s="209">
        <f t="shared" si="47"/>
        <v>948558</v>
      </c>
      <c r="T148" s="185">
        <v>948558</v>
      </c>
      <c r="U148" s="185">
        <f t="shared" si="36"/>
        <v>0</v>
      </c>
      <c r="V148" s="185">
        <f t="shared" si="37"/>
        <v>-31904</v>
      </c>
      <c r="W148" s="512">
        <f t="shared" si="38"/>
        <v>-3.2539761867364569E-2</v>
      </c>
      <c r="X148" s="512"/>
      <c r="Y148" s="185"/>
    </row>
    <row r="149" spans="1:25">
      <c r="A149" s="256"/>
      <c r="C149" s="142" t="s">
        <v>107</v>
      </c>
      <c r="D149" s="186">
        <v>599534</v>
      </c>
      <c r="E149" s="186"/>
      <c r="F149" s="186"/>
      <c r="G149" s="186"/>
      <c r="H149" s="186">
        <f t="shared" si="46"/>
        <v>599534</v>
      </c>
      <c r="I149" s="186"/>
      <c r="J149" s="186"/>
      <c r="K149" s="186">
        <f t="shared" si="43"/>
        <v>599534</v>
      </c>
      <c r="L149" s="186"/>
      <c r="M149" s="186"/>
      <c r="N149" s="186"/>
      <c r="O149" s="186"/>
      <c r="P149" s="186">
        <f t="shared" si="35"/>
        <v>0</v>
      </c>
      <c r="Q149" s="186"/>
      <c r="R149" s="186"/>
      <c r="S149" s="187">
        <f t="shared" si="47"/>
        <v>599534</v>
      </c>
      <c r="T149" s="186">
        <v>599534</v>
      </c>
      <c r="U149" s="186">
        <f t="shared" si="36"/>
        <v>0</v>
      </c>
      <c r="V149" s="186">
        <f t="shared" si="37"/>
        <v>0</v>
      </c>
      <c r="W149" s="513">
        <f t="shared" si="38"/>
        <v>0</v>
      </c>
      <c r="X149" s="513"/>
      <c r="Y149" s="186"/>
    </row>
    <row r="150" spans="1:25">
      <c r="A150" s="256"/>
      <c r="C150" s="145"/>
      <c r="D150" s="196"/>
      <c r="E150" s="196"/>
      <c r="F150" s="196"/>
      <c r="G150" s="196"/>
      <c r="H150" s="196">
        <f t="shared" si="46"/>
        <v>0</v>
      </c>
      <c r="I150" s="196"/>
      <c r="J150" s="196"/>
      <c r="K150" s="196">
        <f t="shared" si="43"/>
        <v>0</v>
      </c>
      <c r="L150" s="196"/>
      <c r="M150" s="196"/>
      <c r="N150" s="196"/>
      <c r="O150" s="196"/>
      <c r="P150" s="196">
        <f t="shared" si="35"/>
        <v>0</v>
      </c>
      <c r="Q150" s="196"/>
      <c r="R150" s="196"/>
      <c r="S150" s="209">
        <f t="shared" si="47"/>
        <v>0</v>
      </c>
      <c r="T150" s="185">
        <v>0</v>
      </c>
      <c r="U150" s="185">
        <f t="shared" si="36"/>
        <v>0</v>
      </c>
      <c r="V150" s="185">
        <f t="shared" si="37"/>
        <v>0</v>
      </c>
      <c r="W150" s="512" t="str">
        <f t="shared" si="38"/>
        <v/>
      </c>
      <c r="X150" s="512"/>
      <c r="Y150" s="185"/>
    </row>
    <row r="151" spans="1:25">
      <c r="A151" s="256"/>
      <c r="C151" s="147"/>
      <c r="D151" s="159"/>
      <c r="E151" s="159"/>
      <c r="F151" s="159"/>
      <c r="G151" s="159"/>
      <c r="H151" s="159">
        <f t="shared" si="46"/>
        <v>0</v>
      </c>
      <c r="I151" s="159"/>
      <c r="J151" s="159"/>
      <c r="K151" s="159">
        <f t="shared" si="43"/>
        <v>0</v>
      </c>
      <c r="L151" s="159"/>
      <c r="M151" s="159"/>
      <c r="N151" s="159"/>
      <c r="O151" s="159"/>
      <c r="P151" s="159">
        <f t="shared" si="35"/>
        <v>0</v>
      </c>
      <c r="Q151" s="159"/>
      <c r="R151" s="159"/>
      <c r="S151" s="209">
        <f t="shared" si="47"/>
        <v>0</v>
      </c>
      <c r="T151" s="185">
        <v>0</v>
      </c>
      <c r="U151" s="185">
        <f t="shared" si="36"/>
        <v>0</v>
      </c>
      <c r="V151" s="185">
        <f t="shared" si="37"/>
        <v>0</v>
      </c>
      <c r="W151" s="512" t="str">
        <f t="shared" si="38"/>
        <v/>
      </c>
      <c r="X151" s="512"/>
      <c r="Y151" s="185"/>
    </row>
    <row r="152" spans="1:25">
      <c r="A152" s="256"/>
      <c r="C152" s="144" t="s">
        <v>176</v>
      </c>
      <c r="D152" s="191"/>
      <c r="E152" s="191"/>
      <c r="F152" s="191"/>
      <c r="G152" s="191"/>
      <c r="H152" s="191">
        <f t="shared" si="46"/>
        <v>0</v>
      </c>
      <c r="I152" s="191"/>
      <c r="J152" s="191"/>
      <c r="K152" s="191">
        <f t="shared" si="43"/>
        <v>0</v>
      </c>
      <c r="L152" s="191"/>
      <c r="M152" s="191"/>
      <c r="N152" s="191"/>
      <c r="O152" s="191"/>
      <c r="P152" s="191">
        <f t="shared" si="35"/>
        <v>0</v>
      </c>
      <c r="Q152" s="191"/>
      <c r="R152" s="191"/>
      <c r="S152" s="209">
        <f t="shared" si="47"/>
        <v>0</v>
      </c>
      <c r="T152" s="185">
        <v>0</v>
      </c>
      <c r="U152" s="185">
        <f t="shared" si="36"/>
        <v>0</v>
      </c>
      <c r="V152" s="185">
        <f t="shared" si="37"/>
        <v>0</v>
      </c>
      <c r="W152" s="512" t="str">
        <f t="shared" si="38"/>
        <v/>
      </c>
      <c r="X152" s="512"/>
      <c r="Y152" s="185"/>
    </row>
    <row r="153" spans="1:25">
      <c r="A153" s="256"/>
      <c r="C153" s="158" t="s">
        <v>200</v>
      </c>
      <c r="D153" s="204">
        <v>1086059</v>
      </c>
      <c r="E153" s="204"/>
      <c r="F153" s="204"/>
      <c r="G153" s="204"/>
      <c r="H153" s="204">
        <f t="shared" si="46"/>
        <v>1086059</v>
      </c>
      <c r="I153" s="204"/>
      <c r="J153" s="204"/>
      <c r="K153" s="204">
        <f t="shared" si="43"/>
        <v>1086059</v>
      </c>
      <c r="L153" s="204"/>
      <c r="M153" s="204">
        <v>22000</v>
      </c>
      <c r="N153" s="204"/>
      <c r="O153" s="204"/>
      <c r="P153" s="204">
        <f t="shared" si="35"/>
        <v>22000</v>
      </c>
      <c r="Q153" s="204"/>
      <c r="R153" s="204"/>
      <c r="S153" s="209">
        <f t="shared" si="47"/>
        <v>1108059</v>
      </c>
      <c r="T153" s="185">
        <v>1108059</v>
      </c>
      <c r="U153" s="185">
        <f t="shared" si="36"/>
        <v>0</v>
      </c>
      <c r="V153" s="185">
        <f t="shared" si="37"/>
        <v>22000</v>
      </c>
      <c r="W153" s="512">
        <f t="shared" si="38"/>
        <v>2.0256726384109889E-2</v>
      </c>
      <c r="X153" s="512"/>
      <c r="Y153" s="185"/>
    </row>
    <row r="154" spans="1:25">
      <c r="A154" s="256"/>
      <c r="C154" s="142" t="s">
        <v>107</v>
      </c>
      <c r="D154" s="186">
        <v>701395</v>
      </c>
      <c r="E154" s="186"/>
      <c r="F154" s="186"/>
      <c r="G154" s="186"/>
      <c r="H154" s="186">
        <f t="shared" si="46"/>
        <v>701395</v>
      </c>
      <c r="I154" s="186"/>
      <c r="J154" s="186"/>
      <c r="K154" s="186">
        <f t="shared" si="43"/>
        <v>701395</v>
      </c>
      <c r="L154" s="186"/>
      <c r="M154" s="186">
        <v>15970</v>
      </c>
      <c r="N154" s="186"/>
      <c r="O154" s="186"/>
      <c r="P154" s="186">
        <f t="shared" si="35"/>
        <v>15970</v>
      </c>
      <c r="Q154" s="186"/>
      <c r="R154" s="186"/>
      <c r="S154" s="187">
        <f t="shared" si="47"/>
        <v>717365</v>
      </c>
      <c r="T154" s="186">
        <v>717365</v>
      </c>
      <c r="U154" s="186">
        <f t="shared" si="36"/>
        <v>0</v>
      </c>
      <c r="V154" s="186">
        <f t="shared" si="37"/>
        <v>15970</v>
      </c>
      <c r="W154" s="513">
        <f t="shared" si="38"/>
        <v>2.2768910528304306E-2</v>
      </c>
      <c r="X154" s="513"/>
      <c r="Y154" s="186"/>
    </row>
    <row r="155" spans="1:25">
      <c r="A155" s="256"/>
      <c r="C155" s="145"/>
      <c r="D155" s="196"/>
      <c r="E155" s="196"/>
      <c r="F155" s="196"/>
      <c r="G155" s="196"/>
      <c r="H155" s="196">
        <f t="shared" si="46"/>
        <v>0</v>
      </c>
      <c r="I155" s="196"/>
      <c r="J155" s="196"/>
      <c r="K155" s="196">
        <f t="shared" si="43"/>
        <v>0</v>
      </c>
      <c r="L155" s="196"/>
      <c r="M155" s="196"/>
      <c r="N155" s="196"/>
      <c r="O155" s="196"/>
      <c r="P155" s="196">
        <f t="shared" si="35"/>
        <v>0</v>
      </c>
      <c r="Q155" s="196"/>
      <c r="R155" s="196"/>
      <c r="S155" s="209">
        <f t="shared" si="47"/>
        <v>0</v>
      </c>
      <c r="T155" s="185">
        <v>0</v>
      </c>
      <c r="U155" s="185">
        <f t="shared" si="36"/>
        <v>0</v>
      </c>
      <c r="V155" s="185">
        <f t="shared" si="37"/>
        <v>0</v>
      </c>
      <c r="W155" s="512" t="str">
        <f t="shared" si="38"/>
        <v/>
      </c>
      <c r="X155" s="512"/>
      <c r="Y155" s="185"/>
    </row>
    <row r="156" spans="1:25">
      <c r="A156" s="256"/>
      <c r="C156" s="149"/>
      <c r="D156" s="200"/>
      <c r="E156" s="200"/>
      <c r="F156" s="200"/>
      <c r="G156" s="200"/>
      <c r="H156" s="200">
        <f t="shared" si="46"/>
        <v>0</v>
      </c>
      <c r="I156" s="200"/>
      <c r="J156" s="200"/>
      <c r="K156" s="200">
        <f t="shared" si="43"/>
        <v>0</v>
      </c>
      <c r="L156" s="200"/>
      <c r="M156" s="200"/>
      <c r="N156" s="200"/>
      <c r="O156" s="200"/>
      <c r="P156" s="200">
        <f t="shared" si="35"/>
        <v>0</v>
      </c>
      <c r="Q156" s="200"/>
      <c r="R156" s="200"/>
      <c r="S156" s="209">
        <f t="shared" si="47"/>
        <v>0</v>
      </c>
      <c r="T156" s="185">
        <v>0</v>
      </c>
      <c r="U156" s="185">
        <f t="shared" si="36"/>
        <v>0</v>
      </c>
      <c r="V156" s="185">
        <f t="shared" si="37"/>
        <v>0</v>
      </c>
      <c r="W156" s="512" t="str">
        <f t="shared" si="38"/>
        <v/>
      </c>
      <c r="X156" s="512"/>
      <c r="Y156" s="185"/>
    </row>
    <row r="157" spans="1:25">
      <c r="A157" s="256"/>
      <c r="C157" s="144" t="s">
        <v>176</v>
      </c>
      <c r="D157" s="191"/>
      <c r="E157" s="191"/>
      <c r="F157" s="191"/>
      <c r="G157" s="191"/>
      <c r="H157" s="191">
        <f t="shared" si="46"/>
        <v>0</v>
      </c>
      <c r="I157" s="191"/>
      <c r="J157" s="191"/>
      <c r="K157" s="191">
        <f t="shared" si="43"/>
        <v>0</v>
      </c>
      <c r="L157" s="191"/>
      <c r="M157" s="191"/>
      <c r="N157" s="191"/>
      <c r="O157" s="191"/>
      <c r="P157" s="191">
        <f t="shared" si="35"/>
        <v>0</v>
      </c>
      <c r="Q157" s="191"/>
      <c r="R157" s="191"/>
      <c r="S157" s="209">
        <f t="shared" si="47"/>
        <v>0</v>
      </c>
      <c r="T157" s="185">
        <v>0</v>
      </c>
      <c r="U157" s="185">
        <f t="shared" si="36"/>
        <v>0</v>
      </c>
      <c r="V157" s="185">
        <f t="shared" si="37"/>
        <v>0</v>
      </c>
      <c r="W157" s="512" t="str">
        <f t="shared" si="38"/>
        <v/>
      </c>
      <c r="X157" s="512"/>
      <c r="Y157" s="185"/>
    </row>
    <row r="158" spans="1:25" ht="36.75">
      <c r="A158" s="256"/>
      <c r="C158" s="145" t="s">
        <v>332</v>
      </c>
      <c r="D158" s="196">
        <v>44090</v>
      </c>
      <c r="E158" s="196"/>
      <c r="F158" s="196"/>
      <c r="G158" s="196"/>
      <c r="H158" s="196">
        <f t="shared" si="46"/>
        <v>44090</v>
      </c>
      <c r="I158" s="196"/>
      <c r="J158" s="196"/>
      <c r="K158" s="196">
        <f t="shared" si="43"/>
        <v>44090</v>
      </c>
      <c r="L158" s="196"/>
      <c r="M158" s="196"/>
      <c r="N158" s="196"/>
      <c r="O158" s="196"/>
      <c r="P158" s="196">
        <f t="shared" si="35"/>
        <v>0</v>
      </c>
      <c r="Q158" s="196"/>
      <c r="R158" s="196"/>
      <c r="S158" s="209">
        <f t="shared" si="47"/>
        <v>44090</v>
      </c>
      <c r="T158" s="185">
        <v>44090</v>
      </c>
      <c r="U158" s="185">
        <f t="shared" si="36"/>
        <v>0</v>
      </c>
      <c r="V158" s="185">
        <f t="shared" si="37"/>
        <v>0</v>
      </c>
      <c r="W158" s="512">
        <f t="shared" si="38"/>
        <v>0</v>
      </c>
      <c r="X158" s="512"/>
      <c r="Y158" s="185"/>
    </row>
    <row r="159" spans="1:25">
      <c r="A159" s="256"/>
      <c r="C159" s="142" t="s">
        <v>107</v>
      </c>
      <c r="D159" s="186">
        <v>28704</v>
      </c>
      <c r="E159" s="186"/>
      <c r="F159" s="186"/>
      <c r="G159" s="186"/>
      <c r="H159" s="186">
        <f t="shared" si="46"/>
        <v>28704</v>
      </c>
      <c r="I159" s="186"/>
      <c r="J159" s="186"/>
      <c r="K159" s="186">
        <f t="shared" si="43"/>
        <v>28704</v>
      </c>
      <c r="L159" s="186"/>
      <c r="M159" s="186"/>
      <c r="N159" s="186"/>
      <c r="O159" s="186"/>
      <c r="P159" s="186">
        <f t="shared" si="35"/>
        <v>0</v>
      </c>
      <c r="Q159" s="186"/>
      <c r="R159" s="186"/>
      <c r="S159" s="187">
        <f t="shared" si="47"/>
        <v>28704</v>
      </c>
      <c r="T159" s="186">
        <v>28704</v>
      </c>
      <c r="U159" s="186">
        <f t="shared" si="36"/>
        <v>0</v>
      </c>
      <c r="V159" s="186">
        <f t="shared" si="37"/>
        <v>0</v>
      </c>
      <c r="W159" s="513">
        <f t="shared" si="38"/>
        <v>0</v>
      </c>
      <c r="X159" s="513"/>
      <c r="Y159" s="186"/>
    </row>
    <row r="160" spans="1:25">
      <c r="A160" s="256"/>
      <c r="C160" s="142"/>
      <c r="D160" s="186"/>
      <c r="E160" s="186"/>
      <c r="F160" s="186"/>
      <c r="G160" s="186"/>
      <c r="H160" s="186">
        <f t="shared" si="46"/>
        <v>0</v>
      </c>
      <c r="I160" s="186"/>
      <c r="J160" s="186"/>
      <c r="K160" s="186">
        <f t="shared" si="43"/>
        <v>0</v>
      </c>
      <c r="L160" s="186"/>
      <c r="M160" s="186"/>
      <c r="N160" s="186"/>
      <c r="O160" s="186"/>
      <c r="P160" s="186">
        <f t="shared" si="35"/>
        <v>0</v>
      </c>
      <c r="Q160" s="186"/>
      <c r="R160" s="186"/>
      <c r="S160" s="209">
        <f t="shared" si="47"/>
        <v>0</v>
      </c>
      <c r="T160" s="185">
        <v>0</v>
      </c>
      <c r="U160" s="185">
        <f t="shared" si="36"/>
        <v>0</v>
      </c>
      <c r="V160" s="185">
        <f t="shared" si="37"/>
        <v>0</v>
      </c>
      <c r="W160" s="512" t="str">
        <f t="shared" si="38"/>
        <v/>
      </c>
      <c r="X160" s="512"/>
      <c r="Y160" s="185"/>
    </row>
    <row r="161" spans="1:25">
      <c r="A161" s="256"/>
      <c r="C161" s="156"/>
      <c r="D161" s="203"/>
      <c r="E161" s="203"/>
      <c r="F161" s="203"/>
      <c r="G161" s="203"/>
      <c r="H161" s="203">
        <f t="shared" si="46"/>
        <v>0</v>
      </c>
      <c r="I161" s="203"/>
      <c r="J161" s="203"/>
      <c r="K161" s="203">
        <f t="shared" si="43"/>
        <v>0</v>
      </c>
      <c r="L161" s="203"/>
      <c r="M161" s="203"/>
      <c r="N161" s="203"/>
      <c r="O161" s="203"/>
      <c r="P161" s="203">
        <f t="shared" si="35"/>
        <v>0</v>
      </c>
      <c r="Q161" s="203"/>
      <c r="R161" s="203"/>
      <c r="S161" s="209">
        <f t="shared" si="47"/>
        <v>0</v>
      </c>
      <c r="T161" s="185">
        <v>0</v>
      </c>
      <c r="U161" s="185">
        <f t="shared" si="36"/>
        <v>0</v>
      </c>
      <c r="V161" s="185">
        <f t="shared" si="37"/>
        <v>0</v>
      </c>
      <c r="W161" s="512" t="str">
        <f t="shared" si="38"/>
        <v/>
      </c>
      <c r="X161" s="512"/>
      <c r="Y161" s="185"/>
    </row>
    <row r="162" spans="1:25">
      <c r="A162" s="256"/>
      <c r="C162" s="144" t="s">
        <v>176</v>
      </c>
      <c r="D162" s="191"/>
      <c r="E162" s="191"/>
      <c r="F162" s="191"/>
      <c r="G162" s="191"/>
      <c r="H162" s="191">
        <f t="shared" si="46"/>
        <v>0</v>
      </c>
      <c r="I162" s="191"/>
      <c r="J162" s="191"/>
      <c r="K162" s="191">
        <f t="shared" si="43"/>
        <v>0</v>
      </c>
      <c r="L162" s="191"/>
      <c r="M162" s="191"/>
      <c r="N162" s="191"/>
      <c r="O162" s="191"/>
      <c r="P162" s="191">
        <f t="shared" si="35"/>
        <v>0</v>
      </c>
      <c r="Q162" s="191"/>
      <c r="R162" s="191"/>
      <c r="S162" s="209">
        <f t="shared" si="47"/>
        <v>0</v>
      </c>
      <c r="T162" s="185">
        <v>0</v>
      </c>
      <c r="U162" s="185">
        <f t="shared" si="36"/>
        <v>0</v>
      </c>
      <c r="V162" s="185">
        <f t="shared" si="37"/>
        <v>0</v>
      </c>
      <c r="W162" s="512" t="str">
        <f t="shared" si="38"/>
        <v/>
      </c>
      <c r="X162" s="512"/>
      <c r="Y162" s="185"/>
    </row>
    <row r="163" spans="1:25">
      <c r="A163" s="256"/>
      <c r="C163" s="145" t="s">
        <v>201</v>
      </c>
      <c r="D163" s="196">
        <v>105000</v>
      </c>
      <c r="E163" s="196"/>
      <c r="F163" s="196"/>
      <c r="G163" s="196"/>
      <c r="H163" s="196">
        <f t="shared" si="46"/>
        <v>105000</v>
      </c>
      <c r="I163" s="196"/>
      <c r="J163" s="196"/>
      <c r="K163" s="196">
        <f t="shared" si="43"/>
        <v>105000</v>
      </c>
      <c r="L163" s="196"/>
      <c r="M163" s="196"/>
      <c r="N163" s="196"/>
      <c r="O163" s="196"/>
      <c r="P163" s="196">
        <f t="shared" si="35"/>
        <v>0</v>
      </c>
      <c r="Q163" s="196"/>
      <c r="R163" s="196"/>
      <c r="S163" s="209">
        <f t="shared" si="47"/>
        <v>105000</v>
      </c>
      <c r="T163" s="185">
        <v>105000</v>
      </c>
      <c r="U163" s="185">
        <f t="shared" si="36"/>
        <v>0</v>
      </c>
      <c r="V163" s="185">
        <f t="shared" si="37"/>
        <v>0</v>
      </c>
      <c r="W163" s="512">
        <f t="shared" si="38"/>
        <v>0</v>
      </c>
      <c r="X163" s="512"/>
      <c r="Y163" s="185"/>
    </row>
    <row r="164" spans="1:25">
      <c r="A164" s="256"/>
      <c r="C164" s="142" t="s">
        <v>107</v>
      </c>
      <c r="D164" s="186">
        <v>6000</v>
      </c>
      <c r="E164" s="186"/>
      <c r="F164" s="186"/>
      <c r="G164" s="186"/>
      <c r="H164" s="186">
        <f t="shared" si="46"/>
        <v>6000</v>
      </c>
      <c r="I164" s="186"/>
      <c r="J164" s="186"/>
      <c r="K164" s="186">
        <f t="shared" si="43"/>
        <v>6000</v>
      </c>
      <c r="L164" s="186"/>
      <c r="M164" s="186"/>
      <c r="N164" s="186"/>
      <c r="O164" s="186"/>
      <c r="P164" s="186">
        <f t="shared" si="35"/>
        <v>0</v>
      </c>
      <c r="Q164" s="186"/>
      <c r="R164" s="186"/>
      <c r="S164" s="187">
        <f t="shared" si="47"/>
        <v>6000</v>
      </c>
      <c r="T164" s="186">
        <v>6000</v>
      </c>
      <c r="U164" s="186">
        <f t="shared" si="36"/>
        <v>0</v>
      </c>
      <c r="V164" s="186">
        <f t="shared" si="37"/>
        <v>0</v>
      </c>
      <c r="W164" s="513">
        <f t="shared" si="38"/>
        <v>0</v>
      </c>
      <c r="X164" s="513"/>
      <c r="Y164" s="186"/>
    </row>
    <row r="165" spans="1:25">
      <c r="A165" s="256"/>
      <c r="C165" s="145"/>
      <c r="D165" s="196"/>
      <c r="E165" s="196"/>
      <c r="F165" s="196"/>
      <c r="G165" s="196"/>
      <c r="H165" s="196">
        <f t="shared" si="46"/>
        <v>0</v>
      </c>
      <c r="I165" s="196"/>
      <c r="J165" s="196"/>
      <c r="K165" s="196">
        <f t="shared" si="43"/>
        <v>0</v>
      </c>
      <c r="L165" s="196"/>
      <c r="M165" s="196"/>
      <c r="N165" s="196"/>
      <c r="O165" s="196"/>
      <c r="P165" s="196">
        <f t="shared" si="35"/>
        <v>0</v>
      </c>
      <c r="Q165" s="196"/>
      <c r="R165" s="196"/>
      <c r="S165" s="209">
        <f t="shared" si="47"/>
        <v>0</v>
      </c>
      <c r="T165" s="185">
        <v>0</v>
      </c>
      <c r="U165" s="185">
        <f t="shared" si="36"/>
        <v>0</v>
      </c>
      <c r="V165" s="185">
        <f t="shared" si="37"/>
        <v>0</v>
      </c>
      <c r="W165" s="512" t="str">
        <f t="shared" si="38"/>
        <v/>
      </c>
      <c r="X165" s="512"/>
      <c r="Y165" s="185"/>
    </row>
    <row r="166" spans="1:25" ht="13.5" customHeight="1">
      <c r="A166" s="256"/>
      <c r="C166" s="150"/>
      <c r="D166" s="196"/>
      <c r="E166" s="196"/>
      <c r="F166" s="196"/>
      <c r="G166" s="196"/>
      <c r="H166" s="196">
        <f t="shared" si="46"/>
        <v>0</v>
      </c>
      <c r="I166" s="196"/>
      <c r="J166" s="196"/>
      <c r="K166" s="196">
        <f t="shared" si="43"/>
        <v>0</v>
      </c>
      <c r="L166" s="196"/>
      <c r="M166" s="196"/>
      <c r="N166" s="196"/>
      <c r="O166" s="196"/>
      <c r="P166" s="196">
        <f t="shared" si="35"/>
        <v>0</v>
      </c>
      <c r="Q166" s="196"/>
      <c r="R166" s="196"/>
      <c r="S166" s="209">
        <f t="shared" si="47"/>
        <v>0</v>
      </c>
      <c r="T166" s="185">
        <v>0</v>
      </c>
      <c r="U166" s="185">
        <f t="shared" si="36"/>
        <v>0</v>
      </c>
      <c r="V166" s="185">
        <f t="shared" si="37"/>
        <v>0</v>
      </c>
      <c r="W166" s="512" t="str">
        <f t="shared" si="38"/>
        <v/>
      </c>
      <c r="X166" s="512"/>
      <c r="Y166" s="185"/>
    </row>
    <row r="167" spans="1:25" ht="13.5" customHeight="1">
      <c r="A167" s="256"/>
      <c r="C167" s="136" t="s">
        <v>202</v>
      </c>
      <c r="D167" s="194">
        <f>D170+D174+D178+D182+D186+D192+D196+D200</f>
        <v>1558768</v>
      </c>
      <c r="E167" s="194"/>
      <c r="F167" s="194"/>
      <c r="G167" s="194"/>
      <c r="H167" s="194">
        <f t="shared" si="46"/>
        <v>1558768</v>
      </c>
      <c r="I167" s="194"/>
      <c r="J167" s="194">
        <f>J170+J174+J178+J182+J186+J192+J196+J200</f>
        <v>0</v>
      </c>
      <c r="K167" s="194">
        <f t="shared" si="43"/>
        <v>1558768</v>
      </c>
      <c r="L167" s="194">
        <f>L170+L174+L178+L182+L186+L192+L196+L200</f>
        <v>0</v>
      </c>
      <c r="M167" s="194">
        <f t="shared" ref="M167:R167" si="48">M170+M174+M178+M182+M186+M192+M196+M200</f>
        <v>0</v>
      </c>
      <c r="N167" s="194"/>
      <c r="O167" s="194">
        <f t="shared" si="48"/>
        <v>0</v>
      </c>
      <c r="P167" s="194">
        <f t="shared" si="35"/>
        <v>0</v>
      </c>
      <c r="Q167" s="194">
        <f t="shared" si="48"/>
        <v>0</v>
      </c>
      <c r="R167" s="194">
        <f t="shared" si="48"/>
        <v>0</v>
      </c>
      <c r="S167" s="496">
        <f t="shared" si="47"/>
        <v>1558768</v>
      </c>
      <c r="T167" s="194">
        <f t="shared" ref="T167" si="49">T170+T174+T178+T182+T186+T192+T196+T200</f>
        <v>1558768</v>
      </c>
      <c r="U167" s="194">
        <f t="shared" si="36"/>
        <v>0</v>
      </c>
      <c r="V167" s="182">
        <f t="shared" si="37"/>
        <v>0</v>
      </c>
      <c r="W167" s="510">
        <f t="shared" si="38"/>
        <v>0</v>
      </c>
      <c r="X167" s="510"/>
      <c r="Y167" s="182"/>
    </row>
    <row r="168" spans="1:25" ht="13.5" customHeight="1">
      <c r="A168" s="256"/>
      <c r="C168" s="135" t="s">
        <v>107</v>
      </c>
      <c r="D168" s="186">
        <f>D201</f>
        <v>578662</v>
      </c>
      <c r="E168" s="186"/>
      <c r="F168" s="186"/>
      <c r="G168" s="186"/>
      <c r="H168" s="186">
        <f t="shared" si="46"/>
        <v>578662</v>
      </c>
      <c r="I168" s="186"/>
      <c r="J168" s="186">
        <f>J201</f>
        <v>0</v>
      </c>
      <c r="K168" s="186">
        <f t="shared" si="43"/>
        <v>578662</v>
      </c>
      <c r="L168" s="186">
        <f>L201</f>
        <v>0</v>
      </c>
      <c r="M168" s="186">
        <f t="shared" ref="M168:R168" si="50">M201</f>
        <v>0</v>
      </c>
      <c r="N168" s="186"/>
      <c r="O168" s="186">
        <f t="shared" si="50"/>
        <v>0</v>
      </c>
      <c r="P168" s="186">
        <f t="shared" si="35"/>
        <v>0</v>
      </c>
      <c r="Q168" s="186">
        <f t="shared" si="50"/>
        <v>0</v>
      </c>
      <c r="R168" s="186">
        <f t="shared" si="50"/>
        <v>0</v>
      </c>
      <c r="S168" s="187">
        <f t="shared" si="47"/>
        <v>578662</v>
      </c>
      <c r="T168" s="186">
        <f t="shared" ref="T168" si="51">T201</f>
        <v>578662</v>
      </c>
      <c r="U168" s="186">
        <f t="shared" si="36"/>
        <v>0</v>
      </c>
      <c r="V168" s="186">
        <f t="shared" si="37"/>
        <v>0</v>
      </c>
      <c r="W168" s="513">
        <f t="shared" si="38"/>
        <v>0</v>
      </c>
      <c r="X168" s="513"/>
      <c r="Y168" s="186"/>
    </row>
    <row r="169" spans="1:25" ht="13.5" customHeight="1">
      <c r="A169" s="256"/>
      <c r="C169" s="144" t="s">
        <v>176</v>
      </c>
      <c r="D169" s="191"/>
      <c r="E169" s="191"/>
      <c r="F169" s="191"/>
      <c r="G169" s="191"/>
      <c r="H169" s="191">
        <f t="shared" si="46"/>
        <v>0</v>
      </c>
      <c r="I169" s="191"/>
      <c r="J169" s="191"/>
      <c r="K169" s="191">
        <f t="shared" si="43"/>
        <v>0</v>
      </c>
      <c r="L169" s="191"/>
      <c r="M169" s="191"/>
      <c r="N169" s="191"/>
      <c r="O169" s="191"/>
      <c r="P169" s="191">
        <f t="shared" si="35"/>
        <v>0</v>
      </c>
      <c r="Q169" s="191"/>
      <c r="R169" s="191"/>
      <c r="S169" s="209">
        <f t="shared" si="47"/>
        <v>0</v>
      </c>
      <c r="T169" s="185">
        <v>0</v>
      </c>
      <c r="U169" s="185">
        <f t="shared" si="36"/>
        <v>0</v>
      </c>
      <c r="V169" s="185">
        <f t="shared" si="37"/>
        <v>0</v>
      </c>
      <c r="W169" s="512" t="str">
        <f t="shared" si="38"/>
        <v/>
      </c>
      <c r="X169" s="512"/>
      <c r="Y169" s="185"/>
    </row>
    <row r="170" spans="1:25" ht="13.5" customHeight="1">
      <c r="A170" s="256"/>
      <c r="C170" s="145" t="s">
        <v>203</v>
      </c>
      <c r="D170" s="196">
        <v>196070</v>
      </c>
      <c r="E170" s="196"/>
      <c r="F170" s="196"/>
      <c r="G170" s="196"/>
      <c r="H170" s="196">
        <f t="shared" si="46"/>
        <v>196070</v>
      </c>
      <c r="I170" s="196"/>
      <c r="J170" s="196"/>
      <c r="K170" s="196">
        <f t="shared" si="43"/>
        <v>196070</v>
      </c>
      <c r="L170" s="196"/>
      <c r="M170" s="196"/>
      <c r="N170" s="196"/>
      <c r="O170" s="196"/>
      <c r="P170" s="196">
        <f t="shared" si="35"/>
        <v>0</v>
      </c>
      <c r="Q170" s="196"/>
      <c r="R170" s="196"/>
      <c r="S170" s="209">
        <f t="shared" si="47"/>
        <v>196070</v>
      </c>
      <c r="T170" s="185">
        <v>196070</v>
      </c>
      <c r="U170" s="185">
        <f t="shared" si="36"/>
        <v>0</v>
      </c>
      <c r="V170" s="185">
        <f t="shared" si="37"/>
        <v>0</v>
      </c>
      <c r="W170" s="512">
        <f t="shared" si="38"/>
        <v>0</v>
      </c>
      <c r="X170" s="512"/>
      <c r="Y170" s="185"/>
    </row>
    <row r="171" spans="1:25" ht="13.5" customHeight="1">
      <c r="A171" s="256"/>
      <c r="C171" s="145"/>
      <c r="D171" s="196"/>
      <c r="E171" s="196"/>
      <c r="F171" s="196"/>
      <c r="G171" s="196"/>
      <c r="H171" s="196">
        <f t="shared" si="46"/>
        <v>0</v>
      </c>
      <c r="I171" s="196"/>
      <c r="J171" s="196"/>
      <c r="K171" s="196">
        <f t="shared" si="43"/>
        <v>0</v>
      </c>
      <c r="L171" s="196"/>
      <c r="M171" s="196"/>
      <c r="N171" s="196"/>
      <c r="O171" s="196"/>
      <c r="P171" s="196">
        <f t="shared" si="35"/>
        <v>0</v>
      </c>
      <c r="Q171" s="196"/>
      <c r="R171" s="196"/>
      <c r="S171" s="209">
        <f t="shared" si="47"/>
        <v>0</v>
      </c>
      <c r="T171" s="185">
        <v>0</v>
      </c>
      <c r="U171" s="185">
        <f t="shared" si="36"/>
        <v>0</v>
      </c>
      <c r="V171" s="185">
        <f t="shared" si="37"/>
        <v>0</v>
      </c>
      <c r="W171" s="512" t="str">
        <f t="shared" si="38"/>
        <v/>
      </c>
      <c r="X171" s="512"/>
      <c r="Y171" s="185"/>
    </row>
    <row r="172" spans="1:25">
      <c r="A172" s="256"/>
      <c r="C172" s="160"/>
      <c r="D172" s="205"/>
      <c r="E172" s="205"/>
      <c r="F172" s="205"/>
      <c r="G172" s="205"/>
      <c r="H172" s="205">
        <f t="shared" si="46"/>
        <v>0</v>
      </c>
      <c r="I172" s="205"/>
      <c r="J172" s="205"/>
      <c r="K172" s="205">
        <f t="shared" si="43"/>
        <v>0</v>
      </c>
      <c r="L172" s="205"/>
      <c r="M172" s="205"/>
      <c r="N172" s="205"/>
      <c r="O172" s="205"/>
      <c r="P172" s="205">
        <f t="shared" si="35"/>
        <v>0</v>
      </c>
      <c r="Q172" s="205"/>
      <c r="R172" s="205"/>
      <c r="S172" s="209">
        <f t="shared" si="47"/>
        <v>0</v>
      </c>
      <c r="T172" s="185">
        <v>0</v>
      </c>
      <c r="U172" s="185">
        <f t="shared" si="36"/>
        <v>0</v>
      </c>
      <c r="V172" s="185">
        <f t="shared" si="37"/>
        <v>0</v>
      </c>
      <c r="W172" s="512" t="str">
        <f t="shared" si="38"/>
        <v/>
      </c>
      <c r="X172" s="512"/>
      <c r="Y172" s="185"/>
    </row>
    <row r="173" spans="1:25">
      <c r="A173" s="256"/>
      <c r="C173" s="144" t="s">
        <v>176</v>
      </c>
      <c r="D173" s="191"/>
      <c r="E173" s="191"/>
      <c r="F173" s="191"/>
      <c r="G173" s="191"/>
      <c r="H173" s="191">
        <f t="shared" si="46"/>
        <v>0</v>
      </c>
      <c r="I173" s="191"/>
      <c r="J173" s="191"/>
      <c r="K173" s="191">
        <f t="shared" si="43"/>
        <v>0</v>
      </c>
      <c r="L173" s="191"/>
      <c r="M173" s="191"/>
      <c r="N173" s="191"/>
      <c r="O173" s="191"/>
      <c r="P173" s="191">
        <f t="shared" si="35"/>
        <v>0</v>
      </c>
      <c r="Q173" s="191"/>
      <c r="R173" s="191"/>
      <c r="S173" s="209">
        <f t="shared" si="47"/>
        <v>0</v>
      </c>
      <c r="T173" s="185">
        <v>0</v>
      </c>
      <c r="U173" s="185">
        <f t="shared" si="36"/>
        <v>0</v>
      </c>
      <c r="V173" s="185">
        <f t="shared" si="37"/>
        <v>0</v>
      </c>
      <c r="W173" s="512" t="str">
        <f t="shared" si="38"/>
        <v/>
      </c>
      <c r="X173" s="512"/>
      <c r="Y173" s="185"/>
    </row>
    <row r="174" spans="1:25">
      <c r="A174" s="256"/>
      <c r="C174" s="145" t="s">
        <v>204</v>
      </c>
      <c r="D174" s="196">
        <v>150810</v>
      </c>
      <c r="E174" s="196"/>
      <c r="F174" s="196"/>
      <c r="G174" s="196"/>
      <c r="H174" s="196">
        <f t="shared" si="46"/>
        <v>150810</v>
      </c>
      <c r="I174" s="196"/>
      <c r="J174" s="196"/>
      <c r="K174" s="196">
        <f t="shared" si="43"/>
        <v>150810</v>
      </c>
      <c r="L174" s="196"/>
      <c r="M174" s="196"/>
      <c r="N174" s="196"/>
      <c r="O174" s="196"/>
      <c r="P174" s="196">
        <f t="shared" si="35"/>
        <v>0</v>
      </c>
      <c r="Q174" s="196"/>
      <c r="R174" s="196"/>
      <c r="S174" s="209">
        <f t="shared" si="47"/>
        <v>150810</v>
      </c>
      <c r="T174" s="185">
        <v>150810</v>
      </c>
      <c r="U174" s="185">
        <f t="shared" si="36"/>
        <v>0</v>
      </c>
      <c r="V174" s="185">
        <f t="shared" si="37"/>
        <v>0</v>
      </c>
      <c r="W174" s="512">
        <f t="shared" si="38"/>
        <v>0</v>
      </c>
      <c r="X174" s="512"/>
      <c r="Y174" s="185"/>
    </row>
    <row r="175" spans="1:25">
      <c r="A175" s="256"/>
      <c r="C175" s="145"/>
      <c r="D175" s="196"/>
      <c r="E175" s="196"/>
      <c r="F175" s="196"/>
      <c r="G175" s="196"/>
      <c r="H175" s="196">
        <f t="shared" si="46"/>
        <v>0</v>
      </c>
      <c r="I175" s="196"/>
      <c r="J175" s="196"/>
      <c r="K175" s="196">
        <f t="shared" si="43"/>
        <v>0</v>
      </c>
      <c r="L175" s="196"/>
      <c r="M175" s="196"/>
      <c r="N175" s="196"/>
      <c r="O175" s="196"/>
      <c r="P175" s="196">
        <f t="shared" si="35"/>
        <v>0</v>
      </c>
      <c r="Q175" s="196"/>
      <c r="R175" s="196"/>
      <c r="S175" s="209">
        <f t="shared" si="47"/>
        <v>0</v>
      </c>
      <c r="T175" s="185">
        <v>0</v>
      </c>
      <c r="U175" s="185">
        <f t="shared" si="36"/>
        <v>0</v>
      </c>
      <c r="V175" s="185">
        <f t="shared" si="37"/>
        <v>0</v>
      </c>
      <c r="W175" s="512" t="str">
        <f t="shared" si="38"/>
        <v/>
      </c>
      <c r="X175" s="512"/>
      <c r="Y175" s="185"/>
    </row>
    <row r="176" spans="1:25">
      <c r="A176" s="256"/>
      <c r="C176" s="160"/>
      <c r="D176" s="205"/>
      <c r="E176" s="205"/>
      <c r="F176" s="205"/>
      <c r="G176" s="205"/>
      <c r="H176" s="205">
        <f t="shared" si="46"/>
        <v>0</v>
      </c>
      <c r="I176" s="205"/>
      <c r="J176" s="205"/>
      <c r="K176" s="205">
        <f t="shared" si="43"/>
        <v>0</v>
      </c>
      <c r="L176" s="205"/>
      <c r="M176" s="205"/>
      <c r="N176" s="205"/>
      <c r="O176" s="205"/>
      <c r="P176" s="205">
        <f t="shared" si="35"/>
        <v>0</v>
      </c>
      <c r="Q176" s="205"/>
      <c r="R176" s="205"/>
      <c r="S176" s="209">
        <f t="shared" si="47"/>
        <v>0</v>
      </c>
      <c r="T176" s="185">
        <v>0</v>
      </c>
      <c r="U176" s="185">
        <f t="shared" si="36"/>
        <v>0</v>
      </c>
      <c r="V176" s="185">
        <f t="shared" si="37"/>
        <v>0</v>
      </c>
      <c r="W176" s="512" t="str">
        <f t="shared" si="38"/>
        <v/>
      </c>
      <c r="X176" s="512"/>
      <c r="Y176" s="185"/>
    </row>
    <row r="177" spans="1:25">
      <c r="A177" s="256"/>
      <c r="C177" s="144" t="s">
        <v>176</v>
      </c>
      <c r="D177" s="191"/>
      <c r="E177" s="191"/>
      <c r="F177" s="191"/>
      <c r="G177" s="191"/>
      <c r="H177" s="191">
        <f t="shared" si="46"/>
        <v>0</v>
      </c>
      <c r="I177" s="191"/>
      <c r="J177" s="191"/>
      <c r="K177" s="191">
        <f t="shared" si="43"/>
        <v>0</v>
      </c>
      <c r="L177" s="191"/>
      <c r="M177" s="191"/>
      <c r="N177" s="191"/>
      <c r="O177" s="191"/>
      <c r="P177" s="191">
        <f t="shared" si="35"/>
        <v>0</v>
      </c>
      <c r="Q177" s="191"/>
      <c r="R177" s="191"/>
      <c r="S177" s="209">
        <f t="shared" si="47"/>
        <v>0</v>
      </c>
      <c r="T177" s="185">
        <v>0</v>
      </c>
      <c r="U177" s="185">
        <f t="shared" si="36"/>
        <v>0</v>
      </c>
      <c r="V177" s="185">
        <f t="shared" si="37"/>
        <v>0</v>
      </c>
      <c r="W177" s="512" t="str">
        <f t="shared" si="38"/>
        <v/>
      </c>
      <c r="X177" s="512"/>
      <c r="Y177" s="185"/>
    </row>
    <row r="178" spans="1:25">
      <c r="A178" s="256"/>
      <c r="C178" s="145" t="s">
        <v>205</v>
      </c>
      <c r="D178" s="196">
        <v>155050</v>
      </c>
      <c r="E178" s="196"/>
      <c r="F178" s="196"/>
      <c r="G178" s="196"/>
      <c r="H178" s="196">
        <f t="shared" si="46"/>
        <v>155050</v>
      </c>
      <c r="I178" s="196"/>
      <c r="J178" s="196"/>
      <c r="K178" s="196">
        <f t="shared" si="43"/>
        <v>155050</v>
      </c>
      <c r="L178" s="196"/>
      <c r="M178" s="196"/>
      <c r="N178" s="196"/>
      <c r="O178" s="196"/>
      <c r="P178" s="196">
        <f t="shared" si="35"/>
        <v>0</v>
      </c>
      <c r="Q178" s="196"/>
      <c r="R178" s="196"/>
      <c r="S178" s="209">
        <f t="shared" si="47"/>
        <v>155050</v>
      </c>
      <c r="T178" s="185">
        <v>155050</v>
      </c>
      <c r="U178" s="185">
        <f t="shared" si="36"/>
        <v>0</v>
      </c>
      <c r="V178" s="185">
        <f t="shared" si="37"/>
        <v>0</v>
      </c>
      <c r="W178" s="512">
        <f t="shared" si="38"/>
        <v>0</v>
      </c>
      <c r="X178" s="512"/>
      <c r="Y178" s="185"/>
    </row>
    <row r="179" spans="1:25">
      <c r="A179" s="256"/>
      <c r="C179" s="145"/>
      <c r="D179" s="196"/>
      <c r="E179" s="196"/>
      <c r="F179" s="196"/>
      <c r="G179" s="196"/>
      <c r="H179" s="196">
        <f t="shared" si="46"/>
        <v>0</v>
      </c>
      <c r="I179" s="196"/>
      <c r="J179" s="196"/>
      <c r="K179" s="196">
        <f t="shared" si="43"/>
        <v>0</v>
      </c>
      <c r="L179" s="196"/>
      <c r="M179" s="196"/>
      <c r="N179" s="196"/>
      <c r="O179" s="196"/>
      <c r="P179" s="196">
        <f t="shared" si="35"/>
        <v>0</v>
      </c>
      <c r="Q179" s="196"/>
      <c r="R179" s="196"/>
      <c r="S179" s="209">
        <f t="shared" si="47"/>
        <v>0</v>
      </c>
      <c r="T179" s="185">
        <v>0</v>
      </c>
      <c r="U179" s="185">
        <f t="shared" si="36"/>
        <v>0</v>
      </c>
      <c r="V179" s="185">
        <f t="shared" si="37"/>
        <v>0</v>
      </c>
      <c r="W179" s="512" t="str">
        <f t="shared" si="38"/>
        <v/>
      </c>
      <c r="X179" s="512"/>
      <c r="Y179" s="185"/>
    </row>
    <row r="180" spans="1:25">
      <c r="A180" s="256"/>
      <c r="C180" s="147"/>
      <c r="D180" s="159"/>
      <c r="E180" s="159"/>
      <c r="F180" s="159"/>
      <c r="G180" s="159"/>
      <c r="H180" s="159">
        <f t="shared" si="46"/>
        <v>0</v>
      </c>
      <c r="I180" s="159"/>
      <c r="J180" s="159"/>
      <c r="K180" s="159">
        <f t="shared" si="43"/>
        <v>0</v>
      </c>
      <c r="L180" s="159"/>
      <c r="M180" s="159"/>
      <c r="N180" s="159"/>
      <c r="O180" s="159"/>
      <c r="P180" s="159">
        <f t="shared" si="35"/>
        <v>0</v>
      </c>
      <c r="Q180" s="159"/>
      <c r="R180" s="159"/>
      <c r="S180" s="209">
        <f t="shared" si="47"/>
        <v>0</v>
      </c>
      <c r="T180" s="185">
        <v>0</v>
      </c>
      <c r="U180" s="185">
        <f t="shared" si="36"/>
        <v>0</v>
      </c>
      <c r="V180" s="185">
        <f t="shared" si="37"/>
        <v>0</v>
      </c>
      <c r="W180" s="512" t="str">
        <f t="shared" si="38"/>
        <v/>
      </c>
      <c r="X180" s="512"/>
      <c r="Y180" s="185"/>
    </row>
    <row r="181" spans="1:25">
      <c r="A181" s="256"/>
      <c r="C181" s="144" t="s">
        <v>176</v>
      </c>
      <c r="D181" s="191"/>
      <c r="E181" s="191"/>
      <c r="F181" s="191"/>
      <c r="G181" s="191"/>
      <c r="H181" s="191">
        <f t="shared" si="46"/>
        <v>0</v>
      </c>
      <c r="I181" s="191"/>
      <c r="J181" s="191"/>
      <c r="K181" s="191">
        <f t="shared" si="43"/>
        <v>0</v>
      </c>
      <c r="L181" s="191"/>
      <c r="M181" s="191"/>
      <c r="N181" s="191"/>
      <c r="O181" s="191"/>
      <c r="P181" s="191">
        <f t="shared" si="35"/>
        <v>0</v>
      </c>
      <c r="Q181" s="191"/>
      <c r="R181" s="191"/>
      <c r="S181" s="209">
        <f t="shared" si="47"/>
        <v>0</v>
      </c>
      <c r="T181" s="185">
        <v>0</v>
      </c>
      <c r="U181" s="185">
        <f t="shared" si="36"/>
        <v>0</v>
      </c>
      <c r="V181" s="185">
        <f t="shared" si="37"/>
        <v>0</v>
      </c>
      <c r="W181" s="512" t="str">
        <f t="shared" si="38"/>
        <v/>
      </c>
      <c r="X181" s="512"/>
      <c r="Y181" s="185"/>
    </row>
    <row r="182" spans="1:25">
      <c r="A182" s="256"/>
      <c r="C182" s="145" t="s">
        <v>206</v>
      </c>
      <c r="D182" s="196">
        <v>13000</v>
      </c>
      <c r="E182" s="196"/>
      <c r="F182" s="196"/>
      <c r="G182" s="196"/>
      <c r="H182" s="196">
        <f t="shared" si="46"/>
        <v>13000</v>
      </c>
      <c r="I182" s="196"/>
      <c r="J182" s="196"/>
      <c r="K182" s="196">
        <f t="shared" si="43"/>
        <v>13000</v>
      </c>
      <c r="L182" s="196"/>
      <c r="M182" s="196"/>
      <c r="N182" s="196"/>
      <c r="O182" s="196"/>
      <c r="P182" s="196">
        <f t="shared" si="35"/>
        <v>0</v>
      </c>
      <c r="Q182" s="196"/>
      <c r="R182" s="196"/>
      <c r="S182" s="209">
        <f t="shared" si="47"/>
        <v>13000</v>
      </c>
      <c r="T182" s="185">
        <v>13000</v>
      </c>
      <c r="U182" s="185">
        <f t="shared" si="36"/>
        <v>0</v>
      </c>
      <c r="V182" s="185">
        <f t="shared" si="37"/>
        <v>0</v>
      </c>
      <c r="W182" s="512">
        <f t="shared" si="38"/>
        <v>0</v>
      </c>
      <c r="X182" s="512"/>
      <c r="Y182" s="185"/>
    </row>
    <row r="183" spans="1:25">
      <c r="A183" s="256"/>
      <c r="C183" s="145"/>
      <c r="D183" s="196"/>
      <c r="E183" s="196"/>
      <c r="F183" s="196"/>
      <c r="G183" s="196"/>
      <c r="H183" s="196">
        <f t="shared" si="46"/>
        <v>0</v>
      </c>
      <c r="I183" s="196"/>
      <c r="J183" s="196"/>
      <c r="K183" s="196">
        <f t="shared" si="43"/>
        <v>0</v>
      </c>
      <c r="L183" s="196"/>
      <c r="M183" s="196"/>
      <c r="N183" s="196"/>
      <c r="O183" s="196"/>
      <c r="P183" s="196">
        <f t="shared" si="35"/>
        <v>0</v>
      </c>
      <c r="Q183" s="196"/>
      <c r="R183" s="196"/>
      <c r="S183" s="209">
        <f t="shared" si="47"/>
        <v>0</v>
      </c>
      <c r="T183" s="185">
        <v>0</v>
      </c>
      <c r="U183" s="185">
        <f t="shared" si="36"/>
        <v>0</v>
      </c>
      <c r="V183" s="185">
        <f t="shared" si="37"/>
        <v>0</v>
      </c>
      <c r="W183" s="512" t="str">
        <f t="shared" si="38"/>
        <v/>
      </c>
      <c r="X183" s="512"/>
      <c r="Y183" s="185"/>
    </row>
    <row r="184" spans="1:25">
      <c r="A184" s="256"/>
      <c r="C184" s="147"/>
      <c r="D184" s="159"/>
      <c r="E184" s="159"/>
      <c r="F184" s="159"/>
      <c r="G184" s="159"/>
      <c r="H184" s="159">
        <f t="shared" si="46"/>
        <v>0</v>
      </c>
      <c r="I184" s="159"/>
      <c r="J184" s="159"/>
      <c r="K184" s="159">
        <f t="shared" si="43"/>
        <v>0</v>
      </c>
      <c r="L184" s="159"/>
      <c r="M184" s="159"/>
      <c r="N184" s="159"/>
      <c r="O184" s="159"/>
      <c r="P184" s="159">
        <f t="shared" si="35"/>
        <v>0</v>
      </c>
      <c r="Q184" s="159"/>
      <c r="R184" s="159"/>
      <c r="S184" s="209">
        <f t="shared" si="47"/>
        <v>0</v>
      </c>
      <c r="T184" s="185">
        <v>0</v>
      </c>
      <c r="U184" s="185">
        <f t="shared" si="36"/>
        <v>0</v>
      </c>
      <c r="V184" s="185">
        <f t="shared" si="37"/>
        <v>0</v>
      </c>
      <c r="W184" s="512" t="str">
        <f t="shared" si="38"/>
        <v/>
      </c>
      <c r="X184" s="512"/>
      <c r="Y184" s="185"/>
    </row>
    <row r="185" spans="1:25">
      <c r="A185" s="256"/>
      <c r="C185" s="144" t="s">
        <v>176</v>
      </c>
      <c r="D185" s="191"/>
      <c r="E185" s="191"/>
      <c r="F185" s="191"/>
      <c r="G185" s="191"/>
      <c r="H185" s="191">
        <f t="shared" si="46"/>
        <v>0</v>
      </c>
      <c r="I185" s="191"/>
      <c r="J185" s="191"/>
      <c r="K185" s="191">
        <f t="shared" si="43"/>
        <v>0</v>
      </c>
      <c r="L185" s="191"/>
      <c r="M185" s="191"/>
      <c r="N185" s="191"/>
      <c r="O185" s="191"/>
      <c r="P185" s="191">
        <f t="shared" si="35"/>
        <v>0</v>
      </c>
      <c r="Q185" s="191"/>
      <c r="R185" s="191"/>
      <c r="S185" s="209">
        <f t="shared" si="47"/>
        <v>0</v>
      </c>
      <c r="T185" s="185">
        <v>0</v>
      </c>
      <c r="U185" s="185">
        <f t="shared" si="36"/>
        <v>0</v>
      </c>
      <c r="V185" s="185">
        <f t="shared" si="37"/>
        <v>0</v>
      </c>
      <c r="W185" s="512" t="str">
        <f t="shared" si="38"/>
        <v/>
      </c>
      <c r="X185" s="512"/>
      <c r="Y185" s="185"/>
    </row>
    <row r="186" spans="1:25">
      <c r="A186" s="256"/>
      <c r="C186" s="145" t="s">
        <v>207</v>
      </c>
      <c r="D186" s="196">
        <f>91750+30000</f>
        <v>121750</v>
      </c>
      <c r="E186" s="196"/>
      <c r="F186" s="196"/>
      <c r="G186" s="196"/>
      <c r="H186" s="196">
        <f t="shared" si="46"/>
        <v>121750</v>
      </c>
      <c r="I186" s="196"/>
      <c r="J186" s="196">
        <f>J187+J188</f>
        <v>0</v>
      </c>
      <c r="K186" s="196">
        <f t="shared" si="43"/>
        <v>121750</v>
      </c>
      <c r="L186" s="196">
        <f>L187+L188</f>
        <v>0</v>
      </c>
      <c r="M186" s="196">
        <f t="shared" ref="M186:R186" si="52">M187+M188</f>
        <v>0</v>
      </c>
      <c r="N186" s="196"/>
      <c r="O186" s="196">
        <f t="shared" si="52"/>
        <v>0</v>
      </c>
      <c r="P186" s="196">
        <f t="shared" si="35"/>
        <v>0</v>
      </c>
      <c r="Q186" s="196">
        <f t="shared" si="52"/>
        <v>0</v>
      </c>
      <c r="R186" s="196">
        <f t="shared" si="52"/>
        <v>0</v>
      </c>
      <c r="S186" s="209">
        <f t="shared" si="47"/>
        <v>121750</v>
      </c>
      <c r="T186" s="185">
        <v>121750</v>
      </c>
      <c r="U186" s="185">
        <f t="shared" si="36"/>
        <v>0</v>
      </c>
      <c r="V186" s="185">
        <f t="shared" si="37"/>
        <v>0</v>
      </c>
      <c r="W186" s="512">
        <f t="shared" si="38"/>
        <v>0</v>
      </c>
      <c r="X186" s="512"/>
      <c r="Y186" s="185"/>
    </row>
    <row r="187" spans="1:25">
      <c r="A187" s="256"/>
      <c r="C187" s="162" t="s">
        <v>208</v>
      </c>
      <c r="D187" s="157">
        <v>48150</v>
      </c>
      <c r="E187" s="157"/>
      <c r="F187" s="157"/>
      <c r="G187" s="157"/>
      <c r="H187" s="157">
        <f t="shared" si="46"/>
        <v>48150</v>
      </c>
      <c r="I187" s="157"/>
      <c r="J187" s="157"/>
      <c r="K187" s="157">
        <f t="shared" si="43"/>
        <v>48150</v>
      </c>
      <c r="L187" s="157"/>
      <c r="M187" s="157"/>
      <c r="N187" s="157"/>
      <c r="O187" s="157"/>
      <c r="P187" s="157">
        <f t="shared" si="35"/>
        <v>0</v>
      </c>
      <c r="Q187" s="157"/>
      <c r="R187" s="157"/>
      <c r="S187" s="499">
        <f t="shared" si="47"/>
        <v>48150</v>
      </c>
      <c r="T187" s="189">
        <v>48150</v>
      </c>
      <c r="U187" s="189">
        <f t="shared" si="36"/>
        <v>0</v>
      </c>
      <c r="V187" s="189">
        <f t="shared" si="37"/>
        <v>0</v>
      </c>
      <c r="W187" s="517">
        <f t="shared" si="38"/>
        <v>0</v>
      </c>
      <c r="X187" s="517"/>
      <c r="Y187" s="189"/>
    </row>
    <row r="188" spans="1:25">
      <c r="A188" s="256"/>
      <c r="C188" s="163" t="s">
        <v>209</v>
      </c>
      <c r="D188" s="157">
        <f>43600+30000</f>
        <v>73600</v>
      </c>
      <c r="E188" s="157"/>
      <c r="F188" s="157"/>
      <c r="G188" s="157"/>
      <c r="H188" s="157">
        <f t="shared" si="46"/>
        <v>73600</v>
      </c>
      <c r="I188" s="157"/>
      <c r="J188" s="157"/>
      <c r="K188" s="157">
        <f t="shared" si="43"/>
        <v>73600</v>
      </c>
      <c r="L188" s="157"/>
      <c r="M188" s="157"/>
      <c r="N188" s="157"/>
      <c r="O188" s="157"/>
      <c r="P188" s="157">
        <f t="shared" si="35"/>
        <v>0</v>
      </c>
      <c r="Q188" s="157"/>
      <c r="R188" s="157"/>
      <c r="S188" s="499">
        <f t="shared" si="47"/>
        <v>73600</v>
      </c>
      <c r="T188" s="189">
        <v>73600</v>
      </c>
      <c r="U188" s="189">
        <f t="shared" si="36"/>
        <v>0</v>
      </c>
      <c r="V188" s="189">
        <f t="shared" si="37"/>
        <v>0</v>
      </c>
      <c r="W188" s="517">
        <f t="shared" si="38"/>
        <v>0</v>
      </c>
      <c r="X188" s="517"/>
      <c r="Y188" s="189"/>
    </row>
    <row r="189" spans="1:25">
      <c r="A189" s="256"/>
      <c r="C189" s="163"/>
      <c r="D189" s="157"/>
      <c r="E189" s="157"/>
      <c r="F189" s="157"/>
      <c r="G189" s="157"/>
      <c r="H189" s="157">
        <f t="shared" si="46"/>
        <v>0</v>
      </c>
      <c r="I189" s="157"/>
      <c r="J189" s="157"/>
      <c r="K189" s="157">
        <f t="shared" si="43"/>
        <v>0</v>
      </c>
      <c r="L189" s="157"/>
      <c r="M189" s="157"/>
      <c r="N189" s="157"/>
      <c r="O189" s="157"/>
      <c r="P189" s="157">
        <f t="shared" si="35"/>
        <v>0</v>
      </c>
      <c r="Q189" s="157"/>
      <c r="R189" s="157"/>
      <c r="S189" s="209">
        <f t="shared" si="47"/>
        <v>0</v>
      </c>
      <c r="T189" s="185">
        <v>0</v>
      </c>
      <c r="U189" s="185">
        <f t="shared" si="36"/>
        <v>0</v>
      </c>
      <c r="V189" s="185">
        <f t="shared" si="37"/>
        <v>0</v>
      </c>
      <c r="W189" s="512" t="str">
        <f t="shared" si="38"/>
        <v/>
      </c>
      <c r="X189" s="512"/>
      <c r="Y189" s="185"/>
    </row>
    <row r="190" spans="1:25">
      <c r="A190" s="256"/>
      <c r="C190" s="154"/>
      <c r="D190" s="197"/>
      <c r="E190" s="197"/>
      <c r="F190" s="197"/>
      <c r="G190" s="197"/>
      <c r="H190" s="197">
        <f t="shared" si="46"/>
        <v>0</v>
      </c>
      <c r="I190" s="197"/>
      <c r="J190" s="197"/>
      <c r="K190" s="197">
        <f t="shared" si="43"/>
        <v>0</v>
      </c>
      <c r="L190" s="197"/>
      <c r="M190" s="197"/>
      <c r="N190" s="197"/>
      <c r="O190" s="197"/>
      <c r="P190" s="197">
        <f t="shared" si="35"/>
        <v>0</v>
      </c>
      <c r="Q190" s="197"/>
      <c r="R190" s="197"/>
      <c r="S190" s="209">
        <f t="shared" si="47"/>
        <v>0</v>
      </c>
      <c r="T190" s="185">
        <v>0</v>
      </c>
      <c r="U190" s="185">
        <f t="shared" si="36"/>
        <v>0</v>
      </c>
      <c r="V190" s="185">
        <f t="shared" si="37"/>
        <v>0</v>
      </c>
      <c r="W190" s="512" t="str">
        <f t="shared" si="38"/>
        <v/>
      </c>
      <c r="X190" s="512"/>
      <c r="Y190" s="185"/>
    </row>
    <row r="191" spans="1:25">
      <c r="A191" s="256"/>
      <c r="C191" s="144" t="s">
        <v>176</v>
      </c>
      <c r="D191" s="191"/>
      <c r="E191" s="191"/>
      <c r="F191" s="191"/>
      <c r="G191" s="191"/>
      <c r="H191" s="191">
        <f t="shared" si="46"/>
        <v>0</v>
      </c>
      <c r="I191" s="191"/>
      <c r="J191" s="191"/>
      <c r="K191" s="191">
        <f t="shared" si="43"/>
        <v>0</v>
      </c>
      <c r="L191" s="191"/>
      <c r="M191" s="191"/>
      <c r="N191" s="191"/>
      <c r="O191" s="191"/>
      <c r="P191" s="191">
        <f t="shared" si="35"/>
        <v>0</v>
      </c>
      <c r="Q191" s="191"/>
      <c r="R191" s="191"/>
      <c r="S191" s="209">
        <f t="shared" si="47"/>
        <v>0</v>
      </c>
      <c r="T191" s="185">
        <v>0</v>
      </c>
      <c r="U191" s="185">
        <f t="shared" si="36"/>
        <v>0</v>
      </c>
      <c r="V191" s="185">
        <f t="shared" si="37"/>
        <v>0</v>
      </c>
      <c r="W191" s="512" t="str">
        <f t="shared" si="38"/>
        <v/>
      </c>
      <c r="X191" s="512"/>
      <c r="Y191" s="185"/>
    </row>
    <row r="192" spans="1:25">
      <c r="A192" s="256"/>
      <c r="C192" s="145" t="s">
        <v>210</v>
      </c>
      <c r="D192" s="196">
        <v>14170</v>
      </c>
      <c r="E192" s="196"/>
      <c r="F192" s="196"/>
      <c r="G192" s="196"/>
      <c r="H192" s="196">
        <f t="shared" si="46"/>
        <v>14170</v>
      </c>
      <c r="I192" s="196"/>
      <c r="J192" s="196"/>
      <c r="K192" s="196">
        <f t="shared" si="43"/>
        <v>14170</v>
      </c>
      <c r="L192" s="196"/>
      <c r="M192" s="196"/>
      <c r="N192" s="196"/>
      <c r="O192" s="196"/>
      <c r="P192" s="196">
        <f t="shared" ref="P192:P255" si="53">SUM(L192:O192)</f>
        <v>0</v>
      </c>
      <c r="Q192" s="196"/>
      <c r="R192" s="196"/>
      <c r="S192" s="209">
        <f t="shared" si="47"/>
        <v>14170</v>
      </c>
      <c r="T192" s="185">
        <v>14170</v>
      </c>
      <c r="U192" s="185">
        <f t="shared" ref="U192:U255" si="54">T192-S192</f>
        <v>0</v>
      </c>
      <c r="V192" s="185">
        <f t="shared" ref="V192:V255" si="55">T192-H192</f>
        <v>0</v>
      </c>
      <c r="W192" s="512">
        <f t="shared" ref="W192:W255" si="56">IF(H192=0,"",V192/H192)</f>
        <v>0</v>
      </c>
      <c r="X192" s="512"/>
      <c r="Y192" s="185"/>
    </row>
    <row r="193" spans="1:25">
      <c r="A193" s="256"/>
      <c r="C193" s="145"/>
      <c r="D193" s="196"/>
      <c r="E193" s="196"/>
      <c r="F193" s="196"/>
      <c r="G193" s="196"/>
      <c r="H193" s="196">
        <f t="shared" si="46"/>
        <v>0</v>
      </c>
      <c r="I193" s="196"/>
      <c r="J193" s="196"/>
      <c r="K193" s="196">
        <f t="shared" si="43"/>
        <v>0</v>
      </c>
      <c r="L193" s="196"/>
      <c r="M193" s="196"/>
      <c r="N193" s="196"/>
      <c r="O193" s="196"/>
      <c r="P193" s="196">
        <f t="shared" si="53"/>
        <v>0</v>
      </c>
      <c r="Q193" s="196"/>
      <c r="R193" s="196"/>
      <c r="S193" s="209">
        <f t="shared" si="47"/>
        <v>0</v>
      </c>
      <c r="T193" s="185">
        <v>0</v>
      </c>
      <c r="U193" s="185">
        <f t="shared" si="54"/>
        <v>0</v>
      </c>
      <c r="V193" s="185">
        <f t="shared" si="55"/>
        <v>0</v>
      </c>
      <c r="W193" s="512" t="str">
        <f t="shared" si="56"/>
        <v/>
      </c>
      <c r="X193" s="512"/>
      <c r="Y193" s="185"/>
    </row>
    <row r="194" spans="1:25">
      <c r="A194" s="256"/>
      <c r="C194" s="160"/>
      <c r="D194" s="205"/>
      <c r="E194" s="205"/>
      <c r="F194" s="205"/>
      <c r="G194" s="205"/>
      <c r="H194" s="205">
        <f t="shared" si="46"/>
        <v>0</v>
      </c>
      <c r="I194" s="205"/>
      <c r="J194" s="205"/>
      <c r="K194" s="205">
        <f t="shared" si="43"/>
        <v>0</v>
      </c>
      <c r="L194" s="205"/>
      <c r="M194" s="205"/>
      <c r="N194" s="205"/>
      <c r="O194" s="205"/>
      <c r="P194" s="205">
        <f t="shared" si="53"/>
        <v>0</v>
      </c>
      <c r="Q194" s="205"/>
      <c r="R194" s="205"/>
      <c r="S194" s="209">
        <f t="shared" si="47"/>
        <v>0</v>
      </c>
      <c r="T194" s="185">
        <v>0</v>
      </c>
      <c r="U194" s="185">
        <f t="shared" si="54"/>
        <v>0</v>
      </c>
      <c r="V194" s="185">
        <f t="shared" si="55"/>
        <v>0</v>
      </c>
      <c r="W194" s="512" t="str">
        <f t="shared" si="56"/>
        <v/>
      </c>
      <c r="X194" s="512"/>
      <c r="Y194" s="185"/>
    </row>
    <row r="195" spans="1:25">
      <c r="A195" s="256"/>
      <c r="C195" s="144" t="s">
        <v>176</v>
      </c>
      <c r="D195" s="191"/>
      <c r="E195" s="191"/>
      <c r="F195" s="191"/>
      <c r="G195" s="191"/>
      <c r="H195" s="191">
        <f t="shared" si="46"/>
        <v>0</v>
      </c>
      <c r="I195" s="191"/>
      <c r="J195" s="191"/>
      <c r="K195" s="191">
        <f t="shared" si="43"/>
        <v>0</v>
      </c>
      <c r="L195" s="191"/>
      <c r="M195" s="191"/>
      <c r="N195" s="191"/>
      <c r="O195" s="191"/>
      <c r="P195" s="191">
        <f t="shared" si="53"/>
        <v>0</v>
      </c>
      <c r="Q195" s="191"/>
      <c r="R195" s="191"/>
      <c r="S195" s="209">
        <f t="shared" si="47"/>
        <v>0</v>
      </c>
      <c r="T195" s="185">
        <v>0</v>
      </c>
      <c r="U195" s="185">
        <f t="shared" si="54"/>
        <v>0</v>
      </c>
      <c r="V195" s="185">
        <f t="shared" si="55"/>
        <v>0</v>
      </c>
      <c r="W195" s="512" t="str">
        <f t="shared" si="56"/>
        <v/>
      </c>
      <c r="X195" s="512"/>
      <c r="Y195" s="185"/>
    </row>
    <row r="196" spans="1:25">
      <c r="A196" s="256"/>
      <c r="C196" s="145" t="s">
        <v>211</v>
      </c>
      <c r="D196" s="196">
        <v>55000</v>
      </c>
      <c r="E196" s="196"/>
      <c r="F196" s="196"/>
      <c r="G196" s="196"/>
      <c r="H196" s="196">
        <f t="shared" si="46"/>
        <v>55000</v>
      </c>
      <c r="I196" s="196"/>
      <c r="J196" s="196"/>
      <c r="K196" s="196">
        <f t="shared" si="43"/>
        <v>55000</v>
      </c>
      <c r="L196" s="196"/>
      <c r="M196" s="196"/>
      <c r="N196" s="196"/>
      <c r="O196" s="196"/>
      <c r="P196" s="196">
        <f t="shared" si="53"/>
        <v>0</v>
      </c>
      <c r="Q196" s="196"/>
      <c r="R196" s="196"/>
      <c r="S196" s="209">
        <f t="shared" si="47"/>
        <v>55000</v>
      </c>
      <c r="T196" s="185">
        <v>55000</v>
      </c>
      <c r="U196" s="185">
        <f t="shared" si="54"/>
        <v>0</v>
      </c>
      <c r="V196" s="185">
        <f t="shared" si="55"/>
        <v>0</v>
      </c>
      <c r="W196" s="512">
        <f t="shared" si="56"/>
        <v>0</v>
      </c>
      <c r="X196" s="512"/>
      <c r="Y196" s="185"/>
    </row>
    <row r="197" spans="1:25">
      <c r="A197" s="256"/>
      <c r="C197" s="145"/>
      <c r="D197" s="196"/>
      <c r="E197" s="196"/>
      <c r="F197" s="196"/>
      <c r="G197" s="196"/>
      <c r="H197" s="196">
        <f t="shared" si="46"/>
        <v>0</v>
      </c>
      <c r="I197" s="196"/>
      <c r="J197" s="196"/>
      <c r="K197" s="196">
        <f t="shared" si="43"/>
        <v>0</v>
      </c>
      <c r="L197" s="196"/>
      <c r="M197" s="196"/>
      <c r="N197" s="196"/>
      <c r="O197" s="196"/>
      <c r="P197" s="196">
        <f t="shared" si="53"/>
        <v>0</v>
      </c>
      <c r="Q197" s="196"/>
      <c r="R197" s="196"/>
      <c r="S197" s="209">
        <f t="shared" si="47"/>
        <v>0</v>
      </c>
      <c r="T197" s="185">
        <v>0</v>
      </c>
      <c r="U197" s="185">
        <f t="shared" si="54"/>
        <v>0</v>
      </c>
      <c r="V197" s="185">
        <f t="shared" si="55"/>
        <v>0</v>
      </c>
      <c r="W197" s="512" t="str">
        <f t="shared" si="56"/>
        <v/>
      </c>
      <c r="X197" s="512"/>
      <c r="Y197" s="185"/>
    </row>
    <row r="198" spans="1:25">
      <c r="A198" s="256"/>
      <c r="C198" s="161"/>
      <c r="D198" s="206"/>
      <c r="E198" s="206"/>
      <c r="F198" s="206"/>
      <c r="G198" s="206"/>
      <c r="H198" s="206">
        <f t="shared" si="46"/>
        <v>0</v>
      </c>
      <c r="I198" s="206"/>
      <c r="J198" s="206"/>
      <c r="K198" s="206">
        <f t="shared" si="43"/>
        <v>0</v>
      </c>
      <c r="L198" s="206"/>
      <c r="M198" s="206"/>
      <c r="N198" s="206"/>
      <c r="O198" s="206"/>
      <c r="P198" s="206">
        <f t="shared" si="53"/>
        <v>0</v>
      </c>
      <c r="Q198" s="206"/>
      <c r="R198" s="206"/>
      <c r="S198" s="209">
        <f t="shared" si="47"/>
        <v>0</v>
      </c>
      <c r="T198" s="185">
        <v>0</v>
      </c>
      <c r="U198" s="185">
        <f t="shared" si="54"/>
        <v>0</v>
      </c>
      <c r="V198" s="185">
        <f t="shared" si="55"/>
        <v>0</v>
      </c>
      <c r="W198" s="512" t="str">
        <f t="shared" si="56"/>
        <v/>
      </c>
      <c r="X198" s="512"/>
      <c r="Y198" s="185"/>
    </row>
    <row r="199" spans="1:25">
      <c r="A199" s="256"/>
      <c r="C199" s="144" t="s">
        <v>176</v>
      </c>
      <c r="D199" s="191"/>
      <c r="E199" s="191"/>
      <c r="F199" s="191"/>
      <c r="G199" s="191"/>
      <c r="H199" s="191">
        <f t="shared" si="46"/>
        <v>0</v>
      </c>
      <c r="I199" s="191"/>
      <c r="J199" s="191"/>
      <c r="K199" s="191">
        <f t="shared" si="43"/>
        <v>0</v>
      </c>
      <c r="L199" s="191"/>
      <c r="M199" s="191"/>
      <c r="N199" s="191"/>
      <c r="O199" s="191"/>
      <c r="P199" s="191">
        <f t="shared" si="53"/>
        <v>0</v>
      </c>
      <c r="Q199" s="191"/>
      <c r="R199" s="191"/>
      <c r="S199" s="209">
        <f t="shared" si="47"/>
        <v>0</v>
      </c>
      <c r="T199" s="185">
        <v>0</v>
      </c>
      <c r="U199" s="185">
        <f t="shared" si="54"/>
        <v>0</v>
      </c>
      <c r="V199" s="185">
        <f t="shared" si="55"/>
        <v>0</v>
      </c>
      <c r="W199" s="512" t="str">
        <f t="shared" si="56"/>
        <v/>
      </c>
      <c r="X199" s="512"/>
      <c r="Y199" s="185"/>
    </row>
    <row r="200" spans="1:25" ht="24">
      <c r="A200" s="256"/>
      <c r="C200" s="145" t="s">
        <v>212</v>
      </c>
      <c r="D200" s="196">
        <v>852918</v>
      </c>
      <c r="E200" s="196"/>
      <c r="F200" s="196"/>
      <c r="G200" s="196"/>
      <c r="H200" s="196">
        <f t="shared" si="46"/>
        <v>852918</v>
      </c>
      <c r="I200" s="196"/>
      <c r="J200" s="196"/>
      <c r="K200" s="196">
        <f t="shared" si="43"/>
        <v>852918</v>
      </c>
      <c r="L200" s="196"/>
      <c r="M200" s="196"/>
      <c r="N200" s="196"/>
      <c r="O200" s="196"/>
      <c r="P200" s="196">
        <f t="shared" si="53"/>
        <v>0</v>
      </c>
      <c r="Q200" s="196"/>
      <c r="R200" s="196"/>
      <c r="S200" s="209">
        <f t="shared" si="47"/>
        <v>852918</v>
      </c>
      <c r="T200" s="185">
        <v>852918</v>
      </c>
      <c r="U200" s="185">
        <f t="shared" si="54"/>
        <v>0</v>
      </c>
      <c r="V200" s="185">
        <f t="shared" si="55"/>
        <v>0</v>
      </c>
      <c r="W200" s="512">
        <f t="shared" si="56"/>
        <v>0</v>
      </c>
      <c r="X200" s="512"/>
      <c r="Y200" s="185"/>
    </row>
    <row r="201" spans="1:25">
      <c r="A201" s="256"/>
      <c r="C201" s="142" t="s">
        <v>107</v>
      </c>
      <c r="D201" s="186">
        <v>578662</v>
      </c>
      <c r="E201" s="186"/>
      <c r="F201" s="186"/>
      <c r="G201" s="186"/>
      <c r="H201" s="186">
        <f t="shared" si="46"/>
        <v>578662</v>
      </c>
      <c r="I201" s="186"/>
      <c r="J201" s="186"/>
      <c r="K201" s="186">
        <f t="shared" ref="K201:K264" si="57">H201-SUM(I201:J201)-G201</f>
        <v>578662</v>
      </c>
      <c r="L201" s="186"/>
      <c r="M201" s="186"/>
      <c r="N201" s="186"/>
      <c r="O201" s="186"/>
      <c r="P201" s="186">
        <f t="shared" si="53"/>
        <v>0</v>
      </c>
      <c r="Q201" s="186"/>
      <c r="R201" s="186"/>
      <c r="S201" s="187">
        <f t="shared" si="47"/>
        <v>578662</v>
      </c>
      <c r="T201" s="186">
        <v>578662</v>
      </c>
      <c r="U201" s="186">
        <f t="shared" si="54"/>
        <v>0</v>
      </c>
      <c r="V201" s="186">
        <f t="shared" si="55"/>
        <v>0</v>
      </c>
      <c r="W201" s="513">
        <f t="shared" si="56"/>
        <v>0</v>
      </c>
      <c r="X201" s="513"/>
      <c r="Y201" s="186"/>
    </row>
    <row r="202" spans="1:25">
      <c r="A202" s="256"/>
      <c r="C202" s="145"/>
      <c r="D202" s="196"/>
      <c r="E202" s="196"/>
      <c r="F202" s="196"/>
      <c r="G202" s="196"/>
      <c r="H202" s="196">
        <f t="shared" si="46"/>
        <v>0</v>
      </c>
      <c r="I202" s="196"/>
      <c r="J202" s="196"/>
      <c r="K202" s="196">
        <f t="shared" si="57"/>
        <v>0</v>
      </c>
      <c r="L202" s="196"/>
      <c r="M202" s="196"/>
      <c r="N202" s="196"/>
      <c r="O202" s="196"/>
      <c r="P202" s="196">
        <f t="shared" si="53"/>
        <v>0</v>
      </c>
      <c r="Q202" s="196"/>
      <c r="R202" s="196"/>
      <c r="S202" s="209">
        <f t="shared" si="47"/>
        <v>0</v>
      </c>
      <c r="T202" s="185">
        <v>0</v>
      </c>
      <c r="U202" s="185">
        <f t="shared" si="54"/>
        <v>0</v>
      </c>
      <c r="V202" s="185">
        <f t="shared" si="55"/>
        <v>0</v>
      </c>
      <c r="W202" s="512" t="str">
        <f t="shared" si="56"/>
        <v/>
      </c>
      <c r="X202" s="512"/>
      <c r="Y202" s="185"/>
    </row>
    <row r="203" spans="1:25" ht="11.25" customHeight="1">
      <c r="A203" s="256"/>
      <c r="C203" s="161"/>
      <c r="D203" s="206"/>
      <c r="E203" s="206"/>
      <c r="F203" s="206"/>
      <c r="G203" s="206"/>
      <c r="H203" s="206">
        <f t="shared" si="46"/>
        <v>0</v>
      </c>
      <c r="I203" s="206"/>
      <c r="J203" s="206"/>
      <c r="K203" s="206">
        <f t="shared" si="57"/>
        <v>0</v>
      </c>
      <c r="L203" s="206"/>
      <c r="M203" s="206"/>
      <c r="N203" s="206"/>
      <c r="O203" s="206"/>
      <c r="P203" s="206">
        <f t="shared" si="53"/>
        <v>0</v>
      </c>
      <c r="Q203" s="206"/>
      <c r="R203" s="206"/>
      <c r="S203" s="209">
        <f t="shared" si="47"/>
        <v>0</v>
      </c>
      <c r="T203" s="185">
        <v>0</v>
      </c>
      <c r="U203" s="185">
        <f t="shared" si="54"/>
        <v>0</v>
      </c>
      <c r="V203" s="185">
        <f t="shared" si="55"/>
        <v>0</v>
      </c>
      <c r="W203" s="512" t="str">
        <f t="shared" si="56"/>
        <v/>
      </c>
      <c r="X203" s="512"/>
      <c r="Y203" s="185"/>
    </row>
    <row r="204" spans="1:25">
      <c r="A204" s="256"/>
      <c r="C204" s="70" t="s">
        <v>177</v>
      </c>
      <c r="D204" s="191">
        <f>D206+D261</f>
        <v>29859703</v>
      </c>
      <c r="E204" s="191"/>
      <c r="F204" s="191">
        <f t="shared" ref="F204" si="58">F206+F261</f>
        <v>36470</v>
      </c>
      <c r="G204" s="191"/>
      <c r="H204" s="191">
        <f t="shared" si="46"/>
        <v>29896173</v>
      </c>
      <c r="I204" s="191">
        <f>I206+I261</f>
        <v>303447</v>
      </c>
      <c r="J204" s="191">
        <f>J206+J261</f>
        <v>9101828</v>
      </c>
      <c r="K204" s="191">
        <f t="shared" si="57"/>
        <v>20490898</v>
      </c>
      <c r="L204" s="191">
        <f>L206+L261</f>
        <v>-664000</v>
      </c>
      <c r="M204" s="191">
        <f t="shared" ref="M204:R204" si="59">M206+M261</f>
        <v>189560</v>
      </c>
      <c r="N204" s="191"/>
      <c r="O204" s="191">
        <f t="shared" si="59"/>
        <v>0</v>
      </c>
      <c r="P204" s="191">
        <f t="shared" si="53"/>
        <v>-474440</v>
      </c>
      <c r="Q204" s="191">
        <f t="shared" si="59"/>
        <v>10593846</v>
      </c>
      <c r="R204" s="191">
        <f t="shared" si="59"/>
        <v>194571</v>
      </c>
      <c r="S204" s="496">
        <f t="shared" si="47"/>
        <v>30804875</v>
      </c>
      <c r="T204" s="191">
        <f>T206+T261</f>
        <v>30804875</v>
      </c>
      <c r="U204" s="182">
        <f t="shared" si="54"/>
        <v>0</v>
      </c>
      <c r="V204" s="182">
        <f>T204-H204</f>
        <v>908702</v>
      </c>
      <c r="W204" s="510">
        <f t="shared" si="56"/>
        <v>3.0395261627633743E-2</v>
      </c>
      <c r="X204" s="510"/>
      <c r="Y204" s="182"/>
    </row>
    <row r="205" spans="1:25">
      <c r="A205" s="256"/>
      <c r="C205" s="164"/>
      <c r="D205" s="188"/>
      <c r="E205" s="188"/>
      <c r="F205" s="188"/>
      <c r="G205" s="188"/>
      <c r="H205" s="188">
        <f t="shared" si="46"/>
        <v>0</v>
      </c>
      <c r="I205" s="188"/>
      <c r="J205" s="188"/>
      <c r="K205" s="188">
        <f t="shared" si="57"/>
        <v>0</v>
      </c>
      <c r="L205" s="188"/>
      <c r="M205" s="188"/>
      <c r="N205" s="188"/>
      <c r="O205" s="188"/>
      <c r="P205" s="188">
        <f t="shared" si="53"/>
        <v>0</v>
      </c>
      <c r="Q205" s="188"/>
      <c r="R205" s="188"/>
      <c r="S205" s="496">
        <f t="shared" si="47"/>
        <v>0</v>
      </c>
      <c r="T205" s="188"/>
      <c r="U205" s="182">
        <f t="shared" si="54"/>
        <v>0</v>
      </c>
      <c r="V205" s="182">
        <f t="shared" si="55"/>
        <v>0</v>
      </c>
      <c r="W205" s="510" t="str">
        <f t="shared" si="56"/>
        <v/>
      </c>
      <c r="X205" s="510"/>
      <c r="Y205" s="182"/>
    </row>
    <row r="206" spans="1:25">
      <c r="A206" s="256"/>
      <c r="C206" s="165" t="s">
        <v>371</v>
      </c>
      <c r="D206" s="71">
        <f>D208+D211+D213+D216+D237+D235+D245+D248+D253+D257+D243</f>
        <v>18590714</v>
      </c>
      <c r="E206" s="71"/>
      <c r="F206" s="71">
        <f t="shared" ref="F206" si="60">F208+F211+F213+F216+F237+F235+F245+F248+F253+F257+F243</f>
        <v>36470</v>
      </c>
      <c r="G206" s="71"/>
      <c r="H206" s="71">
        <f t="shared" si="46"/>
        <v>18627184</v>
      </c>
      <c r="I206" s="71">
        <f>I208+I211+I213+I216+I237+I235+I245+I248+I253+I257+I243</f>
        <v>303447</v>
      </c>
      <c r="J206" s="71">
        <f>J208+J211+J213+J216+J235+J237+J243+J245+J248+J253+J257</f>
        <v>169189</v>
      </c>
      <c r="K206" s="71">
        <f t="shared" si="57"/>
        <v>18154548</v>
      </c>
      <c r="L206" s="71">
        <f>L208+L211+L213+L216+L235+L237+L243+L245+L248+L253+L257</f>
        <v>-125000</v>
      </c>
      <c r="M206" s="71">
        <f t="shared" ref="M206:R206" si="61">M208+M211+M213+M216+M235+M237+M243+M245+M248+M253+M257</f>
        <v>189560</v>
      </c>
      <c r="N206" s="71"/>
      <c r="O206" s="71">
        <f t="shared" si="61"/>
        <v>0</v>
      </c>
      <c r="P206" s="71">
        <f t="shared" si="53"/>
        <v>64560</v>
      </c>
      <c r="Q206" s="71">
        <f t="shared" si="61"/>
        <v>184626</v>
      </c>
      <c r="R206" s="71">
        <f t="shared" si="61"/>
        <v>194571</v>
      </c>
      <c r="S206" s="502">
        <f t="shared" si="47"/>
        <v>18598305</v>
      </c>
      <c r="T206" s="71">
        <f>T208+T211+T213+T216+T237+T235+T245+T248+T253+T257+T243</f>
        <v>18598305</v>
      </c>
      <c r="U206" s="208">
        <f t="shared" si="54"/>
        <v>0</v>
      </c>
      <c r="V206" s="208">
        <f t="shared" si="55"/>
        <v>-28879</v>
      </c>
      <c r="W206" s="520">
        <f t="shared" si="56"/>
        <v>-1.550368536650521E-3</v>
      </c>
      <c r="X206" s="520"/>
      <c r="Y206" s="208"/>
    </row>
    <row r="207" spans="1:25">
      <c r="A207" s="256"/>
      <c r="C207" s="164"/>
      <c r="D207" s="188"/>
      <c r="E207" s="188"/>
      <c r="F207" s="188"/>
      <c r="G207" s="188"/>
      <c r="H207" s="188">
        <f t="shared" si="46"/>
        <v>0</v>
      </c>
      <c r="I207" s="188"/>
      <c r="J207" s="188"/>
      <c r="K207" s="188">
        <f t="shared" si="57"/>
        <v>0</v>
      </c>
      <c r="L207" s="188"/>
      <c r="M207" s="188"/>
      <c r="N207" s="188"/>
      <c r="O207" s="188"/>
      <c r="P207" s="188">
        <f t="shared" si="53"/>
        <v>0</v>
      </c>
      <c r="Q207" s="188"/>
      <c r="R207" s="188"/>
      <c r="S207" s="209">
        <f t="shared" si="47"/>
        <v>0</v>
      </c>
      <c r="T207" s="185">
        <v>0</v>
      </c>
      <c r="U207" s="185">
        <f t="shared" si="54"/>
        <v>0</v>
      </c>
      <c r="V207" s="185">
        <f t="shared" si="55"/>
        <v>0</v>
      </c>
      <c r="W207" s="512" t="str">
        <f t="shared" si="56"/>
        <v/>
      </c>
      <c r="X207" s="512"/>
      <c r="Y207" s="185"/>
    </row>
    <row r="208" spans="1:25">
      <c r="A208" s="256" t="s">
        <v>318</v>
      </c>
      <c r="B208" s="6" t="s">
        <v>178</v>
      </c>
      <c r="C208" s="166" t="s">
        <v>214</v>
      </c>
      <c r="D208" s="185">
        <v>1057345</v>
      </c>
      <c r="E208" s="185"/>
      <c r="F208" s="185">
        <v>36470</v>
      </c>
      <c r="G208" s="185"/>
      <c r="H208" s="185">
        <f t="shared" ref="H208:H284" si="62">SUM(D208:G208)</f>
        <v>1093815</v>
      </c>
      <c r="I208" s="185"/>
      <c r="J208" s="185">
        <v>45951</v>
      </c>
      <c r="K208" s="185">
        <f t="shared" si="57"/>
        <v>1047864</v>
      </c>
      <c r="L208" s="185"/>
      <c r="M208" s="185"/>
      <c r="N208" s="185"/>
      <c r="O208" s="185"/>
      <c r="P208" s="185">
        <f t="shared" si="53"/>
        <v>0</v>
      </c>
      <c r="Q208" s="185">
        <v>46194</v>
      </c>
      <c r="R208" s="185"/>
      <c r="S208" s="209">
        <f t="shared" si="47"/>
        <v>1094058</v>
      </c>
      <c r="T208" s="185">
        <v>1094058</v>
      </c>
      <c r="U208" s="185">
        <f t="shared" si="54"/>
        <v>0</v>
      </c>
      <c r="V208" s="185">
        <f t="shared" si="55"/>
        <v>243</v>
      </c>
      <c r="W208" s="512">
        <f t="shared" si="56"/>
        <v>2.2215822602542477E-4</v>
      </c>
      <c r="X208" s="512"/>
      <c r="Y208" s="185"/>
    </row>
    <row r="209" spans="1:25">
      <c r="A209" s="256"/>
      <c r="C209" s="129" t="s">
        <v>107</v>
      </c>
      <c r="D209" s="186">
        <v>627889</v>
      </c>
      <c r="E209" s="186"/>
      <c r="F209" s="186">
        <v>27257</v>
      </c>
      <c r="G209" s="186"/>
      <c r="H209" s="186">
        <f t="shared" si="62"/>
        <v>655146</v>
      </c>
      <c r="I209" s="186"/>
      <c r="J209" s="186"/>
      <c r="K209" s="186">
        <f t="shared" si="57"/>
        <v>655146</v>
      </c>
      <c r="L209" s="186"/>
      <c r="M209" s="186"/>
      <c r="N209" s="186"/>
      <c r="O209" s="186"/>
      <c r="P209" s="186">
        <f t="shared" si="53"/>
        <v>0</v>
      </c>
      <c r="Q209" s="186"/>
      <c r="R209" s="186"/>
      <c r="S209" s="187">
        <f t="shared" ref="S209:S285" si="63">K209+P209+Q209+R209</f>
        <v>655146</v>
      </c>
      <c r="T209" s="186">
        <v>655146</v>
      </c>
      <c r="U209" s="186">
        <f t="shared" si="54"/>
        <v>0</v>
      </c>
      <c r="V209" s="186">
        <f t="shared" si="55"/>
        <v>0</v>
      </c>
      <c r="W209" s="513">
        <f t="shared" si="56"/>
        <v>0</v>
      </c>
      <c r="X209" s="513"/>
      <c r="Y209" s="186"/>
    </row>
    <row r="210" spans="1:25">
      <c r="A210" s="256"/>
      <c r="C210" s="156"/>
      <c r="D210" s="203"/>
      <c r="E210" s="203"/>
      <c r="F210" s="203"/>
      <c r="G210" s="203"/>
      <c r="H210" s="203">
        <f t="shared" si="62"/>
        <v>0</v>
      </c>
      <c r="I210" s="203"/>
      <c r="J210" s="203"/>
      <c r="K210" s="203">
        <f t="shared" si="57"/>
        <v>0</v>
      </c>
      <c r="L210" s="203"/>
      <c r="M210" s="203"/>
      <c r="N210" s="203"/>
      <c r="O210" s="203"/>
      <c r="P210" s="203">
        <f t="shared" si="53"/>
        <v>0</v>
      </c>
      <c r="Q210" s="203"/>
      <c r="R210" s="203"/>
      <c r="S210" s="209">
        <f t="shared" si="63"/>
        <v>0</v>
      </c>
      <c r="T210" s="185">
        <v>0</v>
      </c>
      <c r="U210" s="185">
        <f t="shared" si="54"/>
        <v>0</v>
      </c>
      <c r="V210" s="185">
        <f t="shared" si="55"/>
        <v>0</v>
      </c>
      <c r="W210" s="512" t="str">
        <f t="shared" si="56"/>
        <v/>
      </c>
      <c r="X210" s="512"/>
      <c r="Y210" s="185"/>
    </row>
    <row r="211" spans="1:25">
      <c r="A211" s="256" t="s">
        <v>318</v>
      </c>
      <c r="B211" s="6" t="s">
        <v>178</v>
      </c>
      <c r="C211" s="166" t="s">
        <v>215</v>
      </c>
      <c r="D211" s="185">
        <v>1913360</v>
      </c>
      <c r="E211" s="185"/>
      <c r="F211" s="185"/>
      <c r="G211" s="185"/>
      <c r="H211" s="185">
        <f t="shared" si="62"/>
        <v>1913360</v>
      </c>
      <c r="I211" s="185"/>
      <c r="J211" s="185"/>
      <c r="K211" s="185">
        <f t="shared" si="57"/>
        <v>1913360</v>
      </c>
      <c r="L211" s="185"/>
      <c r="M211" s="185"/>
      <c r="N211" s="185"/>
      <c r="O211" s="185"/>
      <c r="P211" s="185">
        <f t="shared" si="53"/>
        <v>0</v>
      </c>
      <c r="Q211" s="185"/>
      <c r="R211" s="185"/>
      <c r="S211" s="209">
        <f t="shared" si="63"/>
        <v>1913360</v>
      </c>
      <c r="T211" s="185">
        <v>1913360</v>
      </c>
      <c r="U211" s="185">
        <f t="shared" si="54"/>
        <v>0</v>
      </c>
      <c r="V211" s="185">
        <f t="shared" si="55"/>
        <v>0</v>
      </c>
      <c r="W211" s="512">
        <f t="shared" si="56"/>
        <v>0</v>
      </c>
      <c r="X211" s="512"/>
      <c r="Y211" s="185"/>
    </row>
    <row r="212" spans="1:25">
      <c r="A212" s="256"/>
      <c r="C212" s="147"/>
      <c r="D212" s="159"/>
      <c r="E212" s="159"/>
      <c r="F212" s="159"/>
      <c r="G212" s="159"/>
      <c r="H212" s="159">
        <f t="shared" si="62"/>
        <v>0</v>
      </c>
      <c r="I212" s="159"/>
      <c r="J212" s="159"/>
      <c r="K212" s="159">
        <f t="shared" si="57"/>
        <v>0</v>
      </c>
      <c r="L212" s="159"/>
      <c r="M212" s="159"/>
      <c r="N212" s="159"/>
      <c r="O212" s="159"/>
      <c r="P212" s="159">
        <f t="shared" si="53"/>
        <v>0</v>
      </c>
      <c r="Q212" s="159"/>
      <c r="R212" s="159"/>
      <c r="S212" s="209">
        <f t="shared" si="63"/>
        <v>0</v>
      </c>
      <c r="T212" s="185">
        <v>0</v>
      </c>
      <c r="U212" s="185">
        <f t="shared" si="54"/>
        <v>0</v>
      </c>
      <c r="V212" s="185">
        <f t="shared" si="55"/>
        <v>0</v>
      </c>
      <c r="W212" s="512" t="str">
        <f t="shared" si="56"/>
        <v/>
      </c>
      <c r="X212" s="512"/>
      <c r="Y212" s="185"/>
    </row>
    <row r="213" spans="1:25">
      <c r="A213" s="256" t="s">
        <v>318</v>
      </c>
      <c r="B213" s="6" t="s">
        <v>178</v>
      </c>
      <c r="C213" s="166" t="s">
        <v>216</v>
      </c>
      <c r="D213" s="185">
        <v>1424552</v>
      </c>
      <c r="E213" s="185"/>
      <c r="F213" s="185"/>
      <c r="G213" s="185"/>
      <c r="H213" s="185">
        <f t="shared" si="62"/>
        <v>1424552</v>
      </c>
      <c r="I213" s="185"/>
      <c r="J213" s="185">
        <v>123238</v>
      </c>
      <c r="K213" s="185">
        <f t="shared" si="57"/>
        <v>1301314</v>
      </c>
      <c r="L213" s="185"/>
      <c r="M213" s="185">
        <v>115000</v>
      </c>
      <c r="N213" s="185"/>
      <c r="O213" s="185"/>
      <c r="P213" s="185">
        <f t="shared" si="53"/>
        <v>115000</v>
      </c>
      <c r="Q213" s="185">
        <v>138432</v>
      </c>
      <c r="R213" s="185"/>
      <c r="S213" s="209">
        <f t="shared" si="63"/>
        <v>1554746</v>
      </c>
      <c r="T213" s="185">
        <v>1554746</v>
      </c>
      <c r="U213" s="185">
        <f t="shared" si="54"/>
        <v>0</v>
      </c>
      <c r="V213" s="185">
        <f t="shared" si="55"/>
        <v>130194</v>
      </c>
      <c r="W213" s="512">
        <f t="shared" si="56"/>
        <v>9.1392943184945161E-2</v>
      </c>
      <c r="X213" s="512"/>
      <c r="Y213" s="185"/>
    </row>
    <row r="214" spans="1:25">
      <c r="A214" s="256"/>
      <c r="C214" s="129" t="s">
        <v>107</v>
      </c>
      <c r="D214" s="186">
        <v>768488</v>
      </c>
      <c r="E214" s="186"/>
      <c r="F214" s="186"/>
      <c r="G214" s="186"/>
      <c r="H214" s="186">
        <f t="shared" si="62"/>
        <v>768488</v>
      </c>
      <c r="I214" s="186"/>
      <c r="J214" s="186"/>
      <c r="K214" s="186">
        <f t="shared" si="57"/>
        <v>768488</v>
      </c>
      <c r="L214" s="186"/>
      <c r="M214" s="186">
        <v>41040</v>
      </c>
      <c r="N214" s="186"/>
      <c r="O214" s="186"/>
      <c r="P214" s="186">
        <f t="shared" si="53"/>
        <v>41040</v>
      </c>
      <c r="Q214" s="186"/>
      <c r="R214" s="186"/>
      <c r="S214" s="187">
        <f t="shared" si="63"/>
        <v>809528</v>
      </c>
      <c r="T214" s="186">
        <v>809528</v>
      </c>
      <c r="U214" s="186">
        <f t="shared" si="54"/>
        <v>0</v>
      </c>
      <c r="V214" s="186">
        <f t="shared" si="55"/>
        <v>41040</v>
      </c>
      <c r="W214" s="513">
        <f t="shared" si="56"/>
        <v>5.3403566483796752E-2</v>
      </c>
      <c r="X214" s="513"/>
      <c r="Y214" s="186"/>
    </row>
    <row r="215" spans="1:25">
      <c r="A215" s="256"/>
      <c r="C215" s="129"/>
      <c r="D215" s="186"/>
      <c r="E215" s="186"/>
      <c r="F215" s="186"/>
      <c r="G215" s="186"/>
      <c r="H215" s="186">
        <f t="shared" si="62"/>
        <v>0</v>
      </c>
      <c r="I215" s="186"/>
      <c r="J215" s="186"/>
      <c r="K215" s="186">
        <f t="shared" si="57"/>
        <v>0</v>
      </c>
      <c r="L215" s="186"/>
      <c r="M215" s="186"/>
      <c r="N215" s="186"/>
      <c r="O215" s="186"/>
      <c r="P215" s="186">
        <f t="shared" si="53"/>
        <v>0</v>
      </c>
      <c r="Q215" s="186"/>
      <c r="R215" s="186"/>
      <c r="S215" s="209">
        <f t="shared" si="63"/>
        <v>0</v>
      </c>
      <c r="T215" s="185">
        <v>0</v>
      </c>
      <c r="U215" s="185">
        <f t="shared" si="54"/>
        <v>0</v>
      </c>
      <c r="V215" s="185">
        <f t="shared" si="55"/>
        <v>0</v>
      </c>
      <c r="W215" s="512" t="str">
        <f t="shared" si="56"/>
        <v/>
      </c>
      <c r="X215" s="512"/>
      <c r="Y215" s="185"/>
    </row>
    <row r="216" spans="1:25">
      <c r="A216" s="256" t="s">
        <v>318</v>
      </c>
      <c r="B216" s="6" t="s">
        <v>178</v>
      </c>
      <c r="C216" s="166" t="s">
        <v>217</v>
      </c>
      <c r="D216" s="185">
        <f>D218+D225+D230</f>
        <v>13634180</v>
      </c>
      <c r="E216" s="185"/>
      <c r="F216" s="185"/>
      <c r="G216" s="185"/>
      <c r="H216" s="185">
        <f t="shared" si="62"/>
        <v>13634180</v>
      </c>
      <c r="I216" s="185"/>
      <c r="J216" s="185">
        <f>J218+J225+J230</f>
        <v>0</v>
      </c>
      <c r="K216" s="185">
        <f t="shared" si="57"/>
        <v>13634180</v>
      </c>
      <c r="L216" s="185">
        <f>L218+L225+L230</f>
        <v>0</v>
      </c>
      <c r="M216" s="185">
        <f t="shared" ref="M216:R216" si="64">M218+M225+M230</f>
        <v>33200</v>
      </c>
      <c r="N216" s="185"/>
      <c r="O216" s="185">
        <f t="shared" si="64"/>
        <v>0</v>
      </c>
      <c r="P216" s="185">
        <f t="shared" si="53"/>
        <v>33200</v>
      </c>
      <c r="Q216" s="185">
        <f t="shared" si="64"/>
        <v>0</v>
      </c>
      <c r="R216" s="185">
        <f t="shared" si="64"/>
        <v>0</v>
      </c>
      <c r="S216" s="209">
        <f t="shared" si="63"/>
        <v>13667380</v>
      </c>
      <c r="T216" s="185">
        <f t="shared" ref="T216" si="65">T218+T225+T230</f>
        <v>13667380</v>
      </c>
      <c r="U216" s="185">
        <f t="shared" si="54"/>
        <v>0</v>
      </c>
      <c r="V216" s="185">
        <f t="shared" si="55"/>
        <v>33200</v>
      </c>
      <c r="W216" s="512">
        <f t="shared" si="56"/>
        <v>2.4350566003969436E-3</v>
      </c>
      <c r="X216" s="512"/>
      <c r="Y216" s="185"/>
    </row>
    <row r="217" spans="1:25">
      <c r="A217" s="256"/>
      <c r="C217" s="166"/>
      <c r="D217" s="185"/>
      <c r="E217" s="185"/>
      <c r="F217" s="185"/>
      <c r="G217" s="185"/>
      <c r="H217" s="185">
        <f t="shared" si="62"/>
        <v>0</v>
      </c>
      <c r="I217" s="185"/>
      <c r="J217" s="185"/>
      <c r="K217" s="185">
        <f t="shared" si="57"/>
        <v>0</v>
      </c>
      <c r="L217" s="185"/>
      <c r="M217" s="185"/>
      <c r="N217" s="185"/>
      <c r="O217" s="185"/>
      <c r="P217" s="185">
        <f t="shared" si="53"/>
        <v>0</v>
      </c>
      <c r="Q217" s="185"/>
      <c r="R217" s="185"/>
      <c r="S217" s="209">
        <f t="shared" si="63"/>
        <v>0</v>
      </c>
      <c r="T217" s="185">
        <v>0</v>
      </c>
      <c r="U217" s="185">
        <f t="shared" si="54"/>
        <v>0</v>
      </c>
      <c r="V217" s="185">
        <f t="shared" si="55"/>
        <v>0</v>
      </c>
      <c r="W217" s="512" t="str">
        <f t="shared" si="56"/>
        <v/>
      </c>
      <c r="X217" s="512"/>
      <c r="Y217" s="185"/>
    </row>
    <row r="218" spans="1:25">
      <c r="A218" s="256"/>
      <c r="C218" s="167" t="s">
        <v>218</v>
      </c>
      <c r="D218" s="185">
        <f>D219+D220+D221+D222+D223</f>
        <v>4343060</v>
      </c>
      <c r="E218" s="185"/>
      <c r="F218" s="185"/>
      <c r="G218" s="185"/>
      <c r="H218" s="185">
        <f t="shared" si="62"/>
        <v>4343060</v>
      </c>
      <c r="I218" s="185"/>
      <c r="J218" s="185">
        <f>J219+J220+J221+J222+J223</f>
        <v>0</v>
      </c>
      <c r="K218" s="185">
        <f t="shared" si="57"/>
        <v>4343060</v>
      </c>
      <c r="L218" s="185">
        <f>L219+L220+L221+L222+L223</f>
        <v>0</v>
      </c>
      <c r="M218" s="185">
        <f t="shared" ref="M218:R218" si="66">M219+M220+M221+M222+M223</f>
        <v>0</v>
      </c>
      <c r="N218" s="185"/>
      <c r="O218" s="185">
        <f t="shared" si="66"/>
        <v>0</v>
      </c>
      <c r="P218" s="185">
        <f t="shared" si="53"/>
        <v>0</v>
      </c>
      <c r="Q218" s="185">
        <f t="shared" si="66"/>
        <v>0</v>
      </c>
      <c r="R218" s="185">
        <f t="shared" si="66"/>
        <v>0</v>
      </c>
      <c r="S218" s="209">
        <f t="shared" si="63"/>
        <v>4343060</v>
      </c>
      <c r="T218" s="185">
        <f t="shared" ref="T218" si="67">T219+T220+T221+T222+T223</f>
        <v>4343060</v>
      </c>
      <c r="U218" s="185">
        <f t="shared" si="54"/>
        <v>0</v>
      </c>
      <c r="V218" s="185">
        <f t="shared" si="55"/>
        <v>0</v>
      </c>
      <c r="W218" s="512">
        <f t="shared" si="56"/>
        <v>0</v>
      </c>
      <c r="X218" s="512"/>
      <c r="Y218" s="185"/>
    </row>
    <row r="219" spans="1:25">
      <c r="A219" s="256"/>
      <c r="C219" s="143" t="s">
        <v>219</v>
      </c>
      <c r="D219" s="189">
        <v>482750</v>
      </c>
      <c r="E219" s="189"/>
      <c r="F219" s="189"/>
      <c r="G219" s="189"/>
      <c r="H219" s="189">
        <f t="shared" si="62"/>
        <v>482750</v>
      </c>
      <c r="I219" s="189"/>
      <c r="J219" s="189"/>
      <c r="K219" s="189">
        <f t="shared" si="57"/>
        <v>482750</v>
      </c>
      <c r="L219" s="189"/>
      <c r="M219" s="189"/>
      <c r="N219" s="189"/>
      <c r="O219" s="189"/>
      <c r="P219" s="189">
        <f t="shared" si="53"/>
        <v>0</v>
      </c>
      <c r="Q219" s="189"/>
      <c r="R219" s="189"/>
      <c r="S219" s="499">
        <f t="shared" si="63"/>
        <v>482750</v>
      </c>
      <c r="T219" s="189">
        <v>482750</v>
      </c>
      <c r="U219" s="189">
        <f t="shared" si="54"/>
        <v>0</v>
      </c>
      <c r="V219" s="189">
        <f t="shared" si="55"/>
        <v>0</v>
      </c>
      <c r="W219" s="517">
        <f t="shared" si="56"/>
        <v>0</v>
      </c>
      <c r="X219" s="517"/>
      <c r="Y219" s="189"/>
    </row>
    <row r="220" spans="1:25">
      <c r="A220" s="256"/>
      <c r="C220" s="143" t="s">
        <v>220</v>
      </c>
      <c r="D220" s="189">
        <v>1392000</v>
      </c>
      <c r="E220" s="189"/>
      <c r="F220" s="189"/>
      <c r="G220" s="189"/>
      <c r="H220" s="189">
        <f t="shared" si="62"/>
        <v>1392000</v>
      </c>
      <c r="I220" s="189"/>
      <c r="J220" s="189"/>
      <c r="K220" s="189">
        <f t="shared" si="57"/>
        <v>1392000</v>
      </c>
      <c r="L220" s="189"/>
      <c r="M220" s="189"/>
      <c r="N220" s="189"/>
      <c r="O220" s="189"/>
      <c r="P220" s="189">
        <f t="shared" si="53"/>
        <v>0</v>
      </c>
      <c r="Q220" s="189"/>
      <c r="R220" s="189"/>
      <c r="S220" s="499">
        <f t="shared" si="63"/>
        <v>1392000</v>
      </c>
      <c r="T220" s="189">
        <v>1392000</v>
      </c>
      <c r="U220" s="189">
        <f t="shared" si="54"/>
        <v>0</v>
      </c>
      <c r="V220" s="189">
        <f t="shared" si="55"/>
        <v>0</v>
      </c>
      <c r="W220" s="517">
        <f t="shared" si="56"/>
        <v>0</v>
      </c>
      <c r="X220" s="517"/>
      <c r="Y220" s="189"/>
    </row>
    <row r="221" spans="1:25">
      <c r="A221" s="256"/>
      <c r="C221" s="168" t="s">
        <v>221</v>
      </c>
      <c r="D221" s="157">
        <v>1216000</v>
      </c>
      <c r="E221" s="157"/>
      <c r="F221" s="157"/>
      <c r="G221" s="157"/>
      <c r="H221" s="157">
        <f t="shared" si="62"/>
        <v>1216000</v>
      </c>
      <c r="I221" s="157"/>
      <c r="J221" s="157"/>
      <c r="K221" s="157">
        <f t="shared" si="57"/>
        <v>1216000</v>
      </c>
      <c r="L221" s="157"/>
      <c r="M221" s="157"/>
      <c r="N221" s="157"/>
      <c r="O221" s="157"/>
      <c r="P221" s="157">
        <f t="shared" si="53"/>
        <v>0</v>
      </c>
      <c r="Q221" s="157"/>
      <c r="R221" s="157"/>
      <c r="S221" s="499">
        <f t="shared" si="63"/>
        <v>1216000</v>
      </c>
      <c r="T221" s="189">
        <v>1216000</v>
      </c>
      <c r="U221" s="189">
        <f t="shared" si="54"/>
        <v>0</v>
      </c>
      <c r="V221" s="189">
        <f t="shared" si="55"/>
        <v>0</v>
      </c>
      <c r="W221" s="517">
        <f t="shared" si="56"/>
        <v>0</v>
      </c>
      <c r="X221" s="517"/>
      <c r="Y221" s="189"/>
    </row>
    <row r="222" spans="1:25">
      <c r="A222" s="256"/>
      <c r="C222" s="168" t="s">
        <v>222</v>
      </c>
      <c r="D222" s="157">
        <v>1234070</v>
      </c>
      <c r="E222" s="157"/>
      <c r="F222" s="157"/>
      <c r="G222" s="157"/>
      <c r="H222" s="157">
        <f t="shared" si="62"/>
        <v>1234070</v>
      </c>
      <c r="I222" s="157"/>
      <c r="J222" s="157"/>
      <c r="K222" s="157">
        <f t="shared" si="57"/>
        <v>1234070</v>
      </c>
      <c r="L222" s="423"/>
      <c r="M222" s="423"/>
      <c r="N222" s="423"/>
      <c r="O222" s="423"/>
      <c r="P222" s="157">
        <f t="shared" si="53"/>
        <v>0</v>
      </c>
      <c r="Q222" s="423"/>
      <c r="R222" s="423"/>
      <c r="S222" s="499">
        <f t="shared" si="63"/>
        <v>1234070</v>
      </c>
      <c r="T222" s="189">
        <v>1234070</v>
      </c>
      <c r="U222" s="189">
        <f t="shared" si="54"/>
        <v>0</v>
      </c>
      <c r="V222" s="189">
        <f t="shared" si="55"/>
        <v>0</v>
      </c>
      <c r="W222" s="517">
        <f t="shared" si="56"/>
        <v>0</v>
      </c>
      <c r="X222" s="517"/>
      <c r="Y222" s="189"/>
    </row>
    <row r="223" spans="1:25">
      <c r="A223" s="256"/>
      <c r="C223" s="143" t="s">
        <v>223</v>
      </c>
      <c r="D223" s="189">
        <v>18240</v>
      </c>
      <c r="E223" s="189"/>
      <c r="F223" s="189"/>
      <c r="G223" s="189"/>
      <c r="H223" s="189">
        <f t="shared" si="62"/>
        <v>18240</v>
      </c>
      <c r="I223" s="189"/>
      <c r="J223" s="189"/>
      <c r="K223" s="189">
        <f t="shared" si="57"/>
        <v>18240</v>
      </c>
      <c r="L223" s="189"/>
      <c r="M223" s="189"/>
      <c r="N223" s="189"/>
      <c r="O223" s="189"/>
      <c r="P223" s="189">
        <f t="shared" si="53"/>
        <v>0</v>
      </c>
      <c r="Q223" s="189"/>
      <c r="R223" s="189"/>
      <c r="S223" s="499">
        <f t="shared" si="63"/>
        <v>18240</v>
      </c>
      <c r="T223" s="189">
        <v>18240</v>
      </c>
      <c r="U223" s="189">
        <f t="shared" si="54"/>
        <v>0</v>
      </c>
      <c r="V223" s="189">
        <f t="shared" si="55"/>
        <v>0</v>
      </c>
      <c r="W223" s="517">
        <f t="shared" si="56"/>
        <v>0</v>
      </c>
      <c r="X223" s="517"/>
      <c r="Y223" s="189"/>
    </row>
    <row r="224" spans="1:25">
      <c r="A224" s="256"/>
      <c r="C224" s="169"/>
      <c r="D224" s="5"/>
      <c r="E224" s="5"/>
      <c r="F224" s="5"/>
      <c r="G224" s="5"/>
      <c r="H224" s="5">
        <f t="shared" si="62"/>
        <v>0</v>
      </c>
      <c r="I224" s="5"/>
      <c r="J224" s="5"/>
      <c r="K224" s="5">
        <f t="shared" si="57"/>
        <v>0</v>
      </c>
      <c r="L224" s="5"/>
      <c r="M224" s="5"/>
      <c r="N224" s="5"/>
      <c r="O224" s="5"/>
      <c r="P224" s="5">
        <f t="shared" si="53"/>
        <v>0</v>
      </c>
      <c r="Q224" s="5"/>
      <c r="R224" s="5"/>
      <c r="S224" s="209">
        <f t="shared" si="63"/>
        <v>0</v>
      </c>
      <c r="T224" s="185">
        <v>0</v>
      </c>
      <c r="U224" s="185">
        <f t="shared" si="54"/>
        <v>0</v>
      </c>
      <c r="V224" s="185">
        <f t="shared" si="55"/>
        <v>0</v>
      </c>
      <c r="W224" s="512" t="str">
        <f t="shared" si="56"/>
        <v/>
      </c>
      <c r="X224" s="512"/>
      <c r="Y224" s="185"/>
    </row>
    <row r="225" spans="1:25">
      <c r="A225" s="256"/>
      <c r="C225" s="167" t="s">
        <v>224</v>
      </c>
      <c r="D225" s="185">
        <f>D226</f>
        <v>9160030</v>
      </c>
      <c r="E225" s="185"/>
      <c r="F225" s="185"/>
      <c r="G225" s="185"/>
      <c r="H225" s="185">
        <f t="shared" si="62"/>
        <v>9160030</v>
      </c>
      <c r="I225" s="185"/>
      <c r="J225" s="185">
        <f>J226</f>
        <v>0</v>
      </c>
      <c r="K225" s="185">
        <f t="shared" si="57"/>
        <v>9160030</v>
      </c>
      <c r="L225" s="185">
        <f>L226</f>
        <v>0</v>
      </c>
      <c r="M225" s="185">
        <f t="shared" ref="M225:R225" si="68">M226</f>
        <v>0</v>
      </c>
      <c r="N225" s="185"/>
      <c r="O225" s="185">
        <f t="shared" si="68"/>
        <v>0</v>
      </c>
      <c r="P225" s="185">
        <f t="shared" si="53"/>
        <v>0</v>
      </c>
      <c r="Q225" s="185">
        <f t="shared" si="68"/>
        <v>0</v>
      </c>
      <c r="R225" s="185">
        <f t="shared" si="68"/>
        <v>0</v>
      </c>
      <c r="S225" s="209">
        <f t="shared" si="63"/>
        <v>9160030</v>
      </c>
      <c r="T225" s="185">
        <f>T226</f>
        <v>9160030</v>
      </c>
      <c r="U225" s="185">
        <f t="shared" si="54"/>
        <v>0</v>
      </c>
      <c r="V225" s="185">
        <f t="shared" si="55"/>
        <v>0</v>
      </c>
      <c r="W225" s="512">
        <f t="shared" si="56"/>
        <v>0</v>
      </c>
      <c r="X225" s="512"/>
      <c r="Y225" s="185"/>
    </row>
    <row r="226" spans="1:25">
      <c r="A226" s="256"/>
      <c r="C226" s="143" t="s">
        <v>329</v>
      </c>
      <c r="D226" s="189">
        <f>D227+D228</f>
        <v>9160030</v>
      </c>
      <c r="E226" s="189"/>
      <c r="F226" s="189"/>
      <c r="G226" s="189"/>
      <c r="H226" s="189">
        <f t="shared" si="62"/>
        <v>9160030</v>
      </c>
      <c r="I226" s="189"/>
      <c r="J226" s="189">
        <f>J227+J228</f>
        <v>0</v>
      </c>
      <c r="K226" s="189">
        <f t="shared" si="57"/>
        <v>9160030</v>
      </c>
      <c r="L226" s="189">
        <f>L227+L228</f>
        <v>0</v>
      </c>
      <c r="M226" s="189"/>
      <c r="N226" s="189"/>
      <c r="O226" s="189"/>
      <c r="P226" s="189">
        <f t="shared" si="53"/>
        <v>0</v>
      </c>
      <c r="Q226" s="189"/>
      <c r="R226" s="189"/>
      <c r="S226" s="499">
        <f t="shared" si="63"/>
        <v>9160030</v>
      </c>
      <c r="T226" s="189">
        <v>9160030</v>
      </c>
      <c r="U226" s="189">
        <f t="shared" si="54"/>
        <v>0</v>
      </c>
      <c r="V226" s="189">
        <f t="shared" si="55"/>
        <v>0</v>
      </c>
      <c r="W226" s="517">
        <f t="shared" si="56"/>
        <v>0</v>
      </c>
      <c r="X226" s="517"/>
      <c r="Y226" s="189"/>
    </row>
    <row r="227" spans="1:25">
      <c r="A227" s="256"/>
      <c r="C227" s="170" t="s">
        <v>225</v>
      </c>
      <c r="D227" s="188">
        <v>9154530</v>
      </c>
      <c r="E227" s="188"/>
      <c r="F227" s="188"/>
      <c r="G227" s="188"/>
      <c r="H227" s="188">
        <f t="shared" si="62"/>
        <v>9154530</v>
      </c>
      <c r="I227" s="188"/>
      <c r="J227" s="188"/>
      <c r="K227" s="188">
        <f t="shared" si="57"/>
        <v>9154530</v>
      </c>
      <c r="L227" s="188"/>
      <c r="M227" s="188"/>
      <c r="N227" s="188"/>
      <c r="O227" s="188"/>
      <c r="P227" s="188">
        <f t="shared" si="53"/>
        <v>0</v>
      </c>
      <c r="Q227" s="188"/>
      <c r="R227" s="188"/>
      <c r="S227" s="500">
        <f t="shared" si="63"/>
        <v>9154530</v>
      </c>
      <c r="T227" s="188">
        <v>9154530</v>
      </c>
      <c r="U227" s="188">
        <f t="shared" si="54"/>
        <v>0</v>
      </c>
      <c r="V227" s="188">
        <f t="shared" si="55"/>
        <v>0</v>
      </c>
      <c r="W227" s="518">
        <f t="shared" si="56"/>
        <v>0</v>
      </c>
      <c r="X227" s="518"/>
      <c r="Y227" s="188"/>
    </row>
    <row r="228" spans="1:25">
      <c r="A228" s="256"/>
      <c r="C228" s="171" t="s">
        <v>226</v>
      </c>
      <c r="D228" s="189">
        <v>5500</v>
      </c>
      <c r="E228" s="189"/>
      <c r="F228" s="189"/>
      <c r="G228" s="189"/>
      <c r="H228" s="189">
        <f t="shared" si="62"/>
        <v>5500</v>
      </c>
      <c r="I228" s="189"/>
      <c r="J228" s="189"/>
      <c r="K228" s="189">
        <f t="shared" si="57"/>
        <v>5500</v>
      </c>
      <c r="L228" s="189"/>
      <c r="M228" s="189"/>
      <c r="N228" s="189"/>
      <c r="O228" s="189"/>
      <c r="P228" s="189">
        <f t="shared" si="53"/>
        <v>0</v>
      </c>
      <c r="Q228" s="189"/>
      <c r="R228" s="189"/>
      <c r="S228" s="500">
        <f t="shared" si="63"/>
        <v>5500</v>
      </c>
      <c r="T228" s="188">
        <v>5500</v>
      </c>
      <c r="U228" s="188">
        <f t="shared" si="54"/>
        <v>0</v>
      </c>
      <c r="V228" s="188">
        <f t="shared" si="55"/>
        <v>0</v>
      </c>
      <c r="W228" s="518">
        <f t="shared" si="56"/>
        <v>0</v>
      </c>
      <c r="X228" s="518"/>
      <c r="Y228" s="188"/>
    </row>
    <row r="229" spans="1:25">
      <c r="A229" s="256"/>
      <c r="C229" s="143"/>
      <c r="D229" s="189"/>
      <c r="E229" s="189"/>
      <c r="F229" s="189"/>
      <c r="G229" s="189"/>
      <c r="H229" s="189">
        <f t="shared" si="62"/>
        <v>0</v>
      </c>
      <c r="I229" s="189"/>
      <c r="J229" s="189"/>
      <c r="K229" s="189">
        <f t="shared" si="57"/>
        <v>0</v>
      </c>
      <c r="L229" s="189"/>
      <c r="M229" s="189"/>
      <c r="N229" s="189"/>
      <c r="O229" s="189"/>
      <c r="P229" s="189">
        <f t="shared" si="53"/>
        <v>0</v>
      </c>
      <c r="Q229" s="189"/>
      <c r="R229" s="189"/>
      <c r="S229" s="209">
        <f t="shared" si="63"/>
        <v>0</v>
      </c>
      <c r="T229" s="185">
        <v>0</v>
      </c>
      <c r="U229" s="185">
        <f t="shared" si="54"/>
        <v>0</v>
      </c>
      <c r="V229" s="185">
        <f t="shared" si="55"/>
        <v>0</v>
      </c>
      <c r="W229" s="512" t="str">
        <f t="shared" si="56"/>
        <v/>
      </c>
      <c r="X229" s="512"/>
      <c r="Y229" s="185"/>
    </row>
    <row r="230" spans="1:25">
      <c r="A230" s="256"/>
      <c r="C230" s="167" t="s">
        <v>227</v>
      </c>
      <c r="D230" s="185">
        <f>D231+D232+D233</f>
        <v>131090</v>
      </c>
      <c r="E230" s="185"/>
      <c r="F230" s="185"/>
      <c r="G230" s="185"/>
      <c r="H230" s="185">
        <f t="shared" si="62"/>
        <v>131090</v>
      </c>
      <c r="I230" s="185"/>
      <c r="J230" s="185">
        <f>J231+J232+J233</f>
        <v>0</v>
      </c>
      <c r="K230" s="185">
        <f t="shared" si="57"/>
        <v>131090</v>
      </c>
      <c r="L230" s="185">
        <f>L231+L232+L233</f>
        <v>0</v>
      </c>
      <c r="M230" s="185">
        <f t="shared" ref="M230:R230" si="69">M231+M232+M233</f>
        <v>33200</v>
      </c>
      <c r="N230" s="185"/>
      <c r="O230" s="185">
        <f t="shared" si="69"/>
        <v>0</v>
      </c>
      <c r="P230" s="185">
        <f t="shared" si="53"/>
        <v>33200</v>
      </c>
      <c r="Q230" s="185">
        <f t="shared" si="69"/>
        <v>0</v>
      </c>
      <c r="R230" s="185">
        <f t="shared" si="69"/>
        <v>0</v>
      </c>
      <c r="S230" s="209">
        <f t="shared" si="63"/>
        <v>164290</v>
      </c>
      <c r="T230" s="185">
        <f>T231+T232+T233</f>
        <v>164290</v>
      </c>
      <c r="U230" s="185">
        <f t="shared" si="54"/>
        <v>0</v>
      </c>
      <c r="V230" s="185">
        <f t="shared" si="55"/>
        <v>33200</v>
      </c>
      <c r="W230" s="512">
        <f t="shared" si="56"/>
        <v>0.253261118315661</v>
      </c>
      <c r="X230" s="512"/>
      <c r="Y230" s="185"/>
    </row>
    <row r="231" spans="1:25">
      <c r="A231" s="256"/>
      <c r="C231" s="143" t="s">
        <v>228</v>
      </c>
      <c r="D231" s="189">
        <v>101190</v>
      </c>
      <c r="E231" s="189"/>
      <c r="F231" s="189"/>
      <c r="G231" s="189"/>
      <c r="H231" s="189">
        <f t="shared" si="62"/>
        <v>101190</v>
      </c>
      <c r="I231" s="189"/>
      <c r="J231" s="189"/>
      <c r="K231" s="189">
        <f t="shared" si="57"/>
        <v>101190</v>
      </c>
      <c r="L231" s="189"/>
      <c r="M231" s="189">
        <v>33200</v>
      </c>
      <c r="N231" s="189"/>
      <c r="O231" s="189"/>
      <c r="P231" s="189">
        <f t="shared" si="53"/>
        <v>33200</v>
      </c>
      <c r="Q231" s="189"/>
      <c r="R231" s="189"/>
      <c r="S231" s="499">
        <f t="shared" si="63"/>
        <v>134390</v>
      </c>
      <c r="T231" s="189">
        <v>134390</v>
      </c>
      <c r="U231" s="189">
        <f t="shared" si="54"/>
        <v>0</v>
      </c>
      <c r="V231" s="189">
        <f t="shared" si="55"/>
        <v>33200</v>
      </c>
      <c r="W231" s="517">
        <f t="shared" si="56"/>
        <v>0.32809566162664294</v>
      </c>
      <c r="X231" s="517"/>
      <c r="Y231" s="189"/>
    </row>
    <row r="232" spans="1:25">
      <c r="A232" s="256"/>
      <c r="C232" s="143" t="s">
        <v>229</v>
      </c>
      <c r="D232" s="189">
        <v>20000</v>
      </c>
      <c r="E232" s="189"/>
      <c r="F232" s="189"/>
      <c r="G232" s="189"/>
      <c r="H232" s="189">
        <f t="shared" si="62"/>
        <v>20000</v>
      </c>
      <c r="I232" s="189"/>
      <c r="J232" s="189"/>
      <c r="K232" s="189">
        <f t="shared" si="57"/>
        <v>20000</v>
      </c>
      <c r="L232" s="189"/>
      <c r="M232" s="189"/>
      <c r="N232" s="189"/>
      <c r="O232" s="189"/>
      <c r="P232" s="189">
        <f t="shared" si="53"/>
        <v>0</v>
      </c>
      <c r="Q232" s="189"/>
      <c r="R232" s="189"/>
      <c r="S232" s="499">
        <f t="shared" si="63"/>
        <v>20000</v>
      </c>
      <c r="T232" s="189">
        <v>20000</v>
      </c>
      <c r="U232" s="189">
        <f t="shared" si="54"/>
        <v>0</v>
      </c>
      <c r="V232" s="189">
        <f t="shared" si="55"/>
        <v>0</v>
      </c>
      <c r="W232" s="517">
        <f t="shared" si="56"/>
        <v>0</v>
      </c>
      <c r="X232" s="517"/>
      <c r="Y232" s="189"/>
    </row>
    <row r="233" spans="1:25">
      <c r="A233" s="256"/>
      <c r="C233" s="143" t="s">
        <v>260</v>
      </c>
      <c r="D233" s="189">
        <v>9900</v>
      </c>
      <c r="E233" s="189"/>
      <c r="F233" s="189"/>
      <c r="G233" s="189"/>
      <c r="H233" s="189">
        <f t="shared" si="62"/>
        <v>9900</v>
      </c>
      <c r="I233" s="189"/>
      <c r="J233" s="189"/>
      <c r="K233" s="189">
        <f t="shared" si="57"/>
        <v>9900</v>
      </c>
      <c r="L233" s="189"/>
      <c r="M233" s="189"/>
      <c r="N233" s="189"/>
      <c r="O233" s="189"/>
      <c r="P233" s="189">
        <f t="shared" si="53"/>
        <v>0</v>
      </c>
      <c r="Q233" s="189"/>
      <c r="R233" s="189"/>
      <c r="S233" s="499">
        <f t="shared" si="63"/>
        <v>9900</v>
      </c>
      <c r="T233" s="189">
        <v>9900</v>
      </c>
      <c r="U233" s="189">
        <f t="shared" si="54"/>
        <v>0</v>
      </c>
      <c r="V233" s="189">
        <f t="shared" si="55"/>
        <v>0</v>
      </c>
      <c r="W233" s="517">
        <f t="shared" si="56"/>
        <v>0</v>
      </c>
      <c r="X233" s="517"/>
      <c r="Y233" s="189"/>
    </row>
    <row r="234" spans="1:25">
      <c r="A234" s="256"/>
      <c r="C234" s="143"/>
      <c r="D234" s="189"/>
      <c r="E234" s="189"/>
      <c r="F234" s="189"/>
      <c r="G234" s="189"/>
      <c r="H234" s="189">
        <f t="shared" si="62"/>
        <v>0</v>
      </c>
      <c r="I234" s="189"/>
      <c r="J234" s="189"/>
      <c r="K234" s="189">
        <f t="shared" si="57"/>
        <v>0</v>
      </c>
      <c r="L234" s="189"/>
      <c r="M234" s="189"/>
      <c r="N234" s="189"/>
      <c r="O234" s="189"/>
      <c r="P234" s="189">
        <f t="shared" si="53"/>
        <v>0</v>
      </c>
      <c r="Q234" s="189"/>
      <c r="R234" s="189"/>
      <c r="S234" s="209">
        <f t="shared" si="63"/>
        <v>0</v>
      </c>
      <c r="T234" s="185">
        <v>0</v>
      </c>
      <c r="U234" s="185">
        <f t="shared" si="54"/>
        <v>0</v>
      </c>
      <c r="V234" s="185">
        <f t="shared" si="55"/>
        <v>0</v>
      </c>
      <c r="W234" s="512" t="str">
        <f t="shared" si="56"/>
        <v/>
      </c>
      <c r="X234" s="512"/>
      <c r="Y234" s="185"/>
    </row>
    <row r="235" spans="1:25">
      <c r="A235" s="256" t="s">
        <v>318</v>
      </c>
      <c r="B235" s="6" t="s">
        <v>178</v>
      </c>
      <c r="C235" s="166" t="s">
        <v>261</v>
      </c>
      <c r="D235" s="185">
        <v>100000</v>
      </c>
      <c r="E235" s="185"/>
      <c r="F235" s="185"/>
      <c r="G235" s="185"/>
      <c r="H235" s="185">
        <f t="shared" si="62"/>
        <v>100000</v>
      </c>
      <c r="I235" s="185"/>
      <c r="J235" s="185"/>
      <c r="K235" s="185">
        <f t="shared" si="57"/>
        <v>100000</v>
      </c>
      <c r="L235" s="185">
        <v>-100000</v>
      </c>
      <c r="M235" s="185"/>
      <c r="N235" s="185"/>
      <c r="O235" s="185"/>
      <c r="P235" s="185">
        <f t="shared" si="53"/>
        <v>-100000</v>
      </c>
      <c r="Q235" s="185"/>
      <c r="R235" s="185"/>
      <c r="S235" s="185">
        <f t="shared" si="63"/>
        <v>0</v>
      </c>
      <c r="T235" s="185">
        <v>0</v>
      </c>
      <c r="U235" s="185">
        <f t="shared" si="54"/>
        <v>0</v>
      </c>
      <c r="V235" s="185">
        <f t="shared" si="55"/>
        <v>-100000</v>
      </c>
      <c r="W235" s="512">
        <f t="shared" si="56"/>
        <v>-1</v>
      </c>
      <c r="X235" s="512"/>
      <c r="Y235" s="185"/>
    </row>
    <row r="236" spans="1:25">
      <c r="A236" s="256"/>
      <c r="C236" s="166"/>
      <c r="D236" s="185"/>
      <c r="E236" s="185"/>
      <c r="F236" s="185"/>
      <c r="G236" s="185"/>
      <c r="H236" s="185">
        <f t="shared" si="62"/>
        <v>0</v>
      </c>
      <c r="I236" s="185"/>
      <c r="J236" s="185"/>
      <c r="K236" s="185">
        <f t="shared" si="57"/>
        <v>0</v>
      </c>
      <c r="L236" s="185"/>
      <c r="M236" s="185"/>
      <c r="N236" s="185"/>
      <c r="O236" s="185"/>
      <c r="P236" s="185">
        <f t="shared" si="53"/>
        <v>0</v>
      </c>
      <c r="Q236" s="185"/>
      <c r="R236" s="185"/>
      <c r="S236" s="209">
        <f t="shared" si="63"/>
        <v>0</v>
      </c>
      <c r="T236" s="185">
        <v>0</v>
      </c>
      <c r="U236" s="185">
        <f t="shared" si="54"/>
        <v>0</v>
      </c>
      <c r="V236" s="185">
        <f t="shared" si="55"/>
        <v>0</v>
      </c>
      <c r="W236" s="512" t="str">
        <f t="shared" si="56"/>
        <v/>
      </c>
      <c r="X236" s="512"/>
      <c r="Y236" s="185"/>
    </row>
    <row r="237" spans="1:25">
      <c r="A237" s="256" t="s">
        <v>318</v>
      </c>
      <c r="B237" s="6" t="s">
        <v>178</v>
      </c>
      <c r="C237" s="166" t="s">
        <v>230</v>
      </c>
      <c r="D237" s="185">
        <f>D238+D240+D241+D239</f>
        <v>87830</v>
      </c>
      <c r="E237" s="185"/>
      <c r="F237" s="185"/>
      <c r="G237" s="185"/>
      <c r="H237" s="185">
        <f t="shared" si="62"/>
        <v>87830</v>
      </c>
      <c r="I237" s="185"/>
      <c r="J237" s="185">
        <f>J238+J239+J240+J241</f>
        <v>0</v>
      </c>
      <c r="K237" s="185">
        <f t="shared" si="57"/>
        <v>87830</v>
      </c>
      <c r="L237" s="185">
        <f>L238+L239+L240+L241</f>
        <v>-5000</v>
      </c>
      <c r="M237" s="185">
        <f t="shared" ref="M237:R237" si="70">M238+M239+M240+M241</f>
        <v>0</v>
      </c>
      <c r="N237" s="185"/>
      <c r="O237" s="185">
        <f t="shared" si="70"/>
        <v>0</v>
      </c>
      <c r="P237" s="185">
        <f t="shared" si="53"/>
        <v>-5000</v>
      </c>
      <c r="Q237" s="185">
        <f t="shared" si="70"/>
        <v>0</v>
      </c>
      <c r="R237" s="185">
        <f t="shared" si="70"/>
        <v>0</v>
      </c>
      <c r="S237" s="209">
        <f t="shared" si="63"/>
        <v>82830</v>
      </c>
      <c r="T237" s="185">
        <f>T238+T240+T241+T239</f>
        <v>82830</v>
      </c>
      <c r="U237" s="185">
        <f t="shared" si="54"/>
        <v>0</v>
      </c>
      <c r="V237" s="185">
        <f t="shared" si="55"/>
        <v>-5000</v>
      </c>
      <c r="W237" s="512">
        <f t="shared" si="56"/>
        <v>-5.6928156666287144E-2</v>
      </c>
      <c r="X237" s="512"/>
      <c r="Y237" s="185"/>
    </row>
    <row r="238" spans="1:25">
      <c r="A238" s="256"/>
      <c r="C238" s="172" t="s">
        <v>231</v>
      </c>
      <c r="D238" s="195">
        <v>17570</v>
      </c>
      <c r="E238" s="195"/>
      <c r="F238" s="195"/>
      <c r="G238" s="195"/>
      <c r="H238" s="195">
        <f t="shared" si="62"/>
        <v>17570</v>
      </c>
      <c r="I238" s="195"/>
      <c r="J238" s="195"/>
      <c r="K238" s="195">
        <f t="shared" si="57"/>
        <v>17570</v>
      </c>
      <c r="L238" s="195"/>
      <c r="M238" s="195"/>
      <c r="N238" s="195"/>
      <c r="O238" s="195"/>
      <c r="P238" s="195">
        <f t="shared" si="53"/>
        <v>0</v>
      </c>
      <c r="Q238" s="195"/>
      <c r="R238" s="195"/>
      <c r="S238" s="499">
        <f t="shared" si="63"/>
        <v>17570</v>
      </c>
      <c r="T238" s="189">
        <v>17570</v>
      </c>
      <c r="U238" s="189">
        <f t="shared" si="54"/>
        <v>0</v>
      </c>
      <c r="V238" s="189">
        <f t="shared" si="55"/>
        <v>0</v>
      </c>
      <c r="W238" s="517">
        <f t="shared" si="56"/>
        <v>0</v>
      </c>
      <c r="X238" s="517"/>
      <c r="Y238" s="189"/>
    </row>
    <row r="239" spans="1:25">
      <c r="A239" s="256"/>
      <c r="C239" s="173" t="s">
        <v>331</v>
      </c>
      <c r="D239" s="195">
        <v>5000</v>
      </c>
      <c r="E239" s="195"/>
      <c r="F239" s="195"/>
      <c r="G239" s="195"/>
      <c r="H239" s="195">
        <f t="shared" si="62"/>
        <v>5000</v>
      </c>
      <c r="I239" s="195"/>
      <c r="J239" s="195"/>
      <c r="K239" s="195">
        <f t="shared" si="57"/>
        <v>5000</v>
      </c>
      <c r="L239" s="195">
        <v>-5000</v>
      </c>
      <c r="M239" s="195"/>
      <c r="N239" s="195"/>
      <c r="O239" s="195"/>
      <c r="P239" s="195">
        <f t="shared" si="53"/>
        <v>-5000</v>
      </c>
      <c r="Q239" s="195"/>
      <c r="R239" s="195"/>
      <c r="S239" s="499">
        <f t="shared" si="63"/>
        <v>0</v>
      </c>
      <c r="T239" s="189">
        <v>0</v>
      </c>
      <c r="U239" s="189">
        <f t="shared" si="54"/>
        <v>0</v>
      </c>
      <c r="V239" s="189">
        <f t="shared" si="55"/>
        <v>-5000</v>
      </c>
      <c r="W239" s="517">
        <f t="shared" si="56"/>
        <v>-1</v>
      </c>
      <c r="X239" s="517"/>
      <c r="Y239" s="189"/>
    </row>
    <row r="240" spans="1:25">
      <c r="A240" s="256"/>
      <c r="C240" s="173" t="s">
        <v>232</v>
      </c>
      <c r="D240" s="195">
        <v>30260</v>
      </c>
      <c r="E240" s="195"/>
      <c r="F240" s="195"/>
      <c r="G240" s="195"/>
      <c r="H240" s="195">
        <f t="shared" si="62"/>
        <v>30260</v>
      </c>
      <c r="I240" s="195"/>
      <c r="J240" s="195"/>
      <c r="K240" s="195">
        <f t="shared" si="57"/>
        <v>30260</v>
      </c>
      <c r="L240" s="195"/>
      <c r="M240" s="195"/>
      <c r="N240" s="195"/>
      <c r="O240" s="195"/>
      <c r="P240" s="195">
        <f t="shared" si="53"/>
        <v>0</v>
      </c>
      <c r="Q240" s="195"/>
      <c r="R240" s="195"/>
      <c r="S240" s="499">
        <f t="shared" si="63"/>
        <v>30260</v>
      </c>
      <c r="T240" s="189">
        <v>30260</v>
      </c>
      <c r="U240" s="189">
        <f t="shared" si="54"/>
        <v>0</v>
      </c>
      <c r="V240" s="189">
        <f t="shared" si="55"/>
        <v>0</v>
      </c>
      <c r="W240" s="517">
        <f t="shared" si="56"/>
        <v>0</v>
      </c>
      <c r="X240" s="517"/>
      <c r="Y240" s="189"/>
    </row>
    <row r="241" spans="1:25">
      <c r="A241" s="256"/>
      <c r="C241" s="174" t="s">
        <v>233</v>
      </c>
      <c r="D241" s="207">
        <v>35000</v>
      </c>
      <c r="E241" s="207"/>
      <c r="F241" s="207"/>
      <c r="G241" s="207"/>
      <c r="H241" s="207">
        <f t="shared" si="62"/>
        <v>35000</v>
      </c>
      <c r="I241" s="207"/>
      <c r="J241" s="207"/>
      <c r="K241" s="207">
        <f t="shared" si="57"/>
        <v>35000</v>
      </c>
      <c r="L241" s="207"/>
      <c r="M241" s="207"/>
      <c r="N241" s="207"/>
      <c r="O241" s="207"/>
      <c r="P241" s="207">
        <f t="shared" si="53"/>
        <v>0</v>
      </c>
      <c r="Q241" s="207"/>
      <c r="R241" s="207"/>
      <c r="S241" s="499">
        <f t="shared" si="63"/>
        <v>35000</v>
      </c>
      <c r="T241" s="189">
        <v>35000</v>
      </c>
      <c r="U241" s="189">
        <f t="shared" si="54"/>
        <v>0</v>
      </c>
      <c r="V241" s="189">
        <f t="shared" si="55"/>
        <v>0</v>
      </c>
      <c r="W241" s="517">
        <f t="shared" si="56"/>
        <v>0</v>
      </c>
      <c r="X241" s="517"/>
      <c r="Y241" s="189"/>
    </row>
    <row r="242" spans="1:25">
      <c r="A242" s="256"/>
      <c r="C242" s="174"/>
      <c r="D242" s="207"/>
      <c r="E242" s="207"/>
      <c r="F242" s="207"/>
      <c r="G242" s="207"/>
      <c r="H242" s="207">
        <f t="shared" si="62"/>
        <v>0</v>
      </c>
      <c r="I242" s="207"/>
      <c r="J242" s="207"/>
      <c r="K242" s="207">
        <f t="shared" si="57"/>
        <v>0</v>
      </c>
      <c r="L242" s="207"/>
      <c r="M242" s="207"/>
      <c r="N242" s="207"/>
      <c r="O242" s="207"/>
      <c r="P242" s="207">
        <f t="shared" si="53"/>
        <v>0</v>
      </c>
      <c r="Q242" s="207"/>
      <c r="R242" s="207"/>
      <c r="S242" s="499">
        <f t="shared" si="63"/>
        <v>0</v>
      </c>
      <c r="T242" s="189">
        <v>0</v>
      </c>
      <c r="U242" s="189">
        <f t="shared" si="54"/>
        <v>0</v>
      </c>
      <c r="V242" s="189">
        <f t="shared" si="55"/>
        <v>0</v>
      </c>
      <c r="W242" s="517" t="str">
        <f t="shared" si="56"/>
        <v/>
      </c>
      <c r="X242" s="517"/>
      <c r="Y242" s="189"/>
    </row>
    <row r="243" spans="1:25">
      <c r="A243" s="256" t="s">
        <v>318</v>
      </c>
      <c r="B243" s="6" t="s">
        <v>178</v>
      </c>
      <c r="C243" s="177" t="s">
        <v>328</v>
      </c>
      <c r="D243" s="210">
        <v>20000</v>
      </c>
      <c r="E243" s="210"/>
      <c r="F243" s="210"/>
      <c r="G243" s="210"/>
      <c r="H243" s="210">
        <f t="shared" si="62"/>
        <v>20000</v>
      </c>
      <c r="I243" s="210"/>
      <c r="J243" s="210"/>
      <c r="K243" s="210">
        <f t="shared" si="57"/>
        <v>20000</v>
      </c>
      <c r="L243" s="180">
        <v>-20000</v>
      </c>
      <c r="M243" s="180"/>
      <c r="N243" s="180"/>
      <c r="O243" s="180"/>
      <c r="P243" s="210">
        <f t="shared" si="53"/>
        <v>-20000</v>
      </c>
      <c r="Q243" s="180"/>
      <c r="R243" s="180"/>
      <c r="S243" s="209">
        <f t="shared" si="63"/>
        <v>0</v>
      </c>
      <c r="T243" s="185"/>
      <c r="U243" s="185">
        <f t="shared" si="54"/>
        <v>0</v>
      </c>
      <c r="V243" s="185">
        <f t="shared" si="55"/>
        <v>-20000</v>
      </c>
      <c r="W243" s="512">
        <f t="shared" si="56"/>
        <v>-1</v>
      </c>
      <c r="X243" s="512"/>
      <c r="Y243" s="185"/>
    </row>
    <row r="244" spans="1:25">
      <c r="A244" s="256"/>
      <c r="C244" s="174"/>
      <c r="D244" s="207"/>
      <c r="E244" s="207"/>
      <c r="F244" s="207"/>
      <c r="G244" s="207"/>
      <c r="H244" s="207">
        <f t="shared" si="62"/>
        <v>0</v>
      </c>
      <c r="I244" s="207"/>
      <c r="J244" s="207"/>
      <c r="K244" s="207">
        <f t="shared" si="57"/>
        <v>0</v>
      </c>
      <c r="L244" s="207"/>
      <c r="M244" s="207"/>
      <c r="N244" s="207"/>
      <c r="O244" s="207"/>
      <c r="P244" s="207">
        <f t="shared" si="53"/>
        <v>0</v>
      </c>
      <c r="Q244" s="207"/>
      <c r="R244" s="207"/>
      <c r="S244" s="209">
        <f t="shared" si="63"/>
        <v>0</v>
      </c>
      <c r="T244" s="185">
        <v>0</v>
      </c>
      <c r="U244" s="185">
        <f t="shared" si="54"/>
        <v>0</v>
      </c>
      <c r="V244" s="185">
        <f t="shared" si="55"/>
        <v>0</v>
      </c>
      <c r="W244" s="512" t="str">
        <f t="shared" si="56"/>
        <v/>
      </c>
      <c r="X244" s="512"/>
      <c r="Y244" s="185"/>
    </row>
    <row r="245" spans="1:25" ht="25.5">
      <c r="A245" s="256" t="s">
        <v>318</v>
      </c>
      <c r="B245" s="6" t="s">
        <v>178</v>
      </c>
      <c r="C245" s="177" t="s">
        <v>333</v>
      </c>
      <c r="D245" s="185">
        <v>50000</v>
      </c>
      <c r="E245" s="185"/>
      <c r="F245" s="185"/>
      <c r="G245" s="185"/>
      <c r="H245" s="185">
        <f t="shared" si="62"/>
        <v>50000</v>
      </c>
      <c r="I245" s="185"/>
      <c r="J245" s="185"/>
      <c r="K245" s="185">
        <f t="shared" si="57"/>
        <v>50000</v>
      </c>
      <c r="L245" s="424"/>
      <c r="M245" s="185">
        <f>78860-37500</f>
        <v>41360</v>
      </c>
      <c r="N245" s="185"/>
      <c r="O245" s="185"/>
      <c r="P245" s="185">
        <f t="shared" si="53"/>
        <v>41360</v>
      </c>
      <c r="Q245" s="185"/>
      <c r="R245" s="185"/>
      <c r="S245" s="209">
        <f t="shared" si="63"/>
        <v>91360</v>
      </c>
      <c r="T245" s="185">
        <v>91360</v>
      </c>
      <c r="U245" s="185">
        <f t="shared" si="54"/>
        <v>0</v>
      </c>
      <c r="V245" s="185">
        <f t="shared" si="55"/>
        <v>41360</v>
      </c>
      <c r="W245" s="512">
        <f t="shared" si="56"/>
        <v>0.82720000000000005</v>
      </c>
      <c r="X245" s="512"/>
      <c r="Y245" s="185"/>
    </row>
    <row r="246" spans="1:25">
      <c r="A246" s="256"/>
      <c r="C246" s="129" t="s">
        <v>107</v>
      </c>
      <c r="D246" s="186">
        <v>16800</v>
      </c>
      <c r="E246" s="186"/>
      <c r="F246" s="186"/>
      <c r="G246" s="186"/>
      <c r="H246" s="186">
        <f t="shared" si="62"/>
        <v>16800</v>
      </c>
      <c r="I246" s="186"/>
      <c r="J246" s="186"/>
      <c r="K246" s="186">
        <f t="shared" si="57"/>
        <v>16800</v>
      </c>
      <c r="L246" s="186"/>
      <c r="M246" s="186"/>
      <c r="N246" s="186"/>
      <c r="O246" s="186"/>
      <c r="P246" s="186">
        <f t="shared" si="53"/>
        <v>0</v>
      </c>
      <c r="Q246" s="186"/>
      <c r="R246" s="186"/>
      <c r="S246" s="187">
        <f t="shared" si="63"/>
        <v>16800</v>
      </c>
      <c r="T246" s="186">
        <v>16800</v>
      </c>
      <c r="U246" s="186">
        <f t="shared" si="54"/>
        <v>0</v>
      </c>
      <c r="V246" s="186">
        <f t="shared" si="55"/>
        <v>0</v>
      </c>
      <c r="W246" s="513">
        <f t="shared" si="56"/>
        <v>0</v>
      </c>
      <c r="X246" s="513"/>
      <c r="Y246" s="186"/>
    </row>
    <row r="247" spans="1:25">
      <c r="A247" s="256"/>
      <c r="C247" s="129"/>
      <c r="D247" s="186"/>
      <c r="E247" s="186"/>
      <c r="F247" s="186"/>
      <c r="G247" s="186"/>
      <c r="H247" s="186">
        <f t="shared" si="62"/>
        <v>0</v>
      </c>
      <c r="I247" s="186"/>
      <c r="J247" s="186"/>
      <c r="K247" s="186">
        <f t="shared" si="57"/>
        <v>0</v>
      </c>
      <c r="L247" s="186"/>
      <c r="M247" s="186"/>
      <c r="N247" s="186"/>
      <c r="O247" s="186"/>
      <c r="P247" s="186">
        <f t="shared" si="53"/>
        <v>0</v>
      </c>
      <c r="Q247" s="186"/>
      <c r="R247" s="186"/>
      <c r="S247" s="209">
        <f t="shared" si="63"/>
        <v>0</v>
      </c>
      <c r="T247" s="185">
        <v>0</v>
      </c>
      <c r="U247" s="185">
        <f t="shared" si="54"/>
        <v>0</v>
      </c>
      <c r="V247" s="185">
        <f t="shared" si="55"/>
        <v>0</v>
      </c>
      <c r="W247" s="512" t="str">
        <f t="shared" si="56"/>
        <v/>
      </c>
      <c r="X247" s="512"/>
      <c r="Y247" s="185"/>
    </row>
    <row r="248" spans="1:25" ht="38.25">
      <c r="A248" s="256" t="s">
        <v>318</v>
      </c>
      <c r="B248" s="6" t="s">
        <v>178</v>
      </c>
      <c r="C248" s="244" t="s">
        <v>334</v>
      </c>
      <c r="D248" s="185">
        <v>95622</v>
      </c>
      <c r="E248" s="185"/>
      <c r="F248" s="185"/>
      <c r="G248" s="185"/>
      <c r="H248" s="185">
        <f t="shared" si="62"/>
        <v>95622</v>
      </c>
      <c r="I248" s="185">
        <v>95622</v>
      </c>
      <c r="J248" s="185"/>
      <c r="K248" s="185">
        <f t="shared" si="57"/>
        <v>0</v>
      </c>
      <c r="L248" s="185"/>
      <c r="M248" s="185"/>
      <c r="N248" s="185"/>
      <c r="O248" s="185"/>
      <c r="P248" s="185">
        <f t="shared" si="53"/>
        <v>0</v>
      </c>
      <c r="Q248" s="185"/>
      <c r="R248" s="185">
        <v>13946</v>
      </c>
      <c r="S248" s="209">
        <f t="shared" si="63"/>
        <v>13946</v>
      </c>
      <c r="T248" s="185">
        <v>13946</v>
      </c>
      <c r="U248" s="185">
        <f t="shared" si="54"/>
        <v>0</v>
      </c>
      <c r="V248" s="185">
        <f t="shared" si="55"/>
        <v>-81676</v>
      </c>
      <c r="W248" s="512">
        <f t="shared" si="56"/>
        <v>-0.85415490159168395</v>
      </c>
      <c r="X248" s="512"/>
      <c r="Y248" s="185"/>
    </row>
    <row r="249" spans="1:25">
      <c r="A249" s="256"/>
      <c r="C249" s="129" t="s">
        <v>107</v>
      </c>
      <c r="D249" s="186">
        <v>51830</v>
      </c>
      <c r="E249" s="186"/>
      <c r="F249" s="186"/>
      <c r="G249" s="186"/>
      <c r="H249" s="186">
        <f t="shared" si="62"/>
        <v>51830</v>
      </c>
      <c r="I249" s="186">
        <v>51830</v>
      </c>
      <c r="J249" s="186"/>
      <c r="K249" s="186">
        <f t="shared" si="57"/>
        <v>0</v>
      </c>
      <c r="L249" s="186"/>
      <c r="M249" s="186"/>
      <c r="N249" s="186"/>
      <c r="O249" s="186"/>
      <c r="P249" s="186">
        <f t="shared" si="53"/>
        <v>0</v>
      </c>
      <c r="Q249" s="186"/>
      <c r="R249" s="186"/>
      <c r="S249" s="209">
        <f t="shared" si="63"/>
        <v>0</v>
      </c>
      <c r="T249" s="185">
        <v>0</v>
      </c>
      <c r="U249" s="185">
        <f t="shared" si="54"/>
        <v>0</v>
      </c>
      <c r="V249" s="185">
        <f t="shared" si="55"/>
        <v>-51830</v>
      </c>
      <c r="W249" s="512">
        <f t="shared" si="56"/>
        <v>-1</v>
      </c>
      <c r="X249" s="512"/>
      <c r="Y249" s="185"/>
    </row>
    <row r="250" spans="1:25">
      <c r="A250" s="256"/>
      <c r="C250" s="129"/>
      <c r="D250" s="186"/>
      <c r="E250" s="186"/>
      <c r="F250" s="186"/>
      <c r="G250" s="186"/>
      <c r="H250" s="186">
        <f t="shared" si="62"/>
        <v>0</v>
      </c>
      <c r="I250" s="186"/>
      <c r="J250" s="186"/>
      <c r="K250" s="186">
        <f t="shared" si="57"/>
        <v>0</v>
      </c>
      <c r="L250" s="186"/>
      <c r="M250" s="186"/>
      <c r="N250" s="186"/>
      <c r="O250" s="186"/>
      <c r="P250" s="186">
        <f t="shared" si="53"/>
        <v>0</v>
      </c>
      <c r="Q250" s="186"/>
      <c r="R250" s="186"/>
      <c r="S250" s="209">
        <f t="shared" si="63"/>
        <v>0</v>
      </c>
      <c r="T250" s="185">
        <v>0</v>
      </c>
      <c r="U250" s="185">
        <f t="shared" si="54"/>
        <v>0</v>
      </c>
      <c r="V250" s="185">
        <f t="shared" si="55"/>
        <v>0</v>
      </c>
      <c r="W250" s="512" t="str">
        <f t="shared" si="56"/>
        <v/>
      </c>
      <c r="X250" s="512"/>
      <c r="Y250" s="185"/>
    </row>
    <row r="251" spans="1:25">
      <c r="A251" s="256"/>
      <c r="C251" s="130" t="s">
        <v>251</v>
      </c>
      <c r="D251" s="186">
        <v>95622</v>
      </c>
      <c r="E251" s="186"/>
      <c r="F251" s="186"/>
      <c r="G251" s="186"/>
      <c r="H251" s="186">
        <f t="shared" si="62"/>
        <v>95622</v>
      </c>
      <c r="I251" s="186">
        <v>95622</v>
      </c>
      <c r="J251" s="186"/>
      <c r="K251" s="186">
        <f t="shared" si="57"/>
        <v>0</v>
      </c>
      <c r="L251" s="186"/>
      <c r="M251" s="186"/>
      <c r="N251" s="186"/>
      <c r="O251" s="186"/>
      <c r="P251" s="186">
        <f t="shared" si="53"/>
        <v>0</v>
      </c>
      <c r="Q251" s="186"/>
      <c r="R251" s="186">
        <v>13946</v>
      </c>
      <c r="S251" s="187">
        <f t="shared" si="63"/>
        <v>13946</v>
      </c>
      <c r="T251" s="186">
        <v>13946</v>
      </c>
      <c r="U251" s="186">
        <f t="shared" si="54"/>
        <v>0</v>
      </c>
      <c r="V251" s="186">
        <f t="shared" si="55"/>
        <v>-81676</v>
      </c>
      <c r="W251" s="513">
        <f t="shared" si="56"/>
        <v>-0.85415490159168395</v>
      </c>
      <c r="X251" s="513"/>
      <c r="Y251" s="186"/>
    </row>
    <row r="252" spans="1:25">
      <c r="A252" s="256"/>
      <c r="C252" s="130"/>
      <c r="D252" s="186"/>
      <c r="E252" s="186"/>
      <c r="F252" s="186"/>
      <c r="G252" s="186"/>
      <c r="H252" s="186">
        <f t="shared" si="62"/>
        <v>0</v>
      </c>
      <c r="I252" s="186"/>
      <c r="J252" s="186"/>
      <c r="K252" s="186">
        <f t="shared" si="57"/>
        <v>0</v>
      </c>
      <c r="L252" s="186"/>
      <c r="M252" s="186"/>
      <c r="N252" s="186"/>
      <c r="O252" s="186"/>
      <c r="P252" s="186">
        <f t="shared" si="53"/>
        <v>0</v>
      </c>
      <c r="Q252" s="186"/>
      <c r="R252" s="186"/>
      <c r="S252" s="209">
        <f t="shared" si="63"/>
        <v>0</v>
      </c>
      <c r="T252" s="185">
        <v>0</v>
      </c>
      <c r="U252" s="185">
        <f t="shared" si="54"/>
        <v>0</v>
      </c>
      <c r="V252" s="185">
        <f t="shared" si="55"/>
        <v>0</v>
      </c>
      <c r="W252" s="512" t="str">
        <f t="shared" si="56"/>
        <v/>
      </c>
      <c r="X252" s="512"/>
      <c r="Y252" s="185"/>
    </row>
    <row r="253" spans="1:25" ht="12.6" customHeight="1">
      <c r="A253" s="256" t="s">
        <v>318</v>
      </c>
      <c r="B253" s="6" t="s">
        <v>178</v>
      </c>
      <c r="C253" s="244" t="s">
        <v>335</v>
      </c>
      <c r="D253" s="185">
        <v>180625</v>
      </c>
      <c r="E253" s="185"/>
      <c r="F253" s="185"/>
      <c r="G253" s="185"/>
      <c r="H253" s="185">
        <f t="shared" si="62"/>
        <v>180625</v>
      </c>
      <c r="I253" s="185">
        <v>180625</v>
      </c>
      <c r="J253" s="185"/>
      <c r="K253" s="185">
        <f t="shared" si="57"/>
        <v>0</v>
      </c>
      <c r="L253" s="185"/>
      <c r="M253" s="185"/>
      <c r="N253" s="185"/>
      <c r="O253" s="185"/>
      <c r="P253" s="185">
        <f t="shared" si="53"/>
        <v>0</v>
      </c>
      <c r="Q253" s="185"/>
      <c r="R253" s="185">
        <v>180625</v>
      </c>
      <c r="S253" s="209">
        <f t="shared" si="63"/>
        <v>180625</v>
      </c>
      <c r="T253" s="185">
        <v>180625</v>
      </c>
      <c r="U253" s="185">
        <f t="shared" si="54"/>
        <v>0</v>
      </c>
      <c r="V253" s="185">
        <f t="shared" si="55"/>
        <v>0</v>
      </c>
      <c r="W253" s="512">
        <f t="shared" si="56"/>
        <v>0</v>
      </c>
      <c r="X253" s="512"/>
      <c r="Y253" s="185"/>
    </row>
    <row r="254" spans="1:25">
      <c r="A254" s="256"/>
      <c r="C254" s="129"/>
      <c r="D254" s="186"/>
      <c r="E254" s="186"/>
      <c r="F254" s="186"/>
      <c r="G254" s="186"/>
      <c r="H254" s="186">
        <f t="shared" si="62"/>
        <v>0</v>
      </c>
      <c r="I254" s="186"/>
      <c r="J254" s="186"/>
      <c r="K254" s="186">
        <f t="shared" si="57"/>
        <v>0</v>
      </c>
      <c r="L254" s="186"/>
      <c r="M254" s="186"/>
      <c r="N254" s="186"/>
      <c r="O254" s="186"/>
      <c r="P254" s="186">
        <f t="shared" si="53"/>
        <v>0</v>
      </c>
      <c r="Q254" s="186"/>
      <c r="R254" s="186"/>
      <c r="S254" s="209">
        <f t="shared" si="63"/>
        <v>0</v>
      </c>
      <c r="T254" s="185">
        <v>0</v>
      </c>
      <c r="U254" s="185">
        <f t="shared" si="54"/>
        <v>0</v>
      </c>
      <c r="V254" s="185">
        <f t="shared" si="55"/>
        <v>0</v>
      </c>
      <c r="W254" s="512" t="str">
        <f t="shared" si="56"/>
        <v/>
      </c>
      <c r="X254" s="512"/>
      <c r="Y254" s="185"/>
    </row>
    <row r="255" spans="1:25">
      <c r="A255" s="256"/>
      <c r="C255" s="130" t="s">
        <v>251</v>
      </c>
      <c r="D255" s="186">
        <v>180625</v>
      </c>
      <c r="E255" s="186"/>
      <c r="F255" s="186"/>
      <c r="G255" s="186"/>
      <c r="H255" s="186">
        <f t="shared" si="62"/>
        <v>180625</v>
      </c>
      <c r="I255" s="186">
        <v>180625</v>
      </c>
      <c r="J255" s="186"/>
      <c r="K255" s="186">
        <f t="shared" si="57"/>
        <v>0</v>
      </c>
      <c r="L255" s="186"/>
      <c r="M255" s="186"/>
      <c r="N255" s="186"/>
      <c r="O255" s="186"/>
      <c r="P255" s="186">
        <f t="shared" si="53"/>
        <v>0</v>
      </c>
      <c r="Q255" s="186"/>
      <c r="R255" s="186"/>
      <c r="S255" s="209">
        <f t="shared" si="63"/>
        <v>0</v>
      </c>
      <c r="T255" s="185">
        <v>0</v>
      </c>
      <c r="U255" s="185">
        <f t="shared" si="54"/>
        <v>0</v>
      </c>
      <c r="V255" s="185">
        <f t="shared" si="55"/>
        <v>-180625</v>
      </c>
      <c r="W255" s="512">
        <f t="shared" si="56"/>
        <v>-1</v>
      </c>
      <c r="X255" s="512"/>
      <c r="Y255" s="185"/>
    </row>
    <row r="256" spans="1:25">
      <c r="A256" s="256"/>
      <c r="C256" s="130"/>
      <c r="D256" s="186"/>
      <c r="E256" s="186"/>
      <c r="F256" s="186"/>
      <c r="G256" s="186"/>
      <c r="H256" s="186">
        <f t="shared" si="62"/>
        <v>0</v>
      </c>
      <c r="I256" s="186"/>
      <c r="J256" s="186"/>
      <c r="K256" s="186">
        <f t="shared" si="57"/>
        <v>0</v>
      </c>
      <c r="L256" s="186"/>
      <c r="M256" s="186"/>
      <c r="N256" s="186"/>
      <c r="O256" s="186"/>
      <c r="P256" s="186">
        <f t="shared" ref="P256:P303" si="71">SUM(L256:O256)</f>
        <v>0</v>
      </c>
      <c r="Q256" s="186"/>
      <c r="R256" s="186">
        <v>180625</v>
      </c>
      <c r="S256" s="187">
        <f t="shared" si="63"/>
        <v>180625</v>
      </c>
      <c r="T256" s="186">
        <v>180625</v>
      </c>
      <c r="U256" s="186">
        <f t="shared" ref="U256:U303" si="72">T256-S256</f>
        <v>0</v>
      </c>
      <c r="V256" s="186">
        <f t="shared" ref="V256:V303" si="73">T256-H256</f>
        <v>180625</v>
      </c>
      <c r="W256" s="513" t="str">
        <f t="shared" ref="W256:W303" si="74">IF(H256=0,"",V256/H256)</f>
        <v/>
      </c>
      <c r="X256" s="513"/>
      <c r="Y256" s="186"/>
    </row>
    <row r="257" spans="1:25" ht="12.6" customHeight="1">
      <c r="A257" s="256" t="s">
        <v>318</v>
      </c>
      <c r="B257" s="6" t="s">
        <v>178</v>
      </c>
      <c r="C257" s="244" t="s">
        <v>336</v>
      </c>
      <c r="D257" s="185">
        <v>27200</v>
      </c>
      <c r="E257" s="185"/>
      <c r="F257" s="185"/>
      <c r="G257" s="185"/>
      <c r="H257" s="185">
        <f t="shared" si="62"/>
        <v>27200</v>
      </c>
      <c r="I257" s="185">
        <v>27200</v>
      </c>
      <c r="J257" s="185"/>
      <c r="K257" s="185">
        <f t="shared" si="57"/>
        <v>0</v>
      </c>
      <c r="L257" s="185"/>
      <c r="M257" s="185"/>
      <c r="N257" s="185"/>
      <c r="O257" s="185"/>
      <c r="P257" s="185">
        <f t="shared" si="71"/>
        <v>0</v>
      </c>
      <c r="Q257" s="185"/>
      <c r="R257" s="185"/>
      <c r="S257" s="209">
        <f t="shared" si="63"/>
        <v>0</v>
      </c>
      <c r="T257" s="185">
        <v>0</v>
      </c>
      <c r="U257" s="185">
        <f t="shared" si="72"/>
        <v>0</v>
      </c>
      <c r="V257" s="185">
        <f t="shared" si="73"/>
        <v>-27200</v>
      </c>
      <c r="W257" s="512">
        <f t="shared" si="74"/>
        <v>-1</v>
      </c>
      <c r="X257" s="512"/>
      <c r="Y257" s="185"/>
    </row>
    <row r="258" spans="1:25">
      <c r="A258" s="256"/>
      <c r="C258" s="129"/>
      <c r="D258" s="186"/>
      <c r="E258" s="186"/>
      <c r="F258" s="186"/>
      <c r="G258" s="186"/>
      <c r="H258" s="186">
        <f t="shared" si="62"/>
        <v>0</v>
      </c>
      <c r="I258" s="186"/>
      <c r="J258" s="186"/>
      <c r="K258" s="186">
        <f t="shared" si="57"/>
        <v>0</v>
      </c>
      <c r="L258" s="186"/>
      <c r="M258" s="186"/>
      <c r="N258" s="186"/>
      <c r="O258" s="186"/>
      <c r="P258" s="186">
        <f t="shared" si="71"/>
        <v>0</v>
      </c>
      <c r="Q258" s="186"/>
      <c r="R258" s="186"/>
      <c r="S258" s="209">
        <f t="shared" si="63"/>
        <v>0</v>
      </c>
      <c r="T258" s="185">
        <v>0</v>
      </c>
      <c r="U258" s="185">
        <f t="shared" si="72"/>
        <v>0</v>
      </c>
      <c r="V258" s="185">
        <f t="shared" si="73"/>
        <v>0</v>
      </c>
      <c r="W258" s="512" t="str">
        <f t="shared" si="74"/>
        <v/>
      </c>
      <c r="X258" s="512"/>
      <c r="Y258" s="185"/>
    </row>
    <row r="259" spans="1:25">
      <c r="A259" s="256"/>
      <c r="C259" s="130" t="s">
        <v>251</v>
      </c>
      <c r="D259" s="186">
        <v>27200</v>
      </c>
      <c r="E259" s="186"/>
      <c r="F259" s="186"/>
      <c r="G259" s="186"/>
      <c r="H259" s="186">
        <f t="shared" si="62"/>
        <v>27200</v>
      </c>
      <c r="I259" s="186">
        <v>27200</v>
      </c>
      <c r="J259" s="186"/>
      <c r="K259" s="186">
        <f t="shared" si="57"/>
        <v>0</v>
      </c>
      <c r="L259" s="186"/>
      <c r="M259" s="186"/>
      <c r="N259" s="186"/>
      <c r="O259" s="186"/>
      <c r="P259" s="186">
        <f t="shared" si="71"/>
        <v>0</v>
      </c>
      <c r="Q259" s="186"/>
      <c r="R259" s="186"/>
      <c r="S259" s="209">
        <f t="shared" si="63"/>
        <v>0</v>
      </c>
      <c r="T259" s="185">
        <v>0</v>
      </c>
      <c r="U259" s="185">
        <f t="shared" si="72"/>
        <v>0</v>
      </c>
      <c r="V259" s="185">
        <f>T259-H259</f>
        <v>-27200</v>
      </c>
      <c r="W259" s="512">
        <f t="shared" si="74"/>
        <v>-1</v>
      </c>
      <c r="X259" s="512"/>
      <c r="Y259" s="185"/>
    </row>
    <row r="260" spans="1:25">
      <c r="A260" s="256"/>
      <c r="C260" s="173"/>
      <c r="D260" s="195"/>
      <c r="E260" s="195"/>
      <c r="F260" s="195"/>
      <c r="G260" s="195"/>
      <c r="H260" s="195">
        <f t="shared" si="62"/>
        <v>0</v>
      </c>
      <c r="I260" s="195"/>
      <c r="J260" s="195"/>
      <c r="K260" s="195">
        <f t="shared" si="57"/>
        <v>0</v>
      </c>
      <c r="L260" s="195"/>
      <c r="M260" s="195"/>
      <c r="N260" s="195"/>
      <c r="O260" s="195"/>
      <c r="P260" s="195">
        <f t="shared" si="71"/>
        <v>0</v>
      </c>
      <c r="Q260" s="195"/>
      <c r="R260" s="195"/>
      <c r="S260" s="209">
        <f t="shared" si="63"/>
        <v>0</v>
      </c>
      <c r="T260" s="185">
        <v>0</v>
      </c>
      <c r="U260" s="185">
        <f t="shared" si="72"/>
        <v>0</v>
      </c>
      <c r="V260" s="185">
        <f t="shared" si="73"/>
        <v>0</v>
      </c>
      <c r="W260" s="512" t="str">
        <f t="shared" si="74"/>
        <v/>
      </c>
      <c r="X260" s="512"/>
      <c r="Y260" s="185"/>
    </row>
    <row r="261" spans="1:25">
      <c r="A261" s="256" t="s">
        <v>319</v>
      </c>
      <c r="B261" s="6" t="s">
        <v>178</v>
      </c>
      <c r="C261" s="175" t="s">
        <v>372</v>
      </c>
      <c r="D261" s="208">
        <f>D263+D266+D284+D286+D288+D290+D292+D294+D296+D298+D300</f>
        <v>11268989</v>
      </c>
      <c r="E261" s="208">
        <f t="shared" ref="E261:R261" si="75">E263+E266+E284+E286+E288+E290+E292+E294+E296+E298+E300</f>
        <v>0</v>
      </c>
      <c r="F261" s="208">
        <f t="shared" si="75"/>
        <v>0</v>
      </c>
      <c r="G261" s="208">
        <f t="shared" si="75"/>
        <v>0</v>
      </c>
      <c r="H261" s="208">
        <f t="shared" si="75"/>
        <v>11268989</v>
      </c>
      <c r="I261" s="208">
        <f t="shared" si="75"/>
        <v>0</v>
      </c>
      <c r="J261" s="208">
        <f t="shared" si="75"/>
        <v>8932639</v>
      </c>
      <c r="K261" s="208">
        <f t="shared" si="57"/>
        <v>2336350</v>
      </c>
      <c r="L261" s="208">
        <f t="shared" si="75"/>
        <v>-539000</v>
      </c>
      <c r="M261" s="208">
        <f>M263+M266+M284+M286+M288+M290+M292+M294+M296+M298+M300</f>
        <v>0</v>
      </c>
      <c r="N261" s="208">
        <f t="shared" si="75"/>
        <v>0</v>
      </c>
      <c r="O261" s="208">
        <f t="shared" si="75"/>
        <v>0</v>
      </c>
      <c r="P261" s="208">
        <f t="shared" si="71"/>
        <v>-539000</v>
      </c>
      <c r="Q261" s="208">
        <f t="shared" si="75"/>
        <v>10409220</v>
      </c>
      <c r="R261" s="208">
        <f t="shared" si="75"/>
        <v>0</v>
      </c>
      <c r="S261" s="496">
        <f t="shared" si="63"/>
        <v>12206570</v>
      </c>
      <c r="T261" s="208">
        <f>T263+T266+T284+T286+T288+T290+T292+T294+T296+T298+T300</f>
        <v>12206570</v>
      </c>
      <c r="U261" s="208">
        <f t="shared" si="72"/>
        <v>0</v>
      </c>
      <c r="V261" s="182">
        <f t="shared" si="73"/>
        <v>937581</v>
      </c>
      <c r="W261" s="510">
        <f t="shared" si="74"/>
        <v>8.3200098961850086E-2</v>
      </c>
      <c r="X261" s="510"/>
      <c r="Y261" s="182"/>
    </row>
    <row r="262" spans="1:25">
      <c r="A262" s="256"/>
      <c r="C262" s="175"/>
      <c r="D262" s="208"/>
      <c r="E262" s="208"/>
      <c r="F262" s="208"/>
      <c r="G262" s="208"/>
      <c r="H262" s="208">
        <f t="shared" si="62"/>
        <v>0</v>
      </c>
      <c r="I262" s="208"/>
      <c r="J262" s="208"/>
      <c r="K262" s="208">
        <f t="shared" si="57"/>
        <v>0</v>
      </c>
      <c r="L262" s="208"/>
      <c r="M262" s="208"/>
      <c r="N262" s="208"/>
      <c r="O262" s="208"/>
      <c r="P262" s="208">
        <f t="shared" si="71"/>
        <v>0</v>
      </c>
      <c r="Q262" s="208"/>
      <c r="R262" s="208"/>
      <c r="S262" s="209">
        <f t="shared" si="63"/>
        <v>0</v>
      </c>
      <c r="T262" s="185">
        <v>0</v>
      </c>
      <c r="U262" s="185">
        <f t="shared" si="72"/>
        <v>0</v>
      </c>
      <c r="V262" s="185">
        <f t="shared" si="73"/>
        <v>0</v>
      </c>
      <c r="W262" s="512" t="str">
        <f t="shared" si="74"/>
        <v/>
      </c>
      <c r="X262" s="512"/>
      <c r="Y262" s="185"/>
    </row>
    <row r="263" spans="1:25">
      <c r="A263" s="256"/>
      <c r="C263" s="166" t="s">
        <v>235</v>
      </c>
      <c r="D263" s="185">
        <f>8884339</f>
        <v>8884339</v>
      </c>
      <c r="E263" s="185"/>
      <c r="F263" s="185"/>
      <c r="G263" s="185"/>
      <c r="H263" s="185">
        <f t="shared" si="62"/>
        <v>8884339</v>
      </c>
      <c r="I263" s="185"/>
      <c r="J263" s="185">
        <f>8884339+34800</f>
        <v>8919139</v>
      </c>
      <c r="K263" s="185">
        <f t="shared" si="57"/>
        <v>-34800</v>
      </c>
      <c r="L263" s="185"/>
      <c r="M263" s="185"/>
      <c r="N263" s="185"/>
      <c r="O263" s="185"/>
      <c r="P263" s="185">
        <f t="shared" si="71"/>
        <v>0</v>
      </c>
      <c r="Q263" s="185">
        <v>10395720</v>
      </c>
      <c r="R263" s="185"/>
      <c r="S263" s="209">
        <f t="shared" si="63"/>
        <v>10360920</v>
      </c>
      <c r="T263" s="185">
        <v>10360920</v>
      </c>
      <c r="U263" s="185">
        <f t="shared" si="72"/>
        <v>0</v>
      </c>
      <c r="V263" s="185">
        <f t="shared" si="73"/>
        <v>1476581</v>
      </c>
      <c r="W263" s="512">
        <f t="shared" si="74"/>
        <v>0.16620043426978642</v>
      </c>
      <c r="X263" s="512"/>
      <c r="Y263" s="185"/>
    </row>
    <row r="264" spans="1:25">
      <c r="A264" s="256"/>
      <c r="C264" s="129" t="s">
        <v>107</v>
      </c>
      <c r="D264" s="186">
        <v>5447514</v>
      </c>
      <c r="E264" s="186"/>
      <c r="F264" s="186"/>
      <c r="G264" s="186"/>
      <c r="H264" s="186">
        <f t="shared" si="62"/>
        <v>5447514</v>
      </c>
      <c r="I264" s="186"/>
      <c r="J264" s="186">
        <v>5447514</v>
      </c>
      <c r="K264" s="186">
        <f t="shared" si="57"/>
        <v>0</v>
      </c>
      <c r="L264" s="186"/>
      <c r="M264" s="186"/>
      <c r="N264" s="186"/>
      <c r="O264" s="186"/>
      <c r="P264" s="186">
        <f t="shared" si="71"/>
        <v>0</v>
      </c>
      <c r="Q264" s="186">
        <v>5447514</v>
      </c>
      <c r="R264" s="186"/>
      <c r="S264" s="187">
        <f t="shared" si="63"/>
        <v>5447514</v>
      </c>
      <c r="T264" s="186">
        <v>5447514</v>
      </c>
      <c r="U264" s="186">
        <f t="shared" si="72"/>
        <v>0</v>
      </c>
      <c r="V264" s="186">
        <f t="shared" si="73"/>
        <v>0</v>
      </c>
      <c r="W264" s="513">
        <f t="shared" si="74"/>
        <v>0</v>
      </c>
      <c r="X264" s="513"/>
      <c r="Y264" s="186"/>
    </row>
    <row r="265" spans="1:25">
      <c r="A265" s="256"/>
      <c r="C265" s="175"/>
      <c r="D265" s="208"/>
      <c r="E265" s="208"/>
      <c r="F265" s="208"/>
      <c r="G265" s="208"/>
      <c r="H265" s="208">
        <f t="shared" si="62"/>
        <v>0</v>
      </c>
      <c r="I265" s="208"/>
      <c r="J265" s="208"/>
      <c r="K265" s="208">
        <f t="shared" ref="K265:K301" si="76">H265-SUM(I265:J265)-G265</f>
        <v>0</v>
      </c>
      <c r="L265" s="208"/>
      <c r="M265" s="208"/>
      <c r="N265" s="208"/>
      <c r="O265" s="208"/>
      <c r="P265" s="208">
        <f t="shared" si="71"/>
        <v>0</v>
      </c>
      <c r="Q265" s="208"/>
      <c r="R265" s="208"/>
      <c r="S265" s="209">
        <f t="shared" si="63"/>
        <v>0</v>
      </c>
      <c r="T265" s="185">
        <v>0</v>
      </c>
      <c r="U265" s="185">
        <f t="shared" si="72"/>
        <v>0</v>
      </c>
      <c r="V265" s="185">
        <f t="shared" si="73"/>
        <v>0</v>
      </c>
      <c r="W265" s="512" t="str">
        <f t="shared" si="74"/>
        <v/>
      </c>
      <c r="X265" s="512"/>
      <c r="Y265" s="185"/>
    </row>
    <row r="266" spans="1:25">
      <c r="A266" s="256"/>
      <c r="C266" s="166" t="s">
        <v>236</v>
      </c>
      <c r="D266" s="185">
        <f>D268+D282</f>
        <v>1427600</v>
      </c>
      <c r="E266" s="185"/>
      <c r="F266" s="185"/>
      <c r="G266" s="185"/>
      <c r="H266" s="185">
        <f t="shared" ref="H266:H282" si="77">SUM(D266:G266)</f>
        <v>1427600</v>
      </c>
      <c r="I266" s="185"/>
      <c r="J266" s="185">
        <f>J268+J282</f>
        <v>0</v>
      </c>
      <c r="K266" s="185">
        <f t="shared" si="76"/>
        <v>1427600</v>
      </c>
      <c r="L266" s="185">
        <f>L282+L268</f>
        <v>-500000</v>
      </c>
      <c r="M266" s="185">
        <f>M282+M268</f>
        <v>0</v>
      </c>
      <c r="N266" s="185">
        <f>N282+N268</f>
        <v>0</v>
      </c>
      <c r="O266" s="196"/>
      <c r="P266" s="185">
        <f t="shared" si="71"/>
        <v>-500000</v>
      </c>
      <c r="Q266" s="185">
        <f>Q282+Q268</f>
        <v>0</v>
      </c>
      <c r="R266" s="209"/>
      <c r="S266" s="185">
        <f>S268+S282</f>
        <v>927600</v>
      </c>
      <c r="T266" s="185">
        <f>T268+T282</f>
        <v>927600</v>
      </c>
      <c r="U266" s="185">
        <f t="shared" si="72"/>
        <v>0</v>
      </c>
      <c r="V266" s="840">
        <f>T266-H266</f>
        <v>-500000</v>
      </c>
      <c r="W266" s="828">
        <f t="shared" si="74"/>
        <v>-0.35023816195012608</v>
      </c>
      <c r="X266" s="185"/>
      <c r="Y266" s="185"/>
    </row>
    <row r="267" spans="1:25">
      <c r="A267" s="256"/>
      <c r="C267" s="129" t="s">
        <v>107</v>
      </c>
      <c r="D267" s="186">
        <f>D277</f>
        <v>5000</v>
      </c>
      <c r="E267" s="186"/>
      <c r="F267" s="186"/>
      <c r="G267" s="186"/>
      <c r="H267" s="186">
        <f t="shared" si="77"/>
        <v>5000</v>
      </c>
      <c r="I267" s="186"/>
      <c r="J267" s="186"/>
      <c r="K267" s="186">
        <f t="shared" si="76"/>
        <v>5000</v>
      </c>
      <c r="L267" s="186"/>
      <c r="M267" s="186"/>
      <c r="N267" s="186"/>
      <c r="O267" s="196">
        <f t="shared" ref="O267:O282" si="78">SUM(L267:N267)</f>
        <v>0</v>
      </c>
      <c r="P267" s="186">
        <f t="shared" si="71"/>
        <v>0</v>
      </c>
      <c r="Q267" s="186"/>
      <c r="R267" s="187"/>
      <c r="S267" s="186">
        <v>5000</v>
      </c>
      <c r="T267" s="186">
        <f t="shared" ref="T267:T282" si="79">S267-R267</f>
        <v>5000</v>
      </c>
      <c r="U267" s="186">
        <f t="shared" si="72"/>
        <v>0</v>
      </c>
      <c r="V267" s="841">
        <f t="shared" si="73"/>
        <v>0</v>
      </c>
      <c r="W267" s="833">
        <f t="shared" si="74"/>
        <v>0</v>
      </c>
      <c r="X267" s="186"/>
      <c r="Y267" s="186"/>
    </row>
    <row r="268" spans="1:25">
      <c r="A268" s="256"/>
      <c r="C268" s="164" t="s">
        <v>237</v>
      </c>
      <c r="D268" s="843">
        <f>D269+D270+D271+D272+D273+D274+D275+D276+D278+D279+D280+D281</f>
        <v>998000</v>
      </c>
      <c r="E268" s="189"/>
      <c r="F268" s="189"/>
      <c r="G268" s="189"/>
      <c r="H268" s="189">
        <f t="shared" si="77"/>
        <v>998000</v>
      </c>
      <c r="I268" s="189"/>
      <c r="J268" s="189"/>
      <c r="K268" s="189">
        <f t="shared" si="76"/>
        <v>998000</v>
      </c>
      <c r="L268" s="189">
        <v>-500000</v>
      </c>
      <c r="M268" s="189"/>
      <c r="N268" s="189"/>
      <c r="O268" s="203"/>
      <c r="P268" s="189">
        <f t="shared" si="71"/>
        <v>-500000</v>
      </c>
      <c r="Q268" s="189"/>
      <c r="R268" s="499"/>
      <c r="S268" s="834">
        <f>K268+P268+Q268+R268</f>
        <v>498000</v>
      </c>
      <c r="T268" s="189">
        <v>498000</v>
      </c>
      <c r="U268" s="189">
        <f t="shared" si="72"/>
        <v>0</v>
      </c>
      <c r="V268" s="842">
        <f t="shared" si="73"/>
        <v>-500000</v>
      </c>
      <c r="W268" s="813">
        <f t="shared" si="74"/>
        <v>-0.50100200400801598</v>
      </c>
      <c r="X268" s="189"/>
      <c r="Y268" s="189"/>
    </row>
    <row r="269" spans="1:25">
      <c r="A269" s="256"/>
      <c r="C269" s="810" t="s">
        <v>861</v>
      </c>
      <c r="D269" s="834">
        <v>57521</v>
      </c>
      <c r="E269" s="834"/>
      <c r="F269" s="834"/>
      <c r="G269" s="834"/>
      <c r="H269" s="834">
        <f t="shared" si="77"/>
        <v>57521</v>
      </c>
      <c r="I269" s="834"/>
      <c r="J269" s="834"/>
      <c r="K269" s="834">
        <f t="shared" si="76"/>
        <v>57521</v>
      </c>
      <c r="L269" s="834"/>
      <c r="M269" s="834"/>
      <c r="N269" s="834"/>
      <c r="O269" s="835"/>
      <c r="P269" s="834">
        <f t="shared" si="71"/>
        <v>0</v>
      </c>
      <c r="Q269" s="834"/>
      <c r="R269" s="834"/>
      <c r="S269" s="834">
        <f>K269+P269+Q269+R269</f>
        <v>57521</v>
      </c>
      <c r="T269" s="834">
        <v>57521</v>
      </c>
      <c r="U269" s="834">
        <f t="shared" si="72"/>
        <v>0</v>
      </c>
      <c r="V269" s="842">
        <f t="shared" si="73"/>
        <v>0</v>
      </c>
      <c r="W269" s="836">
        <f t="shared" si="74"/>
        <v>0</v>
      </c>
      <c r="X269" s="834"/>
      <c r="Y269" s="189"/>
    </row>
    <row r="270" spans="1:25">
      <c r="A270" s="256"/>
      <c r="C270" s="810" t="s">
        <v>862</v>
      </c>
      <c r="D270" s="834">
        <v>44621</v>
      </c>
      <c r="E270" s="834"/>
      <c r="F270" s="834"/>
      <c r="G270" s="834"/>
      <c r="H270" s="834">
        <f t="shared" si="77"/>
        <v>44621</v>
      </c>
      <c r="I270" s="834"/>
      <c r="J270" s="834"/>
      <c r="K270" s="834">
        <f t="shared" si="76"/>
        <v>44621</v>
      </c>
      <c r="L270" s="834"/>
      <c r="M270" s="834"/>
      <c r="N270" s="834"/>
      <c r="O270" s="835"/>
      <c r="P270" s="834">
        <f t="shared" si="71"/>
        <v>0</v>
      </c>
      <c r="Q270" s="834"/>
      <c r="R270" s="834"/>
      <c r="S270" s="834">
        <f t="shared" ref="S270:S281" si="80">K270+P270+Q270+R270</f>
        <v>44621</v>
      </c>
      <c r="T270" s="834">
        <v>44621</v>
      </c>
      <c r="U270" s="834">
        <f t="shared" si="72"/>
        <v>0</v>
      </c>
      <c r="V270" s="842">
        <f t="shared" si="73"/>
        <v>0</v>
      </c>
      <c r="W270" s="836">
        <f t="shared" si="74"/>
        <v>0</v>
      </c>
      <c r="X270" s="834"/>
      <c r="Y270" s="189"/>
    </row>
    <row r="271" spans="1:25">
      <c r="A271" s="256"/>
      <c r="C271" s="810" t="s">
        <v>863</v>
      </c>
      <c r="D271" s="834">
        <v>10482</v>
      </c>
      <c r="E271" s="834"/>
      <c r="F271" s="834"/>
      <c r="G271" s="834"/>
      <c r="H271" s="834">
        <f t="shared" si="77"/>
        <v>10482</v>
      </c>
      <c r="I271" s="834"/>
      <c r="J271" s="834"/>
      <c r="K271" s="834">
        <f t="shared" si="76"/>
        <v>10482</v>
      </c>
      <c r="L271" s="834"/>
      <c r="M271" s="834"/>
      <c r="N271" s="834"/>
      <c r="O271" s="835"/>
      <c r="P271" s="834">
        <f t="shared" si="71"/>
        <v>0</v>
      </c>
      <c r="Q271" s="834"/>
      <c r="R271" s="834"/>
      <c r="S271" s="834">
        <f t="shared" si="80"/>
        <v>10482</v>
      </c>
      <c r="T271" s="834">
        <v>10482</v>
      </c>
      <c r="U271" s="834">
        <f t="shared" si="72"/>
        <v>0</v>
      </c>
      <c r="V271" s="842">
        <f t="shared" si="73"/>
        <v>0</v>
      </c>
      <c r="W271" s="836">
        <f t="shared" si="74"/>
        <v>0</v>
      </c>
      <c r="X271" s="834"/>
      <c r="Y271" s="189"/>
    </row>
    <row r="272" spans="1:25">
      <c r="A272" s="256"/>
      <c r="C272" s="810" t="s">
        <v>864</v>
      </c>
      <c r="D272" s="834">
        <v>189770</v>
      </c>
      <c r="E272" s="834"/>
      <c r="F272" s="834"/>
      <c r="G272" s="834"/>
      <c r="H272" s="834">
        <f t="shared" si="77"/>
        <v>189770</v>
      </c>
      <c r="I272" s="834"/>
      <c r="J272" s="834"/>
      <c r="K272" s="834">
        <f t="shared" si="76"/>
        <v>189770</v>
      </c>
      <c r="L272" s="834"/>
      <c r="M272" s="834"/>
      <c r="N272" s="834"/>
      <c r="O272" s="835"/>
      <c r="P272" s="834">
        <f t="shared" si="71"/>
        <v>0</v>
      </c>
      <c r="Q272" s="834"/>
      <c r="R272" s="834"/>
      <c r="S272" s="834">
        <f t="shared" si="80"/>
        <v>189770</v>
      </c>
      <c r="T272" s="834">
        <v>189770</v>
      </c>
      <c r="U272" s="834">
        <f t="shared" si="72"/>
        <v>0</v>
      </c>
      <c r="V272" s="842">
        <f t="shared" si="73"/>
        <v>0</v>
      </c>
      <c r="W272" s="836">
        <f t="shared" si="74"/>
        <v>0</v>
      </c>
      <c r="X272" s="834"/>
      <c r="Y272" s="189"/>
    </row>
    <row r="273" spans="1:25">
      <c r="A273" s="256"/>
      <c r="C273" s="810" t="s">
        <v>865</v>
      </c>
      <c r="D273" s="834">
        <v>95868</v>
      </c>
      <c r="E273" s="834"/>
      <c r="F273" s="834"/>
      <c r="G273" s="834"/>
      <c r="H273" s="834">
        <f t="shared" si="77"/>
        <v>95868</v>
      </c>
      <c r="I273" s="834"/>
      <c r="J273" s="834"/>
      <c r="K273" s="834">
        <f t="shared" si="76"/>
        <v>95868</v>
      </c>
      <c r="L273" s="834"/>
      <c r="M273" s="834"/>
      <c r="N273" s="834"/>
      <c r="O273" s="835"/>
      <c r="P273" s="834">
        <f t="shared" si="71"/>
        <v>0</v>
      </c>
      <c r="Q273" s="834"/>
      <c r="R273" s="834"/>
      <c r="S273" s="834">
        <f t="shared" si="80"/>
        <v>95868</v>
      </c>
      <c r="T273" s="834">
        <v>95868</v>
      </c>
      <c r="U273" s="834">
        <f t="shared" si="72"/>
        <v>0</v>
      </c>
      <c r="V273" s="842">
        <f t="shared" si="73"/>
        <v>0</v>
      </c>
      <c r="W273" s="836">
        <f t="shared" si="74"/>
        <v>0</v>
      </c>
      <c r="X273" s="834"/>
      <c r="Y273" s="189"/>
    </row>
    <row r="274" spans="1:25">
      <c r="A274" s="256"/>
      <c r="C274" s="810" t="s">
        <v>866</v>
      </c>
      <c r="D274" s="834">
        <v>6000</v>
      </c>
      <c r="E274" s="834"/>
      <c r="F274" s="834"/>
      <c r="G274" s="834"/>
      <c r="H274" s="834">
        <f t="shared" si="77"/>
        <v>6000</v>
      </c>
      <c r="I274" s="834"/>
      <c r="J274" s="834"/>
      <c r="K274" s="834">
        <f t="shared" si="76"/>
        <v>6000</v>
      </c>
      <c r="L274" s="834"/>
      <c r="M274" s="834"/>
      <c r="N274" s="834"/>
      <c r="O274" s="835"/>
      <c r="P274" s="834">
        <f t="shared" si="71"/>
        <v>0</v>
      </c>
      <c r="Q274" s="834"/>
      <c r="R274" s="834"/>
      <c r="S274" s="834">
        <f t="shared" si="80"/>
        <v>6000</v>
      </c>
      <c r="T274" s="834">
        <v>6000</v>
      </c>
      <c r="U274" s="834">
        <f t="shared" si="72"/>
        <v>0</v>
      </c>
      <c r="V274" s="842">
        <f t="shared" si="73"/>
        <v>0</v>
      </c>
      <c r="W274" s="836">
        <f t="shared" si="74"/>
        <v>0</v>
      </c>
      <c r="X274" s="834"/>
      <c r="Y274" s="189"/>
    </row>
    <row r="275" spans="1:25">
      <c r="A275" s="256"/>
      <c r="C275" s="810" t="s">
        <v>867</v>
      </c>
      <c r="D275" s="834">
        <v>20000</v>
      </c>
      <c r="E275" s="834"/>
      <c r="F275" s="834"/>
      <c r="G275" s="834"/>
      <c r="H275" s="834">
        <f t="shared" si="77"/>
        <v>20000</v>
      </c>
      <c r="I275" s="834"/>
      <c r="J275" s="834"/>
      <c r="K275" s="834">
        <f t="shared" si="76"/>
        <v>20000</v>
      </c>
      <c r="L275" s="834"/>
      <c r="M275" s="834"/>
      <c r="N275" s="834"/>
      <c r="O275" s="835"/>
      <c r="P275" s="834">
        <f t="shared" si="71"/>
        <v>0</v>
      </c>
      <c r="Q275" s="834"/>
      <c r="R275" s="834"/>
      <c r="S275" s="834">
        <f t="shared" si="80"/>
        <v>20000</v>
      </c>
      <c r="T275" s="834">
        <v>20000</v>
      </c>
      <c r="U275" s="834">
        <f t="shared" si="72"/>
        <v>0</v>
      </c>
      <c r="V275" s="842">
        <f t="shared" si="73"/>
        <v>0</v>
      </c>
      <c r="W275" s="836">
        <f t="shared" si="74"/>
        <v>0</v>
      </c>
      <c r="X275" s="834"/>
      <c r="Y275" s="189"/>
    </row>
    <row r="276" spans="1:25">
      <c r="A276" s="256"/>
      <c r="C276" s="810" t="s">
        <v>868</v>
      </c>
      <c r="D276" s="834">
        <v>54791</v>
      </c>
      <c r="E276" s="834"/>
      <c r="F276" s="834"/>
      <c r="G276" s="834"/>
      <c r="H276" s="834">
        <f t="shared" si="77"/>
        <v>54791</v>
      </c>
      <c r="I276" s="834"/>
      <c r="J276" s="834"/>
      <c r="K276" s="834">
        <f t="shared" si="76"/>
        <v>54791</v>
      </c>
      <c r="L276" s="834"/>
      <c r="M276" s="834"/>
      <c r="N276" s="834"/>
      <c r="O276" s="835"/>
      <c r="P276" s="834">
        <f t="shared" si="71"/>
        <v>0</v>
      </c>
      <c r="Q276" s="834"/>
      <c r="R276" s="834"/>
      <c r="S276" s="834">
        <f t="shared" si="80"/>
        <v>54791</v>
      </c>
      <c r="T276" s="834">
        <v>54791</v>
      </c>
      <c r="U276" s="834">
        <f t="shared" si="72"/>
        <v>0</v>
      </c>
      <c r="V276" s="842">
        <f t="shared" si="73"/>
        <v>0</v>
      </c>
      <c r="W276" s="836">
        <f t="shared" si="74"/>
        <v>0</v>
      </c>
      <c r="X276" s="834"/>
      <c r="Y276" s="189"/>
    </row>
    <row r="277" spans="1:25">
      <c r="A277" s="256"/>
      <c r="C277" s="811" t="s">
        <v>107</v>
      </c>
      <c r="D277" s="837">
        <v>5000</v>
      </c>
      <c r="E277" s="837"/>
      <c r="F277" s="837"/>
      <c r="G277" s="837"/>
      <c r="H277" s="837">
        <f t="shared" si="77"/>
        <v>5000</v>
      </c>
      <c r="I277" s="837"/>
      <c r="J277" s="837"/>
      <c r="K277" s="837">
        <f t="shared" si="76"/>
        <v>5000</v>
      </c>
      <c r="L277" s="837"/>
      <c r="M277" s="837"/>
      <c r="N277" s="837"/>
      <c r="O277" s="838"/>
      <c r="P277" s="837">
        <f t="shared" si="71"/>
        <v>0</v>
      </c>
      <c r="Q277" s="837"/>
      <c r="R277" s="837"/>
      <c r="S277" s="834">
        <f t="shared" si="80"/>
        <v>5000</v>
      </c>
      <c r="T277" s="837">
        <v>5000</v>
      </c>
      <c r="U277" s="837">
        <f t="shared" si="72"/>
        <v>0</v>
      </c>
      <c r="V277" s="842">
        <f t="shared" si="73"/>
        <v>0</v>
      </c>
      <c r="W277" s="839">
        <f t="shared" si="74"/>
        <v>0</v>
      </c>
      <c r="X277" s="837"/>
      <c r="Y277" s="189"/>
    </row>
    <row r="278" spans="1:25">
      <c r="A278" s="256"/>
      <c r="C278" s="810" t="s">
        <v>869</v>
      </c>
      <c r="D278" s="834">
        <v>8947</v>
      </c>
      <c r="E278" s="834"/>
      <c r="F278" s="834"/>
      <c r="G278" s="834"/>
      <c r="H278" s="834">
        <f t="shared" si="77"/>
        <v>8947</v>
      </c>
      <c r="I278" s="834"/>
      <c r="J278" s="834"/>
      <c r="K278" s="834">
        <f t="shared" si="76"/>
        <v>8947</v>
      </c>
      <c r="L278" s="834"/>
      <c r="M278" s="834"/>
      <c r="N278" s="834"/>
      <c r="O278" s="835"/>
      <c r="P278" s="834">
        <f t="shared" si="71"/>
        <v>0</v>
      </c>
      <c r="Q278" s="834"/>
      <c r="R278" s="834"/>
      <c r="S278" s="834">
        <f t="shared" si="80"/>
        <v>8947</v>
      </c>
      <c r="T278" s="834">
        <v>8947</v>
      </c>
      <c r="U278" s="834">
        <f t="shared" si="72"/>
        <v>0</v>
      </c>
      <c r="V278" s="842">
        <f t="shared" si="73"/>
        <v>0</v>
      </c>
      <c r="W278" s="836">
        <f t="shared" si="74"/>
        <v>0</v>
      </c>
      <c r="X278" s="834"/>
      <c r="Y278" s="189"/>
    </row>
    <row r="279" spans="1:25">
      <c r="A279" s="256"/>
      <c r="C279" s="810" t="s">
        <v>870</v>
      </c>
      <c r="D279" s="834">
        <v>6000</v>
      </c>
      <c r="E279" s="834"/>
      <c r="F279" s="834"/>
      <c r="G279" s="834"/>
      <c r="H279" s="834">
        <f t="shared" si="77"/>
        <v>6000</v>
      </c>
      <c r="I279" s="834"/>
      <c r="J279" s="834"/>
      <c r="K279" s="834">
        <f t="shared" si="76"/>
        <v>6000</v>
      </c>
      <c r="L279" s="834"/>
      <c r="M279" s="834"/>
      <c r="N279" s="834"/>
      <c r="O279" s="835"/>
      <c r="P279" s="834">
        <f t="shared" si="71"/>
        <v>0</v>
      </c>
      <c r="Q279" s="834"/>
      <c r="R279" s="834"/>
      <c r="S279" s="834">
        <f t="shared" si="80"/>
        <v>6000</v>
      </c>
      <c r="T279" s="834">
        <v>6000</v>
      </c>
      <c r="U279" s="834">
        <f t="shared" si="72"/>
        <v>0</v>
      </c>
      <c r="V279" s="842">
        <f t="shared" si="73"/>
        <v>0</v>
      </c>
      <c r="W279" s="836">
        <f t="shared" si="74"/>
        <v>0</v>
      </c>
      <c r="X279" s="834"/>
      <c r="Y279" s="189"/>
    </row>
    <row r="280" spans="1:25">
      <c r="A280" s="256"/>
      <c r="C280" s="810" t="s">
        <v>871</v>
      </c>
      <c r="D280" s="834">
        <v>4000</v>
      </c>
      <c r="E280" s="834"/>
      <c r="F280" s="834"/>
      <c r="G280" s="834"/>
      <c r="H280" s="834">
        <f t="shared" si="77"/>
        <v>4000</v>
      </c>
      <c r="I280" s="834"/>
      <c r="J280" s="834"/>
      <c r="K280" s="834">
        <f t="shared" si="76"/>
        <v>4000</v>
      </c>
      <c r="L280" s="834"/>
      <c r="M280" s="834"/>
      <c r="N280" s="834"/>
      <c r="O280" s="835"/>
      <c r="P280" s="834">
        <f t="shared" si="71"/>
        <v>0</v>
      </c>
      <c r="Q280" s="834"/>
      <c r="R280" s="834"/>
      <c r="S280" s="834">
        <f t="shared" si="80"/>
        <v>4000</v>
      </c>
      <c r="T280" s="834">
        <v>4000</v>
      </c>
      <c r="U280" s="834">
        <f t="shared" si="72"/>
        <v>0</v>
      </c>
      <c r="V280" s="842">
        <f t="shared" si="73"/>
        <v>0</v>
      </c>
      <c r="W280" s="836">
        <f t="shared" si="74"/>
        <v>0</v>
      </c>
      <c r="X280" s="834"/>
      <c r="Y280" s="189"/>
    </row>
    <row r="281" spans="1:25">
      <c r="A281" s="256"/>
      <c r="C281" s="810" t="s">
        <v>873</v>
      </c>
      <c r="D281" s="834">
        <v>500000</v>
      </c>
      <c r="E281" s="834"/>
      <c r="F281" s="834"/>
      <c r="G281" s="834"/>
      <c r="H281" s="834">
        <f t="shared" si="77"/>
        <v>500000</v>
      </c>
      <c r="I281" s="834"/>
      <c r="J281" s="834"/>
      <c r="K281" s="834">
        <f t="shared" si="76"/>
        <v>500000</v>
      </c>
      <c r="L281" s="834">
        <v>-500000</v>
      </c>
      <c r="M281" s="834"/>
      <c r="N281" s="834"/>
      <c r="O281" s="835"/>
      <c r="P281" s="834">
        <f t="shared" si="71"/>
        <v>-500000</v>
      </c>
      <c r="Q281" s="834"/>
      <c r="R281" s="834"/>
      <c r="S281" s="834">
        <f t="shared" si="80"/>
        <v>0</v>
      </c>
      <c r="T281" s="834"/>
      <c r="U281" s="834">
        <f t="shared" si="72"/>
        <v>0</v>
      </c>
      <c r="V281" s="842">
        <f t="shared" si="73"/>
        <v>-500000</v>
      </c>
      <c r="W281" s="836">
        <f t="shared" si="74"/>
        <v>-1</v>
      </c>
      <c r="X281" s="834"/>
      <c r="Y281" s="189"/>
    </row>
    <row r="282" spans="1:25">
      <c r="A282" s="256"/>
      <c r="C282" s="143" t="s">
        <v>238</v>
      </c>
      <c r="D282" s="189">
        <v>429600</v>
      </c>
      <c r="E282" s="189"/>
      <c r="F282" s="189"/>
      <c r="G282" s="189"/>
      <c r="H282" s="189">
        <f t="shared" si="77"/>
        <v>429600</v>
      </c>
      <c r="I282" s="189"/>
      <c r="J282" s="189"/>
      <c r="K282" s="189">
        <f t="shared" si="76"/>
        <v>429600</v>
      </c>
      <c r="L282" s="189"/>
      <c r="M282" s="189"/>
      <c r="N282" s="189"/>
      <c r="O282" s="196">
        <f t="shared" si="78"/>
        <v>0</v>
      </c>
      <c r="P282" s="189">
        <f t="shared" si="71"/>
        <v>0</v>
      </c>
      <c r="Q282" s="189"/>
      <c r="R282" s="499"/>
      <c r="S282" s="189">
        <v>429600</v>
      </c>
      <c r="T282" s="189">
        <f t="shared" si="79"/>
        <v>429600</v>
      </c>
      <c r="U282" s="189">
        <f t="shared" si="72"/>
        <v>0</v>
      </c>
      <c r="V282" s="842">
        <f t="shared" si="73"/>
        <v>0</v>
      </c>
      <c r="W282" s="813">
        <f t="shared" si="74"/>
        <v>0</v>
      </c>
      <c r="X282" s="189"/>
      <c r="Y282" s="189"/>
    </row>
    <row r="283" spans="1:25">
      <c r="A283" s="256"/>
      <c r="C283" s="176"/>
      <c r="D283" s="189"/>
      <c r="E283" s="189"/>
      <c r="F283" s="189"/>
      <c r="G283" s="189"/>
      <c r="H283" s="189">
        <f t="shared" si="62"/>
        <v>0</v>
      </c>
      <c r="I283" s="189"/>
      <c r="J283" s="189"/>
      <c r="K283" s="189">
        <f t="shared" si="76"/>
        <v>0</v>
      </c>
      <c r="L283" s="189"/>
      <c r="M283" s="189"/>
      <c r="N283" s="189"/>
      <c r="O283" s="189"/>
      <c r="P283" s="189">
        <f t="shared" si="71"/>
        <v>0</v>
      </c>
      <c r="Q283" s="189"/>
      <c r="R283" s="189"/>
      <c r="S283" s="209">
        <f t="shared" si="63"/>
        <v>0</v>
      </c>
      <c r="T283" s="185">
        <v>0</v>
      </c>
      <c r="U283" s="185">
        <f t="shared" si="72"/>
        <v>0</v>
      </c>
      <c r="V283" s="185">
        <f t="shared" si="73"/>
        <v>0</v>
      </c>
      <c r="W283" s="512" t="str">
        <f t="shared" si="74"/>
        <v/>
      </c>
      <c r="X283" s="512"/>
      <c r="Y283" s="185"/>
    </row>
    <row r="284" spans="1:25">
      <c r="A284" s="256"/>
      <c r="C284" s="166" t="s">
        <v>239</v>
      </c>
      <c r="D284" s="185">
        <v>242400</v>
      </c>
      <c r="E284" s="185"/>
      <c r="F284" s="185"/>
      <c r="G284" s="185"/>
      <c r="H284" s="185">
        <f t="shared" si="62"/>
        <v>242400</v>
      </c>
      <c r="I284" s="185"/>
      <c r="J284" s="185"/>
      <c r="K284" s="185">
        <f t="shared" si="76"/>
        <v>242400</v>
      </c>
      <c r="L284" s="185"/>
      <c r="M284" s="185"/>
      <c r="N284" s="185"/>
      <c r="O284" s="185"/>
      <c r="P284" s="185">
        <f t="shared" si="71"/>
        <v>0</v>
      </c>
      <c r="Q284" s="185"/>
      <c r="R284" s="185"/>
      <c r="S284" s="209">
        <f>K284+P284+Q284+R284</f>
        <v>242400</v>
      </c>
      <c r="T284" s="185">
        <v>242400</v>
      </c>
      <c r="U284" s="185">
        <f t="shared" si="72"/>
        <v>0</v>
      </c>
      <c r="V284" s="185">
        <f t="shared" si="73"/>
        <v>0</v>
      </c>
      <c r="W284" s="512">
        <f t="shared" si="74"/>
        <v>0</v>
      </c>
      <c r="X284" s="512"/>
      <c r="Y284" s="185"/>
    </row>
    <row r="285" spans="1:25">
      <c r="A285" s="256"/>
      <c r="C285" s="176"/>
      <c r="D285" s="189"/>
      <c r="E285" s="189"/>
      <c r="F285" s="189"/>
      <c r="G285" s="189"/>
      <c r="H285" s="189">
        <f t="shared" ref="H285:H303" si="81">SUM(D285:G285)</f>
        <v>0</v>
      </c>
      <c r="I285" s="189"/>
      <c r="J285" s="189"/>
      <c r="K285" s="189">
        <f t="shared" si="76"/>
        <v>0</v>
      </c>
      <c r="L285" s="189"/>
      <c r="M285" s="189"/>
      <c r="N285" s="189"/>
      <c r="O285" s="189"/>
      <c r="P285" s="189">
        <f t="shared" si="71"/>
        <v>0</v>
      </c>
      <c r="Q285" s="189"/>
      <c r="R285" s="189"/>
      <c r="S285" s="209">
        <f t="shared" si="63"/>
        <v>0</v>
      </c>
      <c r="T285" s="185">
        <v>0</v>
      </c>
      <c r="U285" s="185">
        <f t="shared" si="72"/>
        <v>0</v>
      </c>
      <c r="V285" s="185">
        <f t="shared" si="73"/>
        <v>0</v>
      </c>
      <c r="W285" s="512" t="str">
        <f t="shared" si="74"/>
        <v/>
      </c>
      <c r="X285" s="512"/>
      <c r="Y285" s="185"/>
    </row>
    <row r="286" spans="1:25">
      <c r="A286" s="256"/>
      <c r="C286" s="166" t="s">
        <v>240</v>
      </c>
      <c r="D286" s="185">
        <v>214000</v>
      </c>
      <c r="E286" s="185"/>
      <c r="F286" s="185"/>
      <c r="G286" s="185"/>
      <c r="H286" s="185">
        <f t="shared" si="81"/>
        <v>214000</v>
      </c>
      <c r="I286" s="185"/>
      <c r="J286" s="185"/>
      <c r="K286" s="185">
        <f t="shared" si="76"/>
        <v>214000</v>
      </c>
      <c r="L286" s="185"/>
      <c r="M286" s="185"/>
      <c r="N286" s="185"/>
      <c r="O286" s="185"/>
      <c r="P286" s="185">
        <f t="shared" si="71"/>
        <v>0</v>
      </c>
      <c r="Q286" s="185"/>
      <c r="R286" s="185"/>
      <c r="S286" s="209">
        <f t="shared" ref="S286:S303" si="82">K286+P286+Q286+R286</f>
        <v>214000</v>
      </c>
      <c r="T286" s="185">
        <v>214000</v>
      </c>
      <c r="U286" s="185">
        <f t="shared" si="72"/>
        <v>0</v>
      </c>
      <c r="V286" s="185">
        <f t="shared" si="73"/>
        <v>0</v>
      </c>
      <c r="W286" s="512">
        <f t="shared" si="74"/>
        <v>0</v>
      </c>
      <c r="X286" s="512"/>
      <c r="Y286" s="185"/>
    </row>
    <row r="287" spans="1:25">
      <c r="A287" s="256"/>
      <c r="C287" s="166"/>
      <c r="D287" s="185"/>
      <c r="E287" s="185"/>
      <c r="F287" s="185"/>
      <c r="G287" s="185"/>
      <c r="H287" s="185">
        <f t="shared" si="81"/>
        <v>0</v>
      </c>
      <c r="I287" s="185"/>
      <c r="J287" s="185"/>
      <c r="K287" s="185">
        <f t="shared" si="76"/>
        <v>0</v>
      </c>
      <c r="L287" s="185"/>
      <c r="M287" s="185"/>
      <c r="N287" s="185"/>
      <c r="O287" s="185"/>
      <c r="P287" s="185">
        <f t="shared" si="71"/>
        <v>0</v>
      </c>
      <c r="Q287" s="185"/>
      <c r="R287" s="185"/>
      <c r="S287" s="209">
        <f t="shared" si="82"/>
        <v>0</v>
      </c>
      <c r="T287" s="185">
        <v>0</v>
      </c>
      <c r="U287" s="185">
        <f t="shared" si="72"/>
        <v>0</v>
      </c>
      <c r="V287" s="185">
        <f t="shared" si="73"/>
        <v>0</v>
      </c>
      <c r="W287" s="512" t="str">
        <f t="shared" si="74"/>
        <v/>
      </c>
      <c r="X287" s="512"/>
      <c r="Y287" s="185"/>
    </row>
    <row r="288" spans="1:25" ht="25.5">
      <c r="A288" s="256"/>
      <c r="C288" s="177" t="s">
        <v>241</v>
      </c>
      <c r="D288" s="190">
        <v>32080</v>
      </c>
      <c r="E288" s="190"/>
      <c r="F288" s="190"/>
      <c r="G288" s="190"/>
      <c r="H288" s="190">
        <f t="shared" si="81"/>
        <v>32080</v>
      </c>
      <c r="I288" s="190"/>
      <c r="J288" s="190"/>
      <c r="K288" s="190">
        <f t="shared" si="76"/>
        <v>32080</v>
      </c>
      <c r="L288" s="190"/>
      <c r="M288" s="190"/>
      <c r="N288" s="190"/>
      <c r="O288" s="190"/>
      <c r="P288" s="190">
        <f t="shared" si="71"/>
        <v>0</v>
      </c>
      <c r="Q288" s="190"/>
      <c r="R288" s="190"/>
      <c r="S288" s="209">
        <f t="shared" si="82"/>
        <v>32080</v>
      </c>
      <c r="T288" s="185">
        <v>32080</v>
      </c>
      <c r="U288" s="185">
        <f t="shared" si="72"/>
        <v>0</v>
      </c>
      <c r="V288" s="185">
        <f t="shared" si="73"/>
        <v>0</v>
      </c>
      <c r="W288" s="512">
        <f t="shared" si="74"/>
        <v>0</v>
      </c>
      <c r="X288" s="512"/>
      <c r="Y288" s="185"/>
    </row>
    <row r="289" spans="1:25">
      <c r="A289" s="256"/>
      <c r="C289" s="177"/>
      <c r="D289" s="190"/>
      <c r="E289" s="190"/>
      <c r="F289" s="190"/>
      <c r="G289" s="190"/>
      <c r="H289" s="190">
        <f t="shared" si="81"/>
        <v>0</v>
      </c>
      <c r="I289" s="190"/>
      <c r="J289" s="190"/>
      <c r="K289" s="190">
        <f t="shared" si="76"/>
        <v>0</v>
      </c>
      <c r="L289" s="190"/>
      <c r="M289" s="190"/>
      <c r="N289" s="190"/>
      <c r="O289" s="190"/>
      <c r="P289" s="190">
        <f t="shared" si="71"/>
        <v>0</v>
      </c>
      <c r="Q289" s="190"/>
      <c r="R289" s="190"/>
      <c r="S289" s="209">
        <f t="shared" si="82"/>
        <v>0</v>
      </c>
      <c r="T289" s="185">
        <v>0</v>
      </c>
      <c r="U289" s="185">
        <f t="shared" si="72"/>
        <v>0</v>
      </c>
      <c r="V289" s="185">
        <f t="shared" si="73"/>
        <v>0</v>
      </c>
      <c r="W289" s="512" t="str">
        <f t="shared" si="74"/>
        <v/>
      </c>
      <c r="X289" s="512"/>
      <c r="Y289" s="185"/>
    </row>
    <row r="290" spans="1:25">
      <c r="A290" s="256"/>
      <c r="C290" s="178" t="s">
        <v>242</v>
      </c>
      <c r="D290" s="190">
        <f>277000+6000</f>
        <v>283000</v>
      </c>
      <c r="E290" s="190"/>
      <c r="F290" s="190"/>
      <c r="G290" s="190"/>
      <c r="H290" s="190">
        <f t="shared" si="81"/>
        <v>283000</v>
      </c>
      <c r="I290" s="190"/>
      <c r="J290" s="190">
        <v>13500</v>
      </c>
      <c r="K290" s="190">
        <f t="shared" si="76"/>
        <v>269500</v>
      </c>
      <c r="L290" s="190"/>
      <c r="M290" s="190"/>
      <c r="N290" s="190"/>
      <c r="O290" s="190"/>
      <c r="P290" s="190">
        <f t="shared" si="71"/>
        <v>0</v>
      </c>
      <c r="Q290" s="190">
        <v>13500</v>
      </c>
      <c r="R290" s="190"/>
      <c r="S290" s="209">
        <f t="shared" si="82"/>
        <v>283000</v>
      </c>
      <c r="T290" s="185">
        <v>283000</v>
      </c>
      <c r="U290" s="185">
        <f t="shared" si="72"/>
        <v>0</v>
      </c>
      <c r="V290" s="185">
        <f t="shared" si="73"/>
        <v>0</v>
      </c>
      <c r="W290" s="512">
        <f t="shared" si="74"/>
        <v>0</v>
      </c>
      <c r="X290" s="512"/>
      <c r="Y290" s="185"/>
    </row>
    <row r="291" spans="1:25">
      <c r="A291" s="256"/>
      <c r="C291" s="143"/>
      <c r="D291" s="189"/>
      <c r="E291" s="189"/>
      <c r="F291" s="189"/>
      <c r="G291" s="189"/>
      <c r="H291" s="189">
        <f t="shared" si="81"/>
        <v>0</v>
      </c>
      <c r="I291" s="189"/>
      <c r="J291" s="189"/>
      <c r="K291" s="189">
        <f t="shared" si="76"/>
        <v>0</v>
      </c>
      <c r="L291" s="189"/>
      <c r="M291" s="189"/>
      <c r="N291" s="189"/>
      <c r="O291" s="189"/>
      <c r="P291" s="189">
        <f t="shared" si="71"/>
        <v>0</v>
      </c>
      <c r="Q291" s="189"/>
      <c r="R291" s="189"/>
      <c r="S291" s="209">
        <f t="shared" si="82"/>
        <v>0</v>
      </c>
      <c r="T291" s="185">
        <v>0</v>
      </c>
      <c r="U291" s="185">
        <f t="shared" si="72"/>
        <v>0</v>
      </c>
      <c r="V291" s="185">
        <f t="shared" si="73"/>
        <v>0</v>
      </c>
      <c r="W291" s="512" t="str">
        <f t="shared" si="74"/>
        <v/>
      </c>
      <c r="X291" s="512"/>
      <c r="Y291" s="185"/>
    </row>
    <row r="292" spans="1:25">
      <c r="A292" s="256"/>
      <c r="C292" s="166" t="s">
        <v>243</v>
      </c>
      <c r="D292" s="185">
        <v>6230</v>
      </c>
      <c r="E292" s="185"/>
      <c r="F292" s="185"/>
      <c r="G292" s="185"/>
      <c r="H292" s="185">
        <f t="shared" si="81"/>
        <v>6230</v>
      </c>
      <c r="I292" s="185"/>
      <c r="J292" s="185"/>
      <c r="K292" s="185">
        <f t="shared" si="76"/>
        <v>6230</v>
      </c>
      <c r="L292" s="185"/>
      <c r="M292" s="185"/>
      <c r="N292" s="185"/>
      <c r="O292" s="185"/>
      <c r="P292" s="185">
        <f t="shared" si="71"/>
        <v>0</v>
      </c>
      <c r="Q292" s="185"/>
      <c r="R292" s="185"/>
      <c r="S292" s="209">
        <f t="shared" si="82"/>
        <v>6230</v>
      </c>
      <c r="T292" s="185">
        <v>6230</v>
      </c>
      <c r="U292" s="185">
        <f t="shared" si="72"/>
        <v>0</v>
      </c>
      <c r="V292" s="185">
        <f t="shared" si="73"/>
        <v>0</v>
      </c>
      <c r="W292" s="512">
        <f t="shared" si="74"/>
        <v>0</v>
      </c>
      <c r="X292" s="512"/>
      <c r="Y292" s="185"/>
    </row>
    <row r="293" spans="1:25">
      <c r="A293" s="256"/>
      <c r="C293" s="166"/>
      <c r="D293" s="185"/>
      <c r="E293" s="185"/>
      <c r="F293" s="185"/>
      <c r="G293" s="185"/>
      <c r="H293" s="185">
        <f t="shared" si="81"/>
        <v>0</v>
      </c>
      <c r="I293" s="185"/>
      <c r="J293" s="185"/>
      <c r="K293" s="185">
        <f t="shared" si="76"/>
        <v>0</v>
      </c>
      <c r="L293" s="185"/>
      <c r="M293" s="185"/>
      <c r="N293" s="185"/>
      <c r="O293" s="185"/>
      <c r="P293" s="185">
        <f t="shared" si="71"/>
        <v>0</v>
      </c>
      <c r="Q293" s="185"/>
      <c r="R293" s="185"/>
      <c r="S293" s="209">
        <f t="shared" si="82"/>
        <v>0</v>
      </c>
      <c r="T293" s="185">
        <v>0</v>
      </c>
      <c r="U293" s="185">
        <f t="shared" si="72"/>
        <v>0</v>
      </c>
      <c r="V293" s="185">
        <f t="shared" si="73"/>
        <v>0</v>
      </c>
      <c r="W293" s="512" t="str">
        <f t="shared" si="74"/>
        <v/>
      </c>
      <c r="X293" s="512"/>
      <c r="Y293" s="185"/>
    </row>
    <row r="294" spans="1:25">
      <c r="A294" s="256"/>
      <c r="C294" s="166" t="s">
        <v>244</v>
      </c>
      <c r="D294" s="185">
        <v>39000</v>
      </c>
      <c r="E294" s="185"/>
      <c r="F294" s="185"/>
      <c r="G294" s="185"/>
      <c r="H294" s="185">
        <f t="shared" si="81"/>
        <v>39000</v>
      </c>
      <c r="I294" s="185"/>
      <c r="J294" s="185"/>
      <c r="K294" s="185">
        <f t="shared" si="76"/>
        <v>39000</v>
      </c>
      <c r="L294" s="185">
        <v>-39000</v>
      </c>
      <c r="M294" s="185"/>
      <c r="N294" s="185"/>
      <c r="O294" s="185"/>
      <c r="P294" s="185">
        <f t="shared" si="71"/>
        <v>-39000</v>
      </c>
      <c r="Q294" s="185"/>
      <c r="R294" s="185"/>
      <c r="S294" s="209">
        <f t="shared" si="82"/>
        <v>0</v>
      </c>
      <c r="T294" s="185">
        <v>0</v>
      </c>
      <c r="U294" s="185">
        <f t="shared" si="72"/>
        <v>0</v>
      </c>
      <c r="V294" s="185">
        <f t="shared" si="73"/>
        <v>-39000</v>
      </c>
      <c r="W294" s="512">
        <f t="shared" si="74"/>
        <v>-1</v>
      </c>
      <c r="X294" s="512"/>
      <c r="Y294" s="185"/>
    </row>
    <row r="295" spans="1:25">
      <c r="A295" s="256"/>
      <c r="C295" s="166"/>
      <c r="D295" s="185"/>
      <c r="E295" s="185"/>
      <c r="F295" s="185"/>
      <c r="G295" s="185"/>
      <c r="H295" s="185">
        <f t="shared" si="81"/>
        <v>0</v>
      </c>
      <c r="I295" s="185"/>
      <c r="J295" s="185"/>
      <c r="K295" s="185">
        <f t="shared" si="76"/>
        <v>0</v>
      </c>
      <c r="L295" s="185"/>
      <c r="M295" s="185"/>
      <c r="N295" s="185"/>
      <c r="O295" s="185"/>
      <c r="P295" s="185">
        <f t="shared" si="71"/>
        <v>0</v>
      </c>
      <c r="Q295" s="185"/>
      <c r="R295" s="185"/>
      <c r="S295" s="209">
        <f t="shared" si="82"/>
        <v>0</v>
      </c>
      <c r="T295" s="185">
        <v>0</v>
      </c>
      <c r="U295" s="185">
        <f t="shared" si="72"/>
        <v>0</v>
      </c>
      <c r="V295" s="185">
        <f t="shared" si="73"/>
        <v>0</v>
      </c>
      <c r="W295" s="512" t="str">
        <f t="shared" si="74"/>
        <v/>
      </c>
      <c r="X295" s="512"/>
      <c r="Y295" s="185"/>
    </row>
    <row r="296" spans="1:25">
      <c r="A296" s="256"/>
      <c r="C296" s="166" t="s">
        <v>245</v>
      </c>
      <c r="D296" s="185">
        <v>25170</v>
      </c>
      <c r="E296" s="185"/>
      <c r="F296" s="185"/>
      <c r="G296" s="185"/>
      <c r="H296" s="185">
        <f t="shared" si="81"/>
        <v>25170</v>
      </c>
      <c r="I296" s="185"/>
      <c r="J296" s="185"/>
      <c r="K296" s="185">
        <f t="shared" si="76"/>
        <v>25170</v>
      </c>
      <c r="L296" s="185"/>
      <c r="M296" s="185"/>
      <c r="N296" s="185"/>
      <c r="O296" s="185"/>
      <c r="P296" s="185">
        <f t="shared" si="71"/>
        <v>0</v>
      </c>
      <c r="Q296" s="185"/>
      <c r="R296" s="185"/>
      <c r="S296" s="209">
        <f t="shared" si="82"/>
        <v>25170</v>
      </c>
      <c r="T296" s="185">
        <v>25170</v>
      </c>
      <c r="U296" s="185">
        <f t="shared" si="72"/>
        <v>0</v>
      </c>
      <c r="V296" s="185">
        <f t="shared" si="73"/>
        <v>0</v>
      </c>
      <c r="W296" s="512">
        <f t="shared" si="74"/>
        <v>0</v>
      </c>
      <c r="X296" s="512"/>
      <c r="Y296" s="185"/>
    </row>
    <row r="297" spans="1:25" ht="13.5" customHeight="1">
      <c r="A297" s="256"/>
      <c r="C297" s="166"/>
      <c r="D297" s="185"/>
      <c r="E297" s="185"/>
      <c r="F297" s="185"/>
      <c r="G297" s="185"/>
      <c r="H297" s="185">
        <f t="shared" si="81"/>
        <v>0</v>
      </c>
      <c r="I297" s="185"/>
      <c r="J297" s="185"/>
      <c r="K297" s="185">
        <f t="shared" si="76"/>
        <v>0</v>
      </c>
      <c r="L297" s="185"/>
      <c r="M297" s="185"/>
      <c r="N297" s="185"/>
      <c r="O297" s="185"/>
      <c r="P297" s="185">
        <f t="shared" si="71"/>
        <v>0</v>
      </c>
      <c r="Q297" s="185"/>
      <c r="R297" s="185"/>
      <c r="S297" s="209">
        <f t="shared" si="82"/>
        <v>0</v>
      </c>
      <c r="T297" s="185">
        <v>0</v>
      </c>
      <c r="U297" s="185">
        <f t="shared" si="72"/>
        <v>0</v>
      </c>
      <c r="V297" s="185">
        <f t="shared" si="73"/>
        <v>0</v>
      </c>
      <c r="W297" s="512" t="str">
        <f t="shared" si="74"/>
        <v/>
      </c>
      <c r="X297" s="512"/>
      <c r="Y297" s="185"/>
    </row>
    <row r="298" spans="1:25">
      <c r="A298" s="256"/>
      <c r="C298" s="166" t="s">
        <v>246</v>
      </c>
      <c r="D298" s="185">
        <v>15170</v>
      </c>
      <c r="E298" s="185"/>
      <c r="F298" s="185"/>
      <c r="G298" s="185"/>
      <c r="H298" s="185">
        <f t="shared" si="81"/>
        <v>15170</v>
      </c>
      <c r="I298" s="185"/>
      <c r="J298" s="185"/>
      <c r="K298" s="185">
        <f t="shared" si="76"/>
        <v>15170</v>
      </c>
      <c r="L298" s="185"/>
      <c r="M298" s="185"/>
      <c r="N298" s="185"/>
      <c r="O298" s="185"/>
      <c r="P298" s="185">
        <f t="shared" si="71"/>
        <v>0</v>
      </c>
      <c r="Q298" s="185"/>
      <c r="R298" s="185"/>
      <c r="S298" s="209">
        <f t="shared" si="82"/>
        <v>15170</v>
      </c>
      <c r="T298" s="185">
        <v>15170</v>
      </c>
      <c r="U298" s="185">
        <f t="shared" si="72"/>
        <v>0</v>
      </c>
      <c r="V298" s="185">
        <f t="shared" si="73"/>
        <v>0</v>
      </c>
      <c r="W298" s="512">
        <f t="shared" si="74"/>
        <v>0</v>
      </c>
      <c r="X298" s="512"/>
      <c r="Y298" s="185"/>
    </row>
    <row r="299" spans="1:25">
      <c r="A299" s="256"/>
      <c r="C299" s="166"/>
      <c r="D299" s="185"/>
      <c r="E299" s="185"/>
      <c r="F299" s="185"/>
      <c r="G299" s="185"/>
      <c r="H299" s="185">
        <f t="shared" si="81"/>
        <v>0</v>
      </c>
      <c r="I299" s="185"/>
      <c r="J299" s="185"/>
      <c r="K299" s="185">
        <f t="shared" si="76"/>
        <v>0</v>
      </c>
      <c r="L299" s="185"/>
      <c r="M299" s="185"/>
      <c r="N299" s="185"/>
      <c r="O299" s="185"/>
      <c r="P299" s="185">
        <f t="shared" si="71"/>
        <v>0</v>
      </c>
      <c r="Q299" s="185"/>
      <c r="R299" s="185"/>
      <c r="S299" s="209">
        <f t="shared" si="82"/>
        <v>0</v>
      </c>
      <c r="T299" s="185">
        <v>0</v>
      </c>
      <c r="U299" s="185">
        <f t="shared" si="72"/>
        <v>0</v>
      </c>
      <c r="V299" s="185">
        <f t="shared" si="73"/>
        <v>0</v>
      </c>
      <c r="W299" s="512" t="str">
        <f t="shared" si="74"/>
        <v/>
      </c>
      <c r="X299" s="512"/>
      <c r="Y299" s="185"/>
    </row>
    <row r="300" spans="1:25">
      <c r="A300" s="256"/>
      <c r="C300" s="166" t="s">
        <v>337</v>
      </c>
      <c r="D300" s="185">
        <v>100000</v>
      </c>
      <c r="E300" s="185"/>
      <c r="F300" s="185"/>
      <c r="G300" s="185"/>
      <c r="H300" s="185">
        <f t="shared" si="81"/>
        <v>100000</v>
      </c>
      <c r="I300" s="185"/>
      <c r="J300" s="185"/>
      <c r="K300" s="185">
        <f t="shared" si="76"/>
        <v>100000</v>
      </c>
      <c r="L300" s="185"/>
      <c r="M300" s="185"/>
      <c r="N300" s="185"/>
      <c r="O300" s="185"/>
      <c r="P300" s="185">
        <f t="shared" si="71"/>
        <v>0</v>
      </c>
      <c r="Q300" s="185"/>
      <c r="R300" s="185"/>
      <c r="S300" s="209">
        <f t="shared" si="82"/>
        <v>100000</v>
      </c>
      <c r="T300" s="185">
        <v>100000</v>
      </c>
      <c r="U300" s="185">
        <f t="shared" si="72"/>
        <v>0</v>
      </c>
      <c r="V300" s="185">
        <f t="shared" si="73"/>
        <v>0</v>
      </c>
      <c r="W300" s="512">
        <f t="shared" si="74"/>
        <v>0</v>
      </c>
      <c r="X300" s="512"/>
      <c r="Y300" s="185"/>
    </row>
    <row r="301" spans="1:25">
      <c r="A301" s="256"/>
      <c r="C301" s="129" t="s">
        <v>107</v>
      </c>
      <c r="D301" s="186">
        <v>28800</v>
      </c>
      <c r="E301" s="186"/>
      <c r="F301" s="186"/>
      <c r="G301" s="186"/>
      <c r="H301" s="186">
        <f t="shared" si="81"/>
        <v>28800</v>
      </c>
      <c r="I301" s="186"/>
      <c r="J301" s="186"/>
      <c r="K301" s="186">
        <f t="shared" si="76"/>
        <v>28800</v>
      </c>
      <c r="L301" s="186"/>
      <c r="M301" s="186"/>
      <c r="N301" s="186"/>
      <c r="O301" s="186"/>
      <c r="P301" s="186">
        <f t="shared" si="71"/>
        <v>0</v>
      </c>
      <c r="Q301" s="186"/>
      <c r="R301" s="186"/>
      <c r="S301" s="187">
        <f t="shared" si="82"/>
        <v>28800</v>
      </c>
      <c r="T301" s="186">
        <v>28800</v>
      </c>
      <c r="U301" s="186">
        <f t="shared" si="72"/>
        <v>0</v>
      </c>
      <c r="V301" s="186">
        <f t="shared" si="73"/>
        <v>0</v>
      </c>
      <c r="W301" s="513">
        <f t="shared" si="74"/>
        <v>0</v>
      </c>
      <c r="X301" s="513"/>
      <c r="Y301" s="186"/>
    </row>
    <row r="302" spans="1:25">
      <c r="A302" s="256"/>
      <c r="C302" s="252"/>
      <c r="D302" s="253"/>
      <c r="E302" s="253"/>
      <c r="F302" s="253"/>
      <c r="G302" s="253"/>
      <c r="H302" s="253">
        <f t="shared" si="81"/>
        <v>0</v>
      </c>
      <c r="I302" s="253"/>
      <c r="J302" s="253"/>
      <c r="K302" s="253">
        <f t="shared" ref="K302:K303" si="83">H302-SUM(I302:J302)</f>
        <v>0</v>
      </c>
      <c r="L302" s="253"/>
      <c r="M302" s="253"/>
      <c r="N302" s="253"/>
      <c r="O302" s="253"/>
      <c r="P302" s="253">
        <f t="shared" si="71"/>
        <v>0</v>
      </c>
      <c r="Q302" s="253"/>
      <c r="R302" s="253"/>
      <c r="S302" s="209">
        <f t="shared" si="82"/>
        <v>0</v>
      </c>
      <c r="T302" s="185">
        <v>0</v>
      </c>
      <c r="U302" s="185">
        <f t="shared" si="72"/>
        <v>0</v>
      </c>
      <c r="V302" s="185">
        <f t="shared" si="73"/>
        <v>0</v>
      </c>
      <c r="W302" s="512" t="str">
        <f t="shared" si="74"/>
        <v/>
      </c>
      <c r="X302" s="512"/>
      <c r="Y302" s="185"/>
    </row>
    <row r="303" spans="1:25">
      <c r="A303" s="256"/>
      <c r="C303" s="115"/>
      <c r="D303" s="209"/>
      <c r="E303" s="209"/>
      <c r="F303" s="209"/>
      <c r="G303" s="209"/>
      <c r="H303" s="209">
        <f t="shared" si="81"/>
        <v>0</v>
      </c>
      <c r="I303" s="209"/>
      <c r="J303" s="209"/>
      <c r="K303" s="209">
        <f t="shared" si="83"/>
        <v>0</v>
      </c>
      <c r="L303" s="209"/>
      <c r="M303" s="209"/>
      <c r="N303" s="209"/>
      <c r="O303" s="209"/>
      <c r="P303" s="209">
        <f t="shared" si="71"/>
        <v>0</v>
      </c>
      <c r="Q303" s="209"/>
      <c r="R303" s="209"/>
      <c r="S303" s="209">
        <f t="shared" si="82"/>
        <v>0</v>
      </c>
      <c r="T303" s="185">
        <v>0</v>
      </c>
      <c r="U303" s="185">
        <f t="shared" si="72"/>
        <v>0</v>
      </c>
      <c r="V303" s="185">
        <f t="shared" si="73"/>
        <v>0</v>
      </c>
      <c r="W303" s="512" t="str">
        <f t="shared" si="74"/>
        <v/>
      </c>
      <c r="X303" s="512"/>
      <c r="Y303" s="185"/>
    </row>
  </sheetData>
  <autoFilter ref="C4:S303"/>
  <mergeCells count="4">
    <mergeCell ref="D3:K3"/>
    <mergeCell ref="Y3:Z3"/>
    <mergeCell ref="L3:U3"/>
    <mergeCell ref="V3:X3"/>
  </mergeCells>
  <phoneticPr fontId="26" type="noConversion"/>
  <pageMargins left="1.1811023622047245" right="0.27559055118110237" top="0.47244094488188981" bottom="0.98425196850393704" header="0.51181102362204722" footer="0.51181102362204722"/>
  <pageSetup paperSize="9" scale="75" fitToHeight="70" orientation="landscape" r:id="rId1"/>
  <headerFooter alignWithMargins="0">
    <oddFooter>&amp;C&amp;P/&amp;N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tabColor theme="6" tint="0.59999389629810485"/>
    <pageSetUpPr fitToPage="1"/>
  </sheetPr>
  <dimension ref="A1:XET15"/>
  <sheetViews>
    <sheetView zoomScaleNormal="100" workbookViewId="0">
      <pane ySplit="3" topLeftCell="A4" activePane="bottomLeft" state="frozen"/>
      <selection activeCell="J31" sqref="J31"/>
      <selection pane="bottomLeft" activeCell="B1" sqref="B1"/>
    </sheetView>
  </sheetViews>
  <sheetFormatPr defaultColWidth="9.140625" defaultRowHeight="12.75"/>
  <cols>
    <col min="1" max="1" width="3.7109375" style="529" customWidth="1"/>
    <col min="2" max="2" width="18.42578125" style="354" customWidth="1"/>
    <col min="3" max="3" width="16.7109375" style="524" bestFit="1" customWidth="1"/>
    <col min="4" max="4" width="21.42578125" style="531" customWidth="1"/>
    <col min="5" max="5" width="23.5703125" style="354" customWidth="1"/>
    <col min="6" max="6" width="13.42578125" style="354" customWidth="1"/>
    <col min="7" max="7" width="44.85546875" style="354" customWidth="1"/>
    <col min="8" max="16384" width="9.140625" style="354"/>
  </cols>
  <sheetData>
    <row r="1" spans="1:16374" ht="15">
      <c r="A1" s="527" t="s">
        <v>658</v>
      </c>
      <c r="B1" s="352"/>
      <c r="C1" s="532"/>
      <c r="D1" s="530"/>
      <c r="E1" s="353"/>
      <c r="F1" s="353"/>
      <c r="G1" s="525" t="s">
        <v>656</v>
      </c>
    </row>
    <row r="2" spans="1:16374" ht="15.75">
      <c r="A2" s="864"/>
      <c r="B2" s="352"/>
      <c r="C2" s="532"/>
      <c r="D2" s="530"/>
      <c r="E2" s="353"/>
      <c r="F2" s="353"/>
      <c r="G2" s="272"/>
    </row>
    <row r="3" spans="1:16374" ht="30">
      <c r="A3" s="876" t="s">
        <v>387</v>
      </c>
      <c r="B3" s="877" t="s">
        <v>495</v>
      </c>
      <c r="C3" s="878" t="s">
        <v>388</v>
      </c>
      <c r="D3" s="878" t="s">
        <v>247</v>
      </c>
      <c r="E3" s="876" t="s">
        <v>496</v>
      </c>
      <c r="F3" s="879" t="s">
        <v>909</v>
      </c>
      <c r="G3" s="876" t="s">
        <v>497</v>
      </c>
    </row>
    <row r="4" spans="1:16374">
      <c r="A4" s="853"/>
      <c r="B4" s="854" t="s">
        <v>46</v>
      </c>
      <c r="C4" s="865"/>
      <c r="D4" s="865"/>
      <c r="E4" s="854"/>
      <c r="F4" s="855"/>
      <c r="G4" s="855"/>
    </row>
    <row r="5" spans="1:16374" s="523" customFormat="1" ht="15">
      <c r="A5" s="867"/>
      <c r="B5" s="868" t="s">
        <v>214</v>
      </c>
      <c r="C5" s="868"/>
      <c r="D5" s="869"/>
      <c r="E5" s="870"/>
      <c r="F5" s="870">
        <v>308060</v>
      </c>
      <c r="G5" s="870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4"/>
      <c r="AR5" s="354"/>
      <c r="AS5" s="354"/>
      <c r="AT5" s="354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4"/>
      <c r="BM5" s="354"/>
      <c r="BN5" s="354"/>
      <c r="BO5" s="354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4"/>
      <c r="CH5" s="354"/>
      <c r="CI5" s="354"/>
      <c r="CJ5" s="354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4"/>
      <c r="DC5" s="354"/>
      <c r="DD5" s="354"/>
      <c r="DE5" s="354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4"/>
      <c r="DX5" s="354"/>
      <c r="DY5" s="354"/>
      <c r="DZ5" s="354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4"/>
      <c r="ES5" s="354"/>
      <c r="ET5" s="354"/>
      <c r="EU5" s="354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4"/>
      <c r="FN5" s="354"/>
      <c r="FO5" s="354"/>
      <c r="FP5" s="354"/>
      <c r="FQ5" s="354"/>
      <c r="FR5" s="354"/>
      <c r="FS5" s="354"/>
      <c r="FT5" s="354"/>
      <c r="FU5" s="354"/>
      <c r="FV5" s="354"/>
      <c r="FW5" s="354"/>
      <c r="FX5" s="354"/>
      <c r="FY5" s="354"/>
      <c r="FZ5" s="354"/>
      <c r="GA5" s="354"/>
      <c r="GB5" s="354"/>
      <c r="GC5" s="354"/>
      <c r="GD5" s="354"/>
      <c r="GE5" s="354"/>
      <c r="GF5" s="354"/>
      <c r="GG5" s="354"/>
      <c r="GH5" s="354"/>
      <c r="GI5" s="354"/>
      <c r="GJ5" s="354"/>
      <c r="GK5" s="354"/>
      <c r="GL5" s="354"/>
      <c r="GM5" s="354"/>
      <c r="GN5" s="354"/>
      <c r="GO5" s="354"/>
      <c r="GP5" s="354"/>
      <c r="GQ5" s="354"/>
      <c r="GR5" s="354"/>
      <c r="GS5" s="354"/>
      <c r="GT5" s="354"/>
      <c r="GU5" s="354"/>
      <c r="GV5" s="354"/>
      <c r="GW5" s="354"/>
      <c r="GX5" s="354"/>
      <c r="GY5" s="354"/>
      <c r="GZ5" s="354"/>
      <c r="HA5" s="354"/>
      <c r="HB5" s="354"/>
      <c r="HC5" s="354"/>
      <c r="HD5" s="354"/>
      <c r="HE5" s="354"/>
      <c r="HF5" s="354"/>
      <c r="HG5" s="354"/>
      <c r="HH5" s="354"/>
      <c r="HI5" s="354"/>
      <c r="HJ5" s="354"/>
      <c r="HK5" s="354"/>
      <c r="HL5" s="354"/>
      <c r="HM5" s="354"/>
      <c r="HN5" s="354"/>
      <c r="HO5" s="354"/>
      <c r="HP5" s="354"/>
      <c r="HQ5" s="354"/>
      <c r="HR5" s="354"/>
      <c r="HS5" s="354"/>
      <c r="HT5" s="354"/>
      <c r="HU5" s="354"/>
      <c r="HV5" s="354"/>
      <c r="HW5" s="354"/>
      <c r="HX5" s="354"/>
      <c r="HY5" s="354"/>
      <c r="HZ5" s="354"/>
      <c r="IA5" s="354"/>
      <c r="IB5" s="354"/>
      <c r="IC5" s="354"/>
      <c r="ID5" s="354"/>
      <c r="IE5" s="354"/>
      <c r="IF5" s="354"/>
      <c r="IG5" s="354"/>
      <c r="IH5" s="354"/>
      <c r="II5" s="354"/>
      <c r="IJ5" s="354"/>
      <c r="IK5" s="354"/>
      <c r="IL5" s="354"/>
      <c r="IM5" s="354"/>
      <c r="IN5" s="354"/>
      <c r="IO5" s="354"/>
      <c r="IP5" s="354"/>
      <c r="IQ5" s="354"/>
      <c r="IR5" s="354"/>
      <c r="IS5" s="354"/>
      <c r="IT5" s="354"/>
      <c r="IU5" s="354"/>
      <c r="IV5" s="354"/>
      <c r="IW5" s="354"/>
      <c r="IX5" s="354"/>
      <c r="IY5" s="354"/>
      <c r="IZ5" s="354"/>
      <c r="JA5" s="354"/>
      <c r="JB5" s="354"/>
      <c r="JC5" s="354"/>
      <c r="JD5" s="354"/>
      <c r="JE5" s="354"/>
      <c r="JF5" s="354"/>
      <c r="JG5" s="354"/>
      <c r="JH5" s="354"/>
      <c r="JI5" s="354"/>
      <c r="JJ5" s="354"/>
      <c r="JK5" s="354"/>
      <c r="JL5" s="354"/>
      <c r="JM5" s="354"/>
      <c r="JN5" s="354"/>
      <c r="JO5" s="354"/>
      <c r="JP5" s="354"/>
      <c r="JQ5" s="354"/>
      <c r="JR5" s="354"/>
      <c r="JS5" s="354"/>
      <c r="JT5" s="354"/>
      <c r="JU5" s="354"/>
      <c r="JV5" s="354"/>
      <c r="JW5" s="354"/>
      <c r="JX5" s="354"/>
      <c r="JY5" s="354"/>
      <c r="JZ5" s="354"/>
      <c r="KA5" s="354"/>
      <c r="KB5" s="354"/>
      <c r="KC5" s="354"/>
      <c r="KD5" s="354"/>
      <c r="KE5" s="354"/>
      <c r="KF5" s="354"/>
      <c r="KG5" s="354"/>
      <c r="KH5" s="354"/>
      <c r="KI5" s="354"/>
      <c r="KJ5" s="354"/>
      <c r="KK5" s="354"/>
      <c r="KL5" s="354"/>
      <c r="KM5" s="354"/>
      <c r="KN5" s="354"/>
      <c r="KO5" s="354"/>
      <c r="KP5" s="354"/>
      <c r="KQ5" s="354"/>
      <c r="KR5" s="354"/>
      <c r="KS5" s="354"/>
      <c r="KT5" s="354"/>
      <c r="KU5" s="354"/>
      <c r="KV5" s="354"/>
      <c r="KW5" s="354"/>
      <c r="KX5" s="354"/>
      <c r="KY5" s="354"/>
      <c r="KZ5" s="354"/>
      <c r="LA5" s="354"/>
      <c r="LB5" s="354"/>
      <c r="LC5" s="354"/>
      <c r="LD5" s="354"/>
      <c r="LE5" s="354"/>
      <c r="LF5" s="354"/>
      <c r="LG5" s="354"/>
      <c r="LH5" s="354"/>
      <c r="LI5" s="354"/>
      <c r="LJ5" s="354"/>
      <c r="LK5" s="354"/>
      <c r="LL5" s="354"/>
      <c r="LM5" s="354"/>
      <c r="LN5" s="354"/>
      <c r="LO5" s="354"/>
      <c r="LP5" s="354"/>
      <c r="LQ5" s="354"/>
      <c r="LR5" s="354"/>
      <c r="LS5" s="354"/>
      <c r="LT5" s="354"/>
      <c r="LU5" s="354"/>
      <c r="LV5" s="354"/>
      <c r="LW5" s="354"/>
      <c r="LX5" s="354"/>
      <c r="LY5" s="354"/>
      <c r="LZ5" s="354"/>
      <c r="MA5" s="354"/>
      <c r="MB5" s="354"/>
      <c r="MC5" s="354"/>
      <c r="MD5" s="354"/>
      <c r="ME5" s="354"/>
      <c r="MF5" s="354"/>
      <c r="MG5" s="354"/>
      <c r="MH5" s="354"/>
      <c r="MI5" s="354"/>
      <c r="MJ5" s="354"/>
      <c r="MK5" s="354"/>
      <c r="ML5" s="354"/>
      <c r="MM5" s="354"/>
      <c r="MN5" s="354"/>
      <c r="MO5" s="354"/>
      <c r="MP5" s="354"/>
      <c r="MQ5" s="354"/>
      <c r="MR5" s="354"/>
      <c r="MS5" s="354"/>
      <c r="MT5" s="354"/>
      <c r="MU5" s="354"/>
      <c r="MV5" s="354"/>
      <c r="MW5" s="354"/>
      <c r="MX5" s="354"/>
      <c r="MY5" s="354"/>
      <c r="MZ5" s="354"/>
      <c r="NA5" s="354"/>
      <c r="NB5" s="354"/>
      <c r="NC5" s="354"/>
      <c r="ND5" s="354"/>
      <c r="NE5" s="354"/>
      <c r="NF5" s="354"/>
      <c r="NG5" s="354"/>
      <c r="NH5" s="354"/>
      <c r="NI5" s="354"/>
      <c r="NJ5" s="354"/>
      <c r="NK5" s="354"/>
      <c r="NL5" s="354"/>
      <c r="NM5" s="354"/>
      <c r="NN5" s="354"/>
      <c r="NO5" s="354"/>
      <c r="NP5" s="354"/>
      <c r="NQ5" s="354"/>
      <c r="NR5" s="354"/>
      <c r="NS5" s="354"/>
      <c r="NT5" s="354"/>
      <c r="NU5" s="354"/>
      <c r="NV5" s="354"/>
      <c r="NW5" s="354"/>
      <c r="NX5" s="354"/>
      <c r="NY5" s="354"/>
      <c r="NZ5" s="354"/>
      <c r="OA5" s="354"/>
      <c r="OB5" s="354"/>
      <c r="OC5" s="354"/>
      <c r="OD5" s="354"/>
      <c r="OE5" s="354"/>
      <c r="OF5" s="354"/>
      <c r="OG5" s="354"/>
      <c r="OH5" s="354"/>
      <c r="OI5" s="354"/>
      <c r="OJ5" s="354"/>
      <c r="OK5" s="354"/>
      <c r="OL5" s="354"/>
      <c r="OM5" s="354"/>
      <c r="ON5" s="354"/>
      <c r="OO5" s="354"/>
      <c r="OP5" s="354"/>
      <c r="OQ5" s="354"/>
      <c r="OR5" s="354"/>
      <c r="OS5" s="354"/>
      <c r="OT5" s="354"/>
      <c r="OU5" s="354"/>
      <c r="OV5" s="354"/>
      <c r="OW5" s="354"/>
      <c r="OX5" s="354"/>
      <c r="OY5" s="354"/>
      <c r="OZ5" s="354"/>
      <c r="PA5" s="354"/>
      <c r="PB5" s="354"/>
      <c r="PC5" s="354"/>
      <c r="PD5" s="354"/>
      <c r="PE5" s="354"/>
      <c r="PF5" s="354"/>
      <c r="PG5" s="354"/>
      <c r="PH5" s="354"/>
      <c r="PI5" s="354"/>
      <c r="PJ5" s="354"/>
      <c r="PK5" s="354"/>
      <c r="PL5" s="354"/>
      <c r="PM5" s="354"/>
      <c r="PN5" s="354"/>
      <c r="PO5" s="354"/>
      <c r="PP5" s="354"/>
      <c r="PQ5" s="354"/>
      <c r="PR5" s="354"/>
      <c r="PS5" s="354"/>
      <c r="PT5" s="354"/>
      <c r="PU5" s="354"/>
      <c r="PV5" s="354"/>
      <c r="PW5" s="354"/>
      <c r="PX5" s="354"/>
      <c r="PY5" s="354"/>
      <c r="PZ5" s="354"/>
      <c r="QA5" s="354"/>
      <c r="QB5" s="354"/>
      <c r="QC5" s="354"/>
      <c r="QD5" s="354"/>
      <c r="QE5" s="354"/>
      <c r="QF5" s="354"/>
      <c r="QG5" s="354"/>
      <c r="QH5" s="354"/>
      <c r="QI5" s="354"/>
      <c r="QJ5" s="354"/>
      <c r="QK5" s="354"/>
      <c r="QL5" s="354"/>
      <c r="QM5" s="354"/>
      <c r="QN5" s="354"/>
      <c r="QO5" s="354"/>
      <c r="QP5" s="354"/>
      <c r="QQ5" s="354"/>
      <c r="QR5" s="354"/>
      <c r="QS5" s="354"/>
      <c r="QT5" s="354"/>
      <c r="QU5" s="354"/>
      <c r="QV5" s="354"/>
      <c r="QW5" s="354"/>
      <c r="QX5" s="354"/>
      <c r="QY5" s="354"/>
      <c r="QZ5" s="354"/>
      <c r="RA5" s="354"/>
      <c r="RB5" s="354"/>
      <c r="RC5" s="354"/>
      <c r="RD5" s="354"/>
      <c r="RE5" s="354"/>
      <c r="RF5" s="354"/>
      <c r="RG5" s="354"/>
      <c r="RH5" s="354"/>
      <c r="RI5" s="354"/>
      <c r="RJ5" s="354"/>
      <c r="RK5" s="354"/>
      <c r="RL5" s="354"/>
      <c r="RM5" s="354"/>
      <c r="RN5" s="354"/>
      <c r="RO5" s="354"/>
      <c r="RP5" s="354"/>
      <c r="RQ5" s="354"/>
      <c r="RR5" s="354"/>
      <c r="RS5" s="354"/>
      <c r="RT5" s="354"/>
      <c r="RU5" s="354"/>
      <c r="RV5" s="354"/>
      <c r="RW5" s="354"/>
      <c r="RX5" s="354"/>
      <c r="RY5" s="354"/>
      <c r="RZ5" s="354"/>
      <c r="SA5" s="354"/>
      <c r="SB5" s="354"/>
      <c r="SC5" s="354"/>
      <c r="SD5" s="354"/>
      <c r="SE5" s="354"/>
      <c r="SF5" s="354"/>
      <c r="SG5" s="354"/>
      <c r="SH5" s="354"/>
      <c r="SI5" s="354"/>
      <c r="SJ5" s="354"/>
      <c r="SK5" s="354"/>
      <c r="SL5" s="354"/>
      <c r="SM5" s="354"/>
      <c r="SN5" s="354"/>
      <c r="SO5" s="354"/>
      <c r="SP5" s="354"/>
      <c r="SQ5" s="354"/>
      <c r="SR5" s="354"/>
      <c r="SS5" s="354"/>
      <c r="ST5" s="354"/>
      <c r="SU5" s="354"/>
      <c r="SV5" s="354"/>
      <c r="SW5" s="354"/>
      <c r="SX5" s="354"/>
      <c r="SY5" s="354"/>
      <c r="SZ5" s="354"/>
      <c r="TA5" s="354"/>
      <c r="TB5" s="354"/>
      <c r="TC5" s="354"/>
      <c r="TD5" s="354"/>
      <c r="TE5" s="354"/>
      <c r="TF5" s="354"/>
      <c r="TG5" s="354"/>
      <c r="TH5" s="354"/>
      <c r="TI5" s="354"/>
      <c r="TJ5" s="354"/>
      <c r="TK5" s="354"/>
      <c r="TL5" s="354"/>
      <c r="TM5" s="354"/>
      <c r="TN5" s="354"/>
      <c r="TO5" s="354"/>
      <c r="TP5" s="354"/>
      <c r="TQ5" s="354"/>
      <c r="TR5" s="354"/>
      <c r="TS5" s="354"/>
      <c r="TT5" s="354"/>
      <c r="TU5" s="354"/>
      <c r="TV5" s="354"/>
      <c r="TW5" s="354"/>
      <c r="TX5" s="354"/>
      <c r="TY5" s="354"/>
      <c r="TZ5" s="354"/>
      <c r="UA5" s="354"/>
      <c r="UB5" s="354"/>
      <c r="UC5" s="354"/>
      <c r="UD5" s="354"/>
      <c r="UE5" s="354"/>
      <c r="UF5" s="354"/>
      <c r="UG5" s="354"/>
      <c r="UH5" s="354"/>
      <c r="UI5" s="354"/>
      <c r="UJ5" s="354"/>
      <c r="UK5" s="354"/>
      <c r="UL5" s="354"/>
      <c r="UM5" s="354"/>
      <c r="UN5" s="354"/>
      <c r="UO5" s="354"/>
      <c r="UP5" s="354"/>
      <c r="UQ5" s="354"/>
      <c r="UR5" s="354"/>
      <c r="US5" s="354"/>
      <c r="UT5" s="354"/>
      <c r="UU5" s="354"/>
      <c r="UV5" s="354"/>
      <c r="UW5" s="354"/>
      <c r="UX5" s="354"/>
      <c r="UY5" s="354"/>
      <c r="UZ5" s="354"/>
      <c r="VA5" s="354"/>
      <c r="VB5" s="354"/>
      <c r="VC5" s="354"/>
      <c r="VD5" s="354"/>
      <c r="VE5" s="354"/>
      <c r="VF5" s="354"/>
      <c r="VG5" s="354"/>
      <c r="VH5" s="354"/>
      <c r="VI5" s="354"/>
      <c r="VJ5" s="354"/>
      <c r="VK5" s="354"/>
      <c r="VL5" s="354"/>
      <c r="VM5" s="354"/>
      <c r="VN5" s="354"/>
      <c r="VO5" s="354"/>
      <c r="VP5" s="354"/>
      <c r="VQ5" s="354"/>
      <c r="VR5" s="354"/>
      <c r="VS5" s="354"/>
      <c r="VT5" s="354"/>
      <c r="VU5" s="354"/>
      <c r="VV5" s="354"/>
      <c r="VW5" s="354"/>
      <c r="VX5" s="354"/>
      <c r="VY5" s="354"/>
      <c r="VZ5" s="354"/>
      <c r="WA5" s="354"/>
      <c r="WB5" s="354"/>
      <c r="WC5" s="354"/>
      <c r="WD5" s="354"/>
      <c r="WE5" s="354"/>
      <c r="WF5" s="354"/>
      <c r="WG5" s="354"/>
      <c r="WH5" s="354"/>
      <c r="WI5" s="354"/>
      <c r="WJ5" s="354"/>
      <c r="WK5" s="354"/>
      <c r="WL5" s="354"/>
      <c r="WM5" s="354"/>
      <c r="WN5" s="354"/>
      <c r="WO5" s="354"/>
      <c r="WP5" s="354"/>
      <c r="WQ5" s="354"/>
      <c r="WR5" s="354"/>
      <c r="WS5" s="354"/>
      <c r="WT5" s="354"/>
      <c r="WU5" s="354"/>
      <c r="WV5" s="354"/>
      <c r="WW5" s="354"/>
      <c r="WX5" s="354"/>
      <c r="WY5" s="354"/>
      <c r="WZ5" s="354"/>
      <c r="XA5" s="354"/>
      <c r="XB5" s="354"/>
      <c r="XC5" s="354"/>
      <c r="XD5" s="354"/>
      <c r="XE5" s="354"/>
      <c r="XF5" s="354"/>
      <c r="XG5" s="354"/>
      <c r="XH5" s="354"/>
      <c r="XI5" s="354"/>
      <c r="XJ5" s="354"/>
      <c r="XK5" s="354"/>
      <c r="XL5" s="354"/>
      <c r="XM5" s="354"/>
      <c r="XN5" s="354"/>
      <c r="XO5" s="354"/>
      <c r="XP5" s="354"/>
      <c r="XQ5" s="354"/>
      <c r="XR5" s="354"/>
      <c r="XS5" s="354"/>
      <c r="XT5" s="354"/>
      <c r="XU5" s="354"/>
      <c r="XV5" s="354"/>
      <c r="XW5" s="354"/>
      <c r="XX5" s="354"/>
      <c r="XY5" s="354"/>
      <c r="XZ5" s="354"/>
      <c r="YA5" s="354"/>
      <c r="YB5" s="354"/>
      <c r="YC5" s="354"/>
      <c r="YD5" s="354"/>
      <c r="YE5" s="354"/>
      <c r="YF5" s="354"/>
      <c r="YG5" s="354"/>
      <c r="YH5" s="354"/>
      <c r="YI5" s="354"/>
      <c r="YJ5" s="354"/>
      <c r="YK5" s="354"/>
      <c r="YL5" s="354"/>
      <c r="YM5" s="354"/>
      <c r="YN5" s="354"/>
      <c r="YO5" s="354"/>
      <c r="YP5" s="354"/>
      <c r="YQ5" s="354"/>
      <c r="YR5" s="354"/>
      <c r="YS5" s="354"/>
      <c r="YT5" s="354"/>
      <c r="YU5" s="354"/>
      <c r="YV5" s="354"/>
      <c r="YW5" s="354"/>
      <c r="YX5" s="354"/>
      <c r="YY5" s="354"/>
      <c r="YZ5" s="354"/>
      <c r="ZA5" s="354"/>
      <c r="ZB5" s="354"/>
      <c r="ZC5" s="354"/>
      <c r="ZD5" s="354"/>
      <c r="ZE5" s="354"/>
      <c r="ZF5" s="354"/>
      <c r="ZG5" s="354"/>
      <c r="ZH5" s="354"/>
      <c r="ZI5" s="354"/>
      <c r="ZJ5" s="354"/>
      <c r="ZK5" s="354"/>
      <c r="ZL5" s="354"/>
      <c r="ZM5" s="354"/>
      <c r="ZN5" s="354"/>
      <c r="ZO5" s="354"/>
      <c r="ZP5" s="354"/>
      <c r="ZQ5" s="354"/>
      <c r="ZR5" s="354"/>
      <c r="ZS5" s="354"/>
      <c r="ZT5" s="354"/>
      <c r="ZU5" s="354"/>
      <c r="ZV5" s="354"/>
      <c r="ZW5" s="354"/>
      <c r="ZX5" s="354"/>
      <c r="ZY5" s="354"/>
      <c r="ZZ5" s="354"/>
      <c r="AAA5" s="354"/>
      <c r="AAB5" s="354"/>
      <c r="AAC5" s="354"/>
      <c r="AAD5" s="354"/>
      <c r="AAE5" s="354"/>
      <c r="AAF5" s="354"/>
      <c r="AAG5" s="354"/>
      <c r="AAH5" s="354"/>
      <c r="AAI5" s="354"/>
      <c r="AAJ5" s="354"/>
      <c r="AAK5" s="354"/>
      <c r="AAL5" s="354"/>
      <c r="AAM5" s="354"/>
      <c r="AAN5" s="354"/>
      <c r="AAO5" s="354"/>
      <c r="AAP5" s="354"/>
      <c r="AAQ5" s="354"/>
      <c r="AAR5" s="354"/>
      <c r="AAS5" s="354"/>
      <c r="AAT5" s="354"/>
      <c r="AAU5" s="354"/>
      <c r="AAV5" s="354"/>
      <c r="AAW5" s="354"/>
      <c r="AAX5" s="354"/>
      <c r="AAY5" s="354"/>
      <c r="AAZ5" s="354"/>
      <c r="ABA5" s="354"/>
      <c r="ABB5" s="354"/>
      <c r="ABC5" s="354"/>
      <c r="ABD5" s="354"/>
      <c r="ABE5" s="354"/>
      <c r="ABF5" s="354"/>
      <c r="ABG5" s="354"/>
      <c r="ABH5" s="354"/>
      <c r="ABI5" s="354"/>
      <c r="ABJ5" s="354"/>
      <c r="ABK5" s="354"/>
      <c r="ABL5" s="354"/>
      <c r="ABM5" s="354"/>
      <c r="ABN5" s="354"/>
      <c r="ABO5" s="354"/>
      <c r="ABP5" s="354"/>
      <c r="ABQ5" s="354"/>
      <c r="ABR5" s="354"/>
      <c r="ABS5" s="354"/>
      <c r="ABT5" s="354"/>
      <c r="ABU5" s="354"/>
      <c r="ABV5" s="354"/>
      <c r="ABW5" s="354"/>
      <c r="ABX5" s="354"/>
      <c r="ABY5" s="354"/>
      <c r="ABZ5" s="354"/>
      <c r="ACA5" s="354"/>
      <c r="ACB5" s="354"/>
      <c r="ACC5" s="354"/>
      <c r="ACD5" s="354"/>
      <c r="ACE5" s="354"/>
      <c r="ACF5" s="354"/>
      <c r="ACG5" s="354"/>
      <c r="ACH5" s="354"/>
      <c r="ACI5" s="354"/>
      <c r="ACJ5" s="354"/>
      <c r="ACK5" s="354"/>
      <c r="ACL5" s="354"/>
      <c r="ACM5" s="354"/>
      <c r="ACN5" s="354"/>
      <c r="ACO5" s="354"/>
      <c r="ACP5" s="354"/>
      <c r="ACQ5" s="354"/>
      <c r="ACR5" s="354"/>
      <c r="ACS5" s="354"/>
      <c r="ACT5" s="354"/>
      <c r="ACU5" s="354"/>
      <c r="ACV5" s="354"/>
      <c r="ACW5" s="354"/>
      <c r="ACX5" s="354"/>
      <c r="ACY5" s="354"/>
      <c r="ACZ5" s="354"/>
      <c r="ADA5" s="354"/>
      <c r="ADB5" s="354"/>
      <c r="ADC5" s="354"/>
      <c r="ADD5" s="354"/>
      <c r="ADE5" s="354"/>
      <c r="ADF5" s="354"/>
      <c r="ADG5" s="354"/>
      <c r="ADH5" s="354"/>
      <c r="ADI5" s="354"/>
      <c r="ADJ5" s="354"/>
      <c r="ADK5" s="354"/>
      <c r="ADL5" s="354"/>
      <c r="ADM5" s="354"/>
      <c r="ADN5" s="354"/>
      <c r="ADO5" s="354"/>
      <c r="ADP5" s="354"/>
      <c r="ADQ5" s="354"/>
      <c r="ADR5" s="354"/>
      <c r="ADS5" s="354"/>
      <c r="ADT5" s="354"/>
      <c r="ADU5" s="354"/>
      <c r="ADV5" s="354"/>
      <c r="ADW5" s="354"/>
      <c r="ADX5" s="354"/>
      <c r="ADY5" s="354"/>
      <c r="ADZ5" s="354"/>
      <c r="AEA5" s="354"/>
      <c r="AEB5" s="354"/>
      <c r="AEC5" s="354"/>
      <c r="AED5" s="354"/>
      <c r="AEE5" s="354"/>
      <c r="AEF5" s="354"/>
      <c r="AEG5" s="354"/>
      <c r="AEH5" s="354"/>
      <c r="AEI5" s="354"/>
      <c r="AEJ5" s="354"/>
      <c r="AEK5" s="354"/>
      <c r="AEL5" s="354"/>
      <c r="AEM5" s="354"/>
      <c r="AEN5" s="354"/>
      <c r="AEO5" s="354"/>
      <c r="AEP5" s="354"/>
      <c r="AEQ5" s="354"/>
      <c r="AER5" s="354"/>
      <c r="AES5" s="354"/>
      <c r="AET5" s="354"/>
      <c r="AEU5" s="354"/>
      <c r="AEV5" s="354"/>
      <c r="AEW5" s="354"/>
      <c r="AEX5" s="354"/>
      <c r="AEY5" s="354"/>
      <c r="AEZ5" s="354"/>
      <c r="AFA5" s="354"/>
      <c r="AFB5" s="354"/>
      <c r="AFC5" s="354"/>
      <c r="AFD5" s="354"/>
      <c r="AFE5" s="354"/>
      <c r="AFF5" s="354"/>
      <c r="AFG5" s="354"/>
      <c r="AFH5" s="354"/>
      <c r="AFI5" s="354"/>
      <c r="AFJ5" s="354"/>
      <c r="AFK5" s="354"/>
      <c r="AFL5" s="354"/>
      <c r="AFM5" s="354"/>
      <c r="AFN5" s="354"/>
      <c r="AFO5" s="354"/>
      <c r="AFP5" s="354"/>
      <c r="AFQ5" s="354"/>
      <c r="AFR5" s="354"/>
      <c r="AFS5" s="354"/>
      <c r="AFT5" s="354"/>
      <c r="AFU5" s="354"/>
      <c r="AFV5" s="354"/>
      <c r="AFW5" s="354"/>
      <c r="AFX5" s="354"/>
      <c r="AFY5" s="354"/>
      <c r="AFZ5" s="354"/>
      <c r="AGA5" s="354"/>
      <c r="AGB5" s="354"/>
      <c r="AGC5" s="354"/>
      <c r="AGD5" s="354"/>
      <c r="AGE5" s="354"/>
      <c r="AGF5" s="354"/>
      <c r="AGG5" s="354"/>
      <c r="AGH5" s="354"/>
      <c r="AGI5" s="354"/>
      <c r="AGJ5" s="354"/>
      <c r="AGK5" s="354"/>
      <c r="AGL5" s="354"/>
      <c r="AGM5" s="354"/>
      <c r="AGN5" s="354"/>
      <c r="AGO5" s="354"/>
      <c r="AGP5" s="354"/>
      <c r="AGQ5" s="354"/>
      <c r="AGR5" s="354"/>
      <c r="AGS5" s="354"/>
      <c r="AGT5" s="354"/>
      <c r="AGU5" s="354"/>
      <c r="AGV5" s="354"/>
      <c r="AGW5" s="354"/>
      <c r="AGX5" s="354"/>
      <c r="AGY5" s="354"/>
      <c r="AGZ5" s="354"/>
      <c r="AHA5" s="354"/>
      <c r="AHB5" s="354"/>
      <c r="AHC5" s="354"/>
      <c r="AHD5" s="354"/>
      <c r="AHE5" s="354"/>
      <c r="AHF5" s="354"/>
      <c r="AHG5" s="354"/>
      <c r="AHH5" s="354"/>
      <c r="AHI5" s="354"/>
      <c r="AHJ5" s="354"/>
      <c r="AHK5" s="354"/>
      <c r="AHL5" s="354"/>
      <c r="AHM5" s="354"/>
      <c r="AHN5" s="354"/>
      <c r="AHO5" s="354"/>
      <c r="AHP5" s="354"/>
      <c r="AHQ5" s="354"/>
      <c r="AHR5" s="354"/>
      <c r="AHS5" s="354"/>
      <c r="AHT5" s="354"/>
      <c r="AHU5" s="354"/>
      <c r="AHV5" s="354"/>
      <c r="AHW5" s="354"/>
      <c r="AHX5" s="354"/>
      <c r="AHY5" s="354"/>
      <c r="AHZ5" s="354"/>
      <c r="AIA5" s="354"/>
      <c r="AIB5" s="354"/>
      <c r="AIC5" s="354"/>
      <c r="AID5" s="354"/>
      <c r="AIE5" s="354"/>
      <c r="AIF5" s="354"/>
      <c r="AIG5" s="354"/>
      <c r="AIH5" s="354"/>
      <c r="AII5" s="354"/>
      <c r="AIJ5" s="354"/>
      <c r="AIK5" s="354"/>
      <c r="AIL5" s="354"/>
      <c r="AIM5" s="354"/>
      <c r="AIN5" s="354"/>
      <c r="AIO5" s="354"/>
      <c r="AIP5" s="354"/>
      <c r="AIQ5" s="354"/>
      <c r="AIR5" s="354"/>
      <c r="AIS5" s="354"/>
      <c r="AIT5" s="354"/>
      <c r="AIU5" s="354"/>
      <c r="AIV5" s="354"/>
      <c r="AIW5" s="354"/>
      <c r="AIX5" s="354"/>
      <c r="AIY5" s="354"/>
      <c r="AIZ5" s="354"/>
      <c r="AJA5" s="354"/>
      <c r="AJB5" s="354"/>
      <c r="AJC5" s="354"/>
      <c r="AJD5" s="354"/>
      <c r="AJE5" s="354"/>
      <c r="AJF5" s="354"/>
      <c r="AJG5" s="354"/>
      <c r="AJH5" s="354"/>
      <c r="AJI5" s="354"/>
      <c r="AJJ5" s="354"/>
      <c r="AJK5" s="354"/>
      <c r="AJL5" s="354"/>
      <c r="AJM5" s="354"/>
      <c r="AJN5" s="354"/>
      <c r="AJO5" s="354"/>
      <c r="AJP5" s="354"/>
      <c r="AJQ5" s="354"/>
      <c r="AJR5" s="354"/>
      <c r="AJS5" s="354"/>
      <c r="AJT5" s="354"/>
      <c r="AJU5" s="354"/>
      <c r="AJV5" s="354"/>
      <c r="AJW5" s="354"/>
      <c r="AJX5" s="354"/>
      <c r="AJY5" s="354"/>
      <c r="AJZ5" s="354"/>
      <c r="AKA5" s="354"/>
      <c r="AKB5" s="354"/>
      <c r="AKC5" s="354"/>
      <c r="AKD5" s="354"/>
      <c r="AKE5" s="354"/>
      <c r="AKF5" s="354"/>
      <c r="AKG5" s="354"/>
      <c r="AKH5" s="354"/>
      <c r="AKI5" s="354"/>
      <c r="AKJ5" s="354"/>
      <c r="AKK5" s="354"/>
      <c r="AKL5" s="354"/>
      <c r="AKM5" s="354"/>
      <c r="AKN5" s="354"/>
      <c r="AKO5" s="354"/>
      <c r="AKP5" s="354"/>
      <c r="AKQ5" s="354"/>
      <c r="AKR5" s="354"/>
      <c r="AKS5" s="354"/>
      <c r="AKT5" s="354"/>
      <c r="AKU5" s="354"/>
      <c r="AKV5" s="354"/>
      <c r="AKW5" s="354"/>
      <c r="AKX5" s="354"/>
      <c r="AKY5" s="354"/>
      <c r="AKZ5" s="354"/>
      <c r="ALA5" s="354"/>
      <c r="ALB5" s="354"/>
      <c r="ALC5" s="354"/>
      <c r="ALD5" s="354"/>
      <c r="ALE5" s="354"/>
      <c r="ALF5" s="354"/>
      <c r="ALG5" s="354"/>
      <c r="ALH5" s="354"/>
      <c r="ALI5" s="354"/>
      <c r="ALJ5" s="354"/>
      <c r="ALK5" s="354"/>
      <c r="ALL5" s="354"/>
      <c r="ALM5" s="354"/>
      <c r="ALN5" s="354"/>
      <c r="ALO5" s="354"/>
      <c r="ALP5" s="354"/>
      <c r="ALQ5" s="354"/>
      <c r="ALR5" s="354"/>
      <c r="ALS5" s="354"/>
      <c r="ALT5" s="354"/>
      <c r="ALU5" s="354"/>
      <c r="ALV5" s="354"/>
      <c r="ALW5" s="354"/>
      <c r="ALX5" s="354"/>
      <c r="ALY5" s="354"/>
      <c r="ALZ5" s="354"/>
      <c r="AMA5" s="354"/>
      <c r="AMB5" s="354"/>
      <c r="AMC5" s="354"/>
      <c r="AMD5" s="354"/>
      <c r="AME5" s="354"/>
      <c r="AMF5" s="354"/>
      <c r="AMG5" s="354"/>
      <c r="AMH5" s="354"/>
      <c r="AMI5" s="354"/>
      <c r="AMJ5" s="354"/>
      <c r="AMK5" s="354"/>
      <c r="AML5" s="354"/>
      <c r="AMM5" s="354"/>
      <c r="AMN5" s="354"/>
      <c r="AMO5" s="354"/>
      <c r="AMP5" s="354"/>
      <c r="AMQ5" s="354"/>
      <c r="AMR5" s="354"/>
      <c r="AMS5" s="354"/>
      <c r="AMT5" s="354"/>
      <c r="AMU5" s="354"/>
      <c r="AMV5" s="354"/>
      <c r="AMW5" s="354"/>
      <c r="AMX5" s="354"/>
      <c r="AMY5" s="354"/>
      <c r="AMZ5" s="354"/>
      <c r="ANA5" s="354"/>
      <c r="ANB5" s="354"/>
      <c r="ANC5" s="354"/>
      <c r="AND5" s="354"/>
      <c r="ANE5" s="354"/>
      <c r="ANF5" s="354"/>
      <c r="ANG5" s="354"/>
      <c r="ANH5" s="354"/>
      <c r="ANI5" s="354"/>
      <c r="ANJ5" s="354"/>
      <c r="ANK5" s="354"/>
      <c r="ANL5" s="354"/>
      <c r="ANM5" s="354"/>
      <c r="ANN5" s="354"/>
      <c r="ANO5" s="354"/>
      <c r="ANP5" s="354"/>
      <c r="ANQ5" s="354"/>
      <c r="ANR5" s="354"/>
      <c r="ANS5" s="354"/>
      <c r="ANT5" s="354"/>
      <c r="ANU5" s="354"/>
      <c r="ANV5" s="354"/>
      <c r="ANW5" s="354"/>
      <c r="ANX5" s="354"/>
      <c r="ANY5" s="354"/>
      <c r="ANZ5" s="354"/>
      <c r="AOA5" s="354"/>
      <c r="AOB5" s="354"/>
      <c r="AOC5" s="354"/>
      <c r="AOD5" s="354"/>
      <c r="AOE5" s="354"/>
      <c r="AOF5" s="354"/>
      <c r="AOG5" s="354"/>
      <c r="AOH5" s="354"/>
      <c r="AOI5" s="354"/>
      <c r="AOJ5" s="354"/>
      <c r="AOK5" s="354"/>
      <c r="AOL5" s="354"/>
      <c r="AOM5" s="354"/>
      <c r="AON5" s="354"/>
      <c r="AOO5" s="354"/>
      <c r="AOP5" s="354"/>
      <c r="AOQ5" s="354"/>
      <c r="AOR5" s="354"/>
      <c r="AOS5" s="354"/>
      <c r="AOT5" s="354"/>
      <c r="AOU5" s="354"/>
      <c r="AOV5" s="354"/>
      <c r="AOW5" s="354"/>
      <c r="AOX5" s="354"/>
      <c r="AOY5" s="354"/>
      <c r="AOZ5" s="354"/>
      <c r="APA5" s="354"/>
      <c r="APB5" s="354"/>
      <c r="APC5" s="354"/>
      <c r="APD5" s="354"/>
      <c r="APE5" s="354"/>
      <c r="APF5" s="354"/>
      <c r="APG5" s="354"/>
      <c r="APH5" s="354"/>
      <c r="API5" s="354"/>
      <c r="APJ5" s="354"/>
      <c r="APK5" s="354"/>
      <c r="APL5" s="354"/>
      <c r="APM5" s="354"/>
      <c r="APN5" s="354"/>
      <c r="APO5" s="354"/>
      <c r="APP5" s="354"/>
      <c r="APQ5" s="354"/>
      <c r="APR5" s="354"/>
      <c r="APS5" s="354"/>
      <c r="APT5" s="354"/>
      <c r="APU5" s="354"/>
      <c r="APV5" s="354"/>
      <c r="APW5" s="354"/>
      <c r="APX5" s="354"/>
      <c r="APY5" s="354"/>
      <c r="APZ5" s="354"/>
      <c r="AQA5" s="354"/>
      <c r="AQB5" s="354"/>
      <c r="AQC5" s="354"/>
      <c r="AQD5" s="354"/>
      <c r="AQE5" s="354"/>
      <c r="AQF5" s="354"/>
      <c r="AQG5" s="354"/>
      <c r="AQH5" s="354"/>
      <c r="AQI5" s="354"/>
      <c r="AQJ5" s="354"/>
      <c r="AQK5" s="354"/>
      <c r="AQL5" s="354"/>
      <c r="AQM5" s="354"/>
      <c r="AQN5" s="354"/>
      <c r="AQO5" s="354"/>
      <c r="AQP5" s="354"/>
      <c r="AQQ5" s="354"/>
      <c r="AQR5" s="354"/>
      <c r="AQS5" s="354"/>
      <c r="AQT5" s="354"/>
      <c r="AQU5" s="354"/>
      <c r="AQV5" s="354"/>
      <c r="AQW5" s="354"/>
      <c r="AQX5" s="354"/>
      <c r="AQY5" s="354"/>
      <c r="AQZ5" s="354"/>
      <c r="ARA5" s="354"/>
      <c r="ARB5" s="354"/>
      <c r="ARC5" s="354"/>
      <c r="ARD5" s="354"/>
      <c r="ARE5" s="354"/>
      <c r="ARF5" s="354"/>
      <c r="ARG5" s="354"/>
      <c r="ARH5" s="354"/>
      <c r="ARI5" s="354"/>
      <c r="ARJ5" s="354"/>
      <c r="ARK5" s="354"/>
      <c r="ARL5" s="354"/>
      <c r="ARM5" s="354"/>
      <c r="ARN5" s="354"/>
      <c r="ARO5" s="354"/>
      <c r="ARP5" s="354"/>
      <c r="ARQ5" s="354"/>
      <c r="ARR5" s="354"/>
      <c r="ARS5" s="354"/>
      <c r="ART5" s="354"/>
      <c r="ARU5" s="354"/>
      <c r="ARV5" s="354"/>
      <c r="ARW5" s="354"/>
      <c r="ARX5" s="354"/>
      <c r="ARY5" s="354"/>
      <c r="ARZ5" s="354"/>
      <c r="ASA5" s="354"/>
      <c r="ASB5" s="354"/>
      <c r="ASC5" s="354"/>
      <c r="ASD5" s="354"/>
      <c r="ASE5" s="354"/>
      <c r="ASF5" s="354"/>
      <c r="ASG5" s="354"/>
      <c r="ASH5" s="354"/>
      <c r="ASI5" s="354"/>
      <c r="ASJ5" s="354"/>
      <c r="ASK5" s="354"/>
      <c r="ASL5" s="354"/>
      <c r="ASM5" s="354"/>
      <c r="ASN5" s="354"/>
      <c r="ASO5" s="354"/>
      <c r="ASP5" s="354"/>
      <c r="ASQ5" s="354"/>
      <c r="ASR5" s="354"/>
      <c r="ASS5" s="354"/>
      <c r="AST5" s="354"/>
      <c r="ASU5" s="354"/>
      <c r="ASV5" s="354"/>
      <c r="ASW5" s="354"/>
      <c r="ASX5" s="354"/>
      <c r="ASY5" s="354"/>
      <c r="ASZ5" s="354"/>
      <c r="ATA5" s="354"/>
      <c r="ATB5" s="354"/>
      <c r="ATC5" s="354"/>
      <c r="ATD5" s="354"/>
      <c r="ATE5" s="354"/>
      <c r="ATF5" s="354"/>
      <c r="ATG5" s="354"/>
      <c r="ATH5" s="354"/>
      <c r="ATI5" s="354"/>
      <c r="ATJ5" s="354"/>
      <c r="ATK5" s="354"/>
      <c r="ATL5" s="354"/>
      <c r="ATM5" s="354"/>
      <c r="ATN5" s="354"/>
      <c r="ATO5" s="354"/>
      <c r="ATP5" s="354"/>
      <c r="ATQ5" s="354"/>
      <c r="ATR5" s="354"/>
      <c r="ATS5" s="354"/>
      <c r="ATT5" s="354"/>
      <c r="ATU5" s="354"/>
      <c r="ATV5" s="354"/>
      <c r="ATW5" s="354"/>
      <c r="ATX5" s="354"/>
      <c r="ATY5" s="354"/>
      <c r="ATZ5" s="354"/>
      <c r="AUA5" s="354"/>
      <c r="AUB5" s="354"/>
      <c r="AUC5" s="354"/>
      <c r="AUD5" s="354"/>
      <c r="AUE5" s="354"/>
      <c r="AUF5" s="354"/>
      <c r="AUG5" s="354"/>
      <c r="AUH5" s="354"/>
      <c r="AUI5" s="354"/>
      <c r="AUJ5" s="354"/>
      <c r="AUK5" s="354"/>
      <c r="AUL5" s="354"/>
      <c r="AUM5" s="354"/>
      <c r="AUN5" s="354"/>
      <c r="AUO5" s="354"/>
      <c r="AUP5" s="354"/>
      <c r="AUQ5" s="354"/>
      <c r="AUR5" s="354"/>
      <c r="AUS5" s="354"/>
      <c r="AUT5" s="354"/>
      <c r="AUU5" s="354"/>
      <c r="AUV5" s="354"/>
      <c r="AUW5" s="354"/>
      <c r="AUX5" s="354"/>
      <c r="AUY5" s="354"/>
      <c r="AUZ5" s="354"/>
      <c r="AVA5" s="354"/>
      <c r="AVB5" s="354"/>
      <c r="AVC5" s="354"/>
      <c r="AVD5" s="354"/>
      <c r="AVE5" s="354"/>
      <c r="AVF5" s="354"/>
      <c r="AVG5" s="354"/>
      <c r="AVH5" s="354"/>
      <c r="AVI5" s="354"/>
      <c r="AVJ5" s="354"/>
      <c r="AVK5" s="354"/>
      <c r="AVL5" s="354"/>
      <c r="AVM5" s="354"/>
      <c r="AVN5" s="354"/>
      <c r="AVO5" s="354"/>
      <c r="AVP5" s="354"/>
      <c r="AVQ5" s="354"/>
      <c r="AVR5" s="354"/>
      <c r="AVS5" s="354"/>
      <c r="AVT5" s="354"/>
      <c r="AVU5" s="354"/>
      <c r="AVV5" s="354"/>
      <c r="AVW5" s="354"/>
      <c r="AVX5" s="354"/>
      <c r="AVY5" s="354"/>
      <c r="AVZ5" s="354"/>
      <c r="AWA5" s="354"/>
      <c r="AWB5" s="354"/>
      <c r="AWC5" s="354"/>
      <c r="AWD5" s="354"/>
      <c r="AWE5" s="354"/>
      <c r="AWF5" s="354"/>
      <c r="AWG5" s="354"/>
      <c r="AWH5" s="354"/>
      <c r="AWI5" s="354"/>
      <c r="AWJ5" s="354"/>
      <c r="AWK5" s="354"/>
      <c r="AWL5" s="354"/>
      <c r="AWM5" s="354"/>
      <c r="AWN5" s="354"/>
      <c r="AWO5" s="354"/>
      <c r="AWP5" s="354"/>
      <c r="AWQ5" s="354"/>
      <c r="AWR5" s="354"/>
      <c r="AWS5" s="354"/>
      <c r="AWT5" s="354"/>
      <c r="AWU5" s="354"/>
      <c r="AWV5" s="354"/>
      <c r="AWW5" s="354"/>
      <c r="AWX5" s="354"/>
      <c r="AWY5" s="354"/>
      <c r="AWZ5" s="354"/>
      <c r="AXA5" s="354"/>
      <c r="AXB5" s="354"/>
      <c r="AXC5" s="354"/>
      <c r="AXD5" s="354"/>
      <c r="AXE5" s="354"/>
      <c r="AXF5" s="354"/>
      <c r="AXG5" s="354"/>
      <c r="AXH5" s="354"/>
      <c r="AXI5" s="354"/>
      <c r="AXJ5" s="354"/>
      <c r="AXK5" s="354"/>
      <c r="AXL5" s="354"/>
      <c r="AXM5" s="354"/>
      <c r="AXN5" s="354"/>
      <c r="AXO5" s="354"/>
      <c r="AXP5" s="354"/>
      <c r="AXQ5" s="354"/>
      <c r="AXR5" s="354"/>
      <c r="AXS5" s="354"/>
      <c r="AXT5" s="354"/>
      <c r="AXU5" s="354"/>
      <c r="AXV5" s="354"/>
      <c r="AXW5" s="354"/>
      <c r="AXX5" s="354"/>
      <c r="AXY5" s="354"/>
      <c r="AXZ5" s="354"/>
      <c r="AYA5" s="354"/>
      <c r="AYB5" s="354"/>
      <c r="AYC5" s="354"/>
      <c r="AYD5" s="354"/>
      <c r="AYE5" s="354"/>
      <c r="AYF5" s="354"/>
      <c r="AYG5" s="354"/>
      <c r="AYH5" s="354"/>
      <c r="AYI5" s="354"/>
      <c r="AYJ5" s="354"/>
      <c r="AYK5" s="354"/>
      <c r="AYL5" s="354"/>
      <c r="AYM5" s="354"/>
      <c r="AYN5" s="354"/>
      <c r="AYO5" s="354"/>
      <c r="AYP5" s="354"/>
      <c r="AYQ5" s="354"/>
      <c r="AYR5" s="354"/>
      <c r="AYS5" s="354"/>
      <c r="AYT5" s="354"/>
      <c r="AYU5" s="354"/>
      <c r="AYV5" s="354"/>
      <c r="AYW5" s="354"/>
      <c r="AYX5" s="354"/>
      <c r="AYY5" s="354"/>
      <c r="AYZ5" s="354"/>
      <c r="AZA5" s="354"/>
      <c r="AZB5" s="354"/>
      <c r="AZC5" s="354"/>
      <c r="AZD5" s="354"/>
      <c r="AZE5" s="354"/>
      <c r="AZF5" s="354"/>
      <c r="AZG5" s="354"/>
      <c r="AZH5" s="354"/>
      <c r="AZI5" s="354"/>
      <c r="AZJ5" s="354"/>
      <c r="AZK5" s="354"/>
      <c r="AZL5" s="354"/>
      <c r="AZM5" s="354"/>
      <c r="AZN5" s="354"/>
      <c r="AZO5" s="354"/>
      <c r="AZP5" s="354"/>
      <c r="AZQ5" s="354"/>
      <c r="AZR5" s="354"/>
      <c r="AZS5" s="354"/>
      <c r="AZT5" s="354"/>
      <c r="AZU5" s="354"/>
      <c r="AZV5" s="354"/>
      <c r="AZW5" s="354"/>
      <c r="AZX5" s="354"/>
      <c r="AZY5" s="354"/>
      <c r="AZZ5" s="354"/>
      <c r="BAA5" s="354"/>
      <c r="BAB5" s="354"/>
      <c r="BAC5" s="354"/>
      <c r="BAD5" s="354"/>
      <c r="BAE5" s="354"/>
      <c r="BAF5" s="354"/>
      <c r="BAG5" s="354"/>
      <c r="BAH5" s="354"/>
      <c r="BAI5" s="354"/>
      <c r="BAJ5" s="354"/>
      <c r="BAK5" s="354"/>
      <c r="BAL5" s="354"/>
      <c r="BAM5" s="354"/>
      <c r="BAN5" s="354"/>
      <c r="BAO5" s="354"/>
      <c r="BAP5" s="354"/>
      <c r="BAQ5" s="354"/>
      <c r="BAR5" s="354"/>
      <c r="BAS5" s="354"/>
      <c r="BAT5" s="354"/>
      <c r="BAU5" s="354"/>
      <c r="BAV5" s="354"/>
      <c r="BAW5" s="354"/>
      <c r="BAX5" s="354"/>
      <c r="BAY5" s="354"/>
      <c r="BAZ5" s="354"/>
      <c r="BBA5" s="354"/>
      <c r="BBB5" s="354"/>
      <c r="BBC5" s="354"/>
      <c r="BBD5" s="354"/>
      <c r="BBE5" s="354"/>
      <c r="BBF5" s="354"/>
      <c r="BBG5" s="354"/>
      <c r="BBH5" s="354"/>
      <c r="BBI5" s="354"/>
      <c r="BBJ5" s="354"/>
      <c r="BBK5" s="354"/>
      <c r="BBL5" s="354"/>
      <c r="BBM5" s="354"/>
      <c r="BBN5" s="354"/>
      <c r="BBO5" s="354"/>
      <c r="BBP5" s="354"/>
      <c r="BBQ5" s="354"/>
      <c r="BBR5" s="354"/>
      <c r="BBS5" s="354"/>
      <c r="BBT5" s="354"/>
      <c r="BBU5" s="354"/>
      <c r="BBV5" s="354"/>
      <c r="BBW5" s="354"/>
      <c r="BBX5" s="354"/>
      <c r="BBY5" s="354"/>
      <c r="BBZ5" s="354"/>
      <c r="BCA5" s="354"/>
      <c r="BCB5" s="354"/>
      <c r="BCC5" s="354"/>
      <c r="BCD5" s="354"/>
      <c r="BCE5" s="354"/>
      <c r="BCF5" s="354"/>
      <c r="BCG5" s="354"/>
      <c r="BCH5" s="354"/>
      <c r="BCI5" s="354"/>
      <c r="BCJ5" s="354"/>
      <c r="BCK5" s="354"/>
      <c r="BCL5" s="354"/>
      <c r="BCM5" s="354"/>
      <c r="BCN5" s="354"/>
      <c r="BCO5" s="354"/>
      <c r="BCP5" s="354"/>
      <c r="BCQ5" s="354"/>
      <c r="BCR5" s="354"/>
      <c r="BCS5" s="354"/>
      <c r="BCT5" s="354"/>
      <c r="BCU5" s="354"/>
      <c r="BCV5" s="354"/>
      <c r="BCW5" s="354"/>
      <c r="BCX5" s="354"/>
      <c r="BCY5" s="354"/>
      <c r="BCZ5" s="354"/>
      <c r="BDA5" s="354"/>
      <c r="BDB5" s="354"/>
      <c r="BDC5" s="354"/>
      <c r="BDD5" s="354"/>
      <c r="BDE5" s="354"/>
      <c r="BDF5" s="354"/>
      <c r="BDG5" s="354"/>
      <c r="BDH5" s="354"/>
      <c r="BDI5" s="354"/>
      <c r="BDJ5" s="354"/>
      <c r="BDK5" s="354"/>
      <c r="BDL5" s="354"/>
      <c r="BDM5" s="354"/>
      <c r="BDN5" s="354"/>
      <c r="BDO5" s="354"/>
      <c r="BDP5" s="354"/>
      <c r="BDQ5" s="354"/>
      <c r="BDR5" s="354"/>
      <c r="BDS5" s="354"/>
      <c r="BDT5" s="354"/>
      <c r="BDU5" s="354"/>
      <c r="BDV5" s="354"/>
      <c r="BDW5" s="354"/>
      <c r="BDX5" s="354"/>
      <c r="BDY5" s="354"/>
      <c r="BDZ5" s="354"/>
      <c r="BEA5" s="354"/>
      <c r="BEB5" s="354"/>
      <c r="BEC5" s="354"/>
      <c r="BED5" s="354"/>
      <c r="BEE5" s="354"/>
      <c r="BEF5" s="354"/>
      <c r="BEG5" s="354"/>
      <c r="BEH5" s="354"/>
      <c r="BEI5" s="354"/>
      <c r="BEJ5" s="354"/>
      <c r="BEK5" s="354"/>
      <c r="BEL5" s="354"/>
      <c r="BEM5" s="354"/>
      <c r="BEN5" s="354"/>
      <c r="BEO5" s="354"/>
      <c r="BEP5" s="354"/>
      <c r="BEQ5" s="354"/>
      <c r="BER5" s="354"/>
      <c r="BES5" s="354"/>
      <c r="BET5" s="354"/>
      <c r="BEU5" s="354"/>
      <c r="BEV5" s="354"/>
      <c r="BEW5" s="354"/>
      <c r="BEX5" s="354"/>
      <c r="BEY5" s="354"/>
      <c r="BEZ5" s="354"/>
      <c r="BFA5" s="354"/>
      <c r="BFB5" s="354"/>
      <c r="BFC5" s="354"/>
      <c r="BFD5" s="354"/>
      <c r="BFE5" s="354"/>
      <c r="BFF5" s="354"/>
      <c r="BFG5" s="354"/>
      <c r="BFH5" s="354"/>
      <c r="BFI5" s="354"/>
      <c r="BFJ5" s="354"/>
      <c r="BFK5" s="354"/>
      <c r="BFL5" s="354"/>
      <c r="BFM5" s="354"/>
      <c r="BFN5" s="354"/>
      <c r="BFO5" s="354"/>
      <c r="BFP5" s="354"/>
      <c r="BFQ5" s="354"/>
      <c r="BFR5" s="354"/>
      <c r="BFS5" s="354"/>
      <c r="BFT5" s="354"/>
      <c r="BFU5" s="354"/>
      <c r="BFV5" s="354"/>
      <c r="BFW5" s="354"/>
      <c r="BFX5" s="354"/>
      <c r="BFY5" s="354"/>
      <c r="BFZ5" s="354"/>
      <c r="BGA5" s="354"/>
      <c r="BGB5" s="354"/>
      <c r="BGC5" s="354"/>
      <c r="BGD5" s="354"/>
      <c r="BGE5" s="354"/>
      <c r="BGF5" s="354"/>
      <c r="BGG5" s="354"/>
      <c r="BGH5" s="354"/>
      <c r="BGI5" s="354"/>
      <c r="BGJ5" s="354"/>
      <c r="BGK5" s="354"/>
      <c r="BGL5" s="354"/>
      <c r="BGM5" s="354"/>
      <c r="BGN5" s="354"/>
      <c r="BGO5" s="354"/>
      <c r="BGP5" s="354"/>
      <c r="BGQ5" s="354"/>
      <c r="BGR5" s="354"/>
      <c r="BGS5" s="354"/>
      <c r="BGT5" s="354"/>
      <c r="BGU5" s="354"/>
      <c r="BGV5" s="354"/>
      <c r="BGW5" s="354"/>
      <c r="BGX5" s="354"/>
      <c r="BGY5" s="354"/>
      <c r="BGZ5" s="354"/>
      <c r="BHA5" s="354"/>
      <c r="BHB5" s="354"/>
      <c r="BHC5" s="354"/>
      <c r="BHD5" s="354"/>
      <c r="BHE5" s="354"/>
      <c r="BHF5" s="354"/>
      <c r="BHG5" s="354"/>
      <c r="BHH5" s="354"/>
      <c r="BHI5" s="354"/>
      <c r="BHJ5" s="354"/>
      <c r="BHK5" s="354"/>
      <c r="BHL5" s="354"/>
      <c r="BHM5" s="354"/>
      <c r="BHN5" s="354"/>
      <c r="BHO5" s="354"/>
      <c r="BHP5" s="354"/>
      <c r="BHQ5" s="354"/>
      <c r="BHR5" s="354"/>
      <c r="BHS5" s="354"/>
      <c r="BHT5" s="354"/>
      <c r="BHU5" s="354"/>
      <c r="BHV5" s="354"/>
      <c r="BHW5" s="354"/>
      <c r="BHX5" s="354"/>
      <c r="BHY5" s="354"/>
      <c r="BHZ5" s="354"/>
      <c r="BIA5" s="354"/>
      <c r="BIB5" s="354"/>
      <c r="BIC5" s="354"/>
      <c r="BID5" s="354"/>
      <c r="BIE5" s="354"/>
      <c r="BIF5" s="354"/>
      <c r="BIG5" s="354"/>
      <c r="BIH5" s="354"/>
      <c r="BII5" s="354"/>
      <c r="BIJ5" s="354"/>
      <c r="BIK5" s="354"/>
      <c r="BIL5" s="354"/>
      <c r="BIM5" s="354"/>
      <c r="BIN5" s="354"/>
      <c r="BIO5" s="354"/>
      <c r="BIP5" s="354"/>
      <c r="BIQ5" s="354"/>
      <c r="BIR5" s="354"/>
      <c r="BIS5" s="354"/>
      <c r="BIT5" s="354"/>
      <c r="BIU5" s="354"/>
      <c r="BIV5" s="354"/>
      <c r="BIW5" s="354"/>
      <c r="BIX5" s="354"/>
      <c r="BIY5" s="354"/>
      <c r="BIZ5" s="354"/>
      <c r="BJA5" s="354"/>
      <c r="BJB5" s="354"/>
      <c r="BJC5" s="354"/>
      <c r="BJD5" s="354"/>
      <c r="BJE5" s="354"/>
      <c r="BJF5" s="354"/>
      <c r="BJG5" s="354"/>
      <c r="BJH5" s="354"/>
      <c r="BJI5" s="354"/>
      <c r="BJJ5" s="354"/>
      <c r="BJK5" s="354"/>
      <c r="BJL5" s="354"/>
      <c r="BJM5" s="354"/>
      <c r="BJN5" s="354"/>
      <c r="BJO5" s="354"/>
      <c r="BJP5" s="354"/>
      <c r="BJQ5" s="354"/>
      <c r="BJR5" s="354"/>
      <c r="BJS5" s="354"/>
      <c r="BJT5" s="354"/>
      <c r="BJU5" s="354"/>
      <c r="BJV5" s="354"/>
      <c r="BJW5" s="354"/>
      <c r="BJX5" s="354"/>
      <c r="BJY5" s="354"/>
      <c r="BJZ5" s="354"/>
      <c r="BKA5" s="354"/>
      <c r="BKB5" s="354"/>
      <c r="BKC5" s="354"/>
      <c r="BKD5" s="354"/>
      <c r="BKE5" s="354"/>
      <c r="BKF5" s="354"/>
      <c r="BKG5" s="354"/>
      <c r="BKH5" s="354"/>
      <c r="BKI5" s="354"/>
      <c r="BKJ5" s="354"/>
      <c r="BKK5" s="354"/>
      <c r="BKL5" s="354"/>
      <c r="BKM5" s="354"/>
      <c r="BKN5" s="354"/>
      <c r="BKO5" s="354"/>
      <c r="BKP5" s="354"/>
      <c r="BKQ5" s="354"/>
      <c r="BKR5" s="354"/>
      <c r="BKS5" s="354"/>
      <c r="BKT5" s="354"/>
      <c r="BKU5" s="354"/>
      <c r="BKV5" s="354"/>
      <c r="BKW5" s="354"/>
      <c r="BKX5" s="354"/>
      <c r="BKY5" s="354"/>
      <c r="BKZ5" s="354"/>
      <c r="BLA5" s="354"/>
      <c r="BLB5" s="354"/>
      <c r="BLC5" s="354"/>
      <c r="BLD5" s="354"/>
      <c r="BLE5" s="354"/>
      <c r="BLF5" s="354"/>
      <c r="BLG5" s="354"/>
      <c r="BLH5" s="354"/>
      <c r="BLI5" s="354"/>
      <c r="BLJ5" s="354"/>
      <c r="BLK5" s="354"/>
      <c r="BLL5" s="354"/>
      <c r="BLM5" s="354"/>
      <c r="BLN5" s="354"/>
      <c r="BLO5" s="354"/>
      <c r="BLP5" s="354"/>
      <c r="BLQ5" s="354"/>
      <c r="BLR5" s="354"/>
      <c r="BLS5" s="354"/>
      <c r="BLT5" s="354"/>
      <c r="BLU5" s="354"/>
      <c r="BLV5" s="354"/>
      <c r="BLW5" s="354"/>
      <c r="BLX5" s="354"/>
      <c r="BLY5" s="354"/>
      <c r="BLZ5" s="354"/>
      <c r="BMA5" s="354"/>
      <c r="BMB5" s="354"/>
      <c r="BMC5" s="354"/>
      <c r="BMD5" s="354"/>
      <c r="BME5" s="354"/>
      <c r="BMF5" s="354"/>
      <c r="BMG5" s="354"/>
      <c r="BMH5" s="354"/>
      <c r="BMI5" s="354"/>
      <c r="BMJ5" s="354"/>
      <c r="BMK5" s="354"/>
      <c r="BML5" s="354"/>
      <c r="BMM5" s="354"/>
      <c r="BMN5" s="354"/>
      <c r="BMO5" s="354"/>
      <c r="BMP5" s="354"/>
      <c r="BMQ5" s="354"/>
      <c r="BMR5" s="354"/>
      <c r="BMS5" s="354"/>
      <c r="BMT5" s="354"/>
      <c r="BMU5" s="354"/>
      <c r="BMV5" s="354"/>
      <c r="BMW5" s="354"/>
      <c r="BMX5" s="354"/>
      <c r="BMY5" s="354"/>
      <c r="BMZ5" s="354"/>
      <c r="BNA5" s="354"/>
      <c r="BNB5" s="354"/>
      <c r="BNC5" s="354"/>
      <c r="BND5" s="354"/>
      <c r="BNE5" s="354"/>
      <c r="BNF5" s="354"/>
      <c r="BNG5" s="354"/>
      <c r="BNH5" s="354"/>
      <c r="BNI5" s="354"/>
      <c r="BNJ5" s="354"/>
      <c r="BNK5" s="354"/>
      <c r="BNL5" s="354"/>
      <c r="BNM5" s="354"/>
      <c r="BNN5" s="354"/>
      <c r="BNO5" s="354"/>
      <c r="BNP5" s="354"/>
      <c r="BNQ5" s="354"/>
      <c r="BNR5" s="354"/>
      <c r="BNS5" s="354"/>
      <c r="BNT5" s="354"/>
      <c r="BNU5" s="354"/>
      <c r="BNV5" s="354"/>
      <c r="BNW5" s="354"/>
      <c r="BNX5" s="354"/>
      <c r="BNY5" s="354"/>
      <c r="BNZ5" s="354"/>
      <c r="BOA5" s="354"/>
      <c r="BOB5" s="354"/>
      <c r="BOC5" s="354"/>
      <c r="BOD5" s="354"/>
      <c r="BOE5" s="354"/>
      <c r="BOF5" s="354"/>
      <c r="BOG5" s="354"/>
      <c r="BOH5" s="354"/>
      <c r="BOI5" s="354"/>
      <c r="BOJ5" s="354"/>
      <c r="BOK5" s="354"/>
      <c r="BOL5" s="354"/>
      <c r="BOM5" s="354"/>
      <c r="BON5" s="354"/>
      <c r="BOO5" s="354"/>
      <c r="BOP5" s="354"/>
      <c r="BOQ5" s="354"/>
      <c r="BOR5" s="354"/>
      <c r="BOS5" s="354"/>
      <c r="BOT5" s="354"/>
      <c r="BOU5" s="354"/>
      <c r="BOV5" s="354"/>
      <c r="BOW5" s="354"/>
      <c r="BOX5" s="354"/>
      <c r="BOY5" s="354"/>
      <c r="BOZ5" s="354"/>
      <c r="BPA5" s="354"/>
      <c r="BPB5" s="354"/>
      <c r="BPC5" s="354"/>
      <c r="BPD5" s="354"/>
      <c r="BPE5" s="354"/>
      <c r="BPF5" s="354"/>
      <c r="BPG5" s="354"/>
      <c r="BPH5" s="354"/>
      <c r="BPI5" s="354"/>
      <c r="BPJ5" s="354"/>
      <c r="BPK5" s="354"/>
      <c r="BPL5" s="354"/>
      <c r="BPM5" s="354"/>
      <c r="BPN5" s="354"/>
      <c r="BPO5" s="354"/>
      <c r="BPP5" s="354"/>
      <c r="BPQ5" s="354"/>
      <c r="BPR5" s="354"/>
      <c r="BPS5" s="354"/>
      <c r="BPT5" s="354"/>
      <c r="BPU5" s="354"/>
      <c r="BPV5" s="354"/>
      <c r="BPW5" s="354"/>
      <c r="BPX5" s="354"/>
      <c r="BPY5" s="354"/>
      <c r="BPZ5" s="354"/>
      <c r="BQA5" s="354"/>
      <c r="BQB5" s="354"/>
      <c r="BQC5" s="354"/>
      <c r="BQD5" s="354"/>
      <c r="BQE5" s="354"/>
      <c r="BQF5" s="354"/>
      <c r="BQG5" s="354"/>
      <c r="BQH5" s="354"/>
      <c r="BQI5" s="354"/>
      <c r="BQJ5" s="354"/>
      <c r="BQK5" s="354"/>
      <c r="BQL5" s="354"/>
      <c r="BQM5" s="354"/>
      <c r="BQN5" s="354"/>
      <c r="BQO5" s="354"/>
      <c r="BQP5" s="354"/>
      <c r="BQQ5" s="354"/>
      <c r="BQR5" s="354"/>
      <c r="BQS5" s="354"/>
      <c r="BQT5" s="354"/>
      <c r="BQU5" s="354"/>
      <c r="BQV5" s="354"/>
      <c r="BQW5" s="354"/>
      <c r="BQX5" s="354"/>
      <c r="BQY5" s="354"/>
      <c r="BQZ5" s="354"/>
      <c r="BRA5" s="354"/>
      <c r="BRB5" s="354"/>
      <c r="BRC5" s="354"/>
      <c r="BRD5" s="354"/>
      <c r="BRE5" s="354"/>
      <c r="BRF5" s="354"/>
      <c r="BRG5" s="354"/>
      <c r="BRH5" s="354"/>
      <c r="BRI5" s="354"/>
      <c r="BRJ5" s="354"/>
      <c r="BRK5" s="354"/>
      <c r="BRL5" s="354"/>
      <c r="BRM5" s="354"/>
      <c r="BRN5" s="354"/>
      <c r="BRO5" s="354"/>
      <c r="BRP5" s="354"/>
      <c r="BRQ5" s="354"/>
      <c r="BRR5" s="354"/>
      <c r="BRS5" s="354"/>
      <c r="BRT5" s="354"/>
      <c r="BRU5" s="354"/>
      <c r="BRV5" s="354"/>
      <c r="BRW5" s="354"/>
      <c r="BRX5" s="354"/>
      <c r="BRY5" s="354"/>
      <c r="BRZ5" s="354"/>
      <c r="BSA5" s="354"/>
      <c r="BSB5" s="354"/>
      <c r="BSC5" s="354"/>
      <c r="BSD5" s="354"/>
      <c r="BSE5" s="354"/>
      <c r="BSF5" s="354"/>
      <c r="BSG5" s="354"/>
      <c r="BSH5" s="354"/>
      <c r="BSI5" s="354"/>
      <c r="BSJ5" s="354"/>
      <c r="BSK5" s="354"/>
      <c r="BSL5" s="354"/>
      <c r="BSM5" s="354"/>
      <c r="BSN5" s="354"/>
      <c r="BSO5" s="354"/>
      <c r="BSP5" s="354"/>
      <c r="BSQ5" s="354"/>
      <c r="BSR5" s="354"/>
      <c r="BSS5" s="354"/>
      <c r="BST5" s="354"/>
      <c r="BSU5" s="354"/>
      <c r="BSV5" s="354"/>
      <c r="BSW5" s="354"/>
      <c r="BSX5" s="354"/>
      <c r="BSY5" s="354"/>
      <c r="BSZ5" s="354"/>
      <c r="BTA5" s="354"/>
      <c r="BTB5" s="354"/>
      <c r="BTC5" s="354"/>
      <c r="BTD5" s="354"/>
      <c r="BTE5" s="354"/>
      <c r="BTF5" s="354"/>
      <c r="BTG5" s="354"/>
      <c r="BTH5" s="354"/>
      <c r="BTI5" s="354"/>
      <c r="BTJ5" s="354"/>
      <c r="BTK5" s="354"/>
      <c r="BTL5" s="354"/>
      <c r="BTM5" s="354"/>
      <c r="BTN5" s="354"/>
      <c r="BTO5" s="354"/>
      <c r="BTP5" s="354"/>
      <c r="BTQ5" s="354"/>
      <c r="BTR5" s="354"/>
      <c r="BTS5" s="354"/>
      <c r="BTT5" s="354"/>
      <c r="BTU5" s="354"/>
      <c r="BTV5" s="354"/>
      <c r="BTW5" s="354"/>
      <c r="BTX5" s="354"/>
      <c r="BTY5" s="354"/>
      <c r="BTZ5" s="354"/>
      <c r="BUA5" s="354"/>
      <c r="BUB5" s="354"/>
      <c r="BUC5" s="354"/>
      <c r="BUD5" s="354"/>
      <c r="BUE5" s="354"/>
      <c r="BUF5" s="354"/>
      <c r="BUG5" s="354"/>
      <c r="BUH5" s="354"/>
      <c r="BUI5" s="354"/>
      <c r="BUJ5" s="354"/>
      <c r="BUK5" s="354"/>
      <c r="BUL5" s="354"/>
      <c r="BUM5" s="354"/>
      <c r="BUN5" s="354"/>
      <c r="BUO5" s="354"/>
      <c r="BUP5" s="354"/>
      <c r="BUQ5" s="354"/>
      <c r="BUR5" s="354"/>
      <c r="BUS5" s="354"/>
      <c r="BUT5" s="354"/>
      <c r="BUU5" s="354"/>
      <c r="BUV5" s="354"/>
      <c r="BUW5" s="354"/>
      <c r="BUX5" s="354"/>
      <c r="BUY5" s="354"/>
      <c r="BUZ5" s="354"/>
      <c r="BVA5" s="354"/>
      <c r="BVB5" s="354"/>
      <c r="BVC5" s="354"/>
      <c r="BVD5" s="354"/>
      <c r="BVE5" s="354"/>
      <c r="BVF5" s="354"/>
      <c r="BVG5" s="354"/>
      <c r="BVH5" s="354"/>
      <c r="BVI5" s="354"/>
      <c r="BVJ5" s="354"/>
      <c r="BVK5" s="354"/>
      <c r="BVL5" s="354"/>
      <c r="BVM5" s="354"/>
      <c r="BVN5" s="354"/>
      <c r="BVO5" s="354"/>
      <c r="BVP5" s="354"/>
      <c r="BVQ5" s="354"/>
      <c r="BVR5" s="354"/>
      <c r="BVS5" s="354"/>
      <c r="BVT5" s="354"/>
      <c r="BVU5" s="354"/>
      <c r="BVV5" s="354"/>
      <c r="BVW5" s="354"/>
      <c r="BVX5" s="354"/>
      <c r="BVY5" s="354"/>
      <c r="BVZ5" s="354"/>
      <c r="BWA5" s="354"/>
      <c r="BWB5" s="354"/>
      <c r="BWC5" s="354"/>
      <c r="BWD5" s="354"/>
      <c r="BWE5" s="354"/>
      <c r="BWF5" s="354"/>
      <c r="BWG5" s="354"/>
      <c r="BWH5" s="354"/>
      <c r="BWI5" s="354"/>
      <c r="BWJ5" s="354"/>
      <c r="BWK5" s="354"/>
      <c r="BWL5" s="354"/>
      <c r="BWM5" s="354"/>
      <c r="BWN5" s="354"/>
      <c r="BWO5" s="354"/>
      <c r="BWP5" s="354"/>
      <c r="BWQ5" s="354"/>
      <c r="BWR5" s="354"/>
      <c r="BWS5" s="354"/>
      <c r="BWT5" s="354"/>
      <c r="BWU5" s="354"/>
      <c r="BWV5" s="354"/>
      <c r="BWW5" s="354"/>
      <c r="BWX5" s="354"/>
      <c r="BWY5" s="354"/>
      <c r="BWZ5" s="354"/>
      <c r="BXA5" s="354"/>
      <c r="BXB5" s="354"/>
      <c r="BXC5" s="354"/>
      <c r="BXD5" s="354"/>
      <c r="BXE5" s="354"/>
      <c r="BXF5" s="354"/>
      <c r="BXG5" s="354"/>
      <c r="BXH5" s="354"/>
      <c r="BXI5" s="354"/>
      <c r="BXJ5" s="354"/>
      <c r="BXK5" s="354"/>
      <c r="BXL5" s="354"/>
      <c r="BXM5" s="354"/>
      <c r="BXN5" s="354"/>
      <c r="BXO5" s="354"/>
      <c r="BXP5" s="354"/>
      <c r="BXQ5" s="354"/>
      <c r="BXR5" s="354"/>
      <c r="BXS5" s="354"/>
      <c r="BXT5" s="354"/>
      <c r="BXU5" s="354"/>
      <c r="BXV5" s="354"/>
      <c r="BXW5" s="354"/>
      <c r="BXX5" s="354"/>
      <c r="BXY5" s="354"/>
      <c r="BXZ5" s="354"/>
      <c r="BYA5" s="354"/>
      <c r="BYB5" s="354"/>
      <c r="BYC5" s="354"/>
      <c r="BYD5" s="354"/>
      <c r="BYE5" s="354"/>
      <c r="BYF5" s="354"/>
      <c r="BYG5" s="354"/>
      <c r="BYH5" s="354"/>
      <c r="BYI5" s="354"/>
      <c r="BYJ5" s="354"/>
      <c r="BYK5" s="354"/>
      <c r="BYL5" s="354"/>
      <c r="BYM5" s="354"/>
      <c r="BYN5" s="354"/>
      <c r="BYO5" s="354"/>
      <c r="BYP5" s="354"/>
      <c r="BYQ5" s="354"/>
      <c r="BYR5" s="354"/>
      <c r="BYS5" s="354"/>
      <c r="BYT5" s="354"/>
      <c r="BYU5" s="354"/>
      <c r="BYV5" s="354"/>
      <c r="BYW5" s="354"/>
      <c r="BYX5" s="354"/>
      <c r="BYY5" s="354"/>
      <c r="BYZ5" s="354"/>
      <c r="BZA5" s="354"/>
      <c r="BZB5" s="354"/>
      <c r="BZC5" s="354"/>
      <c r="BZD5" s="354"/>
      <c r="BZE5" s="354"/>
      <c r="BZF5" s="354"/>
      <c r="BZG5" s="354"/>
      <c r="BZH5" s="354"/>
      <c r="BZI5" s="354"/>
      <c r="BZJ5" s="354"/>
      <c r="BZK5" s="354"/>
      <c r="BZL5" s="354"/>
      <c r="BZM5" s="354"/>
      <c r="BZN5" s="354"/>
      <c r="BZO5" s="354"/>
      <c r="BZP5" s="354"/>
      <c r="BZQ5" s="354"/>
      <c r="BZR5" s="354"/>
      <c r="BZS5" s="354"/>
      <c r="BZT5" s="354"/>
      <c r="BZU5" s="354"/>
      <c r="BZV5" s="354"/>
      <c r="BZW5" s="354"/>
      <c r="BZX5" s="354"/>
      <c r="BZY5" s="354"/>
      <c r="BZZ5" s="354"/>
      <c r="CAA5" s="354"/>
      <c r="CAB5" s="354"/>
      <c r="CAC5" s="354"/>
      <c r="CAD5" s="354"/>
      <c r="CAE5" s="354"/>
      <c r="CAF5" s="354"/>
      <c r="CAG5" s="354"/>
      <c r="CAH5" s="354"/>
      <c r="CAI5" s="354"/>
      <c r="CAJ5" s="354"/>
      <c r="CAK5" s="354"/>
      <c r="CAL5" s="354"/>
      <c r="CAM5" s="354"/>
      <c r="CAN5" s="354"/>
      <c r="CAO5" s="354"/>
      <c r="CAP5" s="354"/>
      <c r="CAQ5" s="354"/>
      <c r="CAR5" s="354"/>
      <c r="CAS5" s="354"/>
      <c r="CAT5" s="354"/>
      <c r="CAU5" s="354"/>
      <c r="CAV5" s="354"/>
      <c r="CAW5" s="354"/>
      <c r="CAX5" s="354"/>
      <c r="CAY5" s="354"/>
      <c r="CAZ5" s="354"/>
      <c r="CBA5" s="354"/>
      <c r="CBB5" s="354"/>
      <c r="CBC5" s="354"/>
      <c r="CBD5" s="354"/>
      <c r="CBE5" s="354"/>
      <c r="CBF5" s="354"/>
      <c r="CBG5" s="354"/>
      <c r="CBH5" s="354"/>
      <c r="CBI5" s="354"/>
      <c r="CBJ5" s="354"/>
      <c r="CBK5" s="354"/>
      <c r="CBL5" s="354"/>
      <c r="CBM5" s="354"/>
      <c r="CBN5" s="354"/>
      <c r="CBO5" s="354"/>
      <c r="CBP5" s="354"/>
      <c r="CBQ5" s="354"/>
      <c r="CBR5" s="354"/>
      <c r="CBS5" s="354"/>
      <c r="CBT5" s="354"/>
      <c r="CBU5" s="354"/>
      <c r="CBV5" s="354"/>
      <c r="CBW5" s="354"/>
      <c r="CBX5" s="354"/>
      <c r="CBY5" s="354"/>
      <c r="CBZ5" s="354"/>
      <c r="CCA5" s="354"/>
      <c r="CCB5" s="354"/>
      <c r="CCC5" s="354"/>
      <c r="CCD5" s="354"/>
      <c r="CCE5" s="354"/>
      <c r="CCF5" s="354"/>
      <c r="CCG5" s="354"/>
      <c r="CCH5" s="354"/>
      <c r="CCI5" s="354"/>
      <c r="CCJ5" s="354"/>
      <c r="CCK5" s="354"/>
      <c r="CCL5" s="354"/>
      <c r="CCM5" s="354"/>
      <c r="CCN5" s="354"/>
      <c r="CCO5" s="354"/>
      <c r="CCP5" s="354"/>
      <c r="CCQ5" s="354"/>
      <c r="CCR5" s="354"/>
      <c r="CCS5" s="354"/>
      <c r="CCT5" s="354"/>
      <c r="CCU5" s="354"/>
      <c r="CCV5" s="354"/>
      <c r="CCW5" s="354"/>
      <c r="CCX5" s="354"/>
      <c r="CCY5" s="354"/>
      <c r="CCZ5" s="354"/>
      <c r="CDA5" s="354"/>
      <c r="CDB5" s="354"/>
      <c r="CDC5" s="354"/>
      <c r="CDD5" s="354"/>
      <c r="CDE5" s="354"/>
      <c r="CDF5" s="354"/>
      <c r="CDG5" s="354"/>
      <c r="CDH5" s="354"/>
      <c r="CDI5" s="354"/>
      <c r="CDJ5" s="354"/>
      <c r="CDK5" s="354"/>
      <c r="CDL5" s="354"/>
      <c r="CDM5" s="354"/>
      <c r="CDN5" s="354"/>
      <c r="CDO5" s="354"/>
      <c r="CDP5" s="354"/>
      <c r="CDQ5" s="354"/>
      <c r="CDR5" s="354"/>
      <c r="CDS5" s="354"/>
      <c r="CDT5" s="354"/>
      <c r="CDU5" s="354"/>
      <c r="CDV5" s="354"/>
      <c r="CDW5" s="354"/>
      <c r="CDX5" s="354"/>
      <c r="CDY5" s="354"/>
      <c r="CDZ5" s="354"/>
      <c r="CEA5" s="354"/>
      <c r="CEB5" s="354"/>
      <c r="CEC5" s="354"/>
      <c r="CED5" s="354"/>
      <c r="CEE5" s="354"/>
      <c r="CEF5" s="354"/>
      <c r="CEG5" s="354"/>
      <c r="CEH5" s="354"/>
      <c r="CEI5" s="354"/>
      <c r="CEJ5" s="354"/>
      <c r="CEK5" s="354"/>
      <c r="CEL5" s="354"/>
      <c r="CEM5" s="354"/>
      <c r="CEN5" s="354"/>
      <c r="CEO5" s="354"/>
      <c r="CEP5" s="354"/>
      <c r="CEQ5" s="354"/>
      <c r="CER5" s="354"/>
      <c r="CES5" s="354"/>
      <c r="CET5" s="354"/>
      <c r="CEU5" s="354"/>
      <c r="CEV5" s="354"/>
      <c r="CEW5" s="354"/>
      <c r="CEX5" s="354"/>
      <c r="CEY5" s="354"/>
      <c r="CEZ5" s="354"/>
      <c r="CFA5" s="354"/>
      <c r="CFB5" s="354"/>
      <c r="CFC5" s="354"/>
      <c r="CFD5" s="354"/>
      <c r="CFE5" s="354"/>
      <c r="CFF5" s="354"/>
      <c r="CFG5" s="354"/>
      <c r="CFH5" s="354"/>
      <c r="CFI5" s="354"/>
      <c r="CFJ5" s="354"/>
      <c r="CFK5" s="354"/>
      <c r="CFL5" s="354"/>
      <c r="CFM5" s="354"/>
      <c r="CFN5" s="354"/>
      <c r="CFO5" s="354"/>
      <c r="CFP5" s="354"/>
      <c r="CFQ5" s="354"/>
      <c r="CFR5" s="354"/>
      <c r="CFS5" s="354"/>
      <c r="CFT5" s="354"/>
      <c r="CFU5" s="354"/>
      <c r="CFV5" s="354"/>
      <c r="CFW5" s="354"/>
      <c r="CFX5" s="354"/>
      <c r="CFY5" s="354"/>
      <c r="CFZ5" s="354"/>
      <c r="CGA5" s="354"/>
      <c r="CGB5" s="354"/>
      <c r="CGC5" s="354"/>
      <c r="CGD5" s="354"/>
      <c r="CGE5" s="354"/>
      <c r="CGF5" s="354"/>
      <c r="CGG5" s="354"/>
      <c r="CGH5" s="354"/>
      <c r="CGI5" s="354"/>
      <c r="CGJ5" s="354"/>
      <c r="CGK5" s="354"/>
      <c r="CGL5" s="354"/>
      <c r="CGM5" s="354"/>
      <c r="CGN5" s="354"/>
      <c r="CGO5" s="354"/>
      <c r="CGP5" s="354"/>
      <c r="CGQ5" s="354"/>
      <c r="CGR5" s="354"/>
      <c r="CGS5" s="354"/>
      <c r="CGT5" s="354"/>
      <c r="CGU5" s="354"/>
      <c r="CGV5" s="354"/>
      <c r="CGW5" s="354"/>
      <c r="CGX5" s="354"/>
      <c r="CGY5" s="354"/>
      <c r="CGZ5" s="354"/>
      <c r="CHA5" s="354"/>
      <c r="CHB5" s="354"/>
      <c r="CHC5" s="354"/>
      <c r="CHD5" s="354"/>
      <c r="CHE5" s="354"/>
      <c r="CHF5" s="354"/>
      <c r="CHG5" s="354"/>
      <c r="CHH5" s="354"/>
      <c r="CHI5" s="354"/>
      <c r="CHJ5" s="354"/>
      <c r="CHK5" s="354"/>
      <c r="CHL5" s="354"/>
      <c r="CHM5" s="354"/>
      <c r="CHN5" s="354"/>
      <c r="CHO5" s="354"/>
      <c r="CHP5" s="354"/>
      <c r="CHQ5" s="354"/>
      <c r="CHR5" s="354"/>
      <c r="CHS5" s="354"/>
      <c r="CHT5" s="354"/>
      <c r="CHU5" s="354"/>
      <c r="CHV5" s="354"/>
      <c r="CHW5" s="354"/>
      <c r="CHX5" s="354"/>
      <c r="CHY5" s="354"/>
      <c r="CHZ5" s="354"/>
      <c r="CIA5" s="354"/>
      <c r="CIB5" s="354"/>
      <c r="CIC5" s="354"/>
      <c r="CID5" s="354"/>
      <c r="CIE5" s="354"/>
      <c r="CIF5" s="354"/>
      <c r="CIG5" s="354"/>
      <c r="CIH5" s="354"/>
      <c r="CII5" s="354"/>
      <c r="CIJ5" s="354"/>
      <c r="CIK5" s="354"/>
      <c r="CIL5" s="354"/>
      <c r="CIM5" s="354"/>
      <c r="CIN5" s="354"/>
      <c r="CIO5" s="354"/>
      <c r="CIP5" s="354"/>
      <c r="CIQ5" s="354"/>
      <c r="CIR5" s="354"/>
      <c r="CIS5" s="354"/>
      <c r="CIT5" s="354"/>
      <c r="CIU5" s="354"/>
      <c r="CIV5" s="354"/>
      <c r="CIW5" s="354"/>
      <c r="CIX5" s="354"/>
      <c r="CIY5" s="354"/>
      <c r="CIZ5" s="354"/>
      <c r="CJA5" s="354"/>
      <c r="CJB5" s="354"/>
      <c r="CJC5" s="354"/>
      <c r="CJD5" s="354"/>
      <c r="CJE5" s="354"/>
      <c r="CJF5" s="354"/>
      <c r="CJG5" s="354"/>
      <c r="CJH5" s="354"/>
      <c r="CJI5" s="354"/>
      <c r="CJJ5" s="354"/>
      <c r="CJK5" s="354"/>
      <c r="CJL5" s="354"/>
      <c r="CJM5" s="354"/>
      <c r="CJN5" s="354"/>
      <c r="CJO5" s="354"/>
      <c r="CJP5" s="354"/>
      <c r="CJQ5" s="354"/>
      <c r="CJR5" s="354"/>
      <c r="CJS5" s="354"/>
      <c r="CJT5" s="354"/>
      <c r="CJU5" s="354"/>
      <c r="CJV5" s="354"/>
      <c r="CJW5" s="354"/>
      <c r="CJX5" s="354"/>
      <c r="CJY5" s="354"/>
      <c r="CJZ5" s="354"/>
      <c r="CKA5" s="354"/>
      <c r="CKB5" s="354"/>
      <c r="CKC5" s="354"/>
      <c r="CKD5" s="354"/>
      <c r="CKE5" s="354"/>
      <c r="CKF5" s="354"/>
      <c r="CKG5" s="354"/>
      <c r="CKH5" s="354"/>
      <c r="CKI5" s="354"/>
      <c r="CKJ5" s="354"/>
      <c r="CKK5" s="354"/>
      <c r="CKL5" s="354"/>
      <c r="CKM5" s="354"/>
      <c r="CKN5" s="354"/>
      <c r="CKO5" s="354"/>
      <c r="CKP5" s="354"/>
      <c r="CKQ5" s="354"/>
      <c r="CKR5" s="354"/>
      <c r="CKS5" s="354"/>
      <c r="CKT5" s="354"/>
      <c r="CKU5" s="354"/>
      <c r="CKV5" s="354"/>
      <c r="CKW5" s="354"/>
      <c r="CKX5" s="354"/>
      <c r="CKY5" s="354"/>
      <c r="CKZ5" s="354"/>
      <c r="CLA5" s="354"/>
      <c r="CLB5" s="354"/>
      <c r="CLC5" s="354"/>
      <c r="CLD5" s="354"/>
      <c r="CLE5" s="354"/>
      <c r="CLF5" s="354"/>
      <c r="CLG5" s="354"/>
      <c r="CLH5" s="354"/>
      <c r="CLI5" s="354"/>
      <c r="CLJ5" s="354"/>
      <c r="CLK5" s="354"/>
      <c r="CLL5" s="354"/>
      <c r="CLM5" s="354"/>
      <c r="CLN5" s="354"/>
      <c r="CLO5" s="354"/>
      <c r="CLP5" s="354"/>
      <c r="CLQ5" s="354"/>
      <c r="CLR5" s="354"/>
      <c r="CLS5" s="354"/>
      <c r="CLT5" s="354"/>
      <c r="CLU5" s="354"/>
      <c r="CLV5" s="354"/>
      <c r="CLW5" s="354"/>
      <c r="CLX5" s="354"/>
      <c r="CLY5" s="354"/>
      <c r="CLZ5" s="354"/>
      <c r="CMA5" s="354"/>
      <c r="CMB5" s="354"/>
      <c r="CMC5" s="354"/>
      <c r="CMD5" s="354"/>
      <c r="CME5" s="354"/>
      <c r="CMF5" s="354"/>
      <c r="CMG5" s="354"/>
      <c r="CMH5" s="354"/>
      <c r="CMI5" s="354"/>
      <c r="CMJ5" s="354"/>
      <c r="CMK5" s="354"/>
      <c r="CML5" s="354"/>
      <c r="CMM5" s="354"/>
      <c r="CMN5" s="354"/>
      <c r="CMO5" s="354"/>
      <c r="CMP5" s="354"/>
      <c r="CMQ5" s="354"/>
      <c r="CMR5" s="354"/>
      <c r="CMS5" s="354"/>
      <c r="CMT5" s="354"/>
      <c r="CMU5" s="354"/>
      <c r="CMV5" s="354"/>
      <c r="CMW5" s="354"/>
      <c r="CMX5" s="354"/>
      <c r="CMY5" s="354"/>
      <c r="CMZ5" s="354"/>
      <c r="CNA5" s="354"/>
      <c r="CNB5" s="354"/>
      <c r="CNC5" s="354"/>
      <c r="CND5" s="354"/>
      <c r="CNE5" s="354"/>
      <c r="CNF5" s="354"/>
      <c r="CNG5" s="354"/>
      <c r="CNH5" s="354"/>
      <c r="CNI5" s="354"/>
      <c r="CNJ5" s="354"/>
      <c r="CNK5" s="354"/>
      <c r="CNL5" s="354"/>
      <c r="CNM5" s="354"/>
      <c r="CNN5" s="354"/>
      <c r="CNO5" s="354"/>
      <c r="CNP5" s="354"/>
      <c r="CNQ5" s="354"/>
      <c r="CNR5" s="354"/>
      <c r="CNS5" s="354"/>
      <c r="CNT5" s="354"/>
      <c r="CNU5" s="354"/>
      <c r="CNV5" s="354"/>
      <c r="CNW5" s="354"/>
      <c r="CNX5" s="354"/>
      <c r="CNY5" s="354"/>
      <c r="CNZ5" s="354"/>
      <c r="COA5" s="354"/>
      <c r="COB5" s="354"/>
      <c r="COC5" s="354"/>
      <c r="COD5" s="354"/>
      <c r="COE5" s="354"/>
      <c r="COF5" s="354"/>
      <c r="COG5" s="354"/>
      <c r="COH5" s="354"/>
      <c r="COI5" s="354"/>
      <c r="COJ5" s="354"/>
      <c r="COK5" s="354"/>
      <c r="COL5" s="354"/>
      <c r="COM5" s="354"/>
      <c r="CON5" s="354"/>
      <c r="COO5" s="354"/>
      <c r="COP5" s="354"/>
      <c r="COQ5" s="354"/>
      <c r="COR5" s="354"/>
      <c r="COS5" s="354"/>
      <c r="COT5" s="354"/>
      <c r="COU5" s="354"/>
      <c r="COV5" s="354"/>
      <c r="COW5" s="354"/>
      <c r="COX5" s="354"/>
      <c r="COY5" s="354"/>
      <c r="COZ5" s="354"/>
      <c r="CPA5" s="354"/>
      <c r="CPB5" s="354"/>
      <c r="CPC5" s="354"/>
      <c r="CPD5" s="354"/>
      <c r="CPE5" s="354"/>
      <c r="CPF5" s="354"/>
      <c r="CPG5" s="354"/>
      <c r="CPH5" s="354"/>
      <c r="CPI5" s="354"/>
      <c r="CPJ5" s="354"/>
      <c r="CPK5" s="354"/>
      <c r="CPL5" s="354"/>
      <c r="CPM5" s="354"/>
      <c r="CPN5" s="354"/>
      <c r="CPO5" s="354"/>
      <c r="CPP5" s="354"/>
      <c r="CPQ5" s="354"/>
      <c r="CPR5" s="354"/>
      <c r="CPS5" s="354"/>
      <c r="CPT5" s="354"/>
      <c r="CPU5" s="354"/>
      <c r="CPV5" s="354"/>
      <c r="CPW5" s="354"/>
      <c r="CPX5" s="354"/>
      <c r="CPY5" s="354"/>
      <c r="CPZ5" s="354"/>
      <c r="CQA5" s="354"/>
      <c r="CQB5" s="354"/>
      <c r="CQC5" s="354"/>
      <c r="CQD5" s="354"/>
      <c r="CQE5" s="354"/>
      <c r="CQF5" s="354"/>
      <c r="CQG5" s="354"/>
      <c r="CQH5" s="354"/>
      <c r="CQI5" s="354"/>
      <c r="CQJ5" s="354"/>
      <c r="CQK5" s="354"/>
      <c r="CQL5" s="354"/>
      <c r="CQM5" s="354"/>
      <c r="CQN5" s="354"/>
      <c r="CQO5" s="354"/>
      <c r="CQP5" s="354"/>
      <c r="CQQ5" s="354"/>
      <c r="CQR5" s="354"/>
      <c r="CQS5" s="354"/>
      <c r="CQT5" s="354"/>
      <c r="CQU5" s="354"/>
      <c r="CQV5" s="354"/>
      <c r="CQW5" s="354"/>
      <c r="CQX5" s="354"/>
      <c r="CQY5" s="354"/>
      <c r="CQZ5" s="354"/>
      <c r="CRA5" s="354"/>
      <c r="CRB5" s="354"/>
      <c r="CRC5" s="354"/>
      <c r="CRD5" s="354"/>
      <c r="CRE5" s="354"/>
      <c r="CRF5" s="354"/>
      <c r="CRG5" s="354"/>
      <c r="CRH5" s="354"/>
      <c r="CRI5" s="354"/>
      <c r="CRJ5" s="354"/>
      <c r="CRK5" s="354"/>
      <c r="CRL5" s="354"/>
      <c r="CRM5" s="354"/>
      <c r="CRN5" s="354"/>
      <c r="CRO5" s="354"/>
      <c r="CRP5" s="354"/>
      <c r="CRQ5" s="354"/>
      <c r="CRR5" s="354"/>
      <c r="CRS5" s="354"/>
      <c r="CRT5" s="354"/>
      <c r="CRU5" s="354"/>
      <c r="CRV5" s="354"/>
      <c r="CRW5" s="354"/>
      <c r="CRX5" s="354"/>
      <c r="CRY5" s="354"/>
      <c r="CRZ5" s="354"/>
      <c r="CSA5" s="354"/>
      <c r="CSB5" s="354"/>
      <c r="CSC5" s="354"/>
      <c r="CSD5" s="354"/>
      <c r="CSE5" s="354"/>
      <c r="CSF5" s="354"/>
      <c r="CSG5" s="354"/>
      <c r="CSH5" s="354"/>
      <c r="CSI5" s="354"/>
      <c r="CSJ5" s="354"/>
      <c r="CSK5" s="354"/>
      <c r="CSL5" s="354"/>
      <c r="CSM5" s="354"/>
      <c r="CSN5" s="354"/>
      <c r="CSO5" s="354"/>
      <c r="CSP5" s="354"/>
      <c r="CSQ5" s="354"/>
      <c r="CSR5" s="354"/>
      <c r="CSS5" s="354"/>
      <c r="CST5" s="354"/>
      <c r="CSU5" s="354"/>
      <c r="CSV5" s="354"/>
      <c r="CSW5" s="354"/>
      <c r="CSX5" s="354"/>
      <c r="CSY5" s="354"/>
      <c r="CSZ5" s="354"/>
      <c r="CTA5" s="354"/>
      <c r="CTB5" s="354"/>
      <c r="CTC5" s="354"/>
      <c r="CTD5" s="354"/>
      <c r="CTE5" s="354"/>
      <c r="CTF5" s="354"/>
      <c r="CTG5" s="354"/>
      <c r="CTH5" s="354"/>
      <c r="CTI5" s="354"/>
      <c r="CTJ5" s="354"/>
      <c r="CTK5" s="354"/>
      <c r="CTL5" s="354"/>
      <c r="CTM5" s="354"/>
      <c r="CTN5" s="354"/>
      <c r="CTO5" s="354"/>
      <c r="CTP5" s="354"/>
      <c r="CTQ5" s="354"/>
      <c r="CTR5" s="354"/>
      <c r="CTS5" s="354"/>
      <c r="CTT5" s="354"/>
      <c r="CTU5" s="354"/>
      <c r="CTV5" s="354"/>
      <c r="CTW5" s="354"/>
      <c r="CTX5" s="354"/>
      <c r="CTY5" s="354"/>
      <c r="CTZ5" s="354"/>
      <c r="CUA5" s="354"/>
      <c r="CUB5" s="354"/>
      <c r="CUC5" s="354"/>
      <c r="CUD5" s="354"/>
      <c r="CUE5" s="354"/>
      <c r="CUF5" s="354"/>
      <c r="CUG5" s="354"/>
      <c r="CUH5" s="354"/>
      <c r="CUI5" s="354"/>
      <c r="CUJ5" s="354"/>
      <c r="CUK5" s="354"/>
      <c r="CUL5" s="354"/>
      <c r="CUM5" s="354"/>
      <c r="CUN5" s="354"/>
      <c r="CUO5" s="354"/>
      <c r="CUP5" s="354"/>
      <c r="CUQ5" s="354"/>
      <c r="CUR5" s="354"/>
      <c r="CUS5" s="354"/>
      <c r="CUT5" s="354"/>
      <c r="CUU5" s="354"/>
      <c r="CUV5" s="354"/>
      <c r="CUW5" s="354"/>
      <c r="CUX5" s="354"/>
      <c r="CUY5" s="354"/>
      <c r="CUZ5" s="354"/>
      <c r="CVA5" s="354"/>
      <c r="CVB5" s="354"/>
      <c r="CVC5" s="354"/>
      <c r="CVD5" s="354"/>
      <c r="CVE5" s="354"/>
      <c r="CVF5" s="354"/>
      <c r="CVG5" s="354"/>
      <c r="CVH5" s="354"/>
      <c r="CVI5" s="354"/>
      <c r="CVJ5" s="354"/>
      <c r="CVK5" s="354"/>
      <c r="CVL5" s="354"/>
      <c r="CVM5" s="354"/>
      <c r="CVN5" s="354"/>
      <c r="CVO5" s="354"/>
      <c r="CVP5" s="354"/>
      <c r="CVQ5" s="354"/>
      <c r="CVR5" s="354"/>
      <c r="CVS5" s="354"/>
      <c r="CVT5" s="354"/>
      <c r="CVU5" s="354"/>
      <c r="CVV5" s="354"/>
      <c r="CVW5" s="354"/>
      <c r="CVX5" s="354"/>
      <c r="CVY5" s="354"/>
      <c r="CVZ5" s="354"/>
      <c r="CWA5" s="354"/>
      <c r="CWB5" s="354"/>
      <c r="CWC5" s="354"/>
      <c r="CWD5" s="354"/>
      <c r="CWE5" s="354"/>
      <c r="CWF5" s="354"/>
      <c r="CWG5" s="354"/>
      <c r="CWH5" s="354"/>
      <c r="CWI5" s="354"/>
      <c r="CWJ5" s="354"/>
      <c r="CWK5" s="354"/>
      <c r="CWL5" s="354"/>
      <c r="CWM5" s="354"/>
      <c r="CWN5" s="354"/>
      <c r="CWO5" s="354"/>
      <c r="CWP5" s="354"/>
      <c r="CWQ5" s="354"/>
      <c r="CWR5" s="354"/>
      <c r="CWS5" s="354"/>
      <c r="CWT5" s="354"/>
      <c r="CWU5" s="354"/>
      <c r="CWV5" s="354"/>
      <c r="CWW5" s="354"/>
      <c r="CWX5" s="354"/>
      <c r="CWY5" s="354"/>
      <c r="CWZ5" s="354"/>
      <c r="CXA5" s="354"/>
      <c r="CXB5" s="354"/>
      <c r="CXC5" s="354"/>
      <c r="CXD5" s="354"/>
      <c r="CXE5" s="354"/>
      <c r="CXF5" s="354"/>
      <c r="CXG5" s="354"/>
      <c r="CXH5" s="354"/>
      <c r="CXI5" s="354"/>
      <c r="CXJ5" s="354"/>
      <c r="CXK5" s="354"/>
      <c r="CXL5" s="354"/>
      <c r="CXM5" s="354"/>
      <c r="CXN5" s="354"/>
      <c r="CXO5" s="354"/>
      <c r="CXP5" s="354"/>
      <c r="CXQ5" s="354"/>
      <c r="CXR5" s="354"/>
      <c r="CXS5" s="354"/>
      <c r="CXT5" s="354"/>
      <c r="CXU5" s="354"/>
      <c r="CXV5" s="354"/>
      <c r="CXW5" s="354"/>
      <c r="CXX5" s="354"/>
      <c r="CXY5" s="354"/>
      <c r="CXZ5" s="354"/>
      <c r="CYA5" s="354"/>
      <c r="CYB5" s="354"/>
      <c r="CYC5" s="354"/>
      <c r="CYD5" s="354"/>
      <c r="CYE5" s="354"/>
      <c r="CYF5" s="354"/>
      <c r="CYG5" s="354"/>
      <c r="CYH5" s="354"/>
      <c r="CYI5" s="354"/>
      <c r="CYJ5" s="354"/>
      <c r="CYK5" s="354"/>
      <c r="CYL5" s="354"/>
      <c r="CYM5" s="354"/>
      <c r="CYN5" s="354"/>
      <c r="CYO5" s="354"/>
      <c r="CYP5" s="354"/>
      <c r="CYQ5" s="354"/>
      <c r="CYR5" s="354"/>
      <c r="CYS5" s="354"/>
      <c r="CYT5" s="354"/>
      <c r="CYU5" s="354"/>
      <c r="CYV5" s="354"/>
      <c r="CYW5" s="354"/>
      <c r="CYX5" s="354"/>
      <c r="CYY5" s="354"/>
      <c r="CYZ5" s="354"/>
      <c r="CZA5" s="354"/>
      <c r="CZB5" s="354"/>
      <c r="CZC5" s="354"/>
      <c r="CZD5" s="354"/>
      <c r="CZE5" s="354"/>
      <c r="CZF5" s="354"/>
      <c r="CZG5" s="354"/>
      <c r="CZH5" s="354"/>
      <c r="CZI5" s="354"/>
      <c r="CZJ5" s="354"/>
      <c r="CZK5" s="354"/>
      <c r="CZL5" s="354"/>
      <c r="CZM5" s="354"/>
      <c r="CZN5" s="354"/>
      <c r="CZO5" s="354"/>
      <c r="CZP5" s="354"/>
      <c r="CZQ5" s="354"/>
      <c r="CZR5" s="354"/>
      <c r="CZS5" s="354"/>
      <c r="CZT5" s="354"/>
      <c r="CZU5" s="354"/>
      <c r="CZV5" s="354"/>
      <c r="CZW5" s="354"/>
      <c r="CZX5" s="354"/>
      <c r="CZY5" s="354"/>
      <c r="CZZ5" s="354"/>
      <c r="DAA5" s="354"/>
      <c r="DAB5" s="354"/>
      <c r="DAC5" s="354"/>
      <c r="DAD5" s="354"/>
      <c r="DAE5" s="354"/>
      <c r="DAF5" s="354"/>
      <c r="DAG5" s="354"/>
      <c r="DAH5" s="354"/>
      <c r="DAI5" s="354"/>
      <c r="DAJ5" s="354"/>
      <c r="DAK5" s="354"/>
      <c r="DAL5" s="354"/>
      <c r="DAM5" s="354"/>
      <c r="DAN5" s="354"/>
      <c r="DAO5" s="354"/>
      <c r="DAP5" s="354"/>
      <c r="DAQ5" s="354"/>
      <c r="DAR5" s="354"/>
      <c r="DAS5" s="354"/>
      <c r="DAT5" s="354"/>
      <c r="DAU5" s="354"/>
      <c r="DAV5" s="354"/>
      <c r="DAW5" s="354"/>
      <c r="DAX5" s="354"/>
      <c r="DAY5" s="354"/>
      <c r="DAZ5" s="354"/>
      <c r="DBA5" s="354"/>
      <c r="DBB5" s="354"/>
      <c r="DBC5" s="354"/>
      <c r="DBD5" s="354"/>
      <c r="DBE5" s="354"/>
      <c r="DBF5" s="354"/>
      <c r="DBG5" s="354"/>
      <c r="DBH5" s="354"/>
      <c r="DBI5" s="354"/>
      <c r="DBJ5" s="354"/>
      <c r="DBK5" s="354"/>
      <c r="DBL5" s="354"/>
      <c r="DBM5" s="354"/>
      <c r="DBN5" s="354"/>
      <c r="DBO5" s="354"/>
      <c r="DBP5" s="354"/>
      <c r="DBQ5" s="354"/>
      <c r="DBR5" s="354"/>
      <c r="DBS5" s="354"/>
      <c r="DBT5" s="354"/>
      <c r="DBU5" s="354"/>
      <c r="DBV5" s="354"/>
      <c r="DBW5" s="354"/>
      <c r="DBX5" s="354"/>
      <c r="DBY5" s="354"/>
      <c r="DBZ5" s="354"/>
      <c r="DCA5" s="354"/>
      <c r="DCB5" s="354"/>
      <c r="DCC5" s="354"/>
      <c r="DCD5" s="354"/>
      <c r="DCE5" s="354"/>
      <c r="DCF5" s="354"/>
      <c r="DCG5" s="354"/>
      <c r="DCH5" s="354"/>
      <c r="DCI5" s="354"/>
      <c r="DCJ5" s="354"/>
      <c r="DCK5" s="354"/>
      <c r="DCL5" s="354"/>
      <c r="DCM5" s="354"/>
      <c r="DCN5" s="354"/>
      <c r="DCO5" s="354"/>
      <c r="DCP5" s="354"/>
      <c r="DCQ5" s="354"/>
      <c r="DCR5" s="354"/>
      <c r="DCS5" s="354"/>
      <c r="DCT5" s="354"/>
      <c r="DCU5" s="354"/>
      <c r="DCV5" s="354"/>
      <c r="DCW5" s="354"/>
      <c r="DCX5" s="354"/>
      <c r="DCY5" s="354"/>
      <c r="DCZ5" s="354"/>
      <c r="DDA5" s="354"/>
      <c r="DDB5" s="354"/>
      <c r="DDC5" s="354"/>
      <c r="DDD5" s="354"/>
      <c r="DDE5" s="354"/>
      <c r="DDF5" s="354"/>
      <c r="DDG5" s="354"/>
      <c r="DDH5" s="354"/>
      <c r="DDI5" s="354"/>
      <c r="DDJ5" s="354"/>
      <c r="DDK5" s="354"/>
      <c r="DDL5" s="354"/>
      <c r="DDM5" s="354"/>
      <c r="DDN5" s="354"/>
      <c r="DDO5" s="354"/>
      <c r="DDP5" s="354"/>
      <c r="DDQ5" s="354"/>
      <c r="DDR5" s="354"/>
      <c r="DDS5" s="354"/>
      <c r="DDT5" s="354"/>
      <c r="DDU5" s="354"/>
      <c r="DDV5" s="354"/>
      <c r="DDW5" s="354"/>
      <c r="DDX5" s="354"/>
      <c r="DDY5" s="354"/>
      <c r="DDZ5" s="354"/>
      <c r="DEA5" s="354"/>
      <c r="DEB5" s="354"/>
      <c r="DEC5" s="354"/>
      <c r="DED5" s="354"/>
      <c r="DEE5" s="354"/>
      <c r="DEF5" s="354"/>
      <c r="DEG5" s="354"/>
      <c r="DEH5" s="354"/>
      <c r="DEI5" s="354"/>
      <c r="DEJ5" s="354"/>
      <c r="DEK5" s="354"/>
      <c r="DEL5" s="354"/>
      <c r="DEM5" s="354"/>
      <c r="DEN5" s="354"/>
      <c r="DEO5" s="354"/>
      <c r="DEP5" s="354"/>
      <c r="DEQ5" s="354"/>
      <c r="DER5" s="354"/>
      <c r="DES5" s="354"/>
      <c r="DET5" s="354"/>
      <c r="DEU5" s="354"/>
      <c r="DEV5" s="354"/>
      <c r="DEW5" s="354"/>
      <c r="DEX5" s="354"/>
      <c r="DEY5" s="354"/>
      <c r="DEZ5" s="354"/>
      <c r="DFA5" s="354"/>
      <c r="DFB5" s="354"/>
      <c r="DFC5" s="354"/>
      <c r="DFD5" s="354"/>
      <c r="DFE5" s="354"/>
      <c r="DFF5" s="354"/>
      <c r="DFG5" s="354"/>
      <c r="DFH5" s="354"/>
      <c r="DFI5" s="354"/>
      <c r="DFJ5" s="354"/>
      <c r="DFK5" s="354"/>
      <c r="DFL5" s="354"/>
      <c r="DFM5" s="354"/>
      <c r="DFN5" s="354"/>
      <c r="DFO5" s="354"/>
      <c r="DFP5" s="354"/>
      <c r="DFQ5" s="354"/>
      <c r="DFR5" s="354"/>
      <c r="DFS5" s="354"/>
      <c r="DFT5" s="354"/>
      <c r="DFU5" s="354"/>
      <c r="DFV5" s="354"/>
      <c r="DFW5" s="354"/>
      <c r="DFX5" s="354"/>
      <c r="DFY5" s="354"/>
      <c r="DFZ5" s="354"/>
      <c r="DGA5" s="354"/>
      <c r="DGB5" s="354"/>
      <c r="DGC5" s="354"/>
      <c r="DGD5" s="354"/>
      <c r="DGE5" s="354"/>
      <c r="DGF5" s="354"/>
      <c r="DGG5" s="354"/>
      <c r="DGH5" s="354"/>
      <c r="DGI5" s="354"/>
      <c r="DGJ5" s="354"/>
      <c r="DGK5" s="354"/>
      <c r="DGL5" s="354"/>
      <c r="DGM5" s="354"/>
      <c r="DGN5" s="354"/>
      <c r="DGO5" s="354"/>
      <c r="DGP5" s="354"/>
      <c r="DGQ5" s="354"/>
      <c r="DGR5" s="354"/>
      <c r="DGS5" s="354"/>
      <c r="DGT5" s="354"/>
      <c r="DGU5" s="354"/>
      <c r="DGV5" s="354"/>
      <c r="DGW5" s="354"/>
      <c r="DGX5" s="354"/>
      <c r="DGY5" s="354"/>
      <c r="DGZ5" s="354"/>
      <c r="DHA5" s="354"/>
      <c r="DHB5" s="354"/>
      <c r="DHC5" s="354"/>
      <c r="DHD5" s="354"/>
      <c r="DHE5" s="354"/>
      <c r="DHF5" s="354"/>
      <c r="DHG5" s="354"/>
      <c r="DHH5" s="354"/>
      <c r="DHI5" s="354"/>
      <c r="DHJ5" s="354"/>
      <c r="DHK5" s="354"/>
      <c r="DHL5" s="354"/>
      <c r="DHM5" s="354"/>
      <c r="DHN5" s="354"/>
      <c r="DHO5" s="354"/>
      <c r="DHP5" s="354"/>
      <c r="DHQ5" s="354"/>
      <c r="DHR5" s="354"/>
      <c r="DHS5" s="354"/>
      <c r="DHT5" s="354"/>
      <c r="DHU5" s="354"/>
      <c r="DHV5" s="354"/>
      <c r="DHW5" s="354"/>
      <c r="DHX5" s="354"/>
      <c r="DHY5" s="354"/>
      <c r="DHZ5" s="354"/>
      <c r="DIA5" s="354"/>
      <c r="DIB5" s="354"/>
      <c r="DIC5" s="354"/>
      <c r="DID5" s="354"/>
      <c r="DIE5" s="354"/>
      <c r="DIF5" s="354"/>
      <c r="DIG5" s="354"/>
      <c r="DIH5" s="354"/>
      <c r="DII5" s="354"/>
      <c r="DIJ5" s="354"/>
      <c r="DIK5" s="354"/>
      <c r="DIL5" s="354"/>
      <c r="DIM5" s="354"/>
      <c r="DIN5" s="354"/>
      <c r="DIO5" s="354"/>
      <c r="DIP5" s="354"/>
      <c r="DIQ5" s="354"/>
      <c r="DIR5" s="354"/>
      <c r="DIS5" s="354"/>
      <c r="DIT5" s="354"/>
      <c r="DIU5" s="354"/>
      <c r="DIV5" s="354"/>
      <c r="DIW5" s="354"/>
      <c r="DIX5" s="354"/>
      <c r="DIY5" s="354"/>
      <c r="DIZ5" s="354"/>
      <c r="DJA5" s="354"/>
      <c r="DJB5" s="354"/>
      <c r="DJC5" s="354"/>
      <c r="DJD5" s="354"/>
      <c r="DJE5" s="354"/>
      <c r="DJF5" s="354"/>
      <c r="DJG5" s="354"/>
      <c r="DJH5" s="354"/>
      <c r="DJI5" s="354"/>
      <c r="DJJ5" s="354"/>
      <c r="DJK5" s="354"/>
      <c r="DJL5" s="354"/>
      <c r="DJM5" s="354"/>
      <c r="DJN5" s="354"/>
      <c r="DJO5" s="354"/>
      <c r="DJP5" s="354"/>
      <c r="DJQ5" s="354"/>
      <c r="DJR5" s="354"/>
      <c r="DJS5" s="354"/>
      <c r="DJT5" s="354"/>
      <c r="DJU5" s="354"/>
      <c r="DJV5" s="354"/>
      <c r="DJW5" s="354"/>
      <c r="DJX5" s="354"/>
      <c r="DJY5" s="354"/>
      <c r="DJZ5" s="354"/>
      <c r="DKA5" s="354"/>
      <c r="DKB5" s="354"/>
      <c r="DKC5" s="354"/>
      <c r="DKD5" s="354"/>
      <c r="DKE5" s="354"/>
      <c r="DKF5" s="354"/>
      <c r="DKG5" s="354"/>
      <c r="DKH5" s="354"/>
      <c r="DKI5" s="354"/>
      <c r="DKJ5" s="354"/>
      <c r="DKK5" s="354"/>
      <c r="DKL5" s="354"/>
      <c r="DKM5" s="354"/>
      <c r="DKN5" s="354"/>
      <c r="DKO5" s="354"/>
      <c r="DKP5" s="354"/>
      <c r="DKQ5" s="354"/>
      <c r="DKR5" s="354"/>
      <c r="DKS5" s="354"/>
      <c r="DKT5" s="354"/>
      <c r="DKU5" s="354"/>
      <c r="DKV5" s="354"/>
      <c r="DKW5" s="354"/>
      <c r="DKX5" s="354"/>
      <c r="DKY5" s="354"/>
      <c r="DKZ5" s="354"/>
      <c r="DLA5" s="354"/>
      <c r="DLB5" s="354"/>
      <c r="DLC5" s="354"/>
      <c r="DLD5" s="354"/>
      <c r="DLE5" s="354"/>
      <c r="DLF5" s="354"/>
      <c r="DLG5" s="354"/>
      <c r="DLH5" s="354"/>
      <c r="DLI5" s="354"/>
      <c r="DLJ5" s="354"/>
      <c r="DLK5" s="354"/>
      <c r="DLL5" s="354"/>
      <c r="DLM5" s="354"/>
      <c r="DLN5" s="354"/>
      <c r="DLO5" s="354"/>
      <c r="DLP5" s="354"/>
      <c r="DLQ5" s="354"/>
      <c r="DLR5" s="354"/>
      <c r="DLS5" s="354"/>
      <c r="DLT5" s="354"/>
      <c r="DLU5" s="354"/>
      <c r="DLV5" s="354"/>
      <c r="DLW5" s="354"/>
      <c r="DLX5" s="354"/>
      <c r="DLY5" s="354"/>
      <c r="DLZ5" s="354"/>
      <c r="DMA5" s="354"/>
      <c r="DMB5" s="354"/>
      <c r="DMC5" s="354"/>
      <c r="DMD5" s="354"/>
      <c r="DME5" s="354"/>
      <c r="DMF5" s="354"/>
      <c r="DMG5" s="354"/>
      <c r="DMH5" s="354"/>
      <c r="DMI5" s="354"/>
      <c r="DMJ5" s="354"/>
      <c r="DMK5" s="354"/>
      <c r="DML5" s="354"/>
      <c r="DMM5" s="354"/>
      <c r="DMN5" s="354"/>
      <c r="DMO5" s="354"/>
      <c r="DMP5" s="354"/>
      <c r="DMQ5" s="354"/>
      <c r="DMR5" s="354"/>
      <c r="DMS5" s="354"/>
      <c r="DMT5" s="354"/>
      <c r="DMU5" s="354"/>
      <c r="DMV5" s="354"/>
      <c r="DMW5" s="354"/>
      <c r="DMX5" s="354"/>
      <c r="DMY5" s="354"/>
      <c r="DMZ5" s="354"/>
      <c r="DNA5" s="354"/>
      <c r="DNB5" s="354"/>
      <c r="DNC5" s="354"/>
      <c r="DND5" s="354"/>
      <c r="DNE5" s="354"/>
      <c r="DNF5" s="354"/>
      <c r="DNG5" s="354"/>
      <c r="DNH5" s="354"/>
      <c r="DNI5" s="354"/>
      <c r="DNJ5" s="354"/>
      <c r="DNK5" s="354"/>
      <c r="DNL5" s="354"/>
      <c r="DNM5" s="354"/>
      <c r="DNN5" s="354"/>
      <c r="DNO5" s="354"/>
      <c r="DNP5" s="354"/>
      <c r="DNQ5" s="354"/>
      <c r="DNR5" s="354"/>
      <c r="DNS5" s="354"/>
      <c r="DNT5" s="354"/>
      <c r="DNU5" s="354"/>
      <c r="DNV5" s="354"/>
      <c r="DNW5" s="354"/>
      <c r="DNX5" s="354"/>
      <c r="DNY5" s="354"/>
      <c r="DNZ5" s="354"/>
      <c r="DOA5" s="354"/>
      <c r="DOB5" s="354"/>
      <c r="DOC5" s="354"/>
      <c r="DOD5" s="354"/>
      <c r="DOE5" s="354"/>
      <c r="DOF5" s="354"/>
      <c r="DOG5" s="354"/>
      <c r="DOH5" s="354"/>
      <c r="DOI5" s="354"/>
      <c r="DOJ5" s="354"/>
      <c r="DOK5" s="354"/>
      <c r="DOL5" s="354"/>
      <c r="DOM5" s="354"/>
      <c r="DON5" s="354"/>
      <c r="DOO5" s="354"/>
      <c r="DOP5" s="354"/>
      <c r="DOQ5" s="354"/>
      <c r="DOR5" s="354"/>
      <c r="DOS5" s="354"/>
      <c r="DOT5" s="354"/>
      <c r="DOU5" s="354"/>
      <c r="DOV5" s="354"/>
      <c r="DOW5" s="354"/>
      <c r="DOX5" s="354"/>
      <c r="DOY5" s="354"/>
      <c r="DOZ5" s="354"/>
      <c r="DPA5" s="354"/>
      <c r="DPB5" s="354"/>
      <c r="DPC5" s="354"/>
      <c r="DPD5" s="354"/>
      <c r="DPE5" s="354"/>
      <c r="DPF5" s="354"/>
      <c r="DPG5" s="354"/>
      <c r="DPH5" s="354"/>
      <c r="DPI5" s="354"/>
      <c r="DPJ5" s="354"/>
      <c r="DPK5" s="354"/>
      <c r="DPL5" s="354"/>
      <c r="DPM5" s="354"/>
      <c r="DPN5" s="354"/>
      <c r="DPO5" s="354"/>
      <c r="DPP5" s="354"/>
      <c r="DPQ5" s="354"/>
      <c r="DPR5" s="354"/>
      <c r="DPS5" s="354"/>
      <c r="DPT5" s="354"/>
      <c r="DPU5" s="354"/>
      <c r="DPV5" s="354"/>
      <c r="DPW5" s="354"/>
      <c r="DPX5" s="354"/>
      <c r="DPY5" s="354"/>
      <c r="DPZ5" s="354"/>
      <c r="DQA5" s="354"/>
      <c r="DQB5" s="354"/>
      <c r="DQC5" s="354"/>
      <c r="DQD5" s="354"/>
      <c r="DQE5" s="354"/>
      <c r="DQF5" s="354"/>
      <c r="DQG5" s="354"/>
      <c r="DQH5" s="354"/>
      <c r="DQI5" s="354"/>
      <c r="DQJ5" s="354"/>
      <c r="DQK5" s="354"/>
      <c r="DQL5" s="354"/>
      <c r="DQM5" s="354"/>
      <c r="DQN5" s="354"/>
      <c r="DQO5" s="354"/>
      <c r="DQP5" s="354"/>
      <c r="DQQ5" s="354"/>
      <c r="DQR5" s="354"/>
      <c r="DQS5" s="354"/>
      <c r="DQT5" s="354"/>
      <c r="DQU5" s="354"/>
      <c r="DQV5" s="354"/>
      <c r="DQW5" s="354"/>
      <c r="DQX5" s="354"/>
      <c r="DQY5" s="354"/>
      <c r="DQZ5" s="354"/>
      <c r="DRA5" s="354"/>
      <c r="DRB5" s="354"/>
      <c r="DRC5" s="354"/>
      <c r="DRD5" s="354"/>
      <c r="DRE5" s="354"/>
      <c r="DRF5" s="354"/>
      <c r="DRG5" s="354"/>
      <c r="DRH5" s="354"/>
      <c r="DRI5" s="354"/>
      <c r="DRJ5" s="354"/>
      <c r="DRK5" s="354"/>
      <c r="DRL5" s="354"/>
      <c r="DRM5" s="354"/>
      <c r="DRN5" s="354"/>
      <c r="DRO5" s="354"/>
      <c r="DRP5" s="354"/>
      <c r="DRQ5" s="354"/>
      <c r="DRR5" s="354"/>
      <c r="DRS5" s="354"/>
      <c r="DRT5" s="354"/>
      <c r="DRU5" s="354"/>
      <c r="DRV5" s="354"/>
      <c r="DRW5" s="354"/>
      <c r="DRX5" s="354"/>
      <c r="DRY5" s="354"/>
      <c r="DRZ5" s="354"/>
      <c r="DSA5" s="354"/>
      <c r="DSB5" s="354"/>
      <c r="DSC5" s="354"/>
      <c r="DSD5" s="354"/>
      <c r="DSE5" s="354"/>
      <c r="DSF5" s="354"/>
      <c r="DSG5" s="354"/>
      <c r="DSH5" s="354"/>
      <c r="DSI5" s="354"/>
      <c r="DSJ5" s="354"/>
      <c r="DSK5" s="354"/>
      <c r="DSL5" s="354"/>
      <c r="DSM5" s="354"/>
      <c r="DSN5" s="354"/>
      <c r="DSO5" s="354"/>
      <c r="DSP5" s="354"/>
      <c r="DSQ5" s="354"/>
      <c r="DSR5" s="354"/>
      <c r="DSS5" s="354"/>
      <c r="DST5" s="354"/>
      <c r="DSU5" s="354"/>
      <c r="DSV5" s="354"/>
      <c r="DSW5" s="354"/>
      <c r="DSX5" s="354"/>
      <c r="DSY5" s="354"/>
      <c r="DSZ5" s="354"/>
      <c r="DTA5" s="354"/>
      <c r="DTB5" s="354"/>
      <c r="DTC5" s="354"/>
      <c r="DTD5" s="354"/>
      <c r="DTE5" s="354"/>
      <c r="DTF5" s="354"/>
      <c r="DTG5" s="354"/>
      <c r="DTH5" s="354"/>
      <c r="DTI5" s="354"/>
      <c r="DTJ5" s="354"/>
      <c r="DTK5" s="354"/>
      <c r="DTL5" s="354"/>
      <c r="DTM5" s="354"/>
      <c r="DTN5" s="354"/>
      <c r="DTO5" s="354"/>
      <c r="DTP5" s="354"/>
      <c r="DTQ5" s="354"/>
      <c r="DTR5" s="354"/>
      <c r="DTS5" s="354"/>
      <c r="DTT5" s="354"/>
      <c r="DTU5" s="354"/>
      <c r="DTV5" s="354"/>
      <c r="DTW5" s="354"/>
      <c r="DTX5" s="354"/>
      <c r="DTY5" s="354"/>
      <c r="DTZ5" s="354"/>
      <c r="DUA5" s="354"/>
      <c r="DUB5" s="354"/>
      <c r="DUC5" s="354"/>
      <c r="DUD5" s="354"/>
      <c r="DUE5" s="354"/>
      <c r="DUF5" s="354"/>
      <c r="DUG5" s="354"/>
      <c r="DUH5" s="354"/>
      <c r="DUI5" s="354"/>
      <c r="DUJ5" s="354"/>
      <c r="DUK5" s="354"/>
      <c r="DUL5" s="354"/>
      <c r="DUM5" s="354"/>
      <c r="DUN5" s="354"/>
      <c r="DUO5" s="354"/>
      <c r="DUP5" s="354"/>
      <c r="DUQ5" s="354"/>
      <c r="DUR5" s="354"/>
      <c r="DUS5" s="354"/>
      <c r="DUT5" s="354"/>
      <c r="DUU5" s="354"/>
      <c r="DUV5" s="354"/>
      <c r="DUW5" s="354"/>
      <c r="DUX5" s="354"/>
      <c r="DUY5" s="354"/>
      <c r="DUZ5" s="354"/>
      <c r="DVA5" s="354"/>
      <c r="DVB5" s="354"/>
      <c r="DVC5" s="354"/>
      <c r="DVD5" s="354"/>
      <c r="DVE5" s="354"/>
      <c r="DVF5" s="354"/>
      <c r="DVG5" s="354"/>
      <c r="DVH5" s="354"/>
      <c r="DVI5" s="354"/>
      <c r="DVJ5" s="354"/>
      <c r="DVK5" s="354"/>
      <c r="DVL5" s="354"/>
      <c r="DVM5" s="354"/>
      <c r="DVN5" s="354"/>
      <c r="DVO5" s="354"/>
      <c r="DVP5" s="354"/>
      <c r="DVQ5" s="354"/>
      <c r="DVR5" s="354"/>
      <c r="DVS5" s="354"/>
      <c r="DVT5" s="354"/>
      <c r="DVU5" s="354"/>
      <c r="DVV5" s="354"/>
      <c r="DVW5" s="354"/>
      <c r="DVX5" s="354"/>
      <c r="DVY5" s="354"/>
      <c r="DVZ5" s="354"/>
      <c r="DWA5" s="354"/>
      <c r="DWB5" s="354"/>
      <c r="DWC5" s="354"/>
      <c r="DWD5" s="354"/>
      <c r="DWE5" s="354"/>
      <c r="DWF5" s="354"/>
      <c r="DWG5" s="354"/>
      <c r="DWH5" s="354"/>
      <c r="DWI5" s="354"/>
      <c r="DWJ5" s="354"/>
      <c r="DWK5" s="354"/>
      <c r="DWL5" s="354"/>
      <c r="DWM5" s="354"/>
      <c r="DWN5" s="354"/>
      <c r="DWO5" s="354"/>
      <c r="DWP5" s="354"/>
      <c r="DWQ5" s="354"/>
      <c r="DWR5" s="354"/>
      <c r="DWS5" s="354"/>
      <c r="DWT5" s="354"/>
      <c r="DWU5" s="354"/>
      <c r="DWV5" s="354"/>
      <c r="DWW5" s="354"/>
      <c r="DWX5" s="354"/>
      <c r="DWY5" s="354"/>
      <c r="DWZ5" s="354"/>
      <c r="DXA5" s="354"/>
      <c r="DXB5" s="354"/>
      <c r="DXC5" s="354"/>
      <c r="DXD5" s="354"/>
      <c r="DXE5" s="354"/>
      <c r="DXF5" s="354"/>
      <c r="DXG5" s="354"/>
      <c r="DXH5" s="354"/>
      <c r="DXI5" s="354"/>
      <c r="DXJ5" s="354"/>
      <c r="DXK5" s="354"/>
      <c r="DXL5" s="354"/>
      <c r="DXM5" s="354"/>
      <c r="DXN5" s="354"/>
      <c r="DXO5" s="354"/>
      <c r="DXP5" s="354"/>
      <c r="DXQ5" s="354"/>
      <c r="DXR5" s="354"/>
      <c r="DXS5" s="354"/>
      <c r="DXT5" s="354"/>
      <c r="DXU5" s="354"/>
      <c r="DXV5" s="354"/>
      <c r="DXW5" s="354"/>
      <c r="DXX5" s="354"/>
      <c r="DXY5" s="354"/>
      <c r="DXZ5" s="354"/>
      <c r="DYA5" s="354"/>
      <c r="DYB5" s="354"/>
      <c r="DYC5" s="354"/>
      <c r="DYD5" s="354"/>
      <c r="DYE5" s="354"/>
      <c r="DYF5" s="354"/>
      <c r="DYG5" s="354"/>
      <c r="DYH5" s="354"/>
      <c r="DYI5" s="354"/>
      <c r="DYJ5" s="354"/>
      <c r="DYK5" s="354"/>
      <c r="DYL5" s="354"/>
      <c r="DYM5" s="354"/>
      <c r="DYN5" s="354"/>
      <c r="DYO5" s="354"/>
      <c r="DYP5" s="354"/>
      <c r="DYQ5" s="354"/>
      <c r="DYR5" s="354"/>
      <c r="DYS5" s="354"/>
      <c r="DYT5" s="354"/>
      <c r="DYU5" s="354"/>
      <c r="DYV5" s="354"/>
      <c r="DYW5" s="354"/>
      <c r="DYX5" s="354"/>
      <c r="DYY5" s="354"/>
      <c r="DYZ5" s="354"/>
      <c r="DZA5" s="354"/>
      <c r="DZB5" s="354"/>
      <c r="DZC5" s="354"/>
      <c r="DZD5" s="354"/>
      <c r="DZE5" s="354"/>
      <c r="DZF5" s="354"/>
      <c r="DZG5" s="354"/>
      <c r="DZH5" s="354"/>
      <c r="DZI5" s="354"/>
      <c r="DZJ5" s="354"/>
      <c r="DZK5" s="354"/>
      <c r="DZL5" s="354"/>
      <c r="DZM5" s="354"/>
      <c r="DZN5" s="354"/>
      <c r="DZO5" s="354"/>
      <c r="DZP5" s="354"/>
      <c r="DZQ5" s="354"/>
      <c r="DZR5" s="354"/>
      <c r="DZS5" s="354"/>
      <c r="DZT5" s="354"/>
      <c r="DZU5" s="354"/>
      <c r="DZV5" s="354"/>
      <c r="DZW5" s="354"/>
      <c r="DZX5" s="354"/>
      <c r="DZY5" s="354"/>
      <c r="DZZ5" s="354"/>
      <c r="EAA5" s="354"/>
      <c r="EAB5" s="354"/>
      <c r="EAC5" s="354"/>
      <c r="EAD5" s="354"/>
      <c r="EAE5" s="354"/>
      <c r="EAF5" s="354"/>
      <c r="EAG5" s="354"/>
      <c r="EAH5" s="354"/>
      <c r="EAI5" s="354"/>
      <c r="EAJ5" s="354"/>
      <c r="EAK5" s="354"/>
      <c r="EAL5" s="354"/>
      <c r="EAM5" s="354"/>
      <c r="EAN5" s="354"/>
      <c r="EAO5" s="354"/>
      <c r="EAP5" s="354"/>
      <c r="EAQ5" s="354"/>
      <c r="EAR5" s="354"/>
      <c r="EAS5" s="354"/>
      <c r="EAT5" s="354"/>
      <c r="EAU5" s="354"/>
      <c r="EAV5" s="354"/>
      <c r="EAW5" s="354"/>
      <c r="EAX5" s="354"/>
      <c r="EAY5" s="354"/>
      <c r="EAZ5" s="354"/>
      <c r="EBA5" s="354"/>
      <c r="EBB5" s="354"/>
      <c r="EBC5" s="354"/>
      <c r="EBD5" s="354"/>
      <c r="EBE5" s="354"/>
      <c r="EBF5" s="354"/>
      <c r="EBG5" s="354"/>
      <c r="EBH5" s="354"/>
      <c r="EBI5" s="354"/>
      <c r="EBJ5" s="354"/>
      <c r="EBK5" s="354"/>
      <c r="EBL5" s="354"/>
      <c r="EBM5" s="354"/>
      <c r="EBN5" s="354"/>
      <c r="EBO5" s="354"/>
      <c r="EBP5" s="354"/>
      <c r="EBQ5" s="354"/>
      <c r="EBR5" s="354"/>
      <c r="EBS5" s="354"/>
      <c r="EBT5" s="354"/>
      <c r="EBU5" s="354"/>
      <c r="EBV5" s="354"/>
      <c r="EBW5" s="354"/>
      <c r="EBX5" s="354"/>
      <c r="EBY5" s="354"/>
      <c r="EBZ5" s="354"/>
      <c r="ECA5" s="354"/>
      <c r="ECB5" s="354"/>
      <c r="ECC5" s="354"/>
      <c r="ECD5" s="354"/>
      <c r="ECE5" s="354"/>
      <c r="ECF5" s="354"/>
      <c r="ECG5" s="354"/>
      <c r="ECH5" s="354"/>
      <c r="ECI5" s="354"/>
      <c r="ECJ5" s="354"/>
      <c r="ECK5" s="354"/>
      <c r="ECL5" s="354"/>
      <c r="ECM5" s="354"/>
      <c r="ECN5" s="354"/>
      <c r="ECO5" s="354"/>
      <c r="ECP5" s="354"/>
      <c r="ECQ5" s="354"/>
      <c r="ECR5" s="354"/>
      <c r="ECS5" s="354"/>
      <c r="ECT5" s="354"/>
      <c r="ECU5" s="354"/>
      <c r="ECV5" s="354"/>
      <c r="ECW5" s="354"/>
      <c r="ECX5" s="354"/>
      <c r="ECY5" s="354"/>
      <c r="ECZ5" s="354"/>
      <c r="EDA5" s="354"/>
      <c r="EDB5" s="354"/>
      <c r="EDC5" s="354"/>
      <c r="EDD5" s="354"/>
      <c r="EDE5" s="354"/>
      <c r="EDF5" s="354"/>
      <c r="EDG5" s="354"/>
      <c r="EDH5" s="354"/>
      <c r="EDI5" s="354"/>
      <c r="EDJ5" s="354"/>
      <c r="EDK5" s="354"/>
      <c r="EDL5" s="354"/>
      <c r="EDM5" s="354"/>
      <c r="EDN5" s="354"/>
      <c r="EDO5" s="354"/>
      <c r="EDP5" s="354"/>
      <c r="EDQ5" s="354"/>
      <c r="EDR5" s="354"/>
      <c r="EDS5" s="354"/>
      <c r="EDT5" s="354"/>
      <c r="EDU5" s="354"/>
      <c r="EDV5" s="354"/>
      <c r="EDW5" s="354"/>
      <c r="EDX5" s="354"/>
      <c r="EDY5" s="354"/>
      <c r="EDZ5" s="354"/>
      <c r="EEA5" s="354"/>
      <c r="EEB5" s="354"/>
      <c r="EEC5" s="354"/>
      <c r="EED5" s="354"/>
      <c r="EEE5" s="354"/>
      <c r="EEF5" s="354"/>
      <c r="EEG5" s="354"/>
      <c r="EEH5" s="354"/>
      <c r="EEI5" s="354"/>
      <c r="EEJ5" s="354"/>
      <c r="EEK5" s="354"/>
      <c r="EEL5" s="354"/>
      <c r="EEM5" s="354"/>
      <c r="EEN5" s="354"/>
      <c r="EEO5" s="354"/>
      <c r="EEP5" s="354"/>
      <c r="EEQ5" s="354"/>
      <c r="EER5" s="354"/>
      <c r="EES5" s="354"/>
      <c r="EET5" s="354"/>
      <c r="EEU5" s="354"/>
      <c r="EEV5" s="354"/>
      <c r="EEW5" s="354"/>
      <c r="EEX5" s="354"/>
      <c r="EEY5" s="354"/>
      <c r="EEZ5" s="354"/>
      <c r="EFA5" s="354"/>
      <c r="EFB5" s="354"/>
      <c r="EFC5" s="354"/>
      <c r="EFD5" s="354"/>
      <c r="EFE5" s="354"/>
      <c r="EFF5" s="354"/>
      <c r="EFG5" s="354"/>
      <c r="EFH5" s="354"/>
      <c r="EFI5" s="354"/>
      <c r="EFJ5" s="354"/>
      <c r="EFK5" s="354"/>
      <c r="EFL5" s="354"/>
      <c r="EFM5" s="354"/>
      <c r="EFN5" s="354"/>
      <c r="EFO5" s="354"/>
      <c r="EFP5" s="354"/>
      <c r="EFQ5" s="354"/>
      <c r="EFR5" s="354"/>
      <c r="EFS5" s="354"/>
      <c r="EFT5" s="354"/>
      <c r="EFU5" s="354"/>
      <c r="EFV5" s="354"/>
      <c r="EFW5" s="354"/>
      <c r="EFX5" s="354"/>
      <c r="EFY5" s="354"/>
      <c r="EFZ5" s="354"/>
      <c r="EGA5" s="354"/>
      <c r="EGB5" s="354"/>
      <c r="EGC5" s="354"/>
      <c r="EGD5" s="354"/>
      <c r="EGE5" s="354"/>
      <c r="EGF5" s="354"/>
      <c r="EGG5" s="354"/>
      <c r="EGH5" s="354"/>
      <c r="EGI5" s="354"/>
      <c r="EGJ5" s="354"/>
      <c r="EGK5" s="354"/>
      <c r="EGL5" s="354"/>
      <c r="EGM5" s="354"/>
      <c r="EGN5" s="354"/>
      <c r="EGO5" s="354"/>
      <c r="EGP5" s="354"/>
      <c r="EGQ5" s="354"/>
      <c r="EGR5" s="354"/>
      <c r="EGS5" s="354"/>
      <c r="EGT5" s="354"/>
      <c r="EGU5" s="354"/>
      <c r="EGV5" s="354"/>
      <c r="EGW5" s="354"/>
      <c r="EGX5" s="354"/>
      <c r="EGY5" s="354"/>
      <c r="EGZ5" s="354"/>
      <c r="EHA5" s="354"/>
      <c r="EHB5" s="354"/>
      <c r="EHC5" s="354"/>
      <c r="EHD5" s="354"/>
      <c r="EHE5" s="354"/>
      <c r="EHF5" s="354"/>
      <c r="EHG5" s="354"/>
      <c r="EHH5" s="354"/>
      <c r="EHI5" s="354"/>
      <c r="EHJ5" s="354"/>
      <c r="EHK5" s="354"/>
      <c r="EHL5" s="354"/>
      <c r="EHM5" s="354"/>
      <c r="EHN5" s="354"/>
      <c r="EHO5" s="354"/>
      <c r="EHP5" s="354"/>
      <c r="EHQ5" s="354"/>
      <c r="EHR5" s="354"/>
      <c r="EHS5" s="354"/>
      <c r="EHT5" s="354"/>
      <c r="EHU5" s="354"/>
      <c r="EHV5" s="354"/>
      <c r="EHW5" s="354"/>
      <c r="EHX5" s="354"/>
      <c r="EHY5" s="354"/>
      <c r="EHZ5" s="354"/>
      <c r="EIA5" s="354"/>
      <c r="EIB5" s="354"/>
      <c r="EIC5" s="354"/>
      <c r="EID5" s="354"/>
      <c r="EIE5" s="354"/>
      <c r="EIF5" s="354"/>
      <c r="EIG5" s="354"/>
      <c r="EIH5" s="354"/>
      <c r="EII5" s="354"/>
      <c r="EIJ5" s="354"/>
      <c r="EIK5" s="354"/>
      <c r="EIL5" s="354"/>
      <c r="EIM5" s="354"/>
      <c r="EIN5" s="354"/>
      <c r="EIO5" s="354"/>
      <c r="EIP5" s="354"/>
      <c r="EIQ5" s="354"/>
      <c r="EIR5" s="354"/>
      <c r="EIS5" s="354"/>
      <c r="EIT5" s="354"/>
      <c r="EIU5" s="354"/>
      <c r="EIV5" s="354"/>
      <c r="EIW5" s="354"/>
      <c r="EIX5" s="354"/>
      <c r="EIY5" s="354"/>
      <c r="EIZ5" s="354"/>
      <c r="EJA5" s="354"/>
      <c r="EJB5" s="354"/>
      <c r="EJC5" s="354"/>
      <c r="EJD5" s="354"/>
      <c r="EJE5" s="354"/>
      <c r="EJF5" s="354"/>
      <c r="EJG5" s="354"/>
      <c r="EJH5" s="354"/>
      <c r="EJI5" s="354"/>
      <c r="EJJ5" s="354"/>
      <c r="EJK5" s="354"/>
      <c r="EJL5" s="354"/>
      <c r="EJM5" s="354"/>
      <c r="EJN5" s="354"/>
      <c r="EJO5" s="354"/>
      <c r="EJP5" s="354"/>
      <c r="EJQ5" s="354"/>
      <c r="EJR5" s="354"/>
      <c r="EJS5" s="354"/>
      <c r="EJT5" s="354"/>
      <c r="EJU5" s="354"/>
      <c r="EJV5" s="354"/>
      <c r="EJW5" s="354"/>
      <c r="EJX5" s="354"/>
      <c r="EJY5" s="354"/>
      <c r="EJZ5" s="354"/>
      <c r="EKA5" s="354"/>
      <c r="EKB5" s="354"/>
      <c r="EKC5" s="354"/>
      <c r="EKD5" s="354"/>
      <c r="EKE5" s="354"/>
      <c r="EKF5" s="354"/>
      <c r="EKG5" s="354"/>
      <c r="EKH5" s="354"/>
      <c r="EKI5" s="354"/>
      <c r="EKJ5" s="354"/>
      <c r="EKK5" s="354"/>
      <c r="EKL5" s="354"/>
      <c r="EKM5" s="354"/>
      <c r="EKN5" s="354"/>
      <c r="EKO5" s="354"/>
      <c r="EKP5" s="354"/>
      <c r="EKQ5" s="354"/>
      <c r="EKR5" s="354"/>
      <c r="EKS5" s="354"/>
      <c r="EKT5" s="354"/>
      <c r="EKU5" s="354"/>
      <c r="EKV5" s="354"/>
      <c r="EKW5" s="354"/>
      <c r="EKX5" s="354"/>
      <c r="EKY5" s="354"/>
      <c r="EKZ5" s="354"/>
      <c r="ELA5" s="354"/>
      <c r="ELB5" s="354"/>
      <c r="ELC5" s="354"/>
      <c r="ELD5" s="354"/>
      <c r="ELE5" s="354"/>
      <c r="ELF5" s="354"/>
      <c r="ELG5" s="354"/>
      <c r="ELH5" s="354"/>
      <c r="ELI5" s="354"/>
      <c r="ELJ5" s="354"/>
      <c r="ELK5" s="354"/>
      <c r="ELL5" s="354"/>
      <c r="ELM5" s="354"/>
      <c r="ELN5" s="354"/>
      <c r="ELO5" s="354"/>
      <c r="ELP5" s="354"/>
      <c r="ELQ5" s="354"/>
      <c r="ELR5" s="354"/>
      <c r="ELS5" s="354"/>
      <c r="ELT5" s="354"/>
      <c r="ELU5" s="354"/>
      <c r="ELV5" s="354"/>
      <c r="ELW5" s="354"/>
      <c r="ELX5" s="354"/>
      <c r="ELY5" s="354"/>
      <c r="ELZ5" s="354"/>
      <c r="EMA5" s="354"/>
      <c r="EMB5" s="354"/>
      <c r="EMC5" s="354"/>
      <c r="EMD5" s="354"/>
      <c r="EME5" s="354"/>
      <c r="EMF5" s="354"/>
      <c r="EMG5" s="354"/>
      <c r="EMH5" s="354"/>
      <c r="EMI5" s="354"/>
      <c r="EMJ5" s="354"/>
      <c r="EMK5" s="354"/>
      <c r="EML5" s="354"/>
      <c r="EMM5" s="354"/>
      <c r="EMN5" s="354"/>
      <c r="EMO5" s="354"/>
      <c r="EMP5" s="354"/>
      <c r="EMQ5" s="354"/>
      <c r="EMR5" s="354"/>
      <c r="EMS5" s="354"/>
      <c r="EMT5" s="354"/>
      <c r="EMU5" s="354"/>
      <c r="EMV5" s="354"/>
      <c r="EMW5" s="354"/>
      <c r="EMX5" s="354"/>
      <c r="EMY5" s="354"/>
      <c r="EMZ5" s="354"/>
      <c r="ENA5" s="354"/>
      <c r="ENB5" s="354"/>
      <c r="ENC5" s="354"/>
      <c r="END5" s="354"/>
      <c r="ENE5" s="354"/>
      <c r="ENF5" s="354"/>
      <c r="ENG5" s="354"/>
      <c r="ENH5" s="354"/>
      <c r="ENI5" s="354"/>
      <c r="ENJ5" s="354"/>
      <c r="ENK5" s="354"/>
      <c r="ENL5" s="354"/>
      <c r="ENM5" s="354"/>
      <c r="ENN5" s="354"/>
      <c r="ENO5" s="354"/>
      <c r="ENP5" s="354"/>
      <c r="ENQ5" s="354"/>
      <c r="ENR5" s="354"/>
      <c r="ENS5" s="354"/>
      <c r="ENT5" s="354"/>
      <c r="ENU5" s="354"/>
      <c r="ENV5" s="354"/>
      <c r="ENW5" s="354"/>
      <c r="ENX5" s="354"/>
      <c r="ENY5" s="354"/>
      <c r="ENZ5" s="354"/>
      <c r="EOA5" s="354"/>
      <c r="EOB5" s="354"/>
      <c r="EOC5" s="354"/>
      <c r="EOD5" s="354"/>
      <c r="EOE5" s="354"/>
      <c r="EOF5" s="354"/>
      <c r="EOG5" s="354"/>
      <c r="EOH5" s="354"/>
      <c r="EOI5" s="354"/>
      <c r="EOJ5" s="354"/>
      <c r="EOK5" s="354"/>
      <c r="EOL5" s="354"/>
      <c r="EOM5" s="354"/>
      <c r="EON5" s="354"/>
      <c r="EOO5" s="354"/>
      <c r="EOP5" s="354"/>
      <c r="EOQ5" s="354"/>
      <c r="EOR5" s="354"/>
      <c r="EOS5" s="354"/>
      <c r="EOT5" s="354"/>
      <c r="EOU5" s="354"/>
      <c r="EOV5" s="354"/>
      <c r="EOW5" s="354"/>
      <c r="EOX5" s="354"/>
      <c r="EOY5" s="354"/>
      <c r="EOZ5" s="354"/>
      <c r="EPA5" s="354"/>
      <c r="EPB5" s="354"/>
      <c r="EPC5" s="354"/>
      <c r="EPD5" s="354"/>
      <c r="EPE5" s="354"/>
      <c r="EPF5" s="354"/>
      <c r="EPG5" s="354"/>
      <c r="EPH5" s="354"/>
      <c r="EPI5" s="354"/>
      <c r="EPJ5" s="354"/>
      <c r="EPK5" s="354"/>
      <c r="EPL5" s="354"/>
      <c r="EPM5" s="354"/>
      <c r="EPN5" s="354"/>
      <c r="EPO5" s="354"/>
      <c r="EPP5" s="354"/>
      <c r="EPQ5" s="354"/>
      <c r="EPR5" s="354"/>
      <c r="EPS5" s="354"/>
      <c r="EPT5" s="354"/>
      <c r="EPU5" s="354"/>
      <c r="EPV5" s="354"/>
      <c r="EPW5" s="354"/>
      <c r="EPX5" s="354"/>
      <c r="EPY5" s="354"/>
      <c r="EPZ5" s="354"/>
      <c r="EQA5" s="354"/>
      <c r="EQB5" s="354"/>
      <c r="EQC5" s="354"/>
      <c r="EQD5" s="354"/>
      <c r="EQE5" s="354"/>
      <c r="EQF5" s="354"/>
      <c r="EQG5" s="354"/>
      <c r="EQH5" s="354"/>
      <c r="EQI5" s="354"/>
      <c r="EQJ5" s="354"/>
      <c r="EQK5" s="354"/>
      <c r="EQL5" s="354"/>
      <c r="EQM5" s="354"/>
      <c r="EQN5" s="354"/>
      <c r="EQO5" s="354"/>
      <c r="EQP5" s="354"/>
      <c r="EQQ5" s="354"/>
      <c r="EQR5" s="354"/>
      <c r="EQS5" s="354"/>
      <c r="EQT5" s="354"/>
      <c r="EQU5" s="354"/>
      <c r="EQV5" s="354"/>
      <c r="EQW5" s="354"/>
      <c r="EQX5" s="354"/>
      <c r="EQY5" s="354"/>
      <c r="EQZ5" s="354"/>
      <c r="ERA5" s="354"/>
      <c r="ERB5" s="354"/>
      <c r="ERC5" s="354"/>
      <c r="ERD5" s="354"/>
      <c r="ERE5" s="354"/>
      <c r="ERF5" s="354"/>
      <c r="ERG5" s="354"/>
      <c r="ERH5" s="354"/>
      <c r="ERI5" s="354"/>
      <c r="ERJ5" s="354"/>
      <c r="ERK5" s="354"/>
      <c r="ERL5" s="354"/>
      <c r="ERM5" s="354"/>
      <c r="ERN5" s="354"/>
      <c r="ERO5" s="354"/>
      <c r="ERP5" s="354"/>
      <c r="ERQ5" s="354"/>
      <c r="ERR5" s="354"/>
      <c r="ERS5" s="354"/>
      <c r="ERT5" s="354"/>
      <c r="ERU5" s="354"/>
      <c r="ERV5" s="354"/>
      <c r="ERW5" s="354"/>
      <c r="ERX5" s="354"/>
      <c r="ERY5" s="354"/>
      <c r="ERZ5" s="354"/>
      <c r="ESA5" s="354"/>
      <c r="ESB5" s="354"/>
      <c r="ESC5" s="354"/>
      <c r="ESD5" s="354"/>
      <c r="ESE5" s="354"/>
      <c r="ESF5" s="354"/>
      <c r="ESG5" s="354"/>
      <c r="ESH5" s="354"/>
      <c r="ESI5" s="354"/>
      <c r="ESJ5" s="354"/>
      <c r="ESK5" s="354"/>
      <c r="ESL5" s="354"/>
      <c r="ESM5" s="354"/>
      <c r="ESN5" s="354"/>
      <c r="ESO5" s="354"/>
      <c r="ESP5" s="354"/>
      <c r="ESQ5" s="354"/>
      <c r="ESR5" s="354"/>
      <c r="ESS5" s="354"/>
      <c r="EST5" s="354"/>
      <c r="ESU5" s="354"/>
      <c r="ESV5" s="354"/>
      <c r="ESW5" s="354"/>
      <c r="ESX5" s="354"/>
      <c r="ESY5" s="354"/>
      <c r="ESZ5" s="354"/>
      <c r="ETA5" s="354"/>
      <c r="ETB5" s="354"/>
      <c r="ETC5" s="354"/>
      <c r="ETD5" s="354"/>
      <c r="ETE5" s="354"/>
      <c r="ETF5" s="354"/>
      <c r="ETG5" s="354"/>
      <c r="ETH5" s="354"/>
      <c r="ETI5" s="354"/>
      <c r="ETJ5" s="354"/>
      <c r="ETK5" s="354"/>
      <c r="ETL5" s="354"/>
      <c r="ETM5" s="354"/>
      <c r="ETN5" s="354"/>
      <c r="ETO5" s="354"/>
      <c r="ETP5" s="354"/>
      <c r="ETQ5" s="354"/>
      <c r="ETR5" s="354"/>
      <c r="ETS5" s="354"/>
      <c r="ETT5" s="354"/>
      <c r="ETU5" s="354"/>
      <c r="ETV5" s="354"/>
      <c r="ETW5" s="354"/>
      <c r="ETX5" s="354"/>
      <c r="ETY5" s="354"/>
      <c r="ETZ5" s="354"/>
      <c r="EUA5" s="354"/>
      <c r="EUB5" s="354"/>
      <c r="EUC5" s="354"/>
      <c r="EUD5" s="354"/>
      <c r="EUE5" s="354"/>
      <c r="EUF5" s="354"/>
      <c r="EUG5" s="354"/>
      <c r="EUH5" s="354"/>
      <c r="EUI5" s="354"/>
      <c r="EUJ5" s="354"/>
      <c r="EUK5" s="354"/>
      <c r="EUL5" s="354"/>
      <c r="EUM5" s="354"/>
      <c r="EUN5" s="354"/>
      <c r="EUO5" s="354"/>
      <c r="EUP5" s="354"/>
      <c r="EUQ5" s="354"/>
      <c r="EUR5" s="354"/>
      <c r="EUS5" s="354"/>
      <c r="EUT5" s="354"/>
      <c r="EUU5" s="354"/>
      <c r="EUV5" s="354"/>
      <c r="EUW5" s="354"/>
      <c r="EUX5" s="354"/>
      <c r="EUY5" s="354"/>
      <c r="EUZ5" s="354"/>
      <c r="EVA5" s="354"/>
      <c r="EVB5" s="354"/>
      <c r="EVC5" s="354"/>
      <c r="EVD5" s="354"/>
      <c r="EVE5" s="354"/>
      <c r="EVF5" s="354"/>
      <c r="EVG5" s="354"/>
      <c r="EVH5" s="354"/>
      <c r="EVI5" s="354"/>
      <c r="EVJ5" s="354"/>
      <c r="EVK5" s="354"/>
      <c r="EVL5" s="354"/>
      <c r="EVM5" s="354"/>
      <c r="EVN5" s="354"/>
      <c r="EVO5" s="354"/>
      <c r="EVP5" s="354"/>
      <c r="EVQ5" s="354"/>
      <c r="EVR5" s="354"/>
      <c r="EVS5" s="354"/>
      <c r="EVT5" s="354"/>
      <c r="EVU5" s="354"/>
      <c r="EVV5" s="354"/>
      <c r="EVW5" s="354"/>
      <c r="EVX5" s="354"/>
      <c r="EVY5" s="354"/>
      <c r="EVZ5" s="354"/>
      <c r="EWA5" s="354"/>
      <c r="EWB5" s="354"/>
      <c r="EWC5" s="354"/>
      <c r="EWD5" s="354"/>
      <c r="EWE5" s="354"/>
      <c r="EWF5" s="354"/>
      <c r="EWG5" s="354"/>
      <c r="EWH5" s="354"/>
      <c r="EWI5" s="354"/>
      <c r="EWJ5" s="354"/>
      <c r="EWK5" s="354"/>
      <c r="EWL5" s="354"/>
      <c r="EWM5" s="354"/>
      <c r="EWN5" s="354"/>
      <c r="EWO5" s="354"/>
      <c r="EWP5" s="354"/>
      <c r="EWQ5" s="354"/>
      <c r="EWR5" s="354"/>
      <c r="EWS5" s="354"/>
      <c r="EWT5" s="354"/>
      <c r="EWU5" s="354"/>
      <c r="EWV5" s="354"/>
      <c r="EWW5" s="354"/>
      <c r="EWX5" s="354"/>
      <c r="EWY5" s="354"/>
      <c r="EWZ5" s="354"/>
      <c r="EXA5" s="354"/>
      <c r="EXB5" s="354"/>
      <c r="EXC5" s="354"/>
      <c r="EXD5" s="354"/>
      <c r="EXE5" s="354"/>
      <c r="EXF5" s="354"/>
      <c r="EXG5" s="354"/>
      <c r="EXH5" s="354"/>
      <c r="EXI5" s="354"/>
      <c r="EXJ5" s="354"/>
      <c r="EXK5" s="354"/>
      <c r="EXL5" s="354"/>
      <c r="EXM5" s="354"/>
      <c r="EXN5" s="354"/>
      <c r="EXO5" s="354"/>
      <c r="EXP5" s="354"/>
      <c r="EXQ5" s="354"/>
      <c r="EXR5" s="354"/>
      <c r="EXS5" s="354"/>
      <c r="EXT5" s="354"/>
      <c r="EXU5" s="354"/>
      <c r="EXV5" s="354"/>
      <c r="EXW5" s="354"/>
      <c r="EXX5" s="354"/>
      <c r="EXY5" s="354"/>
      <c r="EXZ5" s="354"/>
      <c r="EYA5" s="354"/>
      <c r="EYB5" s="354"/>
      <c r="EYC5" s="354"/>
      <c r="EYD5" s="354"/>
      <c r="EYE5" s="354"/>
      <c r="EYF5" s="354"/>
      <c r="EYG5" s="354"/>
      <c r="EYH5" s="354"/>
      <c r="EYI5" s="354"/>
      <c r="EYJ5" s="354"/>
      <c r="EYK5" s="354"/>
      <c r="EYL5" s="354"/>
      <c r="EYM5" s="354"/>
      <c r="EYN5" s="354"/>
      <c r="EYO5" s="354"/>
      <c r="EYP5" s="354"/>
      <c r="EYQ5" s="354"/>
      <c r="EYR5" s="354"/>
      <c r="EYS5" s="354"/>
      <c r="EYT5" s="354"/>
      <c r="EYU5" s="354"/>
      <c r="EYV5" s="354"/>
      <c r="EYW5" s="354"/>
      <c r="EYX5" s="354"/>
      <c r="EYY5" s="354"/>
      <c r="EYZ5" s="354"/>
      <c r="EZA5" s="354"/>
      <c r="EZB5" s="354"/>
      <c r="EZC5" s="354"/>
      <c r="EZD5" s="354"/>
      <c r="EZE5" s="354"/>
      <c r="EZF5" s="354"/>
      <c r="EZG5" s="354"/>
      <c r="EZH5" s="354"/>
      <c r="EZI5" s="354"/>
      <c r="EZJ5" s="354"/>
      <c r="EZK5" s="354"/>
      <c r="EZL5" s="354"/>
      <c r="EZM5" s="354"/>
      <c r="EZN5" s="354"/>
      <c r="EZO5" s="354"/>
      <c r="EZP5" s="354"/>
      <c r="EZQ5" s="354"/>
      <c r="EZR5" s="354"/>
      <c r="EZS5" s="354"/>
      <c r="EZT5" s="354"/>
      <c r="EZU5" s="354"/>
      <c r="EZV5" s="354"/>
      <c r="EZW5" s="354"/>
      <c r="EZX5" s="354"/>
      <c r="EZY5" s="354"/>
      <c r="EZZ5" s="354"/>
      <c r="FAA5" s="354"/>
      <c r="FAB5" s="354"/>
      <c r="FAC5" s="354"/>
      <c r="FAD5" s="354"/>
      <c r="FAE5" s="354"/>
      <c r="FAF5" s="354"/>
      <c r="FAG5" s="354"/>
      <c r="FAH5" s="354"/>
      <c r="FAI5" s="354"/>
      <c r="FAJ5" s="354"/>
      <c r="FAK5" s="354"/>
      <c r="FAL5" s="354"/>
      <c r="FAM5" s="354"/>
      <c r="FAN5" s="354"/>
      <c r="FAO5" s="354"/>
      <c r="FAP5" s="354"/>
      <c r="FAQ5" s="354"/>
      <c r="FAR5" s="354"/>
      <c r="FAS5" s="354"/>
      <c r="FAT5" s="354"/>
      <c r="FAU5" s="354"/>
      <c r="FAV5" s="354"/>
      <c r="FAW5" s="354"/>
      <c r="FAX5" s="354"/>
      <c r="FAY5" s="354"/>
      <c r="FAZ5" s="354"/>
      <c r="FBA5" s="354"/>
      <c r="FBB5" s="354"/>
      <c r="FBC5" s="354"/>
      <c r="FBD5" s="354"/>
      <c r="FBE5" s="354"/>
      <c r="FBF5" s="354"/>
      <c r="FBG5" s="354"/>
      <c r="FBH5" s="354"/>
      <c r="FBI5" s="354"/>
      <c r="FBJ5" s="354"/>
      <c r="FBK5" s="354"/>
      <c r="FBL5" s="354"/>
      <c r="FBM5" s="354"/>
      <c r="FBN5" s="354"/>
      <c r="FBO5" s="354"/>
      <c r="FBP5" s="354"/>
      <c r="FBQ5" s="354"/>
      <c r="FBR5" s="354"/>
      <c r="FBS5" s="354"/>
      <c r="FBT5" s="354"/>
      <c r="FBU5" s="354"/>
      <c r="FBV5" s="354"/>
      <c r="FBW5" s="354"/>
      <c r="FBX5" s="354"/>
      <c r="FBY5" s="354"/>
      <c r="FBZ5" s="354"/>
      <c r="FCA5" s="354"/>
      <c r="FCB5" s="354"/>
      <c r="FCC5" s="354"/>
      <c r="FCD5" s="354"/>
      <c r="FCE5" s="354"/>
      <c r="FCF5" s="354"/>
      <c r="FCG5" s="354"/>
      <c r="FCH5" s="354"/>
      <c r="FCI5" s="354"/>
      <c r="FCJ5" s="354"/>
      <c r="FCK5" s="354"/>
      <c r="FCL5" s="354"/>
      <c r="FCM5" s="354"/>
      <c r="FCN5" s="354"/>
      <c r="FCO5" s="354"/>
      <c r="FCP5" s="354"/>
      <c r="FCQ5" s="354"/>
      <c r="FCR5" s="354"/>
      <c r="FCS5" s="354"/>
      <c r="FCT5" s="354"/>
      <c r="FCU5" s="354"/>
      <c r="FCV5" s="354"/>
      <c r="FCW5" s="354"/>
      <c r="FCX5" s="354"/>
      <c r="FCY5" s="354"/>
      <c r="FCZ5" s="354"/>
      <c r="FDA5" s="354"/>
      <c r="FDB5" s="354"/>
      <c r="FDC5" s="354"/>
      <c r="FDD5" s="354"/>
      <c r="FDE5" s="354"/>
      <c r="FDF5" s="354"/>
      <c r="FDG5" s="354"/>
      <c r="FDH5" s="354"/>
      <c r="FDI5" s="354"/>
      <c r="FDJ5" s="354"/>
      <c r="FDK5" s="354"/>
      <c r="FDL5" s="354"/>
      <c r="FDM5" s="354"/>
      <c r="FDN5" s="354"/>
      <c r="FDO5" s="354"/>
      <c r="FDP5" s="354"/>
      <c r="FDQ5" s="354"/>
      <c r="FDR5" s="354"/>
      <c r="FDS5" s="354"/>
      <c r="FDT5" s="354"/>
      <c r="FDU5" s="354"/>
      <c r="FDV5" s="354"/>
      <c r="FDW5" s="354"/>
      <c r="FDX5" s="354"/>
      <c r="FDY5" s="354"/>
      <c r="FDZ5" s="354"/>
      <c r="FEA5" s="354"/>
      <c r="FEB5" s="354"/>
      <c r="FEC5" s="354"/>
      <c r="FED5" s="354"/>
      <c r="FEE5" s="354"/>
      <c r="FEF5" s="354"/>
      <c r="FEG5" s="354"/>
      <c r="FEH5" s="354"/>
      <c r="FEI5" s="354"/>
      <c r="FEJ5" s="354"/>
      <c r="FEK5" s="354"/>
      <c r="FEL5" s="354"/>
      <c r="FEM5" s="354"/>
      <c r="FEN5" s="354"/>
      <c r="FEO5" s="354"/>
      <c r="FEP5" s="354"/>
      <c r="FEQ5" s="354"/>
      <c r="FER5" s="354"/>
      <c r="FES5" s="354"/>
      <c r="FET5" s="354"/>
      <c r="FEU5" s="354"/>
      <c r="FEV5" s="354"/>
      <c r="FEW5" s="354"/>
      <c r="FEX5" s="354"/>
      <c r="FEY5" s="354"/>
      <c r="FEZ5" s="354"/>
      <c r="FFA5" s="354"/>
      <c r="FFB5" s="354"/>
      <c r="FFC5" s="354"/>
      <c r="FFD5" s="354"/>
      <c r="FFE5" s="354"/>
      <c r="FFF5" s="354"/>
      <c r="FFG5" s="354"/>
      <c r="FFH5" s="354"/>
      <c r="FFI5" s="354"/>
      <c r="FFJ5" s="354"/>
      <c r="FFK5" s="354"/>
      <c r="FFL5" s="354"/>
      <c r="FFM5" s="354"/>
      <c r="FFN5" s="354"/>
      <c r="FFO5" s="354"/>
      <c r="FFP5" s="354"/>
      <c r="FFQ5" s="354"/>
      <c r="FFR5" s="354"/>
      <c r="FFS5" s="354"/>
      <c r="FFT5" s="354"/>
      <c r="FFU5" s="354"/>
      <c r="FFV5" s="354"/>
      <c r="FFW5" s="354"/>
      <c r="FFX5" s="354"/>
      <c r="FFY5" s="354"/>
      <c r="FFZ5" s="354"/>
      <c r="FGA5" s="354"/>
      <c r="FGB5" s="354"/>
      <c r="FGC5" s="354"/>
      <c r="FGD5" s="354"/>
      <c r="FGE5" s="354"/>
      <c r="FGF5" s="354"/>
      <c r="FGG5" s="354"/>
      <c r="FGH5" s="354"/>
      <c r="FGI5" s="354"/>
      <c r="FGJ5" s="354"/>
      <c r="FGK5" s="354"/>
      <c r="FGL5" s="354"/>
      <c r="FGM5" s="354"/>
      <c r="FGN5" s="354"/>
      <c r="FGO5" s="354"/>
      <c r="FGP5" s="354"/>
      <c r="FGQ5" s="354"/>
      <c r="FGR5" s="354"/>
      <c r="FGS5" s="354"/>
      <c r="FGT5" s="354"/>
      <c r="FGU5" s="354"/>
      <c r="FGV5" s="354"/>
      <c r="FGW5" s="354"/>
      <c r="FGX5" s="354"/>
      <c r="FGY5" s="354"/>
      <c r="FGZ5" s="354"/>
      <c r="FHA5" s="354"/>
      <c r="FHB5" s="354"/>
      <c r="FHC5" s="354"/>
      <c r="FHD5" s="354"/>
      <c r="FHE5" s="354"/>
      <c r="FHF5" s="354"/>
      <c r="FHG5" s="354"/>
      <c r="FHH5" s="354"/>
      <c r="FHI5" s="354"/>
      <c r="FHJ5" s="354"/>
      <c r="FHK5" s="354"/>
      <c r="FHL5" s="354"/>
      <c r="FHM5" s="354"/>
      <c r="FHN5" s="354"/>
      <c r="FHO5" s="354"/>
      <c r="FHP5" s="354"/>
      <c r="FHQ5" s="354"/>
      <c r="FHR5" s="354"/>
      <c r="FHS5" s="354"/>
      <c r="FHT5" s="354"/>
      <c r="FHU5" s="354"/>
      <c r="FHV5" s="354"/>
      <c r="FHW5" s="354"/>
      <c r="FHX5" s="354"/>
      <c r="FHY5" s="354"/>
      <c r="FHZ5" s="354"/>
      <c r="FIA5" s="354"/>
      <c r="FIB5" s="354"/>
      <c r="FIC5" s="354"/>
      <c r="FID5" s="354"/>
      <c r="FIE5" s="354"/>
      <c r="FIF5" s="354"/>
      <c r="FIG5" s="354"/>
      <c r="FIH5" s="354"/>
      <c r="FII5" s="354"/>
      <c r="FIJ5" s="354"/>
      <c r="FIK5" s="354"/>
      <c r="FIL5" s="354"/>
      <c r="FIM5" s="354"/>
      <c r="FIN5" s="354"/>
      <c r="FIO5" s="354"/>
      <c r="FIP5" s="354"/>
      <c r="FIQ5" s="354"/>
      <c r="FIR5" s="354"/>
      <c r="FIS5" s="354"/>
      <c r="FIT5" s="354"/>
      <c r="FIU5" s="354"/>
      <c r="FIV5" s="354"/>
      <c r="FIW5" s="354"/>
      <c r="FIX5" s="354"/>
      <c r="FIY5" s="354"/>
      <c r="FIZ5" s="354"/>
      <c r="FJA5" s="354"/>
      <c r="FJB5" s="354"/>
      <c r="FJC5" s="354"/>
      <c r="FJD5" s="354"/>
      <c r="FJE5" s="354"/>
      <c r="FJF5" s="354"/>
      <c r="FJG5" s="354"/>
      <c r="FJH5" s="354"/>
      <c r="FJI5" s="354"/>
      <c r="FJJ5" s="354"/>
      <c r="FJK5" s="354"/>
      <c r="FJL5" s="354"/>
      <c r="FJM5" s="354"/>
      <c r="FJN5" s="354"/>
      <c r="FJO5" s="354"/>
      <c r="FJP5" s="354"/>
      <c r="FJQ5" s="354"/>
      <c r="FJR5" s="354"/>
      <c r="FJS5" s="354"/>
      <c r="FJT5" s="354"/>
      <c r="FJU5" s="354"/>
      <c r="FJV5" s="354"/>
      <c r="FJW5" s="354"/>
      <c r="FJX5" s="354"/>
      <c r="FJY5" s="354"/>
      <c r="FJZ5" s="354"/>
      <c r="FKA5" s="354"/>
      <c r="FKB5" s="354"/>
      <c r="FKC5" s="354"/>
      <c r="FKD5" s="354"/>
      <c r="FKE5" s="354"/>
      <c r="FKF5" s="354"/>
      <c r="FKG5" s="354"/>
      <c r="FKH5" s="354"/>
      <c r="FKI5" s="354"/>
      <c r="FKJ5" s="354"/>
      <c r="FKK5" s="354"/>
      <c r="FKL5" s="354"/>
      <c r="FKM5" s="354"/>
      <c r="FKN5" s="354"/>
      <c r="FKO5" s="354"/>
      <c r="FKP5" s="354"/>
      <c r="FKQ5" s="354"/>
      <c r="FKR5" s="354"/>
      <c r="FKS5" s="354"/>
      <c r="FKT5" s="354"/>
      <c r="FKU5" s="354"/>
      <c r="FKV5" s="354"/>
      <c r="FKW5" s="354"/>
      <c r="FKX5" s="354"/>
      <c r="FKY5" s="354"/>
      <c r="FKZ5" s="354"/>
      <c r="FLA5" s="354"/>
      <c r="FLB5" s="354"/>
      <c r="FLC5" s="354"/>
      <c r="FLD5" s="354"/>
      <c r="FLE5" s="354"/>
      <c r="FLF5" s="354"/>
      <c r="FLG5" s="354"/>
      <c r="FLH5" s="354"/>
      <c r="FLI5" s="354"/>
      <c r="FLJ5" s="354"/>
      <c r="FLK5" s="354"/>
      <c r="FLL5" s="354"/>
      <c r="FLM5" s="354"/>
      <c r="FLN5" s="354"/>
      <c r="FLO5" s="354"/>
      <c r="FLP5" s="354"/>
      <c r="FLQ5" s="354"/>
      <c r="FLR5" s="354"/>
      <c r="FLS5" s="354"/>
      <c r="FLT5" s="354"/>
      <c r="FLU5" s="354"/>
      <c r="FLV5" s="354"/>
      <c r="FLW5" s="354"/>
      <c r="FLX5" s="354"/>
      <c r="FLY5" s="354"/>
      <c r="FLZ5" s="354"/>
      <c r="FMA5" s="354"/>
      <c r="FMB5" s="354"/>
      <c r="FMC5" s="354"/>
      <c r="FMD5" s="354"/>
      <c r="FME5" s="354"/>
      <c r="FMF5" s="354"/>
      <c r="FMG5" s="354"/>
      <c r="FMH5" s="354"/>
      <c r="FMI5" s="354"/>
      <c r="FMJ5" s="354"/>
      <c r="FMK5" s="354"/>
      <c r="FML5" s="354"/>
      <c r="FMM5" s="354"/>
      <c r="FMN5" s="354"/>
      <c r="FMO5" s="354"/>
      <c r="FMP5" s="354"/>
      <c r="FMQ5" s="354"/>
      <c r="FMR5" s="354"/>
      <c r="FMS5" s="354"/>
      <c r="FMT5" s="354"/>
      <c r="FMU5" s="354"/>
      <c r="FMV5" s="354"/>
      <c r="FMW5" s="354"/>
      <c r="FMX5" s="354"/>
      <c r="FMY5" s="354"/>
      <c r="FMZ5" s="354"/>
      <c r="FNA5" s="354"/>
      <c r="FNB5" s="354"/>
      <c r="FNC5" s="354"/>
      <c r="FND5" s="354"/>
      <c r="FNE5" s="354"/>
      <c r="FNF5" s="354"/>
      <c r="FNG5" s="354"/>
      <c r="FNH5" s="354"/>
      <c r="FNI5" s="354"/>
      <c r="FNJ5" s="354"/>
      <c r="FNK5" s="354"/>
      <c r="FNL5" s="354"/>
      <c r="FNM5" s="354"/>
      <c r="FNN5" s="354"/>
      <c r="FNO5" s="354"/>
      <c r="FNP5" s="354"/>
      <c r="FNQ5" s="354"/>
      <c r="FNR5" s="354"/>
      <c r="FNS5" s="354"/>
      <c r="FNT5" s="354"/>
      <c r="FNU5" s="354"/>
      <c r="FNV5" s="354"/>
      <c r="FNW5" s="354"/>
      <c r="FNX5" s="354"/>
      <c r="FNY5" s="354"/>
      <c r="FNZ5" s="354"/>
      <c r="FOA5" s="354"/>
      <c r="FOB5" s="354"/>
      <c r="FOC5" s="354"/>
      <c r="FOD5" s="354"/>
      <c r="FOE5" s="354"/>
      <c r="FOF5" s="354"/>
      <c r="FOG5" s="354"/>
      <c r="FOH5" s="354"/>
      <c r="FOI5" s="354"/>
      <c r="FOJ5" s="354"/>
      <c r="FOK5" s="354"/>
      <c r="FOL5" s="354"/>
      <c r="FOM5" s="354"/>
      <c r="FON5" s="354"/>
      <c r="FOO5" s="354"/>
      <c r="FOP5" s="354"/>
      <c r="FOQ5" s="354"/>
      <c r="FOR5" s="354"/>
      <c r="FOS5" s="354"/>
      <c r="FOT5" s="354"/>
      <c r="FOU5" s="354"/>
      <c r="FOV5" s="354"/>
      <c r="FOW5" s="354"/>
      <c r="FOX5" s="354"/>
      <c r="FOY5" s="354"/>
      <c r="FOZ5" s="354"/>
      <c r="FPA5" s="354"/>
      <c r="FPB5" s="354"/>
      <c r="FPC5" s="354"/>
      <c r="FPD5" s="354"/>
      <c r="FPE5" s="354"/>
      <c r="FPF5" s="354"/>
      <c r="FPG5" s="354"/>
      <c r="FPH5" s="354"/>
      <c r="FPI5" s="354"/>
      <c r="FPJ5" s="354"/>
      <c r="FPK5" s="354"/>
      <c r="FPL5" s="354"/>
      <c r="FPM5" s="354"/>
      <c r="FPN5" s="354"/>
      <c r="FPO5" s="354"/>
      <c r="FPP5" s="354"/>
      <c r="FPQ5" s="354"/>
      <c r="FPR5" s="354"/>
      <c r="FPS5" s="354"/>
      <c r="FPT5" s="354"/>
      <c r="FPU5" s="354"/>
      <c r="FPV5" s="354"/>
      <c r="FPW5" s="354"/>
      <c r="FPX5" s="354"/>
      <c r="FPY5" s="354"/>
      <c r="FPZ5" s="354"/>
      <c r="FQA5" s="354"/>
      <c r="FQB5" s="354"/>
      <c r="FQC5" s="354"/>
      <c r="FQD5" s="354"/>
      <c r="FQE5" s="354"/>
      <c r="FQF5" s="354"/>
      <c r="FQG5" s="354"/>
      <c r="FQH5" s="354"/>
      <c r="FQI5" s="354"/>
      <c r="FQJ5" s="354"/>
      <c r="FQK5" s="354"/>
      <c r="FQL5" s="354"/>
      <c r="FQM5" s="354"/>
      <c r="FQN5" s="354"/>
      <c r="FQO5" s="354"/>
      <c r="FQP5" s="354"/>
      <c r="FQQ5" s="354"/>
      <c r="FQR5" s="354"/>
      <c r="FQS5" s="354"/>
      <c r="FQT5" s="354"/>
      <c r="FQU5" s="354"/>
      <c r="FQV5" s="354"/>
      <c r="FQW5" s="354"/>
      <c r="FQX5" s="354"/>
      <c r="FQY5" s="354"/>
      <c r="FQZ5" s="354"/>
      <c r="FRA5" s="354"/>
      <c r="FRB5" s="354"/>
      <c r="FRC5" s="354"/>
      <c r="FRD5" s="354"/>
      <c r="FRE5" s="354"/>
      <c r="FRF5" s="354"/>
      <c r="FRG5" s="354"/>
      <c r="FRH5" s="354"/>
      <c r="FRI5" s="354"/>
      <c r="FRJ5" s="354"/>
      <c r="FRK5" s="354"/>
      <c r="FRL5" s="354"/>
      <c r="FRM5" s="354"/>
      <c r="FRN5" s="354"/>
      <c r="FRO5" s="354"/>
      <c r="FRP5" s="354"/>
      <c r="FRQ5" s="354"/>
      <c r="FRR5" s="354"/>
      <c r="FRS5" s="354"/>
      <c r="FRT5" s="354"/>
      <c r="FRU5" s="354"/>
      <c r="FRV5" s="354"/>
      <c r="FRW5" s="354"/>
      <c r="FRX5" s="354"/>
      <c r="FRY5" s="354"/>
      <c r="FRZ5" s="354"/>
      <c r="FSA5" s="354"/>
      <c r="FSB5" s="354"/>
      <c r="FSC5" s="354"/>
      <c r="FSD5" s="354"/>
      <c r="FSE5" s="354"/>
      <c r="FSF5" s="354"/>
      <c r="FSG5" s="354"/>
      <c r="FSH5" s="354"/>
      <c r="FSI5" s="354"/>
      <c r="FSJ5" s="354"/>
      <c r="FSK5" s="354"/>
      <c r="FSL5" s="354"/>
      <c r="FSM5" s="354"/>
      <c r="FSN5" s="354"/>
      <c r="FSO5" s="354"/>
      <c r="FSP5" s="354"/>
      <c r="FSQ5" s="354"/>
      <c r="FSR5" s="354"/>
      <c r="FSS5" s="354"/>
      <c r="FST5" s="354"/>
      <c r="FSU5" s="354"/>
      <c r="FSV5" s="354"/>
      <c r="FSW5" s="354"/>
      <c r="FSX5" s="354"/>
      <c r="FSY5" s="354"/>
      <c r="FSZ5" s="354"/>
      <c r="FTA5" s="354"/>
      <c r="FTB5" s="354"/>
      <c r="FTC5" s="354"/>
      <c r="FTD5" s="354"/>
      <c r="FTE5" s="354"/>
      <c r="FTF5" s="354"/>
      <c r="FTG5" s="354"/>
      <c r="FTH5" s="354"/>
      <c r="FTI5" s="354"/>
      <c r="FTJ5" s="354"/>
      <c r="FTK5" s="354"/>
      <c r="FTL5" s="354"/>
      <c r="FTM5" s="354"/>
      <c r="FTN5" s="354"/>
      <c r="FTO5" s="354"/>
      <c r="FTP5" s="354"/>
      <c r="FTQ5" s="354"/>
      <c r="FTR5" s="354"/>
      <c r="FTS5" s="354"/>
      <c r="FTT5" s="354"/>
      <c r="FTU5" s="354"/>
      <c r="FTV5" s="354"/>
      <c r="FTW5" s="354"/>
      <c r="FTX5" s="354"/>
      <c r="FTY5" s="354"/>
      <c r="FTZ5" s="354"/>
      <c r="FUA5" s="354"/>
      <c r="FUB5" s="354"/>
      <c r="FUC5" s="354"/>
      <c r="FUD5" s="354"/>
      <c r="FUE5" s="354"/>
      <c r="FUF5" s="354"/>
      <c r="FUG5" s="354"/>
      <c r="FUH5" s="354"/>
      <c r="FUI5" s="354"/>
      <c r="FUJ5" s="354"/>
      <c r="FUK5" s="354"/>
      <c r="FUL5" s="354"/>
      <c r="FUM5" s="354"/>
      <c r="FUN5" s="354"/>
      <c r="FUO5" s="354"/>
      <c r="FUP5" s="354"/>
      <c r="FUQ5" s="354"/>
      <c r="FUR5" s="354"/>
      <c r="FUS5" s="354"/>
      <c r="FUT5" s="354"/>
      <c r="FUU5" s="354"/>
      <c r="FUV5" s="354"/>
      <c r="FUW5" s="354"/>
      <c r="FUX5" s="354"/>
      <c r="FUY5" s="354"/>
      <c r="FUZ5" s="354"/>
      <c r="FVA5" s="354"/>
      <c r="FVB5" s="354"/>
      <c r="FVC5" s="354"/>
      <c r="FVD5" s="354"/>
      <c r="FVE5" s="354"/>
      <c r="FVF5" s="354"/>
      <c r="FVG5" s="354"/>
      <c r="FVH5" s="354"/>
      <c r="FVI5" s="354"/>
      <c r="FVJ5" s="354"/>
      <c r="FVK5" s="354"/>
      <c r="FVL5" s="354"/>
      <c r="FVM5" s="354"/>
      <c r="FVN5" s="354"/>
      <c r="FVO5" s="354"/>
      <c r="FVP5" s="354"/>
      <c r="FVQ5" s="354"/>
      <c r="FVR5" s="354"/>
      <c r="FVS5" s="354"/>
      <c r="FVT5" s="354"/>
      <c r="FVU5" s="354"/>
      <c r="FVV5" s="354"/>
      <c r="FVW5" s="354"/>
      <c r="FVX5" s="354"/>
      <c r="FVY5" s="354"/>
      <c r="FVZ5" s="354"/>
      <c r="FWA5" s="354"/>
      <c r="FWB5" s="354"/>
      <c r="FWC5" s="354"/>
      <c r="FWD5" s="354"/>
      <c r="FWE5" s="354"/>
      <c r="FWF5" s="354"/>
      <c r="FWG5" s="354"/>
      <c r="FWH5" s="354"/>
      <c r="FWI5" s="354"/>
      <c r="FWJ5" s="354"/>
      <c r="FWK5" s="354"/>
      <c r="FWL5" s="354"/>
      <c r="FWM5" s="354"/>
      <c r="FWN5" s="354"/>
      <c r="FWO5" s="354"/>
      <c r="FWP5" s="354"/>
      <c r="FWQ5" s="354"/>
      <c r="FWR5" s="354"/>
      <c r="FWS5" s="354"/>
      <c r="FWT5" s="354"/>
      <c r="FWU5" s="354"/>
      <c r="FWV5" s="354"/>
      <c r="FWW5" s="354"/>
      <c r="FWX5" s="354"/>
      <c r="FWY5" s="354"/>
      <c r="FWZ5" s="354"/>
      <c r="FXA5" s="354"/>
      <c r="FXB5" s="354"/>
      <c r="FXC5" s="354"/>
      <c r="FXD5" s="354"/>
      <c r="FXE5" s="354"/>
      <c r="FXF5" s="354"/>
      <c r="FXG5" s="354"/>
      <c r="FXH5" s="354"/>
      <c r="FXI5" s="354"/>
      <c r="FXJ5" s="354"/>
      <c r="FXK5" s="354"/>
      <c r="FXL5" s="354"/>
      <c r="FXM5" s="354"/>
      <c r="FXN5" s="354"/>
      <c r="FXO5" s="354"/>
      <c r="FXP5" s="354"/>
      <c r="FXQ5" s="354"/>
      <c r="FXR5" s="354"/>
      <c r="FXS5" s="354"/>
      <c r="FXT5" s="354"/>
      <c r="FXU5" s="354"/>
      <c r="FXV5" s="354"/>
      <c r="FXW5" s="354"/>
      <c r="FXX5" s="354"/>
      <c r="FXY5" s="354"/>
      <c r="FXZ5" s="354"/>
      <c r="FYA5" s="354"/>
      <c r="FYB5" s="354"/>
      <c r="FYC5" s="354"/>
      <c r="FYD5" s="354"/>
      <c r="FYE5" s="354"/>
      <c r="FYF5" s="354"/>
      <c r="FYG5" s="354"/>
      <c r="FYH5" s="354"/>
      <c r="FYI5" s="354"/>
      <c r="FYJ5" s="354"/>
      <c r="FYK5" s="354"/>
      <c r="FYL5" s="354"/>
      <c r="FYM5" s="354"/>
      <c r="FYN5" s="354"/>
      <c r="FYO5" s="354"/>
      <c r="FYP5" s="354"/>
      <c r="FYQ5" s="354"/>
      <c r="FYR5" s="354"/>
      <c r="FYS5" s="354"/>
      <c r="FYT5" s="354"/>
      <c r="FYU5" s="354"/>
      <c r="FYV5" s="354"/>
      <c r="FYW5" s="354"/>
      <c r="FYX5" s="354"/>
      <c r="FYY5" s="354"/>
      <c r="FYZ5" s="354"/>
      <c r="FZA5" s="354"/>
      <c r="FZB5" s="354"/>
      <c r="FZC5" s="354"/>
      <c r="FZD5" s="354"/>
      <c r="FZE5" s="354"/>
      <c r="FZF5" s="354"/>
      <c r="FZG5" s="354"/>
      <c r="FZH5" s="354"/>
      <c r="FZI5" s="354"/>
      <c r="FZJ5" s="354"/>
      <c r="FZK5" s="354"/>
      <c r="FZL5" s="354"/>
      <c r="FZM5" s="354"/>
      <c r="FZN5" s="354"/>
      <c r="FZO5" s="354"/>
      <c r="FZP5" s="354"/>
      <c r="FZQ5" s="354"/>
      <c r="FZR5" s="354"/>
      <c r="FZS5" s="354"/>
      <c r="FZT5" s="354"/>
      <c r="FZU5" s="354"/>
      <c r="FZV5" s="354"/>
      <c r="FZW5" s="354"/>
      <c r="FZX5" s="354"/>
      <c r="FZY5" s="354"/>
      <c r="FZZ5" s="354"/>
      <c r="GAA5" s="354"/>
      <c r="GAB5" s="354"/>
      <c r="GAC5" s="354"/>
      <c r="GAD5" s="354"/>
      <c r="GAE5" s="354"/>
      <c r="GAF5" s="354"/>
      <c r="GAG5" s="354"/>
      <c r="GAH5" s="354"/>
      <c r="GAI5" s="354"/>
      <c r="GAJ5" s="354"/>
      <c r="GAK5" s="354"/>
      <c r="GAL5" s="354"/>
      <c r="GAM5" s="354"/>
      <c r="GAN5" s="354"/>
      <c r="GAO5" s="354"/>
      <c r="GAP5" s="354"/>
      <c r="GAQ5" s="354"/>
      <c r="GAR5" s="354"/>
      <c r="GAS5" s="354"/>
      <c r="GAT5" s="354"/>
      <c r="GAU5" s="354"/>
      <c r="GAV5" s="354"/>
      <c r="GAW5" s="354"/>
      <c r="GAX5" s="354"/>
      <c r="GAY5" s="354"/>
      <c r="GAZ5" s="354"/>
      <c r="GBA5" s="354"/>
      <c r="GBB5" s="354"/>
      <c r="GBC5" s="354"/>
      <c r="GBD5" s="354"/>
      <c r="GBE5" s="354"/>
      <c r="GBF5" s="354"/>
      <c r="GBG5" s="354"/>
      <c r="GBH5" s="354"/>
      <c r="GBI5" s="354"/>
      <c r="GBJ5" s="354"/>
      <c r="GBK5" s="354"/>
      <c r="GBL5" s="354"/>
      <c r="GBM5" s="354"/>
      <c r="GBN5" s="354"/>
      <c r="GBO5" s="354"/>
      <c r="GBP5" s="354"/>
      <c r="GBQ5" s="354"/>
      <c r="GBR5" s="354"/>
      <c r="GBS5" s="354"/>
      <c r="GBT5" s="354"/>
      <c r="GBU5" s="354"/>
      <c r="GBV5" s="354"/>
      <c r="GBW5" s="354"/>
      <c r="GBX5" s="354"/>
      <c r="GBY5" s="354"/>
      <c r="GBZ5" s="354"/>
      <c r="GCA5" s="354"/>
      <c r="GCB5" s="354"/>
      <c r="GCC5" s="354"/>
      <c r="GCD5" s="354"/>
      <c r="GCE5" s="354"/>
      <c r="GCF5" s="354"/>
      <c r="GCG5" s="354"/>
      <c r="GCH5" s="354"/>
      <c r="GCI5" s="354"/>
      <c r="GCJ5" s="354"/>
      <c r="GCK5" s="354"/>
      <c r="GCL5" s="354"/>
      <c r="GCM5" s="354"/>
      <c r="GCN5" s="354"/>
      <c r="GCO5" s="354"/>
      <c r="GCP5" s="354"/>
      <c r="GCQ5" s="354"/>
      <c r="GCR5" s="354"/>
      <c r="GCS5" s="354"/>
      <c r="GCT5" s="354"/>
      <c r="GCU5" s="354"/>
      <c r="GCV5" s="354"/>
      <c r="GCW5" s="354"/>
      <c r="GCX5" s="354"/>
      <c r="GCY5" s="354"/>
      <c r="GCZ5" s="354"/>
      <c r="GDA5" s="354"/>
      <c r="GDB5" s="354"/>
      <c r="GDC5" s="354"/>
      <c r="GDD5" s="354"/>
      <c r="GDE5" s="354"/>
      <c r="GDF5" s="354"/>
      <c r="GDG5" s="354"/>
      <c r="GDH5" s="354"/>
      <c r="GDI5" s="354"/>
      <c r="GDJ5" s="354"/>
      <c r="GDK5" s="354"/>
      <c r="GDL5" s="354"/>
      <c r="GDM5" s="354"/>
      <c r="GDN5" s="354"/>
      <c r="GDO5" s="354"/>
      <c r="GDP5" s="354"/>
      <c r="GDQ5" s="354"/>
      <c r="GDR5" s="354"/>
      <c r="GDS5" s="354"/>
      <c r="GDT5" s="354"/>
      <c r="GDU5" s="354"/>
      <c r="GDV5" s="354"/>
      <c r="GDW5" s="354"/>
      <c r="GDX5" s="354"/>
      <c r="GDY5" s="354"/>
      <c r="GDZ5" s="354"/>
      <c r="GEA5" s="354"/>
      <c r="GEB5" s="354"/>
      <c r="GEC5" s="354"/>
      <c r="GED5" s="354"/>
      <c r="GEE5" s="354"/>
      <c r="GEF5" s="354"/>
      <c r="GEG5" s="354"/>
      <c r="GEH5" s="354"/>
      <c r="GEI5" s="354"/>
      <c r="GEJ5" s="354"/>
      <c r="GEK5" s="354"/>
      <c r="GEL5" s="354"/>
      <c r="GEM5" s="354"/>
      <c r="GEN5" s="354"/>
      <c r="GEO5" s="354"/>
      <c r="GEP5" s="354"/>
      <c r="GEQ5" s="354"/>
      <c r="GER5" s="354"/>
      <c r="GES5" s="354"/>
      <c r="GET5" s="354"/>
      <c r="GEU5" s="354"/>
      <c r="GEV5" s="354"/>
      <c r="GEW5" s="354"/>
      <c r="GEX5" s="354"/>
      <c r="GEY5" s="354"/>
      <c r="GEZ5" s="354"/>
      <c r="GFA5" s="354"/>
      <c r="GFB5" s="354"/>
      <c r="GFC5" s="354"/>
      <c r="GFD5" s="354"/>
      <c r="GFE5" s="354"/>
      <c r="GFF5" s="354"/>
      <c r="GFG5" s="354"/>
      <c r="GFH5" s="354"/>
      <c r="GFI5" s="354"/>
      <c r="GFJ5" s="354"/>
      <c r="GFK5" s="354"/>
      <c r="GFL5" s="354"/>
      <c r="GFM5" s="354"/>
      <c r="GFN5" s="354"/>
      <c r="GFO5" s="354"/>
      <c r="GFP5" s="354"/>
      <c r="GFQ5" s="354"/>
      <c r="GFR5" s="354"/>
      <c r="GFS5" s="354"/>
      <c r="GFT5" s="354"/>
      <c r="GFU5" s="354"/>
      <c r="GFV5" s="354"/>
      <c r="GFW5" s="354"/>
      <c r="GFX5" s="354"/>
      <c r="GFY5" s="354"/>
      <c r="GFZ5" s="354"/>
      <c r="GGA5" s="354"/>
      <c r="GGB5" s="354"/>
      <c r="GGC5" s="354"/>
      <c r="GGD5" s="354"/>
      <c r="GGE5" s="354"/>
      <c r="GGF5" s="354"/>
      <c r="GGG5" s="354"/>
      <c r="GGH5" s="354"/>
      <c r="GGI5" s="354"/>
      <c r="GGJ5" s="354"/>
      <c r="GGK5" s="354"/>
      <c r="GGL5" s="354"/>
      <c r="GGM5" s="354"/>
      <c r="GGN5" s="354"/>
      <c r="GGO5" s="354"/>
      <c r="GGP5" s="354"/>
      <c r="GGQ5" s="354"/>
      <c r="GGR5" s="354"/>
      <c r="GGS5" s="354"/>
      <c r="GGT5" s="354"/>
      <c r="GGU5" s="354"/>
      <c r="GGV5" s="354"/>
      <c r="GGW5" s="354"/>
      <c r="GGX5" s="354"/>
      <c r="GGY5" s="354"/>
      <c r="GGZ5" s="354"/>
      <c r="GHA5" s="354"/>
      <c r="GHB5" s="354"/>
      <c r="GHC5" s="354"/>
      <c r="GHD5" s="354"/>
      <c r="GHE5" s="354"/>
      <c r="GHF5" s="354"/>
      <c r="GHG5" s="354"/>
      <c r="GHH5" s="354"/>
      <c r="GHI5" s="354"/>
      <c r="GHJ5" s="354"/>
      <c r="GHK5" s="354"/>
      <c r="GHL5" s="354"/>
      <c r="GHM5" s="354"/>
      <c r="GHN5" s="354"/>
      <c r="GHO5" s="354"/>
      <c r="GHP5" s="354"/>
      <c r="GHQ5" s="354"/>
      <c r="GHR5" s="354"/>
      <c r="GHS5" s="354"/>
      <c r="GHT5" s="354"/>
      <c r="GHU5" s="354"/>
      <c r="GHV5" s="354"/>
      <c r="GHW5" s="354"/>
      <c r="GHX5" s="354"/>
      <c r="GHY5" s="354"/>
      <c r="GHZ5" s="354"/>
      <c r="GIA5" s="354"/>
      <c r="GIB5" s="354"/>
      <c r="GIC5" s="354"/>
      <c r="GID5" s="354"/>
      <c r="GIE5" s="354"/>
      <c r="GIF5" s="354"/>
      <c r="GIG5" s="354"/>
      <c r="GIH5" s="354"/>
      <c r="GII5" s="354"/>
      <c r="GIJ5" s="354"/>
      <c r="GIK5" s="354"/>
      <c r="GIL5" s="354"/>
      <c r="GIM5" s="354"/>
      <c r="GIN5" s="354"/>
      <c r="GIO5" s="354"/>
      <c r="GIP5" s="354"/>
      <c r="GIQ5" s="354"/>
      <c r="GIR5" s="354"/>
      <c r="GIS5" s="354"/>
      <c r="GIT5" s="354"/>
      <c r="GIU5" s="354"/>
      <c r="GIV5" s="354"/>
      <c r="GIW5" s="354"/>
      <c r="GIX5" s="354"/>
      <c r="GIY5" s="354"/>
      <c r="GIZ5" s="354"/>
      <c r="GJA5" s="354"/>
      <c r="GJB5" s="354"/>
      <c r="GJC5" s="354"/>
      <c r="GJD5" s="354"/>
      <c r="GJE5" s="354"/>
      <c r="GJF5" s="354"/>
      <c r="GJG5" s="354"/>
      <c r="GJH5" s="354"/>
      <c r="GJI5" s="354"/>
      <c r="GJJ5" s="354"/>
      <c r="GJK5" s="354"/>
      <c r="GJL5" s="354"/>
      <c r="GJM5" s="354"/>
      <c r="GJN5" s="354"/>
      <c r="GJO5" s="354"/>
      <c r="GJP5" s="354"/>
      <c r="GJQ5" s="354"/>
      <c r="GJR5" s="354"/>
      <c r="GJS5" s="354"/>
      <c r="GJT5" s="354"/>
      <c r="GJU5" s="354"/>
      <c r="GJV5" s="354"/>
      <c r="GJW5" s="354"/>
      <c r="GJX5" s="354"/>
      <c r="GJY5" s="354"/>
      <c r="GJZ5" s="354"/>
      <c r="GKA5" s="354"/>
      <c r="GKB5" s="354"/>
      <c r="GKC5" s="354"/>
      <c r="GKD5" s="354"/>
      <c r="GKE5" s="354"/>
      <c r="GKF5" s="354"/>
      <c r="GKG5" s="354"/>
      <c r="GKH5" s="354"/>
      <c r="GKI5" s="354"/>
      <c r="GKJ5" s="354"/>
      <c r="GKK5" s="354"/>
      <c r="GKL5" s="354"/>
      <c r="GKM5" s="354"/>
      <c r="GKN5" s="354"/>
      <c r="GKO5" s="354"/>
      <c r="GKP5" s="354"/>
      <c r="GKQ5" s="354"/>
      <c r="GKR5" s="354"/>
      <c r="GKS5" s="354"/>
      <c r="GKT5" s="354"/>
      <c r="GKU5" s="354"/>
      <c r="GKV5" s="354"/>
      <c r="GKW5" s="354"/>
      <c r="GKX5" s="354"/>
      <c r="GKY5" s="354"/>
      <c r="GKZ5" s="354"/>
      <c r="GLA5" s="354"/>
      <c r="GLB5" s="354"/>
      <c r="GLC5" s="354"/>
      <c r="GLD5" s="354"/>
      <c r="GLE5" s="354"/>
      <c r="GLF5" s="354"/>
      <c r="GLG5" s="354"/>
      <c r="GLH5" s="354"/>
      <c r="GLI5" s="354"/>
      <c r="GLJ5" s="354"/>
      <c r="GLK5" s="354"/>
      <c r="GLL5" s="354"/>
      <c r="GLM5" s="354"/>
      <c r="GLN5" s="354"/>
      <c r="GLO5" s="354"/>
      <c r="GLP5" s="354"/>
      <c r="GLQ5" s="354"/>
      <c r="GLR5" s="354"/>
      <c r="GLS5" s="354"/>
      <c r="GLT5" s="354"/>
      <c r="GLU5" s="354"/>
      <c r="GLV5" s="354"/>
      <c r="GLW5" s="354"/>
      <c r="GLX5" s="354"/>
      <c r="GLY5" s="354"/>
      <c r="GLZ5" s="354"/>
      <c r="GMA5" s="354"/>
      <c r="GMB5" s="354"/>
      <c r="GMC5" s="354"/>
      <c r="GMD5" s="354"/>
      <c r="GME5" s="354"/>
      <c r="GMF5" s="354"/>
      <c r="GMG5" s="354"/>
      <c r="GMH5" s="354"/>
      <c r="GMI5" s="354"/>
      <c r="GMJ5" s="354"/>
      <c r="GMK5" s="354"/>
      <c r="GML5" s="354"/>
      <c r="GMM5" s="354"/>
      <c r="GMN5" s="354"/>
      <c r="GMO5" s="354"/>
      <c r="GMP5" s="354"/>
      <c r="GMQ5" s="354"/>
      <c r="GMR5" s="354"/>
      <c r="GMS5" s="354"/>
      <c r="GMT5" s="354"/>
      <c r="GMU5" s="354"/>
      <c r="GMV5" s="354"/>
      <c r="GMW5" s="354"/>
      <c r="GMX5" s="354"/>
      <c r="GMY5" s="354"/>
      <c r="GMZ5" s="354"/>
      <c r="GNA5" s="354"/>
      <c r="GNB5" s="354"/>
      <c r="GNC5" s="354"/>
      <c r="GND5" s="354"/>
      <c r="GNE5" s="354"/>
      <c r="GNF5" s="354"/>
      <c r="GNG5" s="354"/>
      <c r="GNH5" s="354"/>
      <c r="GNI5" s="354"/>
      <c r="GNJ5" s="354"/>
      <c r="GNK5" s="354"/>
      <c r="GNL5" s="354"/>
      <c r="GNM5" s="354"/>
      <c r="GNN5" s="354"/>
      <c r="GNO5" s="354"/>
      <c r="GNP5" s="354"/>
      <c r="GNQ5" s="354"/>
      <c r="GNR5" s="354"/>
      <c r="GNS5" s="354"/>
      <c r="GNT5" s="354"/>
      <c r="GNU5" s="354"/>
      <c r="GNV5" s="354"/>
      <c r="GNW5" s="354"/>
      <c r="GNX5" s="354"/>
      <c r="GNY5" s="354"/>
      <c r="GNZ5" s="354"/>
      <c r="GOA5" s="354"/>
      <c r="GOB5" s="354"/>
      <c r="GOC5" s="354"/>
      <c r="GOD5" s="354"/>
      <c r="GOE5" s="354"/>
      <c r="GOF5" s="354"/>
      <c r="GOG5" s="354"/>
      <c r="GOH5" s="354"/>
      <c r="GOI5" s="354"/>
      <c r="GOJ5" s="354"/>
      <c r="GOK5" s="354"/>
      <c r="GOL5" s="354"/>
      <c r="GOM5" s="354"/>
      <c r="GON5" s="354"/>
      <c r="GOO5" s="354"/>
      <c r="GOP5" s="354"/>
      <c r="GOQ5" s="354"/>
      <c r="GOR5" s="354"/>
      <c r="GOS5" s="354"/>
      <c r="GOT5" s="354"/>
      <c r="GOU5" s="354"/>
      <c r="GOV5" s="354"/>
      <c r="GOW5" s="354"/>
      <c r="GOX5" s="354"/>
      <c r="GOY5" s="354"/>
      <c r="GOZ5" s="354"/>
      <c r="GPA5" s="354"/>
      <c r="GPB5" s="354"/>
      <c r="GPC5" s="354"/>
      <c r="GPD5" s="354"/>
      <c r="GPE5" s="354"/>
      <c r="GPF5" s="354"/>
      <c r="GPG5" s="354"/>
      <c r="GPH5" s="354"/>
      <c r="GPI5" s="354"/>
      <c r="GPJ5" s="354"/>
      <c r="GPK5" s="354"/>
      <c r="GPL5" s="354"/>
      <c r="GPM5" s="354"/>
      <c r="GPN5" s="354"/>
      <c r="GPO5" s="354"/>
      <c r="GPP5" s="354"/>
      <c r="GPQ5" s="354"/>
      <c r="GPR5" s="354"/>
      <c r="GPS5" s="354"/>
      <c r="GPT5" s="354"/>
      <c r="GPU5" s="354"/>
      <c r="GPV5" s="354"/>
      <c r="GPW5" s="354"/>
      <c r="GPX5" s="354"/>
      <c r="GPY5" s="354"/>
      <c r="GPZ5" s="354"/>
      <c r="GQA5" s="354"/>
      <c r="GQB5" s="354"/>
      <c r="GQC5" s="354"/>
      <c r="GQD5" s="354"/>
      <c r="GQE5" s="354"/>
      <c r="GQF5" s="354"/>
      <c r="GQG5" s="354"/>
      <c r="GQH5" s="354"/>
      <c r="GQI5" s="354"/>
      <c r="GQJ5" s="354"/>
      <c r="GQK5" s="354"/>
      <c r="GQL5" s="354"/>
      <c r="GQM5" s="354"/>
      <c r="GQN5" s="354"/>
      <c r="GQO5" s="354"/>
      <c r="GQP5" s="354"/>
      <c r="GQQ5" s="354"/>
      <c r="GQR5" s="354"/>
      <c r="GQS5" s="354"/>
      <c r="GQT5" s="354"/>
      <c r="GQU5" s="354"/>
      <c r="GQV5" s="354"/>
      <c r="GQW5" s="354"/>
      <c r="GQX5" s="354"/>
      <c r="GQY5" s="354"/>
      <c r="GQZ5" s="354"/>
      <c r="GRA5" s="354"/>
      <c r="GRB5" s="354"/>
      <c r="GRC5" s="354"/>
      <c r="GRD5" s="354"/>
      <c r="GRE5" s="354"/>
      <c r="GRF5" s="354"/>
      <c r="GRG5" s="354"/>
      <c r="GRH5" s="354"/>
      <c r="GRI5" s="354"/>
      <c r="GRJ5" s="354"/>
      <c r="GRK5" s="354"/>
      <c r="GRL5" s="354"/>
      <c r="GRM5" s="354"/>
      <c r="GRN5" s="354"/>
      <c r="GRO5" s="354"/>
      <c r="GRP5" s="354"/>
      <c r="GRQ5" s="354"/>
      <c r="GRR5" s="354"/>
      <c r="GRS5" s="354"/>
      <c r="GRT5" s="354"/>
      <c r="GRU5" s="354"/>
      <c r="GRV5" s="354"/>
      <c r="GRW5" s="354"/>
      <c r="GRX5" s="354"/>
      <c r="GRY5" s="354"/>
      <c r="GRZ5" s="354"/>
      <c r="GSA5" s="354"/>
      <c r="GSB5" s="354"/>
      <c r="GSC5" s="354"/>
      <c r="GSD5" s="354"/>
      <c r="GSE5" s="354"/>
      <c r="GSF5" s="354"/>
      <c r="GSG5" s="354"/>
      <c r="GSH5" s="354"/>
      <c r="GSI5" s="354"/>
      <c r="GSJ5" s="354"/>
      <c r="GSK5" s="354"/>
      <c r="GSL5" s="354"/>
      <c r="GSM5" s="354"/>
      <c r="GSN5" s="354"/>
      <c r="GSO5" s="354"/>
      <c r="GSP5" s="354"/>
      <c r="GSQ5" s="354"/>
      <c r="GSR5" s="354"/>
      <c r="GSS5" s="354"/>
      <c r="GST5" s="354"/>
      <c r="GSU5" s="354"/>
      <c r="GSV5" s="354"/>
      <c r="GSW5" s="354"/>
      <c r="GSX5" s="354"/>
      <c r="GSY5" s="354"/>
      <c r="GSZ5" s="354"/>
      <c r="GTA5" s="354"/>
      <c r="GTB5" s="354"/>
      <c r="GTC5" s="354"/>
      <c r="GTD5" s="354"/>
      <c r="GTE5" s="354"/>
      <c r="GTF5" s="354"/>
      <c r="GTG5" s="354"/>
      <c r="GTH5" s="354"/>
      <c r="GTI5" s="354"/>
      <c r="GTJ5" s="354"/>
      <c r="GTK5" s="354"/>
      <c r="GTL5" s="354"/>
      <c r="GTM5" s="354"/>
      <c r="GTN5" s="354"/>
      <c r="GTO5" s="354"/>
      <c r="GTP5" s="354"/>
      <c r="GTQ5" s="354"/>
      <c r="GTR5" s="354"/>
      <c r="GTS5" s="354"/>
      <c r="GTT5" s="354"/>
      <c r="GTU5" s="354"/>
      <c r="GTV5" s="354"/>
      <c r="GTW5" s="354"/>
      <c r="GTX5" s="354"/>
      <c r="GTY5" s="354"/>
      <c r="GTZ5" s="354"/>
      <c r="GUA5" s="354"/>
      <c r="GUB5" s="354"/>
      <c r="GUC5" s="354"/>
      <c r="GUD5" s="354"/>
      <c r="GUE5" s="354"/>
      <c r="GUF5" s="354"/>
      <c r="GUG5" s="354"/>
      <c r="GUH5" s="354"/>
      <c r="GUI5" s="354"/>
      <c r="GUJ5" s="354"/>
      <c r="GUK5" s="354"/>
      <c r="GUL5" s="354"/>
      <c r="GUM5" s="354"/>
      <c r="GUN5" s="354"/>
      <c r="GUO5" s="354"/>
      <c r="GUP5" s="354"/>
      <c r="GUQ5" s="354"/>
      <c r="GUR5" s="354"/>
      <c r="GUS5" s="354"/>
      <c r="GUT5" s="354"/>
      <c r="GUU5" s="354"/>
      <c r="GUV5" s="354"/>
      <c r="GUW5" s="354"/>
      <c r="GUX5" s="354"/>
      <c r="GUY5" s="354"/>
      <c r="GUZ5" s="354"/>
      <c r="GVA5" s="354"/>
      <c r="GVB5" s="354"/>
      <c r="GVC5" s="354"/>
      <c r="GVD5" s="354"/>
      <c r="GVE5" s="354"/>
      <c r="GVF5" s="354"/>
      <c r="GVG5" s="354"/>
      <c r="GVH5" s="354"/>
      <c r="GVI5" s="354"/>
      <c r="GVJ5" s="354"/>
      <c r="GVK5" s="354"/>
      <c r="GVL5" s="354"/>
      <c r="GVM5" s="354"/>
      <c r="GVN5" s="354"/>
      <c r="GVO5" s="354"/>
      <c r="GVP5" s="354"/>
      <c r="GVQ5" s="354"/>
      <c r="GVR5" s="354"/>
      <c r="GVS5" s="354"/>
      <c r="GVT5" s="354"/>
      <c r="GVU5" s="354"/>
      <c r="GVV5" s="354"/>
      <c r="GVW5" s="354"/>
      <c r="GVX5" s="354"/>
      <c r="GVY5" s="354"/>
      <c r="GVZ5" s="354"/>
      <c r="GWA5" s="354"/>
      <c r="GWB5" s="354"/>
      <c r="GWC5" s="354"/>
      <c r="GWD5" s="354"/>
      <c r="GWE5" s="354"/>
      <c r="GWF5" s="354"/>
      <c r="GWG5" s="354"/>
      <c r="GWH5" s="354"/>
      <c r="GWI5" s="354"/>
      <c r="GWJ5" s="354"/>
      <c r="GWK5" s="354"/>
      <c r="GWL5" s="354"/>
      <c r="GWM5" s="354"/>
      <c r="GWN5" s="354"/>
      <c r="GWO5" s="354"/>
      <c r="GWP5" s="354"/>
      <c r="GWQ5" s="354"/>
      <c r="GWR5" s="354"/>
      <c r="GWS5" s="354"/>
      <c r="GWT5" s="354"/>
      <c r="GWU5" s="354"/>
      <c r="GWV5" s="354"/>
      <c r="GWW5" s="354"/>
      <c r="GWX5" s="354"/>
      <c r="GWY5" s="354"/>
      <c r="GWZ5" s="354"/>
      <c r="GXA5" s="354"/>
      <c r="GXB5" s="354"/>
      <c r="GXC5" s="354"/>
      <c r="GXD5" s="354"/>
      <c r="GXE5" s="354"/>
      <c r="GXF5" s="354"/>
      <c r="GXG5" s="354"/>
      <c r="GXH5" s="354"/>
      <c r="GXI5" s="354"/>
      <c r="GXJ5" s="354"/>
      <c r="GXK5" s="354"/>
      <c r="GXL5" s="354"/>
      <c r="GXM5" s="354"/>
      <c r="GXN5" s="354"/>
      <c r="GXO5" s="354"/>
      <c r="GXP5" s="354"/>
      <c r="GXQ5" s="354"/>
      <c r="GXR5" s="354"/>
      <c r="GXS5" s="354"/>
      <c r="GXT5" s="354"/>
      <c r="GXU5" s="354"/>
      <c r="GXV5" s="354"/>
      <c r="GXW5" s="354"/>
      <c r="GXX5" s="354"/>
      <c r="GXY5" s="354"/>
      <c r="GXZ5" s="354"/>
      <c r="GYA5" s="354"/>
      <c r="GYB5" s="354"/>
      <c r="GYC5" s="354"/>
      <c r="GYD5" s="354"/>
      <c r="GYE5" s="354"/>
      <c r="GYF5" s="354"/>
      <c r="GYG5" s="354"/>
      <c r="GYH5" s="354"/>
      <c r="GYI5" s="354"/>
      <c r="GYJ5" s="354"/>
      <c r="GYK5" s="354"/>
      <c r="GYL5" s="354"/>
      <c r="GYM5" s="354"/>
      <c r="GYN5" s="354"/>
      <c r="GYO5" s="354"/>
      <c r="GYP5" s="354"/>
      <c r="GYQ5" s="354"/>
      <c r="GYR5" s="354"/>
      <c r="GYS5" s="354"/>
      <c r="GYT5" s="354"/>
      <c r="GYU5" s="354"/>
      <c r="GYV5" s="354"/>
      <c r="GYW5" s="354"/>
      <c r="GYX5" s="354"/>
      <c r="GYY5" s="354"/>
      <c r="GYZ5" s="354"/>
      <c r="GZA5" s="354"/>
      <c r="GZB5" s="354"/>
      <c r="GZC5" s="354"/>
      <c r="GZD5" s="354"/>
      <c r="GZE5" s="354"/>
      <c r="GZF5" s="354"/>
      <c r="GZG5" s="354"/>
      <c r="GZH5" s="354"/>
      <c r="GZI5" s="354"/>
      <c r="GZJ5" s="354"/>
      <c r="GZK5" s="354"/>
      <c r="GZL5" s="354"/>
      <c r="GZM5" s="354"/>
      <c r="GZN5" s="354"/>
      <c r="GZO5" s="354"/>
      <c r="GZP5" s="354"/>
      <c r="GZQ5" s="354"/>
      <c r="GZR5" s="354"/>
      <c r="GZS5" s="354"/>
      <c r="GZT5" s="354"/>
      <c r="GZU5" s="354"/>
      <c r="GZV5" s="354"/>
      <c r="GZW5" s="354"/>
      <c r="GZX5" s="354"/>
      <c r="GZY5" s="354"/>
      <c r="GZZ5" s="354"/>
      <c r="HAA5" s="354"/>
      <c r="HAB5" s="354"/>
      <c r="HAC5" s="354"/>
      <c r="HAD5" s="354"/>
      <c r="HAE5" s="354"/>
      <c r="HAF5" s="354"/>
      <c r="HAG5" s="354"/>
      <c r="HAH5" s="354"/>
      <c r="HAI5" s="354"/>
      <c r="HAJ5" s="354"/>
      <c r="HAK5" s="354"/>
      <c r="HAL5" s="354"/>
      <c r="HAM5" s="354"/>
      <c r="HAN5" s="354"/>
      <c r="HAO5" s="354"/>
      <c r="HAP5" s="354"/>
      <c r="HAQ5" s="354"/>
      <c r="HAR5" s="354"/>
      <c r="HAS5" s="354"/>
      <c r="HAT5" s="354"/>
      <c r="HAU5" s="354"/>
      <c r="HAV5" s="354"/>
      <c r="HAW5" s="354"/>
      <c r="HAX5" s="354"/>
      <c r="HAY5" s="354"/>
      <c r="HAZ5" s="354"/>
      <c r="HBA5" s="354"/>
      <c r="HBB5" s="354"/>
      <c r="HBC5" s="354"/>
      <c r="HBD5" s="354"/>
      <c r="HBE5" s="354"/>
      <c r="HBF5" s="354"/>
      <c r="HBG5" s="354"/>
      <c r="HBH5" s="354"/>
      <c r="HBI5" s="354"/>
      <c r="HBJ5" s="354"/>
      <c r="HBK5" s="354"/>
      <c r="HBL5" s="354"/>
      <c r="HBM5" s="354"/>
      <c r="HBN5" s="354"/>
      <c r="HBO5" s="354"/>
      <c r="HBP5" s="354"/>
      <c r="HBQ5" s="354"/>
      <c r="HBR5" s="354"/>
      <c r="HBS5" s="354"/>
      <c r="HBT5" s="354"/>
      <c r="HBU5" s="354"/>
      <c r="HBV5" s="354"/>
      <c r="HBW5" s="354"/>
      <c r="HBX5" s="354"/>
      <c r="HBY5" s="354"/>
      <c r="HBZ5" s="354"/>
      <c r="HCA5" s="354"/>
      <c r="HCB5" s="354"/>
      <c r="HCC5" s="354"/>
      <c r="HCD5" s="354"/>
      <c r="HCE5" s="354"/>
      <c r="HCF5" s="354"/>
      <c r="HCG5" s="354"/>
      <c r="HCH5" s="354"/>
      <c r="HCI5" s="354"/>
      <c r="HCJ5" s="354"/>
      <c r="HCK5" s="354"/>
      <c r="HCL5" s="354"/>
      <c r="HCM5" s="354"/>
      <c r="HCN5" s="354"/>
      <c r="HCO5" s="354"/>
      <c r="HCP5" s="354"/>
      <c r="HCQ5" s="354"/>
      <c r="HCR5" s="354"/>
      <c r="HCS5" s="354"/>
      <c r="HCT5" s="354"/>
      <c r="HCU5" s="354"/>
      <c r="HCV5" s="354"/>
      <c r="HCW5" s="354"/>
      <c r="HCX5" s="354"/>
      <c r="HCY5" s="354"/>
      <c r="HCZ5" s="354"/>
      <c r="HDA5" s="354"/>
      <c r="HDB5" s="354"/>
      <c r="HDC5" s="354"/>
      <c r="HDD5" s="354"/>
      <c r="HDE5" s="354"/>
      <c r="HDF5" s="354"/>
      <c r="HDG5" s="354"/>
      <c r="HDH5" s="354"/>
      <c r="HDI5" s="354"/>
      <c r="HDJ5" s="354"/>
      <c r="HDK5" s="354"/>
      <c r="HDL5" s="354"/>
      <c r="HDM5" s="354"/>
      <c r="HDN5" s="354"/>
      <c r="HDO5" s="354"/>
      <c r="HDP5" s="354"/>
      <c r="HDQ5" s="354"/>
      <c r="HDR5" s="354"/>
      <c r="HDS5" s="354"/>
      <c r="HDT5" s="354"/>
      <c r="HDU5" s="354"/>
      <c r="HDV5" s="354"/>
      <c r="HDW5" s="354"/>
      <c r="HDX5" s="354"/>
      <c r="HDY5" s="354"/>
      <c r="HDZ5" s="354"/>
      <c r="HEA5" s="354"/>
      <c r="HEB5" s="354"/>
      <c r="HEC5" s="354"/>
      <c r="HED5" s="354"/>
      <c r="HEE5" s="354"/>
      <c r="HEF5" s="354"/>
      <c r="HEG5" s="354"/>
      <c r="HEH5" s="354"/>
      <c r="HEI5" s="354"/>
      <c r="HEJ5" s="354"/>
      <c r="HEK5" s="354"/>
      <c r="HEL5" s="354"/>
      <c r="HEM5" s="354"/>
      <c r="HEN5" s="354"/>
      <c r="HEO5" s="354"/>
      <c r="HEP5" s="354"/>
      <c r="HEQ5" s="354"/>
      <c r="HER5" s="354"/>
      <c r="HES5" s="354"/>
      <c r="HET5" s="354"/>
      <c r="HEU5" s="354"/>
      <c r="HEV5" s="354"/>
      <c r="HEW5" s="354"/>
      <c r="HEX5" s="354"/>
      <c r="HEY5" s="354"/>
      <c r="HEZ5" s="354"/>
      <c r="HFA5" s="354"/>
      <c r="HFB5" s="354"/>
      <c r="HFC5" s="354"/>
      <c r="HFD5" s="354"/>
      <c r="HFE5" s="354"/>
      <c r="HFF5" s="354"/>
      <c r="HFG5" s="354"/>
      <c r="HFH5" s="354"/>
      <c r="HFI5" s="354"/>
      <c r="HFJ5" s="354"/>
      <c r="HFK5" s="354"/>
      <c r="HFL5" s="354"/>
      <c r="HFM5" s="354"/>
      <c r="HFN5" s="354"/>
      <c r="HFO5" s="354"/>
      <c r="HFP5" s="354"/>
      <c r="HFQ5" s="354"/>
      <c r="HFR5" s="354"/>
      <c r="HFS5" s="354"/>
      <c r="HFT5" s="354"/>
      <c r="HFU5" s="354"/>
      <c r="HFV5" s="354"/>
      <c r="HFW5" s="354"/>
      <c r="HFX5" s="354"/>
      <c r="HFY5" s="354"/>
      <c r="HFZ5" s="354"/>
      <c r="HGA5" s="354"/>
      <c r="HGB5" s="354"/>
      <c r="HGC5" s="354"/>
      <c r="HGD5" s="354"/>
      <c r="HGE5" s="354"/>
      <c r="HGF5" s="354"/>
      <c r="HGG5" s="354"/>
      <c r="HGH5" s="354"/>
      <c r="HGI5" s="354"/>
      <c r="HGJ5" s="354"/>
      <c r="HGK5" s="354"/>
      <c r="HGL5" s="354"/>
      <c r="HGM5" s="354"/>
      <c r="HGN5" s="354"/>
      <c r="HGO5" s="354"/>
      <c r="HGP5" s="354"/>
      <c r="HGQ5" s="354"/>
      <c r="HGR5" s="354"/>
      <c r="HGS5" s="354"/>
      <c r="HGT5" s="354"/>
      <c r="HGU5" s="354"/>
      <c r="HGV5" s="354"/>
      <c r="HGW5" s="354"/>
      <c r="HGX5" s="354"/>
      <c r="HGY5" s="354"/>
      <c r="HGZ5" s="354"/>
      <c r="HHA5" s="354"/>
      <c r="HHB5" s="354"/>
      <c r="HHC5" s="354"/>
      <c r="HHD5" s="354"/>
      <c r="HHE5" s="354"/>
      <c r="HHF5" s="354"/>
      <c r="HHG5" s="354"/>
      <c r="HHH5" s="354"/>
      <c r="HHI5" s="354"/>
      <c r="HHJ5" s="354"/>
      <c r="HHK5" s="354"/>
      <c r="HHL5" s="354"/>
      <c r="HHM5" s="354"/>
      <c r="HHN5" s="354"/>
      <c r="HHO5" s="354"/>
      <c r="HHP5" s="354"/>
      <c r="HHQ5" s="354"/>
      <c r="HHR5" s="354"/>
      <c r="HHS5" s="354"/>
      <c r="HHT5" s="354"/>
      <c r="HHU5" s="354"/>
      <c r="HHV5" s="354"/>
      <c r="HHW5" s="354"/>
      <c r="HHX5" s="354"/>
      <c r="HHY5" s="354"/>
      <c r="HHZ5" s="354"/>
      <c r="HIA5" s="354"/>
      <c r="HIB5" s="354"/>
      <c r="HIC5" s="354"/>
      <c r="HID5" s="354"/>
      <c r="HIE5" s="354"/>
      <c r="HIF5" s="354"/>
      <c r="HIG5" s="354"/>
      <c r="HIH5" s="354"/>
      <c r="HII5" s="354"/>
      <c r="HIJ5" s="354"/>
      <c r="HIK5" s="354"/>
      <c r="HIL5" s="354"/>
      <c r="HIM5" s="354"/>
      <c r="HIN5" s="354"/>
      <c r="HIO5" s="354"/>
      <c r="HIP5" s="354"/>
      <c r="HIQ5" s="354"/>
      <c r="HIR5" s="354"/>
      <c r="HIS5" s="354"/>
      <c r="HIT5" s="354"/>
      <c r="HIU5" s="354"/>
      <c r="HIV5" s="354"/>
      <c r="HIW5" s="354"/>
      <c r="HIX5" s="354"/>
      <c r="HIY5" s="354"/>
      <c r="HIZ5" s="354"/>
      <c r="HJA5" s="354"/>
      <c r="HJB5" s="354"/>
      <c r="HJC5" s="354"/>
      <c r="HJD5" s="354"/>
      <c r="HJE5" s="354"/>
      <c r="HJF5" s="354"/>
      <c r="HJG5" s="354"/>
      <c r="HJH5" s="354"/>
      <c r="HJI5" s="354"/>
      <c r="HJJ5" s="354"/>
      <c r="HJK5" s="354"/>
      <c r="HJL5" s="354"/>
      <c r="HJM5" s="354"/>
      <c r="HJN5" s="354"/>
      <c r="HJO5" s="354"/>
      <c r="HJP5" s="354"/>
      <c r="HJQ5" s="354"/>
      <c r="HJR5" s="354"/>
      <c r="HJS5" s="354"/>
      <c r="HJT5" s="354"/>
      <c r="HJU5" s="354"/>
      <c r="HJV5" s="354"/>
      <c r="HJW5" s="354"/>
      <c r="HJX5" s="354"/>
      <c r="HJY5" s="354"/>
      <c r="HJZ5" s="354"/>
      <c r="HKA5" s="354"/>
      <c r="HKB5" s="354"/>
      <c r="HKC5" s="354"/>
      <c r="HKD5" s="354"/>
      <c r="HKE5" s="354"/>
      <c r="HKF5" s="354"/>
      <c r="HKG5" s="354"/>
      <c r="HKH5" s="354"/>
      <c r="HKI5" s="354"/>
      <c r="HKJ5" s="354"/>
      <c r="HKK5" s="354"/>
      <c r="HKL5" s="354"/>
      <c r="HKM5" s="354"/>
      <c r="HKN5" s="354"/>
      <c r="HKO5" s="354"/>
      <c r="HKP5" s="354"/>
      <c r="HKQ5" s="354"/>
      <c r="HKR5" s="354"/>
      <c r="HKS5" s="354"/>
      <c r="HKT5" s="354"/>
      <c r="HKU5" s="354"/>
      <c r="HKV5" s="354"/>
      <c r="HKW5" s="354"/>
      <c r="HKX5" s="354"/>
      <c r="HKY5" s="354"/>
      <c r="HKZ5" s="354"/>
      <c r="HLA5" s="354"/>
      <c r="HLB5" s="354"/>
      <c r="HLC5" s="354"/>
      <c r="HLD5" s="354"/>
      <c r="HLE5" s="354"/>
      <c r="HLF5" s="354"/>
      <c r="HLG5" s="354"/>
      <c r="HLH5" s="354"/>
      <c r="HLI5" s="354"/>
      <c r="HLJ5" s="354"/>
      <c r="HLK5" s="354"/>
      <c r="HLL5" s="354"/>
      <c r="HLM5" s="354"/>
      <c r="HLN5" s="354"/>
      <c r="HLO5" s="354"/>
      <c r="HLP5" s="354"/>
      <c r="HLQ5" s="354"/>
      <c r="HLR5" s="354"/>
      <c r="HLS5" s="354"/>
      <c r="HLT5" s="354"/>
      <c r="HLU5" s="354"/>
      <c r="HLV5" s="354"/>
      <c r="HLW5" s="354"/>
      <c r="HLX5" s="354"/>
      <c r="HLY5" s="354"/>
      <c r="HLZ5" s="354"/>
      <c r="HMA5" s="354"/>
      <c r="HMB5" s="354"/>
      <c r="HMC5" s="354"/>
      <c r="HMD5" s="354"/>
      <c r="HME5" s="354"/>
      <c r="HMF5" s="354"/>
      <c r="HMG5" s="354"/>
      <c r="HMH5" s="354"/>
      <c r="HMI5" s="354"/>
      <c r="HMJ5" s="354"/>
      <c r="HMK5" s="354"/>
      <c r="HML5" s="354"/>
      <c r="HMM5" s="354"/>
      <c r="HMN5" s="354"/>
      <c r="HMO5" s="354"/>
      <c r="HMP5" s="354"/>
      <c r="HMQ5" s="354"/>
      <c r="HMR5" s="354"/>
      <c r="HMS5" s="354"/>
      <c r="HMT5" s="354"/>
      <c r="HMU5" s="354"/>
      <c r="HMV5" s="354"/>
      <c r="HMW5" s="354"/>
      <c r="HMX5" s="354"/>
      <c r="HMY5" s="354"/>
      <c r="HMZ5" s="354"/>
      <c r="HNA5" s="354"/>
      <c r="HNB5" s="354"/>
      <c r="HNC5" s="354"/>
      <c r="HND5" s="354"/>
      <c r="HNE5" s="354"/>
      <c r="HNF5" s="354"/>
      <c r="HNG5" s="354"/>
      <c r="HNH5" s="354"/>
      <c r="HNI5" s="354"/>
      <c r="HNJ5" s="354"/>
      <c r="HNK5" s="354"/>
      <c r="HNL5" s="354"/>
      <c r="HNM5" s="354"/>
      <c r="HNN5" s="354"/>
      <c r="HNO5" s="354"/>
      <c r="HNP5" s="354"/>
      <c r="HNQ5" s="354"/>
      <c r="HNR5" s="354"/>
      <c r="HNS5" s="354"/>
      <c r="HNT5" s="354"/>
      <c r="HNU5" s="354"/>
      <c r="HNV5" s="354"/>
      <c r="HNW5" s="354"/>
      <c r="HNX5" s="354"/>
      <c r="HNY5" s="354"/>
      <c r="HNZ5" s="354"/>
      <c r="HOA5" s="354"/>
      <c r="HOB5" s="354"/>
      <c r="HOC5" s="354"/>
      <c r="HOD5" s="354"/>
      <c r="HOE5" s="354"/>
      <c r="HOF5" s="354"/>
      <c r="HOG5" s="354"/>
      <c r="HOH5" s="354"/>
      <c r="HOI5" s="354"/>
      <c r="HOJ5" s="354"/>
      <c r="HOK5" s="354"/>
      <c r="HOL5" s="354"/>
      <c r="HOM5" s="354"/>
      <c r="HON5" s="354"/>
      <c r="HOO5" s="354"/>
      <c r="HOP5" s="354"/>
      <c r="HOQ5" s="354"/>
      <c r="HOR5" s="354"/>
      <c r="HOS5" s="354"/>
      <c r="HOT5" s="354"/>
      <c r="HOU5" s="354"/>
      <c r="HOV5" s="354"/>
      <c r="HOW5" s="354"/>
      <c r="HOX5" s="354"/>
      <c r="HOY5" s="354"/>
      <c r="HOZ5" s="354"/>
      <c r="HPA5" s="354"/>
      <c r="HPB5" s="354"/>
      <c r="HPC5" s="354"/>
      <c r="HPD5" s="354"/>
      <c r="HPE5" s="354"/>
      <c r="HPF5" s="354"/>
      <c r="HPG5" s="354"/>
      <c r="HPH5" s="354"/>
      <c r="HPI5" s="354"/>
      <c r="HPJ5" s="354"/>
      <c r="HPK5" s="354"/>
      <c r="HPL5" s="354"/>
      <c r="HPM5" s="354"/>
      <c r="HPN5" s="354"/>
      <c r="HPO5" s="354"/>
      <c r="HPP5" s="354"/>
      <c r="HPQ5" s="354"/>
      <c r="HPR5" s="354"/>
      <c r="HPS5" s="354"/>
      <c r="HPT5" s="354"/>
      <c r="HPU5" s="354"/>
      <c r="HPV5" s="354"/>
      <c r="HPW5" s="354"/>
      <c r="HPX5" s="354"/>
      <c r="HPY5" s="354"/>
      <c r="HPZ5" s="354"/>
      <c r="HQA5" s="354"/>
      <c r="HQB5" s="354"/>
      <c r="HQC5" s="354"/>
      <c r="HQD5" s="354"/>
      <c r="HQE5" s="354"/>
      <c r="HQF5" s="354"/>
      <c r="HQG5" s="354"/>
      <c r="HQH5" s="354"/>
      <c r="HQI5" s="354"/>
      <c r="HQJ5" s="354"/>
      <c r="HQK5" s="354"/>
      <c r="HQL5" s="354"/>
      <c r="HQM5" s="354"/>
      <c r="HQN5" s="354"/>
      <c r="HQO5" s="354"/>
      <c r="HQP5" s="354"/>
      <c r="HQQ5" s="354"/>
      <c r="HQR5" s="354"/>
      <c r="HQS5" s="354"/>
      <c r="HQT5" s="354"/>
      <c r="HQU5" s="354"/>
      <c r="HQV5" s="354"/>
      <c r="HQW5" s="354"/>
      <c r="HQX5" s="354"/>
      <c r="HQY5" s="354"/>
      <c r="HQZ5" s="354"/>
      <c r="HRA5" s="354"/>
      <c r="HRB5" s="354"/>
      <c r="HRC5" s="354"/>
      <c r="HRD5" s="354"/>
      <c r="HRE5" s="354"/>
      <c r="HRF5" s="354"/>
      <c r="HRG5" s="354"/>
      <c r="HRH5" s="354"/>
      <c r="HRI5" s="354"/>
      <c r="HRJ5" s="354"/>
      <c r="HRK5" s="354"/>
      <c r="HRL5" s="354"/>
      <c r="HRM5" s="354"/>
      <c r="HRN5" s="354"/>
      <c r="HRO5" s="354"/>
      <c r="HRP5" s="354"/>
      <c r="HRQ5" s="354"/>
      <c r="HRR5" s="354"/>
      <c r="HRS5" s="354"/>
      <c r="HRT5" s="354"/>
      <c r="HRU5" s="354"/>
      <c r="HRV5" s="354"/>
      <c r="HRW5" s="354"/>
      <c r="HRX5" s="354"/>
      <c r="HRY5" s="354"/>
      <c r="HRZ5" s="354"/>
      <c r="HSA5" s="354"/>
      <c r="HSB5" s="354"/>
      <c r="HSC5" s="354"/>
      <c r="HSD5" s="354"/>
      <c r="HSE5" s="354"/>
      <c r="HSF5" s="354"/>
      <c r="HSG5" s="354"/>
      <c r="HSH5" s="354"/>
      <c r="HSI5" s="354"/>
      <c r="HSJ5" s="354"/>
      <c r="HSK5" s="354"/>
      <c r="HSL5" s="354"/>
      <c r="HSM5" s="354"/>
      <c r="HSN5" s="354"/>
      <c r="HSO5" s="354"/>
      <c r="HSP5" s="354"/>
      <c r="HSQ5" s="354"/>
      <c r="HSR5" s="354"/>
      <c r="HSS5" s="354"/>
      <c r="HST5" s="354"/>
      <c r="HSU5" s="354"/>
      <c r="HSV5" s="354"/>
      <c r="HSW5" s="354"/>
      <c r="HSX5" s="354"/>
      <c r="HSY5" s="354"/>
      <c r="HSZ5" s="354"/>
      <c r="HTA5" s="354"/>
      <c r="HTB5" s="354"/>
      <c r="HTC5" s="354"/>
      <c r="HTD5" s="354"/>
      <c r="HTE5" s="354"/>
      <c r="HTF5" s="354"/>
      <c r="HTG5" s="354"/>
      <c r="HTH5" s="354"/>
      <c r="HTI5" s="354"/>
      <c r="HTJ5" s="354"/>
      <c r="HTK5" s="354"/>
      <c r="HTL5" s="354"/>
      <c r="HTM5" s="354"/>
      <c r="HTN5" s="354"/>
      <c r="HTO5" s="354"/>
      <c r="HTP5" s="354"/>
      <c r="HTQ5" s="354"/>
      <c r="HTR5" s="354"/>
      <c r="HTS5" s="354"/>
      <c r="HTT5" s="354"/>
      <c r="HTU5" s="354"/>
      <c r="HTV5" s="354"/>
      <c r="HTW5" s="354"/>
      <c r="HTX5" s="354"/>
      <c r="HTY5" s="354"/>
      <c r="HTZ5" s="354"/>
      <c r="HUA5" s="354"/>
      <c r="HUB5" s="354"/>
      <c r="HUC5" s="354"/>
      <c r="HUD5" s="354"/>
      <c r="HUE5" s="354"/>
      <c r="HUF5" s="354"/>
      <c r="HUG5" s="354"/>
      <c r="HUH5" s="354"/>
      <c r="HUI5" s="354"/>
      <c r="HUJ5" s="354"/>
      <c r="HUK5" s="354"/>
      <c r="HUL5" s="354"/>
      <c r="HUM5" s="354"/>
      <c r="HUN5" s="354"/>
      <c r="HUO5" s="354"/>
      <c r="HUP5" s="354"/>
      <c r="HUQ5" s="354"/>
      <c r="HUR5" s="354"/>
      <c r="HUS5" s="354"/>
      <c r="HUT5" s="354"/>
      <c r="HUU5" s="354"/>
      <c r="HUV5" s="354"/>
      <c r="HUW5" s="354"/>
      <c r="HUX5" s="354"/>
      <c r="HUY5" s="354"/>
      <c r="HUZ5" s="354"/>
      <c r="HVA5" s="354"/>
      <c r="HVB5" s="354"/>
      <c r="HVC5" s="354"/>
      <c r="HVD5" s="354"/>
      <c r="HVE5" s="354"/>
      <c r="HVF5" s="354"/>
      <c r="HVG5" s="354"/>
      <c r="HVH5" s="354"/>
      <c r="HVI5" s="354"/>
      <c r="HVJ5" s="354"/>
      <c r="HVK5" s="354"/>
      <c r="HVL5" s="354"/>
      <c r="HVM5" s="354"/>
      <c r="HVN5" s="354"/>
      <c r="HVO5" s="354"/>
      <c r="HVP5" s="354"/>
      <c r="HVQ5" s="354"/>
      <c r="HVR5" s="354"/>
      <c r="HVS5" s="354"/>
      <c r="HVT5" s="354"/>
      <c r="HVU5" s="354"/>
      <c r="HVV5" s="354"/>
      <c r="HVW5" s="354"/>
      <c r="HVX5" s="354"/>
      <c r="HVY5" s="354"/>
      <c r="HVZ5" s="354"/>
      <c r="HWA5" s="354"/>
      <c r="HWB5" s="354"/>
      <c r="HWC5" s="354"/>
      <c r="HWD5" s="354"/>
      <c r="HWE5" s="354"/>
      <c r="HWF5" s="354"/>
      <c r="HWG5" s="354"/>
      <c r="HWH5" s="354"/>
      <c r="HWI5" s="354"/>
      <c r="HWJ5" s="354"/>
      <c r="HWK5" s="354"/>
      <c r="HWL5" s="354"/>
      <c r="HWM5" s="354"/>
      <c r="HWN5" s="354"/>
      <c r="HWO5" s="354"/>
      <c r="HWP5" s="354"/>
      <c r="HWQ5" s="354"/>
      <c r="HWR5" s="354"/>
      <c r="HWS5" s="354"/>
      <c r="HWT5" s="354"/>
      <c r="HWU5" s="354"/>
      <c r="HWV5" s="354"/>
      <c r="HWW5" s="354"/>
      <c r="HWX5" s="354"/>
      <c r="HWY5" s="354"/>
      <c r="HWZ5" s="354"/>
      <c r="HXA5" s="354"/>
      <c r="HXB5" s="354"/>
      <c r="HXC5" s="354"/>
      <c r="HXD5" s="354"/>
      <c r="HXE5" s="354"/>
      <c r="HXF5" s="354"/>
      <c r="HXG5" s="354"/>
      <c r="HXH5" s="354"/>
      <c r="HXI5" s="354"/>
      <c r="HXJ5" s="354"/>
      <c r="HXK5" s="354"/>
      <c r="HXL5" s="354"/>
      <c r="HXM5" s="354"/>
      <c r="HXN5" s="354"/>
      <c r="HXO5" s="354"/>
      <c r="HXP5" s="354"/>
      <c r="HXQ5" s="354"/>
      <c r="HXR5" s="354"/>
      <c r="HXS5" s="354"/>
      <c r="HXT5" s="354"/>
      <c r="HXU5" s="354"/>
      <c r="HXV5" s="354"/>
      <c r="HXW5" s="354"/>
      <c r="HXX5" s="354"/>
      <c r="HXY5" s="354"/>
      <c r="HXZ5" s="354"/>
      <c r="HYA5" s="354"/>
      <c r="HYB5" s="354"/>
      <c r="HYC5" s="354"/>
      <c r="HYD5" s="354"/>
      <c r="HYE5" s="354"/>
      <c r="HYF5" s="354"/>
      <c r="HYG5" s="354"/>
      <c r="HYH5" s="354"/>
      <c r="HYI5" s="354"/>
      <c r="HYJ5" s="354"/>
      <c r="HYK5" s="354"/>
      <c r="HYL5" s="354"/>
      <c r="HYM5" s="354"/>
      <c r="HYN5" s="354"/>
      <c r="HYO5" s="354"/>
      <c r="HYP5" s="354"/>
      <c r="HYQ5" s="354"/>
      <c r="HYR5" s="354"/>
      <c r="HYS5" s="354"/>
      <c r="HYT5" s="354"/>
      <c r="HYU5" s="354"/>
      <c r="HYV5" s="354"/>
      <c r="HYW5" s="354"/>
      <c r="HYX5" s="354"/>
      <c r="HYY5" s="354"/>
      <c r="HYZ5" s="354"/>
      <c r="HZA5" s="354"/>
      <c r="HZB5" s="354"/>
      <c r="HZC5" s="354"/>
      <c r="HZD5" s="354"/>
      <c r="HZE5" s="354"/>
      <c r="HZF5" s="354"/>
      <c r="HZG5" s="354"/>
      <c r="HZH5" s="354"/>
      <c r="HZI5" s="354"/>
      <c r="HZJ5" s="354"/>
      <c r="HZK5" s="354"/>
      <c r="HZL5" s="354"/>
      <c r="HZM5" s="354"/>
      <c r="HZN5" s="354"/>
      <c r="HZO5" s="354"/>
      <c r="HZP5" s="354"/>
      <c r="HZQ5" s="354"/>
      <c r="HZR5" s="354"/>
      <c r="HZS5" s="354"/>
      <c r="HZT5" s="354"/>
      <c r="HZU5" s="354"/>
      <c r="HZV5" s="354"/>
      <c r="HZW5" s="354"/>
      <c r="HZX5" s="354"/>
      <c r="HZY5" s="354"/>
      <c r="HZZ5" s="354"/>
      <c r="IAA5" s="354"/>
      <c r="IAB5" s="354"/>
      <c r="IAC5" s="354"/>
      <c r="IAD5" s="354"/>
      <c r="IAE5" s="354"/>
      <c r="IAF5" s="354"/>
      <c r="IAG5" s="354"/>
      <c r="IAH5" s="354"/>
      <c r="IAI5" s="354"/>
      <c r="IAJ5" s="354"/>
      <c r="IAK5" s="354"/>
      <c r="IAL5" s="354"/>
      <c r="IAM5" s="354"/>
      <c r="IAN5" s="354"/>
      <c r="IAO5" s="354"/>
      <c r="IAP5" s="354"/>
      <c r="IAQ5" s="354"/>
      <c r="IAR5" s="354"/>
      <c r="IAS5" s="354"/>
      <c r="IAT5" s="354"/>
      <c r="IAU5" s="354"/>
      <c r="IAV5" s="354"/>
      <c r="IAW5" s="354"/>
      <c r="IAX5" s="354"/>
      <c r="IAY5" s="354"/>
      <c r="IAZ5" s="354"/>
      <c r="IBA5" s="354"/>
      <c r="IBB5" s="354"/>
      <c r="IBC5" s="354"/>
      <c r="IBD5" s="354"/>
      <c r="IBE5" s="354"/>
      <c r="IBF5" s="354"/>
      <c r="IBG5" s="354"/>
      <c r="IBH5" s="354"/>
      <c r="IBI5" s="354"/>
      <c r="IBJ5" s="354"/>
      <c r="IBK5" s="354"/>
      <c r="IBL5" s="354"/>
      <c r="IBM5" s="354"/>
      <c r="IBN5" s="354"/>
      <c r="IBO5" s="354"/>
      <c r="IBP5" s="354"/>
      <c r="IBQ5" s="354"/>
      <c r="IBR5" s="354"/>
      <c r="IBS5" s="354"/>
      <c r="IBT5" s="354"/>
      <c r="IBU5" s="354"/>
      <c r="IBV5" s="354"/>
      <c r="IBW5" s="354"/>
      <c r="IBX5" s="354"/>
      <c r="IBY5" s="354"/>
      <c r="IBZ5" s="354"/>
      <c r="ICA5" s="354"/>
      <c r="ICB5" s="354"/>
      <c r="ICC5" s="354"/>
      <c r="ICD5" s="354"/>
      <c r="ICE5" s="354"/>
      <c r="ICF5" s="354"/>
      <c r="ICG5" s="354"/>
      <c r="ICH5" s="354"/>
      <c r="ICI5" s="354"/>
      <c r="ICJ5" s="354"/>
      <c r="ICK5" s="354"/>
      <c r="ICL5" s="354"/>
      <c r="ICM5" s="354"/>
      <c r="ICN5" s="354"/>
      <c r="ICO5" s="354"/>
      <c r="ICP5" s="354"/>
      <c r="ICQ5" s="354"/>
      <c r="ICR5" s="354"/>
      <c r="ICS5" s="354"/>
      <c r="ICT5" s="354"/>
      <c r="ICU5" s="354"/>
      <c r="ICV5" s="354"/>
      <c r="ICW5" s="354"/>
      <c r="ICX5" s="354"/>
      <c r="ICY5" s="354"/>
      <c r="ICZ5" s="354"/>
      <c r="IDA5" s="354"/>
      <c r="IDB5" s="354"/>
      <c r="IDC5" s="354"/>
      <c r="IDD5" s="354"/>
      <c r="IDE5" s="354"/>
      <c r="IDF5" s="354"/>
      <c r="IDG5" s="354"/>
      <c r="IDH5" s="354"/>
      <c r="IDI5" s="354"/>
      <c r="IDJ5" s="354"/>
      <c r="IDK5" s="354"/>
      <c r="IDL5" s="354"/>
      <c r="IDM5" s="354"/>
      <c r="IDN5" s="354"/>
      <c r="IDO5" s="354"/>
      <c r="IDP5" s="354"/>
      <c r="IDQ5" s="354"/>
      <c r="IDR5" s="354"/>
      <c r="IDS5" s="354"/>
      <c r="IDT5" s="354"/>
      <c r="IDU5" s="354"/>
      <c r="IDV5" s="354"/>
      <c r="IDW5" s="354"/>
      <c r="IDX5" s="354"/>
      <c r="IDY5" s="354"/>
      <c r="IDZ5" s="354"/>
      <c r="IEA5" s="354"/>
      <c r="IEB5" s="354"/>
      <c r="IEC5" s="354"/>
      <c r="IED5" s="354"/>
      <c r="IEE5" s="354"/>
      <c r="IEF5" s="354"/>
      <c r="IEG5" s="354"/>
      <c r="IEH5" s="354"/>
      <c r="IEI5" s="354"/>
      <c r="IEJ5" s="354"/>
      <c r="IEK5" s="354"/>
      <c r="IEL5" s="354"/>
      <c r="IEM5" s="354"/>
      <c r="IEN5" s="354"/>
      <c r="IEO5" s="354"/>
      <c r="IEP5" s="354"/>
      <c r="IEQ5" s="354"/>
      <c r="IER5" s="354"/>
      <c r="IES5" s="354"/>
      <c r="IET5" s="354"/>
      <c r="IEU5" s="354"/>
      <c r="IEV5" s="354"/>
      <c r="IEW5" s="354"/>
      <c r="IEX5" s="354"/>
      <c r="IEY5" s="354"/>
      <c r="IEZ5" s="354"/>
      <c r="IFA5" s="354"/>
      <c r="IFB5" s="354"/>
      <c r="IFC5" s="354"/>
      <c r="IFD5" s="354"/>
      <c r="IFE5" s="354"/>
      <c r="IFF5" s="354"/>
      <c r="IFG5" s="354"/>
      <c r="IFH5" s="354"/>
      <c r="IFI5" s="354"/>
      <c r="IFJ5" s="354"/>
      <c r="IFK5" s="354"/>
      <c r="IFL5" s="354"/>
      <c r="IFM5" s="354"/>
      <c r="IFN5" s="354"/>
      <c r="IFO5" s="354"/>
      <c r="IFP5" s="354"/>
      <c r="IFQ5" s="354"/>
      <c r="IFR5" s="354"/>
      <c r="IFS5" s="354"/>
      <c r="IFT5" s="354"/>
      <c r="IFU5" s="354"/>
      <c r="IFV5" s="354"/>
      <c r="IFW5" s="354"/>
      <c r="IFX5" s="354"/>
      <c r="IFY5" s="354"/>
      <c r="IFZ5" s="354"/>
      <c r="IGA5" s="354"/>
      <c r="IGB5" s="354"/>
      <c r="IGC5" s="354"/>
      <c r="IGD5" s="354"/>
      <c r="IGE5" s="354"/>
      <c r="IGF5" s="354"/>
      <c r="IGG5" s="354"/>
      <c r="IGH5" s="354"/>
      <c r="IGI5" s="354"/>
      <c r="IGJ5" s="354"/>
      <c r="IGK5" s="354"/>
      <c r="IGL5" s="354"/>
      <c r="IGM5" s="354"/>
      <c r="IGN5" s="354"/>
      <c r="IGO5" s="354"/>
      <c r="IGP5" s="354"/>
      <c r="IGQ5" s="354"/>
      <c r="IGR5" s="354"/>
      <c r="IGS5" s="354"/>
      <c r="IGT5" s="354"/>
      <c r="IGU5" s="354"/>
      <c r="IGV5" s="354"/>
      <c r="IGW5" s="354"/>
      <c r="IGX5" s="354"/>
      <c r="IGY5" s="354"/>
      <c r="IGZ5" s="354"/>
      <c r="IHA5" s="354"/>
      <c r="IHB5" s="354"/>
      <c r="IHC5" s="354"/>
      <c r="IHD5" s="354"/>
      <c r="IHE5" s="354"/>
      <c r="IHF5" s="354"/>
      <c r="IHG5" s="354"/>
      <c r="IHH5" s="354"/>
      <c r="IHI5" s="354"/>
      <c r="IHJ5" s="354"/>
      <c r="IHK5" s="354"/>
      <c r="IHL5" s="354"/>
      <c r="IHM5" s="354"/>
      <c r="IHN5" s="354"/>
      <c r="IHO5" s="354"/>
      <c r="IHP5" s="354"/>
      <c r="IHQ5" s="354"/>
      <c r="IHR5" s="354"/>
      <c r="IHS5" s="354"/>
      <c r="IHT5" s="354"/>
      <c r="IHU5" s="354"/>
      <c r="IHV5" s="354"/>
      <c r="IHW5" s="354"/>
      <c r="IHX5" s="354"/>
      <c r="IHY5" s="354"/>
      <c r="IHZ5" s="354"/>
      <c r="IIA5" s="354"/>
      <c r="IIB5" s="354"/>
      <c r="IIC5" s="354"/>
      <c r="IID5" s="354"/>
      <c r="IIE5" s="354"/>
      <c r="IIF5" s="354"/>
      <c r="IIG5" s="354"/>
      <c r="IIH5" s="354"/>
      <c r="III5" s="354"/>
      <c r="IIJ5" s="354"/>
      <c r="IIK5" s="354"/>
      <c r="IIL5" s="354"/>
      <c r="IIM5" s="354"/>
      <c r="IIN5" s="354"/>
      <c r="IIO5" s="354"/>
      <c r="IIP5" s="354"/>
      <c r="IIQ5" s="354"/>
      <c r="IIR5" s="354"/>
      <c r="IIS5" s="354"/>
      <c r="IIT5" s="354"/>
      <c r="IIU5" s="354"/>
      <c r="IIV5" s="354"/>
      <c r="IIW5" s="354"/>
      <c r="IIX5" s="354"/>
      <c r="IIY5" s="354"/>
      <c r="IIZ5" s="354"/>
      <c r="IJA5" s="354"/>
      <c r="IJB5" s="354"/>
      <c r="IJC5" s="354"/>
      <c r="IJD5" s="354"/>
      <c r="IJE5" s="354"/>
      <c r="IJF5" s="354"/>
      <c r="IJG5" s="354"/>
      <c r="IJH5" s="354"/>
      <c r="IJI5" s="354"/>
      <c r="IJJ5" s="354"/>
      <c r="IJK5" s="354"/>
      <c r="IJL5" s="354"/>
      <c r="IJM5" s="354"/>
      <c r="IJN5" s="354"/>
      <c r="IJO5" s="354"/>
      <c r="IJP5" s="354"/>
      <c r="IJQ5" s="354"/>
      <c r="IJR5" s="354"/>
      <c r="IJS5" s="354"/>
      <c r="IJT5" s="354"/>
      <c r="IJU5" s="354"/>
      <c r="IJV5" s="354"/>
      <c r="IJW5" s="354"/>
      <c r="IJX5" s="354"/>
      <c r="IJY5" s="354"/>
      <c r="IJZ5" s="354"/>
      <c r="IKA5" s="354"/>
      <c r="IKB5" s="354"/>
      <c r="IKC5" s="354"/>
      <c r="IKD5" s="354"/>
      <c r="IKE5" s="354"/>
      <c r="IKF5" s="354"/>
      <c r="IKG5" s="354"/>
      <c r="IKH5" s="354"/>
      <c r="IKI5" s="354"/>
      <c r="IKJ5" s="354"/>
      <c r="IKK5" s="354"/>
      <c r="IKL5" s="354"/>
      <c r="IKM5" s="354"/>
      <c r="IKN5" s="354"/>
      <c r="IKO5" s="354"/>
      <c r="IKP5" s="354"/>
      <c r="IKQ5" s="354"/>
      <c r="IKR5" s="354"/>
      <c r="IKS5" s="354"/>
      <c r="IKT5" s="354"/>
      <c r="IKU5" s="354"/>
      <c r="IKV5" s="354"/>
      <c r="IKW5" s="354"/>
      <c r="IKX5" s="354"/>
      <c r="IKY5" s="354"/>
      <c r="IKZ5" s="354"/>
      <c r="ILA5" s="354"/>
      <c r="ILB5" s="354"/>
      <c r="ILC5" s="354"/>
      <c r="ILD5" s="354"/>
      <c r="ILE5" s="354"/>
      <c r="ILF5" s="354"/>
      <c r="ILG5" s="354"/>
      <c r="ILH5" s="354"/>
      <c r="ILI5" s="354"/>
      <c r="ILJ5" s="354"/>
      <c r="ILK5" s="354"/>
      <c r="ILL5" s="354"/>
      <c r="ILM5" s="354"/>
      <c r="ILN5" s="354"/>
      <c r="ILO5" s="354"/>
      <c r="ILP5" s="354"/>
      <c r="ILQ5" s="354"/>
      <c r="ILR5" s="354"/>
      <c r="ILS5" s="354"/>
      <c r="ILT5" s="354"/>
      <c r="ILU5" s="354"/>
      <c r="ILV5" s="354"/>
      <c r="ILW5" s="354"/>
      <c r="ILX5" s="354"/>
      <c r="ILY5" s="354"/>
      <c r="ILZ5" s="354"/>
      <c r="IMA5" s="354"/>
      <c r="IMB5" s="354"/>
      <c r="IMC5" s="354"/>
      <c r="IMD5" s="354"/>
      <c r="IME5" s="354"/>
      <c r="IMF5" s="354"/>
      <c r="IMG5" s="354"/>
      <c r="IMH5" s="354"/>
      <c r="IMI5" s="354"/>
      <c r="IMJ5" s="354"/>
      <c r="IMK5" s="354"/>
      <c r="IML5" s="354"/>
      <c r="IMM5" s="354"/>
      <c r="IMN5" s="354"/>
      <c r="IMO5" s="354"/>
      <c r="IMP5" s="354"/>
      <c r="IMQ5" s="354"/>
      <c r="IMR5" s="354"/>
      <c r="IMS5" s="354"/>
      <c r="IMT5" s="354"/>
      <c r="IMU5" s="354"/>
      <c r="IMV5" s="354"/>
      <c r="IMW5" s="354"/>
      <c r="IMX5" s="354"/>
      <c r="IMY5" s="354"/>
      <c r="IMZ5" s="354"/>
      <c r="INA5" s="354"/>
      <c r="INB5" s="354"/>
      <c r="INC5" s="354"/>
      <c r="IND5" s="354"/>
      <c r="INE5" s="354"/>
      <c r="INF5" s="354"/>
      <c r="ING5" s="354"/>
      <c r="INH5" s="354"/>
      <c r="INI5" s="354"/>
      <c r="INJ5" s="354"/>
      <c r="INK5" s="354"/>
      <c r="INL5" s="354"/>
      <c r="INM5" s="354"/>
      <c r="INN5" s="354"/>
      <c r="INO5" s="354"/>
      <c r="INP5" s="354"/>
      <c r="INQ5" s="354"/>
      <c r="INR5" s="354"/>
      <c r="INS5" s="354"/>
      <c r="INT5" s="354"/>
      <c r="INU5" s="354"/>
      <c r="INV5" s="354"/>
      <c r="INW5" s="354"/>
      <c r="INX5" s="354"/>
      <c r="INY5" s="354"/>
      <c r="INZ5" s="354"/>
      <c r="IOA5" s="354"/>
      <c r="IOB5" s="354"/>
      <c r="IOC5" s="354"/>
      <c r="IOD5" s="354"/>
      <c r="IOE5" s="354"/>
      <c r="IOF5" s="354"/>
      <c r="IOG5" s="354"/>
      <c r="IOH5" s="354"/>
      <c r="IOI5" s="354"/>
      <c r="IOJ5" s="354"/>
      <c r="IOK5" s="354"/>
      <c r="IOL5" s="354"/>
      <c r="IOM5" s="354"/>
      <c r="ION5" s="354"/>
      <c r="IOO5" s="354"/>
      <c r="IOP5" s="354"/>
      <c r="IOQ5" s="354"/>
      <c r="IOR5" s="354"/>
      <c r="IOS5" s="354"/>
      <c r="IOT5" s="354"/>
      <c r="IOU5" s="354"/>
      <c r="IOV5" s="354"/>
      <c r="IOW5" s="354"/>
      <c r="IOX5" s="354"/>
      <c r="IOY5" s="354"/>
      <c r="IOZ5" s="354"/>
      <c r="IPA5" s="354"/>
      <c r="IPB5" s="354"/>
      <c r="IPC5" s="354"/>
      <c r="IPD5" s="354"/>
      <c r="IPE5" s="354"/>
      <c r="IPF5" s="354"/>
      <c r="IPG5" s="354"/>
      <c r="IPH5" s="354"/>
      <c r="IPI5" s="354"/>
      <c r="IPJ5" s="354"/>
      <c r="IPK5" s="354"/>
      <c r="IPL5" s="354"/>
      <c r="IPM5" s="354"/>
      <c r="IPN5" s="354"/>
      <c r="IPO5" s="354"/>
      <c r="IPP5" s="354"/>
      <c r="IPQ5" s="354"/>
      <c r="IPR5" s="354"/>
      <c r="IPS5" s="354"/>
      <c r="IPT5" s="354"/>
      <c r="IPU5" s="354"/>
      <c r="IPV5" s="354"/>
      <c r="IPW5" s="354"/>
      <c r="IPX5" s="354"/>
      <c r="IPY5" s="354"/>
      <c r="IPZ5" s="354"/>
      <c r="IQA5" s="354"/>
      <c r="IQB5" s="354"/>
      <c r="IQC5" s="354"/>
      <c r="IQD5" s="354"/>
      <c r="IQE5" s="354"/>
      <c r="IQF5" s="354"/>
      <c r="IQG5" s="354"/>
      <c r="IQH5" s="354"/>
      <c r="IQI5" s="354"/>
      <c r="IQJ5" s="354"/>
      <c r="IQK5" s="354"/>
      <c r="IQL5" s="354"/>
      <c r="IQM5" s="354"/>
      <c r="IQN5" s="354"/>
      <c r="IQO5" s="354"/>
      <c r="IQP5" s="354"/>
      <c r="IQQ5" s="354"/>
      <c r="IQR5" s="354"/>
      <c r="IQS5" s="354"/>
      <c r="IQT5" s="354"/>
      <c r="IQU5" s="354"/>
      <c r="IQV5" s="354"/>
      <c r="IQW5" s="354"/>
      <c r="IQX5" s="354"/>
      <c r="IQY5" s="354"/>
      <c r="IQZ5" s="354"/>
      <c r="IRA5" s="354"/>
      <c r="IRB5" s="354"/>
      <c r="IRC5" s="354"/>
      <c r="IRD5" s="354"/>
      <c r="IRE5" s="354"/>
      <c r="IRF5" s="354"/>
      <c r="IRG5" s="354"/>
      <c r="IRH5" s="354"/>
      <c r="IRI5" s="354"/>
      <c r="IRJ5" s="354"/>
      <c r="IRK5" s="354"/>
      <c r="IRL5" s="354"/>
      <c r="IRM5" s="354"/>
      <c r="IRN5" s="354"/>
      <c r="IRO5" s="354"/>
      <c r="IRP5" s="354"/>
      <c r="IRQ5" s="354"/>
      <c r="IRR5" s="354"/>
      <c r="IRS5" s="354"/>
      <c r="IRT5" s="354"/>
      <c r="IRU5" s="354"/>
      <c r="IRV5" s="354"/>
      <c r="IRW5" s="354"/>
      <c r="IRX5" s="354"/>
      <c r="IRY5" s="354"/>
      <c r="IRZ5" s="354"/>
      <c r="ISA5" s="354"/>
      <c r="ISB5" s="354"/>
      <c r="ISC5" s="354"/>
      <c r="ISD5" s="354"/>
      <c r="ISE5" s="354"/>
      <c r="ISF5" s="354"/>
      <c r="ISG5" s="354"/>
      <c r="ISH5" s="354"/>
      <c r="ISI5" s="354"/>
      <c r="ISJ5" s="354"/>
      <c r="ISK5" s="354"/>
      <c r="ISL5" s="354"/>
      <c r="ISM5" s="354"/>
      <c r="ISN5" s="354"/>
      <c r="ISO5" s="354"/>
      <c r="ISP5" s="354"/>
      <c r="ISQ5" s="354"/>
      <c r="ISR5" s="354"/>
      <c r="ISS5" s="354"/>
      <c r="IST5" s="354"/>
      <c r="ISU5" s="354"/>
      <c r="ISV5" s="354"/>
      <c r="ISW5" s="354"/>
      <c r="ISX5" s="354"/>
      <c r="ISY5" s="354"/>
      <c r="ISZ5" s="354"/>
      <c r="ITA5" s="354"/>
      <c r="ITB5" s="354"/>
      <c r="ITC5" s="354"/>
      <c r="ITD5" s="354"/>
      <c r="ITE5" s="354"/>
      <c r="ITF5" s="354"/>
      <c r="ITG5" s="354"/>
      <c r="ITH5" s="354"/>
      <c r="ITI5" s="354"/>
      <c r="ITJ5" s="354"/>
      <c r="ITK5" s="354"/>
      <c r="ITL5" s="354"/>
      <c r="ITM5" s="354"/>
      <c r="ITN5" s="354"/>
      <c r="ITO5" s="354"/>
      <c r="ITP5" s="354"/>
      <c r="ITQ5" s="354"/>
      <c r="ITR5" s="354"/>
      <c r="ITS5" s="354"/>
      <c r="ITT5" s="354"/>
      <c r="ITU5" s="354"/>
      <c r="ITV5" s="354"/>
      <c r="ITW5" s="354"/>
      <c r="ITX5" s="354"/>
      <c r="ITY5" s="354"/>
      <c r="ITZ5" s="354"/>
      <c r="IUA5" s="354"/>
      <c r="IUB5" s="354"/>
      <c r="IUC5" s="354"/>
      <c r="IUD5" s="354"/>
      <c r="IUE5" s="354"/>
      <c r="IUF5" s="354"/>
      <c r="IUG5" s="354"/>
      <c r="IUH5" s="354"/>
      <c r="IUI5" s="354"/>
      <c r="IUJ5" s="354"/>
      <c r="IUK5" s="354"/>
      <c r="IUL5" s="354"/>
      <c r="IUM5" s="354"/>
      <c r="IUN5" s="354"/>
      <c r="IUO5" s="354"/>
      <c r="IUP5" s="354"/>
      <c r="IUQ5" s="354"/>
      <c r="IUR5" s="354"/>
      <c r="IUS5" s="354"/>
      <c r="IUT5" s="354"/>
      <c r="IUU5" s="354"/>
      <c r="IUV5" s="354"/>
      <c r="IUW5" s="354"/>
      <c r="IUX5" s="354"/>
      <c r="IUY5" s="354"/>
      <c r="IUZ5" s="354"/>
      <c r="IVA5" s="354"/>
      <c r="IVB5" s="354"/>
      <c r="IVC5" s="354"/>
      <c r="IVD5" s="354"/>
      <c r="IVE5" s="354"/>
      <c r="IVF5" s="354"/>
      <c r="IVG5" s="354"/>
      <c r="IVH5" s="354"/>
      <c r="IVI5" s="354"/>
      <c r="IVJ5" s="354"/>
      <c r="IVK5" s="354"/>
      <c r="IVL5" s="354"/>
      <c r="IVM5" s="354"/>
      <c r="IVN5" s="354"/>
      <c r="IVO5" s="354"/>
      <c r="IVP5" s="354"/>
      <c r="IVQ5" s="354"/>
      <c r="IVR5" s="354"/>
      <c r="IVS5" s="354"/>
      <c r="IVT5" s="354"/>
      <c r="IVU5" s="354"/>
      <c r="IVV5" s="354"/>
      <c r="IVW5" s="354"/>
      <c r="IVX5" s="354"/>
      <c r="IVY5" s="354"/>
      <c r="IVZ5" s="354"/>
      <c r="IWA5" s="354"/>
      <c r="IWB5" s="354"/>
      <c r="IWC5" s="354"/>
      <c r="IWD5" s="354"/>
      <c r="IWE5" s="354"/>
      <c r="IWF5" s="354"/>
      <c r="IWG5" s="354"/>
      <c r="IWH5" s="354"/>
      <c r="IWI5" s="354"/>
      <c r="IWJ5" s="354"/>
      <c r="IWK5" s="354"/>
      <c r="IWL5" s="354"/>
      <c r="IWM5" s="354"/>
      <c r="IWN5" s="354"/>
      <c r="IWO5" s="354"/>
      <c r="IWP5" s="354"/>
      <c r="IWQ5" s="354"/>
      <c r="IWR5" s="354"/>
      <c r="IWS5" s="354"/>
      <c r="IWT5" s="354"/>
      <c r="IWU5" s="354"/>
      <c r="IWV5" s="354"/>
      <c r="IWW5" s="354"/>
      <c r="IWX5" s="354"/>
      <c r="IWY5" s="354"/>
      <c r="IWZ5" s="354"/>
      <c r="IXA5" s="354"/>
      <c r="IXB5" s="354"/>
      <c r="IXC5" s="354"/>
      <c r="IXD5" s="354"/>
      <c r="IXE5" s="354"/>
      <c r="IXF5" s="354"/>
      <c r="IXG5" s="354"/>
      <c r="IXH5" s="354"/>
      <c r="IXI5" s="354"/>
      <c r="IXJ5" s="354"/>
      <c r="IXK5" s="354"/>
      <c r="IXL5" s="354"/>
      <c r="IXM5" s="354"/>
      <c r="IXN5" s="354"/>
      <c r="IXO5" s="354"/>
      <c r="IXP5" s="354"/>
      <c r="IXQ5" s="354"/>
      <c r="IXR5" s="354"/>
      <c r="IXS5" s="354"/>
      <c r="IXT5" s="354"/>
      <c r="IXU5" s="354"/>
      <c r="IXV5" s="354"/>
      <c r="IXW5" s="354"/>
      <c r="IXX5" s="354"/>
      <c r="IXY5" s="354"/>
      <c r="IXZ5" s="354"/>
      <c r="IYA5" s="354"/>
      <c r="IYB5" s="354"/>
      <c r="IYC5" s="354"/>
      <c r="IYD5" s="354"/>
      <c r="IYE5" s="354"/>
      <c r="IYF5" s="354"/>
      <c r="IYG5" s="354"/>
      <c r="IYH5" s="354"/>
      <c r="IYI5" s="354"/>
      <c r="IYJ5" s="354"/>
      <c r="IYK5" s="354"/>
      <c r="IYL5" s="354"/>
      <c r="IYM5" s="354"/>
      <c r="IYN5" s="354"/>
      <c r="IYO5" s="354"/>
      <c r="IYP5" s="354"/>
      <c r="IYQ5" s="354"/>
      <c r="IYR5" s="354"/>
      <c r="IYS5" s="354"/>
      <c r="IYT5" s="354"/>
      <c r="IYU5" s="354"/>
      <c r="IYV5" s="354"/>
      <c r="IYW5" s="354"/>
      <c r="IYX5" s="354"/>
      <c r="IYY5" s="354"/>
      <c r="IYZ5" s="354"/>
      <c r="IZA5" s="354"/>
      <c r="IZB5" s="354"/>
      <c r="IZC5" s="354"/>
      <c r="IZD5" s="354"/>
      <c r="IZE5" s="354"/>
      <c r="IZF5" s="354"/>
      <c r="IZG5" s="354"/>
      <c r="IZH5" s="354"/>
      <c r="IZI5" s="354"/>
      <c r="IZJ5" s="354"/>
      <c r="IZK5" s="354"/>
      <c r="IZL5" s="354"/>
      <c r="IZM5" s="354"/>
      <c r="IZN5" s="354"/>
      <c r="IZO5" s="354"/>
      <c r="IZP5" s="354"/>
      <c r="IZQ5" s="354"/>
      <c r="IZR5" s="354"/>
      <c r="IZS5" s="354"/>
      <c r="IZT5" s="354"/>
      <c r="IZU5" s="354"/>
      <c r="IZV5" s="354"/>
      <c r="IZW5" s="354"/>
      <c r="IZX5" s="354"/>
      <c r="IZY5" s="354"/>
      <c r="IZZ5" s="354"/>
      <c r="JAA5" s="354"/>
      <c r="JAB5" s="354"/>
      <c r="JAC5" s="354"/>
      <c r="JAD5" s="354"/>
      <c r="JAE5" s="354"/>
      <c r="JAF5" s="354"/>
      <c r="JAG5" s="354"/>
      <c r="JAH5" s="354"/>
      <c r="JAI5" s="354"/>
      <c r="JAJ5" s="354"/>
      <c r="JAK5" s="354"/>
      <c r="JAL5" s="354"/>
      <c r="JAM5" s="354"/>
      <c r="JAN5" s="354"/>
      <c r="JAO5" s="354"/>
      <c r="JAP5" s="354"/>
      <c r="JAQ5" s="354"/>
      <c r="JAR5" s="354"/>
      <c r="JAS5" s="354"/>
      <c r="JAT5" s="354"/>
      <c r="JAU5" s="354"/>
      <c r="JAV5" s="354"/>
      <c r="JAW5" s="354"/>
      <c r="JAX5" s="354"/>
      <c r="JAY5" s="354"/>
      <c r="JAZ5" s="354"/>
      <c r="JBA5" s="354"/>
      <c r="JBB5" s="354"/>
      <c r="JBC5" s="354"/>
      <c r="JBD5" s="354"/>
      <c r="JBE5" s="354"/>
      <c r="JBF5" s="354"/>
      <c r="JBG5" s="354"/>
      <c r="JBH5" s="354"/>
      <c r="JBI5" s="354"/>
      <c r="JBJ5" s="354"/>
      <c r="JBK5" s="354"/>
      <c r="JBL5" s="354"/>
      <c r="JBM5" s="354"/>
      <c r="JBN5" s="354"/>
      <c r="JBO5" s="354"/>
      <c r="JBP5" s="354"/>
      <c r="JBQ5" s="354"/>
      <c r="JBR5" s="354"/>
      <c r="JBS5" s="354"/>
      <c r="JBT5" s="354"/>
      <c r="JBU5" s="354"/>
      <c r="JBV5" s="354"/>
      <c r="JBW5" s="354"/>
      <c r="JBX5" s="354"/>
      <c r="JBY5" s="354"/>
      <c r="JBZ5" s="354"/>
      <c r="JCA5" s="354"/>
      <c r="JCB5" s="354"/>
      <c r="JCC5" s="354"/>
      <c r="JCD5" s="354"/>
      <c r="JCE5" s="354"/>
      <c r="JCF5" s="354"/>
      <c r="JCG5" s="354"/>
      <c r="JCH5" s="354"/>
      <c r="JCI5" s="354"/>
      <c r="JCJ5" s="354"/>
      <c r="JCK5" s="354"/>
      <c r="JCL5" s="354"/>
      <c r="JCM5" s="354"/>
      <c r="JCN5" s="354"/>
      <c r="JCO5" s="354"/>
      <c r="JCP5" s="354"/>
      <c r="JCQ5" s="354"/>
      <c r="JCR5" s="354"/>
      <c r="JCS5" s="354"/>
      <c r="JCT5" s="354"/>
      <c r="JCU5" s="354"/>
      <c r="JCV5" s="354"/>
      <c r="JCW5" s="354"/>
      <c r="JCX5" s="354"/>
      <c r="JCY5" s="354"/>
      <c r="JCZ5" s="354"/>
      <c r="JDA5" s="354"/>
      <c r="JDB5" s="354"/>
      <c r="JDC5" s="354"/>
      <c r="JDD5" s="354"/>
      <c r="JDE5" s="354"/>
      <c r="JDF5" s="354"/>
      <c r="JDG5" s="354"/>
      <c r="JDH5" s="354"/>
      <c r="JDI5" s="354"/>
      <c r="JDJ5" s="354"/>
      <c r="JDK5" s="354"/>
      <c r="JDL5" s="354"/>
      <c r="JDM5" s="354"/>
      <c r="JDN5" s="354"/>
      <c r="JDO5" s="354"/>
      <c r="JDP5" s="354"/>
      <c r="JDQ5" s="354"/>
      <c r="JDR5" s="354"/>
      <c r="JDS5" s="354"/>
      <c r="JDT5" s="354"/>
      <c r="JDU5" s="354"/>
      <c r="JDV5" s="354"/>
      <c r="JDW5" s="354"/>
      <c r="JDX5" s="354"/>
      <c r="JDY5" s="354"/>
      <c r="JDZ5" s="354"/>
      <c r="JEA5" s="354"/>
      <c r="JEB5" s="354"/>
      <c r="JEC5" s="354"/>
      <c r="JED5" s="354"/>
      <c r="JEE5" s="354"/>
      <c r="JEF5" s="354"/>
      <c r="JEG5" s="354"/>
      <c r="JEH5" s="354"/>
      <c r="JEI5" s="354"/>
      <c r="JEJ5" s="354"/>
      <c r="JEK5" s="354"/>
      <c r="JEL5" s="354"/>
      <c r="JEM5" s="354"/>
      <c r="JEN5" s="354"/>
      <c r="JEO5" s="354"/>
      <c r="JEP5" s="354"/>
      <c r="JEQ5" s="354"/>
      <c r="JER5" s="354"/>
      <c r="JES5" s="354"/>
      <c r="JET5" s="354"/>
      <c r="JEU5" s="354"/>
      <c r="JEV5" s="354"/>
      <c r="JEW5" s="354"/>
      <c r="JEX5" s="354"/>
      <c r="JEY5" s="354"/>
      <c r="JEZ5" s="354"/>
      <c r="JFA5" s="354"/>
      <c r="JFB5" s="354"/>
      <c r="JFC5" s="354"/>
      <c r="JFD5" s="354"/>
      <c r="JFE5" s="354"/>
      <c r="JFF5" s="354"/>
      <c r="JFG5" s="354"/>
      <c r="JFH5" s="354"/>
      <c r="JFI5" s="354"/>
      <c r="JFJ5" s="354"/>
      <c r="JFK5" s="354"/>
      <c r="JFL5" s="354"/>
      <c r="JFM5" s="354"/>
      <c r="JFN5" s="354"/>
      <c r="JFO5" s="354"/>
      <c r="JFP5" s="354"/>
      <c r="JFQ5" s="354"/>
      <c r="JFR5" s="354"/>
      <c r="JFS5" s="354"/>
      <c r="JFT5" s="354"/>
      <c r="JFU5" s="354"/>
      <c r="JFV5" s="354"/>
      <c r="JFW5" s="354"/>
      <c r="JFX5" s="354"/>
      <c r="JFY5" s="354"/>
      <c r="JFZ5" s="354"/>
      <c r="JGA5" s="354"/>
      <c r="JGB5" s="354"/>
      <c r="JGC5" s="354"/>
      <c r="JGD5" s="354"/>
      <c r="JGE5" s="354"/>
      <c r="JGF5" s="354"/>
      <c r="JGG5" s="354"/>
      <c r="JGH5" s="354"/>
      <c r="JGI5" s="354"/>
      <c r="JGJ5" s="354"/>
      <c r="JGK5" s="354"/>
      <c r="JGL5" s="354"/>
      <c r="JGM5" s="354"/>
      <c r="JGN5" s="354"/>
      <c r="JGO5" s="354"/>
      <c r="JGP5" s="354"/>
      <c r="JGQ5" s="354"/>
      <c r="JGR5" s="354"/>
      <c r="JGS5" s="354"/>
      <c r="JGT5" s="354"/>
      <c r="JGU5" s="354"/>
      <c r="JGV5" s="354"/>
      <c r="JGW5" s="354"/>
      <c r="JGX5" s="354"/>
      <c r="JGY5" s="354"/>
      <c r="JGZ5" s="354"/>
      <c r="JHA5" s="354"/>
      <c r="JHB5" s="354"/>
      <c r="JHC5" s="354"/>
      <c r="JHD5" s="354"/>
      <c r="JHE5" s="354"/>
      <c r="JHF5" s="354"/>
      <c r="JHG5" s="354"/>
      <c r="JHH5" s="354"/>
      <c r="JHI5" s="354"/>
      <c r="JHJ5" s="354"/>
      <c r="JHK5" s="354"/>
      <c r="JHL5" s="354"/>
      <c r="JHM5" s="354"/>
      <c r="JHN5" s="354"/>
      <c r="JHO5" s="354"/>
      <c r="JHP5" s="354"/>
      <c r="JHQ5" s="354"/>
      <c r="JHR5" s="354"/>
      <c r="JHS5" s="354"/>
      <c r="JHT5" s="354"/>
      <c r="JHU5" s="354"/>
      <c r="JHV5" s="354"/>
      <c r="JHW5" s="354"/>
      <c r="JHX5" s="354"/>
      <c r="JHY5" s="354"/>
      <c r="JHZ5" s="354"/>
      <c r="JIA5" s="354"/>
      <c r="JIB5" s="354"/>
      <c r="JIC5" s="354"/>
      <c r="JID5" s="354"/>
      <c r="JIE5" s="354"/>
      <c r="JIF5" s="354"/>
      <c r="JIG5" s="354"/>
      <c r="JIH5" s="354"/>
      <c r="JII5" s="354"/>
      <c r="JIJ5" s="354"/>
      <c r="JIK5" s="354"/>
      <c r="JIL5" s="354"/>
      <c r="JIM5" s="354"/>
      <c r="JIN5" s="354"/>
      <c r="JIO5" s="354"/>
      <c r="JIP5" s="354"/>
      <c r="JIQ5" s="354"/>
      <c r="JIR5" s="354"/>
      <c r="JIS5" s="354"/>
      <c r="JIT5" s="354"/>
      <c r="JIU5" s="354"/>
      <c r="JIV5" s="354"/>
      <c r="JIW5" s="354"/>
      <c r="JIX5" s="354"/>
      <c r="JIY5" s="354"/>
      <c r="JIZ5" s="354"/>
      <c r="JJA5" s="354"/>
      <c r="JJB5" s="354"/>
      <c r="JJC5" s="354"/>
      <c r="JJD5" s="354"/>
      <c r="JJE5" s="354"/>
      <c r="JJF5" s="354"/>
      <c r="JJG5" s="354"/>
      <c r="JJH5" s="354"/>
      <c r="JJI5" s="354"/>
      <c r="JJJ5" s="354"/>
      <c r="JJK5" s="354"/>
      <c r="JJL5" s="354"/>
      <c r="JJM5" s="354"/>
      <c r="JJN5" s="354"/>
      <c r="JJO5" s="354"/>
      <c r="JJP5" s="354"/>
      <c r="JJQ5" s="354"/>
      <c r="JJR5" s="354"/>
      <c r="JJS5" s="354"/>
      <c r="JJT5" s="354"/>
      <c r="JJU5" s="354"/>
      <c r="JJV5" s="354"/>
      <c r="JJW5" s="354"/>
      <c r="JJX5" s="354"/>
      <c r="JJY5" s="354"/>
      <c r="JJZ5" s="354"/>
      <c r="JKA5" s="354"/>
      <c r="JKB5" s="354"/>
      <c r="JKC5" s="354"/>
      <c r="JKD5" s="354"/>
      <c r="JKE5" s="354"/>
      <c r="JKF5" s="354"/>
      <c r="JKG5" s="354"/>
      <c r="JKH5" s="354"/>
      <c r="JKI5" s="354"/>
      <c r="JKJ5" s="354"/>
      <c r="JKK5" s="354"/>
      <c r="JKL5" s="354"/>
      <c r="JKM5" s="354"/>
      <c r="JKN5" s="354"/>
      <c r="JKO5" s="354"/>
      <c r="JKP5" s="354"/>
      <c r="JKQ5" s="354"/>
      <c r="JKR5" s="354"/>
      <c r="JKS5" s="354"/>
      <c r="JKT5" s="354"/>
      <c r="JKU5" s="354"/>
      <c r="JKV5" s="354"/>
      <c r="JKW5" s="354"/>
      <c r="JKX5" s="354"/>
      <c r="JKY5" s="354"/>
      <c r="JKZ5" s="354"/>
      <c r="JLA5" s="354"/>
      <c r="JLB5" s="354"/>
      <c r="JLC5" s="354"/>
      <c r="JLD5" s="354"/>
      <c r="JLE5" s="354"/>
      <c r="JLF5" s="354"/>
      <c r="JLG5" s="354"/>
      <c r="JLH5" s="354"/>
      <c r="JLI5" s="354"/>
      <c r="JLJ5" s="354"/>
      <c r="JLK5" s="354"/>
      <c r="JLL5" s="354"/>
      <c r="JLM5" s="354"/>
      <c r="JLN5" s="354"/>
      <c r="JLO5" s="354"/>
      <c r="JLP5" s="354"/>
      <c r="JLQ5" s="354"/>
      <c r="JLR5" s="354"/>
      <c r="JLS5" s="354"/>
      <c r="JLT5" s="354"/>
      <c r="JLU5" s="354"/>
      <c r="JLV5" s="354"/>
      <c r="JLW5" s="354"/>
      <c r="JLX5" s="354"/>
      <c r="JLY5" s="354"/>
      <c r="JLZ5" s="354"/>
      <c r="JMA5" s="354"/>
      <c r="JMB5" s="354"/>
      <c r="JMC5" s="354"/>
      <c r="JMD5" s="354"/>
      <c r="JME5" s="354"/>
      <c r="JMF5" s="354"/>
      <c r="JMG5" s="354"/>
      <c r="JMH5" s="354"/>
      <c r="JMI5" s="354"/>
      <c r="JMJ5" s="354"/>
      <c r="JMK5" s="354"/>
      <c r="JML5" s="354"/>
      <c r="JMM5" s="354"/>
      <c r="JMN5" s="354"/>
      <c r="JMO5" s="354"/>
      <c r="JMP5" s="354"/>
      <c r="JMQ5" s="354"/>
      <c r="JMR5" s="354"/>
      <c r="JMS5" s="354"/>
      <c r="JMT5" s="354"/>
      <c r="JMU5" s="354"/>
      <c r="JMV5" s="354"/>
      <c r="JMW5" s="354"/>
      <c r="JMX5" s="354"/>
      <c r="JMY5" s="354"/>
      <c r="JMZ5" s="354"/>
      <c r="JNA5" s="354"/>
      <c r="JNB5" s="354"/>
      <c r="JNC5" s="354"/>
      <c r="JND5" s="354"/>
      <c r="JNE5" s="354"/>
      <c r="JNF5" s="354"/>
      <c r="JNG5" s="354"/>
      <c r="JNH5" s="354"/>
      <c r="JNI5" s="354"/>
      <c r="JNJ5" s="354"/>
      <c r="JNK5" s="354"/>
      <c r="JNL5" s="354"/>
      <c r="JNM5" s="354"/>
      <c r="JNN5" s="354"/>
      <c r="JNO5" s="354"/>
      <c r="JNP5" s="354"/>
      <c r="JNQ5" s="354"/>
      <c r="JNR5" s="354"/>
      <c r="JNS5" s="354"/>
      <c r="JNT5" s="354"/>
      <c r="JNU5" s="354"/>
      <c r="JNV5" s="354"/>
      <c r="JNW5" s="354"/>
      <c r="JNX5" s="354"/>
      <c r="JNY5" s="354"/>
      <c r="JNZ5" s="354"/>
      <c r="JOA5" s="354"/>
      <c r="JOB5" s="354"/>
      <c r="JOC5" s="354"/>
      <c r="JOD5" s="354"/>
      <c r="JOE5" s="354"/>
      <c r="JOF5" s="354"/>
      <c r="JOG5" s="354"/>
      <c r="JOH5" s="354"/>
      <c r="JOI5" s="354"/>
      <c r="JOJ5" s="354"/>
      <c r="JOK5" s="354"/>
      <c r="JOL5" s="354"/>
      <c r="JOM5" s="354"/>
      <c r="JON5" s="354"/>
      <c r="JOO5" s="354"/>
      <c r="JOP5" s="354"/>
      <c r="JOQ5" s="354"/>
      <c r="JOR5" s="354"/>
      <c r="JOS5" s="354"/>
      <c r="JOT5" s="354"/>
      <c r="JOU5" s="354"/>
      <c r="JOV5" s="354"/>
      <c r="JOW5" s="354"/>
      <c r="JOX5" s="354"/>
      <c r="JOY5" s="354"/>
      <c r="JOZ5" s="354"/>
      <c r="JPA5" s="354"/>
      <c r="JPB5" s="354"/>
      <c r="JPC5" s="354"/>
      <c r="JPD5" s="354"/>
      <c r="JPE5" s="354"/>
      <c r="JPF5" s="354"/>
      <c r="JPG5" s="354"/>
      <c r="JPH5" s="354"/>
      <c r="JPI5" s="354"/>
      <c r="JPJ5" s="354"/>
      <c r="JPK5" s="354"/>
      <c r="JPL5" s="354"/>
      <c r="JPM5" s="354"/>
      <c r="JPN5" s="354"/>
      <c r="JPO5" s="354"/>
      <c r="JPP5" s="354"/>
      <c r="JPQ5" s="354"/>
      <c r="JPR5" s="354"/>
      <c r="JPS5" s="354"/>
      <c r="JPT5" s="354"/>
      <c r="JPU5" s="354"/>
      <c r="JPV5" s="354"/>
      <c r="JPW5" s="354"/>
      <c r="JPX5" s="354"/>
      <c r="JPY5" s="354"/>
      <c r="JPZ5" s="354"/>
      <c r="JQA5" s="354"/>
      <c r="JQB5" s="354"/>
      <c r="JQC5" s="354"/>
      <c r="JQD5" s="354"/>
      <c r="JQE5" s="354"/>
      <c r="JQF5" s="354"/>
      <c r="JQG5" s="354"/>
      <c r="JQH5" s="354"/>
      <c r="JQI5" s="354"/>
      <c r="JQJ5" s="354"/>
      <c r="JQK5" s="354"/>
      <c r="JQL5" s="354"/>
      <c r="JQM5" s="354"/>
      <c r="JQN5" s="354"/>
      <c r="JQO5" s="354"/>
      <c r="JQP5" s="354"/>
      <c r="JQQ5" s="354"/>
      <c r="JQR5" s="354"/>
      <c r="JQS5" s="354"/>
      <c r="JQT5" s="354"/>
      <c r="JQU5" s="354"/>
      <c r="JQV5" s="354"/>
      <c r="JQW5" s="354"/>
      <c r="JQX5" s="354"/>
      <c r="JQY5" s="354"/>
      <c r="JQZ5" s="354"/>
      <c r="JRA5" s="354"/>
      <c r="JRB5" s="354"/>
      <c r="JRC5" s="354"/>
      <c r="JRD5" s="354"/>
      <c r="JRE5" s="354"/>
      <c r="JRF5" s="354"/>
      <c r="JRG5" s="354"/>
      <c r="JRH5" s="354"/>
      <c r="JRI5" s="354"/>
      <c r="JRJ5" s="354"/>
      <c r="JRK5" s="354"/>
      <c r="JRL5" s="354"/>
      <c r="JRM5" s="354"/>
      <c r="JRN5" s="354"/>
      <c r="JRO5" s="354"/>
      <c r="JRP5" s="354"/>
      <c r="JRQ5" s="354"/>
      <c r="JRR5" s="354"/>
      <c r="JRS5" s="354"/>
      <c r="JRT5" s="354"/>
      <c r="JRU5" s="354"/>
      <c r="JRV5" s="354"/>
      <c r="JRW5" s="354"/>
      <c r="JRX5" s="354"/>
      <c r="JRY5" s="354"/>
      <c r="JRZ5" s="354"/>
      <c r="JSA5" s="354"/>
      <c r="JSB5" s="354"/>
      <c r="JSC5" s="354"/>
      <c r="JSD5" s="354"/>
      <c r="JSE5" s="354"/>
      <c r="JSF5" s="354"/>
      <c r="JSG5" s="354"/>
      <c r="JSH5" s="354"/>
      <c r="JSI5" s="354"/>
      <c r="JSJ5" s="354"/>
      <c r="JSK5" s="354"/>
      <c r="JSL5" s="354"/>
      <c r="JSM5" s="354"/>
      <c r="JSN5" s="354"/>
      <c r="JSO5" s="354"/>
      <c r="JSP5" s="354"/>
      <c r="JSQ5" s="354"/>
      <c r="JSR5" s="354"/>
      <c r="JSS5" s="354"/>
      <c r="JST5" s="354"/>
      <c r="JSU5" s="354"/>
      <c r="JSV5" s="354"/>
      <c r="JSW5" s="354"/>
      <c r="JSX5" s="354"/>
      <c r="JSY5" s="354"/>
      <c r="JSZ5" s="354"/>
      <c r="JTA5" s="354"/>
      <c r="JTB5" s="354"/>
      <c r="JTC5" s="354"/>
      <c r="JTD5" s="354"/>
      <c r="JTE5" s="354"/>
      <c r="JTF5" s="354"/>
      <c r="JTG5" s="354"/>
      <c r="JTH5" s="354"/>
      <c r="JTI5" s="354"/>
      <c r="JTJ5" s="354"/>
      <c r="JTK5" s="354"/>
      <c r="JTL5" s="354"/>
      <c r="JTM5" s="354"/>
      <c r="JTN5" s="354"/>
      <c r="JTO5" s="354"/>
      <c r="JTP5" s="354"/>
      <c r="JTQ5" s="354"/>
      <c r="JTR5" s="354"/>
      <c r="JTS5" s="354"/>
      <c r="JTT5" s="354"/>
      <c r="JTU5" s="354"/>
      <c r="JTV5" s="354"/>
      <c r="JTW5" s="354"/>
      <c r="JTX5" s="354"/>
      <c r="JTY5" s="354"/>
      <c r="JTZ5" s="354"/>
      <c r="JUA5" s="354"/>
      <c r="JUB5" s="354"/>
      <c r="JUC5" s="354"/>
      <c r="JUD5" s="354"/>
      <c r="JUE5" s="354"/>
      <c r="JUF5" s="354"/>
      <c r="JUG5" s="354"/>
      <c r="JUH5" s="354"/>
      <c r="JUI5" s="354"/>
      <c r="JUJ5" s="354"/>
      <c r="JUK5" s="354"/>
      <c r="JUL5" s="354"/>
      <c r="JUM5" s="354"/>
      <c r="JUN5" s="354"/>
      <c r="JUO5" s="354"/>
      <c r="JUP5" s="354"/>
      <c r="JUQ5" s="354"/>
      <c r="JUR5" s="354"/>
      <c r="JUS5" s="354"/>
      <c r="JUT5" s="354"/>
      <c r="JUU5" s="354"/>
      <c r="JUV5" s="354"/>
      <c r="JUW5" s="354"/>
      <c r="JUX5" s="354"/>
      <c r="JUY5" s="354"/>
      <c r="JUZ5" s="354"/>
      <c r="JVA5" s="354"/>
      <c r="JVB5" s="354"/>
      <c r="JVC5" s="354"/>
      <c r="JVD5" s="354"/>
      <c r="JVE5" s="354"/>
      <c r="JVF5" s="354"/>
      <c r="JVG5" s="354"/>
      <c r="JVH5" s="354"/>
      <c r="JVI5" s="354"/>
      <c r="JVJ5" s="354"/>
      <c r="JVK5" s="354"/>
      <c r="JVL5" s="354"/>
      <c r="JVM5" s="354"/>
      <c r="JVN5" s="354"/>
      <c r="JVO5" s="354"/>
      <c r="JVP5" s="354"/>
      <c r="JVQ5" s="354"/>
      <c r="JVR5" s="354"/>
      <c r="JVS5" s="354"/>
      <c r="JVT5" s="354"/>
      <c r="JVU5" s="354"/>
      <c r="JVV5" s="354"/>
      <c r="JVW5" s="354"/>
      <c r="JVX5" s="354"/>
      <c r="JVY5" s="354"/>
      <c r="JVZ5" s="354"/>
      <c r="JWA5" s="354"/>
      <c r="JWB5" s="354"/>
      <c r="JWC5" s="354"/>
      <c r="JWD5" s="354"/>
      <c r="JWE5" s="354"/>
      <c r="JWF5" s="354"/>
      <c r="JWG5" s="354"/>
      <c r="JWH5" s="354"/>
      <c r="JWI5" s="354"/>
      <c r="JWJ5" s="354"/>
      <c r="JWK5" s="354"/>
      <c r="JWL5" s="354"/>
      <c r="JWM5" s="354"/>
      <c r="JWN5" s="354"/>
      <c r="JWO5" s="354"/>
      <c r="JWP5" s="354"/>
      <c r="JWQ5" s="354"/>
      <c r="JWR5" s="354"/>
      <c r="JWS5" s="354"/>
      <c r="JWT5" s="354"/>
      <c r="JWU5" s="354"/>
      <c r="JWV5" s="354"/>
      <c r="JWW5" s="354"/>
      <c r="JWX5" s="354"/>
      <c r="JWY5" s="354"/>
      <c r="JWZ5" s="354"/>
      <c r="JXA5" s="354"/>
      <c r="JXB5" s="354"/>
      <c r="JXC5" s="354"/>
      <c r="JXD5" s="354"/>
      <c r="JXE5" s="354"/>
      <c r="JXF5" s="354"/>
      <c r="JXG5" s="354"/>
      <c r="JXH5" s="354"/>
      <c r="JXI5" s="354"/>
      <c r="JXJ5" s="354"/>
      <c r="JXK5" s="354"/>
      <c r="JXL5" s="354"/>
      <c r="JXM5" s="354"/>
      <c r="JXN5" s="354"/>
      <c r="JXO5" s="354"/>
      <c r="JXP5" s="354"/>
      <c r="JXQ5" s="354"/>
      <c r="JXR5" s="354"/>
      <c r="JXS5" s="354"/>
      <c r="JXT5" s="354"/>
      <c r="JXU5" s="354"/>
      <c r="JXV5" s="354"/>
      <c r="JXW5" s="354"/>
      <c r="JXX5" s="354"/>
      <c r="JXY5" s="354"/>
      <c r="JXZ5" s="354"/>
      <c r="JYA5" s="354"/>
      <c r="JYB5" s="354"/>
      <c r="JYC5" s="354"/>
      <c r="JYD5" s="354"/>
      <c r="JYE5" s="354"/>
      <c r="JYF5" s="354"/>
      <c r="JYG5" s="354"/>
      <c r="JYH5" s="354"/>
      <c r="JYI5" s="354"/>
      <c r="JYJ5" s="354"/>
      <c r="JYK5" s="354"/>
      <c r="JYL5" s="354"/>
      <c r="JYM5" s="354"/>
      <c r="JYN5" s="354"/>
      <c r="JYO5" s="354"/>
      <c r="JYP5" s="354"/>
      <c r="JYQ5" s="354"/>
      <c r="JYR5" s="354"/>
      <c r="JYS5" s="354"/>
      <c r="JYT5" s="354"/>
      <c r="JYU5" s="354"/>
      <c r="JYV5" s="354"/>
      <c r="JYW5" s="354"/>
      <c r="JYX5" s="354"/>
      <c r="JYY5" s="354"/>
      <c r="JYZ5" s="354"/>
      <c r="JZA5" s="354"/>
      <c r="JZB5" s="354"/>
      <c r="JZC5" s="354"/>
      <c r="JZD5" s="354"/>
      <c r="JZE5" s="354"/>
      <c r="JZF5" s="354"/>
      <c r="JZG5" s="354"/>
      <c r="JZH5" s="354"/>
      <c r="JZI5" s="354"/>
      <c r="JZJ5" s="354"/>
      <c r="JZK5" s="354"/>
      <c r="JZL5" s="354"/>
      <c r="JZM5" s="354"/>
      <c r="JZN5" s="354"/>
      <c r="JZO5" s="354"/>
      <c r="JZP5" s="354"/>
      <c r="JZQ5" s="354"/>
      <c r="JZR5" s="354"/>
      <c r="JZS5" s="354"/>
      <c r="JZT5" s="354"/>
      <c r="JZU5" s="354"/>
      <c r="JZV5" s="354"/>
      <c r="JZW5" s="354"/>
      <c r="JZX5" s="354"/>
      <c r="JZY5" s="354"/>
      <c r="JZZ5" s="354"/>
      <c r="KAA5" s="354"/>
      <c r="KAB5" s="354"/>
      <c r="KAC5" s="354"/>
      <c r="KAD5" s="354"/>
      <c r="KAE5" s="354"/>
      <c r="KAF5" s="354"/>
      <c r="KAG5" s="354"/>
      <c r="KAH5" s="354"/>
      <c r="KAI5" s="354"/>
      <c r="KAJ5" s="354"/>
      <c r="KAK5" s="354"/>
      <c r="KAL5" s="354"/>
      <c r="KAM5" s="354"/>
      <c r="KAN5" s="354"/>
      <c r="KAO5" s="354"/>
      <c r="KAP5" s="354"/>
      <c r="KAQ5" s="354"/>
      <c r="KAR5" s="354"/>
      <c r="KAS5" s="354"/>
      <c r="KAT5" s="354"/>
      <c r="KAU5" s="354"/>
      <c r="KAV5" s="354"/>
      <c r="KAW5" s="354"/>
      <c r="KAX5" s="354"/>
      <c r="KAY5" s="354"/>
      <c r="KAZ5" s="354"/>
      <c r="KBA5" s="354"/>
      <c r="KBB5" s="354"/>
      <c r="KBC5" s="354"/>
      <c r="KBD5" s="354"/>
      <c r="KBE5" s="354"/>
      <c r="KBF5" s="354"/>
      <c r="KBG5" s="354"/>
      <c r="KBH5" s="354"/>
      <c r="KBI5" s="354"/>
      <c r="KBJ5" s="354"/>
      <c r="KBK5" s="354"/>
      <c r="KBL5" s="354"/>
      <c r="KBM5" s="354"/>
      <c r="KBN5" s="354"/>
      <c r="KBO5" s="354"/>
      <c r="KBP5" s="354"/>
      <c r="KBQ5" s="354"/>
      <c r="KBR5" s="354"/>
      <c r="KBS5" s="354"/>
      <c r="KBT5" s="354"/>
      <c r="KBU5" s="354"/>
      <c r="KBV5" s="354"/>
      <c r="KBW5" s="354"/>
      <c r="KBX5" s="354"/>
      <c r="KBY5" s="354"/>
      <c r="KBZ5" s="354"/>
      <c r="KCA5" s="354"/>
      <c r="KCB5" s="354"/>
      <c r="KCC5" s="354"/>
      <c r="KCD5" s="354"/>
      <c r="KCE5" s="354"/>
      <c r="KCF5" s="354"/>
      <c r="KCG5" s="354"/>
      <c r="KCH5" s="354"/>
      <c r="KCI5" s="354"/>
      <c r="KCJ5" s="354"/>
      <c r="KCK5" s="354"/>
      <c r="KCL5" s="354"/>
      <c r="KCM5" s="354"/>
      <c r="KCN5" s="354"/>
      <c r="KCO5" s="354"/>
      <c r="KCP5" s="354"/>
      <c r="KCQ5" s="354"/>
      <c r="KCR5" s="354"/>
      <c r="KCS5" s="354"/>
      <c r="KCT5" s="354"/>
      <c r="KCU5" s="354"/>
      <c r="KCV5" s="354"/>
      <c r="KCW5" s="354"/>
      <c r="KCX5" s="354"/>
      <c r="KCY5" s="354"/>
      <c r="KCZ5" s="354"/>
      <c r="KDA5" s="354"/>
      <c r="KDB5" s="354"/>
      <c r="KDC5" s="354"/>
      <c r="KDD5" s="354"/>
      <c r="KDE5" s="354"/>
      <c r="KDF5" s="354"/>
      <c r="KDG5" s="354"/>
      <c r="KDH5" s="354"/>
      <c r="KDI5" s="354"/>
      <c r="KDJ5" s="354"/>
      <c r="KDK5" s="354"/>
      <c r="KDL5" s="354"/>
      <c r="KDM5" s="354"/>
      <c r="KDN5" s="354"/>
      <c r="KDO5" s="354"/>
      <c r="KDP5" s="354"/>
      <c r="KDQ5" s="354"/>
      <c r="KDR5" s="354"/>
      <c r="KDS5" s="354"/>
      <c r="KDT5" s="354"/>
      <c r="KDU5" s="354"/>
      <c r="KDV5" s="354"/>
      <c r="KDW5" s="354"/>
      <c r="KDX5" s="354"/>
      <c r="KDY5" s="354"/>
      <c r="KDZ5" s="354"/>
      <c r="KEA5" s="354"/>
      <c r="KEB5" s="354"/>
      <c r="KEC5" s="354"/>
      <c r="KED5" s="354"/>
      <c r="KEE5" s="354"/>
      <c r="KEF5" s="354"/>
      <c r="KEG5" s="354"/>
      <c r="KEH5" s="354"/>
      <c r="KEI5" s="354"/>
      <c r="KEJ5" s="354"/>
      <c r="KEK5" s="354"/>
      <c r="KEL5" s="354"/>
      <c r="KEM5" s="354"/>
      <c r="KEN5" s="354"/>
      <c r="KEO5" s="354"/>
      <c r="KEP5" s="354"/>
      <c r="KEQ5" s="354"/>
      <c r="KER5" s="354"/>
      <c r="KES5" s="354"/>
      <c r="KET5" s="354"/>
      <c r="KEU5" s="354"/>
      <c r="KEV5" s="354"/>
      <c r="KEW5" s="354"/>
      <c r="KEX5" s="354"/>
      <c r="KEY5" s="354"/>
      <c r="KEZ5" s="354"/>
      <c r="KFA5" s="354"/>
      <c r="KFB5" s="354"/>
      <c r="KFC5" s="354"/>
      <c r="KFD5" s="354"/>
      <c r="KFE5" s="354"/>
      <c r="KFF5" s="354"/>
      <c r="KFG5" s="354"/>
      <c r="KFH5" s="354"/>
      <c r="KFI5" s="354"/>
      <c r="KFJ5" s="354"/>
      <c r="KFK5" s="354"/>
      <c r="KFL5" s="354"/>
      <c r="KFM5" s="354"/>
      <c r="KFN5" s="354"/>
      <c r="KFO5" s="354"/>
      <c r="KFP5" s="354"/>
      <c r="KFQ5" s="354"/>
      <c r="KFR5" s="354"/>
      <c r="KFS5" s="354"/>
      <c r="KFT5" s="354"/>
      <c r="KFU5" s="354"/>
      <c r="KFV5" s="354"/>
      <c r="KFW5" s="354"/>
      <c r="KFX5" s="354"/>
      <c r="KFY5" s="354"/>
      <c r="KFZ5" s="354"/>
      <c r="KGA5" s="354"/>
      <c r="KGB5" s="354"/>
      <c r="KGC5" s="354"/>
      <c r="KGD5" s="354"/>
      <c r="KGE5" s="354"/>
      <c r="KGF5" s="354"/>
      <c r="KGG5" s="354"/>
      <c r="KGH5" s="354"/>
      <c r="KGI5" s="354"/>
      <c r="KGJ5" s="354"/>
      <c r="KGK5" s="354"/>
      <c r="KGL5" s="354"/>
      <c r="KGM5" s="354"/>
      <c r="KGN5" s="354"/>
      <c r="KGO5" s="354"/>
      <c r="KGP5" s="354"/>
      <c r="KGQ5" s="354"/>
      <c r="KGR5" s="354"/>
      <c r="KGS5" s="354"/>
      <c r="KGT5" s="354"/>
      <c r="KGU5" s="354"/>
      <c r="KGV5" s="354"/>
      <c r="KGW5" s="354"/>
      <c r="KGX5" s="354"/>
      <c r="KGY5" s="354"/>
      <c r="KGZ5" s="354"/>
      <c r="KHA5" s="354"/>
      <c r="KHB5" s="354"/>
      <c r="KHC5" s="354"/>
      <c r="KHD5" s="354"/>
      <c r="KHE5" s="354"/>
      <c r="KHF5" s="354"/>
      <c r="KHG5" s="354"/>
      <c r="KHH5" s="354"/>
      <c r="KHI5" s="354"/>
      <c r="KHJ5" s="354"/>
      <c r="KHK5" s="354"/>
      <c r="KHL5" s="354"/>
      <c r="KHM5" s="354"/>
      <c r="KHN5" s="354"/>
      <c r="KHO5" s="354"/>
      <c r="KHP5" s="354"/>
      <c r="KHQ5" s="354"/>
      <c r="KHR5" s="354"/>
      <c r="KHS5" s="354"/>
      <c r="KHT5" s="354"/>
      <c r="KHU5" s="354"/>
      <c r="KHV5" s="354"/>
      <c r="KHW5" s="354"/>
      <c r="KHX5" s="354"/>
      <c r="KHY5" s="354"/>
      <c r="KHZ5" s="354"/>
      <c r="KIA5" s="354"/>
      <c r="KIB5" s="354"/>
      <c r="KIC5" s="354"/>
      <c r="KID5" s="354"/>
      <c r="KIE5" s="354"/>
      <c r="KIF5" s="354"/>
      <c r="KIG5" s="354"/>
      <c r="KIH5" s="354"/>
      <c r="KII5" s="354"/>
      <c r="KIJ5" s="354"/>
      <c r="KIK5" s="354"/>
      <c r="KIL5" s="354"/>
      <c r="KIM5" s="354"/>
      <c r="KIN5" s="354"/>
      <c r="KIO5" s="354"/>
      <c r="KIP5" s="354"/>
      <c r="KIQ5" s="354"/>
      <c r="KIR5" s="354"/>
      <c r="KIS5" s="354"/>
      <c r="KIT5" s="354"/>
      <c r="KIU5" s="354"/>
      <c r="KIV5" s="354"/>
      <c r="KIW5" s="354"/>
      <c r="KIX5" s="354"/>
      <c r="KIY5" s="354"/>
      <c r="KIZ5" s="354"/>
      <c r="KJA5" s="354"/>
      <c r="KJB5" s="354"/>
      <c r="KJC5" s="354"/>
      <c r="KJD5" s="354"/>
      <c r="KJE5" s="354"/>
      <c r="KJF5" s="354"/>
      <c r="KJG5" s="354"/>
      <c r="KJH5" s="354"/>
      <c r="KJI5" s="354"/>
      <c r="KJJ5" s="354"/>
      <c r="KJK5" s="354"/>
      <c r="KJL5" s="354"/>
      <c r="KJM5" s="354"/>
      <c r="KJN5" s="354"/>
      <c r="KJO5" s="354"/>
      <c r="KJP5" s="354"/>
      <c r="KJQ5" s="354"/>
      <c r="KJR5" s="354"/>
      <c r="KJS5" s="354"/>
      <c r="KJT5" s="354"/>
      <c r="KJU5" s="354"/>
      <c r="KJV5" s="354"/>
      <c r="KJW5" s="354"/>
      <c r="KJX5" s="354"/>
      <c r="KJY5" s="354"/>
      <c r="KJZ5" s="354"/>
      <c r="KKA5" s="354"/>
      <c r="KKB5" s="354"/>
      <c r="KKC5" s="354"/>
      <c r="KKD5" s="354"/>
      <c r="KKE5" s="354"/>
      <c r="KKF5" s="354"/>
      <c r="KKG5" s="354"/>
      <c r="KKH5" s="354"/>
      <c r="KKI5" s="354"/>
      <c r="KKJ5" s="354"/>
      <c r="KKK5" s="354"/>
      <c r="KKL5" s="354"/>
      <c r="KKM5" s="354"/>
      <c r="KKN5" s="354"/>
      <c r="KKO5" s="354"/>
      <c r="KKP5" s="354"/>
      <c r="KKQ5" s="354"/>
      <c r="KKR5" s="354"/>
      <c r="KKS5" s="354"/>
      <c r="KKT5" s="354"/>
      <c r="KKU5" s="354"/>
      <c r="KKV5" s="354"/>
      <c r="KKW5" s="354"/>
      <c r="KKX5" s="354"/>
      <c r="KKY5" s="354"/>
      <c r="KKZ5" s="354"/>
      <c r="KLA5" s="354"/>
      <c r="KLB5" s="354"/>
      <c r="KLC5" s="354"/>
      <c r="KLD5" s="354"/>
      <c r="KLE5" s="354"/>
      <c r="KLF5" s="354"/>
      <c r="KLG5" s="354"/>
      <c r="KLH5" s="354"/>
      <c r="KLI5" s="354"/>
      <c r="KLJ5" s="354"/>
      <c r="KLK5" s="354"/>
      <c r="KLL5" s="354"/>
      <c r="KLM5" s="354"/>
      <c r="KLN5" s="354"/>
      <c r="KLO5" s="354"/>
      <c r="KLP5" s="354"/>
      <c r="KLQ5" s="354"/>
      <c r="KLR5" s="354"/>
      <c r="KLS5" s="354"/>
      <c r="KLT5" s="354"/>
      <c r="KLU5" s="354"/>
      <c r="KLV5" s="354"/>
      <c r="KLW5" s="354"/>
      <c r="KLX5" s="354"/>
      <c r="KLY5" s="354"/>
      <c r="KLZ5" s="354"/>
      <c r="KMA5" s="354"/>
      <c r="KMB5" s="354"/>
      <c r="KMC5" s="354"/>
      <c r="KMD5" s="354"/>
      <c r="KME5" s="354"/>
      <c r="KMF5" s="354"/>
      <c r="KMG5" s="354"/>
      <c r="KMH5" s="354"/>
      <c r="KMI5" s="354"/>
      <c r="KMJ5" s="354"/>
      <c r="KMK5" s="354"/>
      <c r="KML5" s="354"/>
      <c r="KMM5" s="354"/>
      <c r="KMN5" s="354"/>
      <c r="KMO5" s="354"/>
      <c r="KMP5" s="354"/>
      <c r="KMQ5" s="354"/>
      <c r="KMR5" s="354"/>
      <c r="KMS5" s="354"/>
      <c r="KMT5" s="354"/>
      <c r="KMU5" s="354"/>
      <c r="KMV5" s="354"/>
      <c r="KMW5" s="354"/>
      <c r="KMX5" s="354"/>
      <c r="KMY5" s="354"/>
      <c r="KMZ5" s="354"/>
      <c r="KNA5" s="354"/>
      <c r="KNB5" s="354"/>
      <c r="KNC5" s="354"/>
      <c r="KND5" s="354"/>
      <c r="KNE5" s="354"/>
      <c r="KNF5" s="354"/>
      <c r="KNG5" s="354"/>
      <c r="KNH5" s="354"/>
      <c r="KNI5" s="354"/>
      <c r="KNJ5" s="354"/>
      <c r="KNK5" s="354"/>
      <c r="KNL5" s="354"/>
      <c r="KNM5" s="354"/>
      <c r="KNN5" s="354"/>
      <c r="KNO5" s="354"/>
      <c r="KNP5" s="354"/>
      <c r="KNQ5" s="354"/>
      <c r="KNR5" s="354"/>
      <c r="KNS5" s="354"/>
      <c r="KNT5" s="354"/>
      <c r="KNU5" s="354"/>
      <c r="KNV5" s="354"/>
      <c r="KNW5" s="354"/>
      <c r="KNX5" s="354"/>
      <c r="KNY5" s="354"/>
      <c r="KNZ5" s="354"/>
      <c r="KOA5" s="354"/>
      <c r="KOB5" s="354"/>
      <c r="KOC5" s="354"/>
      <c r="KOD5" s="354"/>
      <c r="KOE5" s="354"/>
      <c r="KOF5" s="354"/>
      <c r="KOG5" s="354"/>
      <c r="KOH5" s="354"/>
      <c r="KOI5" s="354"/>
      <c r="KOJ5" s="354"/>
      <c r="KOK5" s="354"/>
      <c r="KOL5" s="354"/>
      <c r="KOM5" s="354"/>
      <c r="KON5" s="354"/>
      <c r="KOO5" s="354"/>
      <c r="KOP5" s="354"/>
      <c r="KOQ5" s="354"/>
      <c r="KOR5" s="354"/>
      <c r="KOS5" s="354"/>
      <c r="KOT5" s="354"/>
      <c r="KOU5" s="354"/>
      <c r="KOV5" s="354"/>
      <c r="KOW5" s="354"/>
      <c r="KOX5" s="354"/>
      <c r="KOY5" s="354"/>
      <c r="KOZ5" s="354"/>
      <c r="KPA5" s="354"/>
      <c r="KPB5" s="354"/>
      <c r="KPC5" s="354"/>
      <c r="KPD5" s="354"/>
      <c r="KPE5" s="354"/>
      <c r="KPF5" s="354"/>
      <c r="KPG5" s="354"/>
      <c r="KPH5" s="354"/>
      <c r="KPI5" s="354"/>
      <c r="KPJ5" s="354"/>
      <c r="KPK5" s="354"/>
      <c r="KPL5" s="354"/>
      <c r="KPM5" s="354"/>
      <c r="KPN5" s="354"/>
      <c r="KPO5" s="354"/>
      <c r="KPP5" s="354"/>
      <c r="KPQ5" s="354"/>
      <c r="KPR5" s="354"/>
      <c r="KPS5" s="354"/>
      <c r="KPT5" s="354"/>
      <c r="KPU5" s="354"/>
      <c r="KPV5" s="354"/>
      <c r="KPW5" s="354"/>
      <c r="KPX5" s="354"/>
      <c r="KPY5" s="354"/>
      <c r="KPZ5" s="354"/>
      <c r="KQA5" s="354"/>
      <c r="KQB5" s="354"/>
      <c r="KQC5" s="354"/>
      <c r="KQD5" s="354"/>
      <c r="KQE5" s="354"/>
      <c r="KQF5" s="354"/>
      <c r="KQG5" s="354"/>
      <c r="KQH5" s="354"/>
      <c r="KQI5" s="354"/>
      <c r="KQJ5" s="354"/>
      <c r="KQK5" s="354"/>
      <c r="KQL5" s="354"/>
      <c r="KQM5" s="354"/>
      <c r="KQN5" s="354"/>
      <c r="KQO5" s="354"/>
      <c r="KQP5" s="354"/>
      <c r="KQQ5" s="354"/>
      <c r="KQR5" s="354"/>
      <c r="KQS5" s="354"/>
      <c r="KQT5" s="354"/>
      <c r="KQU5" s="354"/>
      <c r="KQV5" s="354"/>
      <c r="KQW5" s="354"/>
      <c r="KQX5" s="354"/>
      <c r="KQY5" s="354"/>
      <c r="KQZ5" s="354"/>
      <c r="KRA5" s="354"/>
      <c r="KRB5" s="354"/>
      <c r="KRC5" s="354"/>
      <c r="KRD5" s="354"/>
      <c r="KRE5" s="354"/>
      <c r="KRF5" s="354"/>
      <c r="KRG5" s="354"/>
      <c r="KRH5" s="354"/>
      <c r="KRI5" s="354"/>
      <c r="KRJ5" s="354"/>
      <c r="KRK5" s="354"/>
      <c r="KRL5" s="354"/>
      <c r="KRM5" s="354"/>
      <c r="KRN5" s="354"/>
      <c r="KRO5" s="354"/>
      <c r="KRP5" s="354"/>
      <c r="KRQ5" s="354"/>
      <c r="KRR5" s="354"/>
      <c r="KRS5" s="354"/>
      <c r="KRT5" s="354"/>
      <c r="KRU5" s="354"/>
      <c r="KRV5" s="354"/>
      <c r="KRW5" s="354"/>
      <c r="KRX5" s="354"/>
      <c r="KRY5" s="354"/>
      <c r="KRZ5" s="354"/>
      <c r="KSA5" s="354"/>
      <c r="KSB5" s="354"/>
      <c r="KSC5" s="354"/>
      <c r="KSD5" s="354"/>
      <c r="KSE5" s="354"/>
      <c r="KSF5" s="354"/>
      <c r="KSG5" s="354"/>
      <c r="KSH5" s="354"/>
      <c r="KSI5" s="354"/>
      <c r="KSJ5" s="354"/>
      <c r="KSK5" s="354"/>
      <c r="KSL5" s="354"/>
      <c r="KSM5" s="354"/>
      <c r="KSN5" s="354"/>
      <c r="KSO5" s="354"/>
      <c r="KSP5" s="354"/>
      <c r="KSQ5" s="354"/>
      <c r="KSR5" s="354"/>
      <c r="KSS5" s="354"/>
      <c r="KST5" s="354"/>
      <c r="KSU5" s="354"/>
      <c r="KSV5" s="354"/>
      <c r="KSW5" s="354"/>
      <c r="KSX5" s="354"/>
      <c r="KSY5" s="354"/>
      <c r="KSZ5" s="354"/>
      <c r="KTA5" s="354"/>
      <c r="KTB5" s="354"/>
      <c r="KTC5" s="354"/>
      <c r="KTD5" s="354"/>
      <c r="KTE5" s="354"/>
      <c r="KTF5" s="354"/>
      <c r="KTG5" s="354"/>
      <c r="KTH5" s="354"/>
      <c r="KTI5" s="354"/>
      <c r="KTJ5" s="354"/>
      <c r="KTK5" s="354"/>
      <c r="KTL5" s="354"/>
      <c r="KTM5" s="354"/>
      <c r="KTN5" s="354"/>
      <c r="KTO5" s="354"/>
      <c r="KTP5" s="354"/>
      <c r="KTQ5" s="354"/>
      <c r="KTR5" s="354"/>
      <c r="KTS5" s="354"/>
      <c r="KTT5" s="354"/>
      <c r="KTU5" s="354"/>
      <c r="KTV5" s="354"/>
      <c r="KTW5" s="354"/>
      <c r="KTX5" s="354"/>
      <c r="KTY5" s="354"/>
      <c r="KTZ5" s="354"/>
      <c r="KUA5" s="354"/>
      <c r="KUB5" s="354"/>
      <c r="KUC5" s="354"/>
      <c r="KUD5" s="354"/>
      <c r="KUE5" s="354"/>
      <c r="KUF5" s="354"/>
      <c r="KUG5" s="354"/>
      <c r="KUH5" s="354"/>
      <c r="KUI5" s="354"/>
      <c r="KUJ5" s="354"/>
      <c r="KUK5" s="354"/>
      <c r="KUL5" s="354"/>
      <c r="KUM5" s="354"/>
      <c r="KUN5" s="354"/>
      <c r="KUO5" s="354"/>
      <c r="KUP5" s="354"/>
      <c r="KUQ5" s="354"/>
      <c r="KUR5" s="354"/>
      <c r="KUS5" s="354"/>
      <c r="KUT5" s="354"/>
      <c r="KUU5" s="354"/>
      <c r="KUV5" s="354"/>
      <c r="KUW5" s="354"/>
      <c r="KUX5" s="354"/>
      <c r="KUY5" s="354"/>
      <c r="KUZ5" s="354"/>
      <c r="KVA5" s="354"/>
      <c r="KVB5" s="354"/>
      <c r="KVC5" s="354"/>
      <c r="KVD5" s="354"/>
      <c r="KVE5" s="354"/>
      <c r="KVF5" s="354"/>
      <c r="KVG5" s="354"/>
      <c r="KVH5" s="354"/>
      <c r="KVI5" s="354"/>
      <c r="KVJ5" s="354"/>
      <c r="KVK5" s="354"/>
      <c r="KVL5" s="354"/>
      <c r="KVM5" s="354"/>
      <c r="KVN5" s="354"/>
      <c r="KVO5" s="354"/>
      <c r="KVP5" s="354"/>
      <c r="KVQ5" s="354"/>
      <c r="KVR5" s="354"/>
      <c r="KVS5" s="354"/>
      <c r="KVT5" s="354"/>
      <c r="KVU5" s="354"/>
      <c r="KVV5" s="354"/>
      <c r="KVW5" s="354"/>
      <c r="KVX5" s="354"/>
      <c r="KVY5" s="354"/>
      <c r="KVZ5" s="354"/>
      <c r="KWA5" s="354"/>
      <c r="KWB5" s="354"/>
      <c r="KWC5" s="354"/>
      <c r="KWD5" s="354"/>
      <c r="KWE5" s="354"/>
      <c r="KWF5" s="354"/>
      <c r="KWG5" s="354"/>
      <c r="KWH5" s="354"/>
      <c r="KWI5" s="354"/>
      <c r="KWJ5" s="354"/>
      <c r="KWK5" s="354"/>
      <c r="KWL5" s="354"/>
      <c r="KWM5" s="354"/>
      <c r="KWN5" s="354"/>
      <c r="KWO5" s="354"/>
      <c r="KWP5" s="354"/>
      <c r="KWQ5" s="354"/>
      <c r="KWR5" s="354"/>
      <c r="KWS5" s="354"/>
      <c r="KWT5" s="354"/>
      <c r="KWU5" s="354"/>
      <c r="KWV5" s="354"/>
      <c r="KWW5" s="354"/>
      <c r="KWX5" s="354"/>
      <c r="KWY5" s="354"/>
      <c r="KWZ5" s="354"/>
      <c r="KXA5" s="354"/>
      <c r="KXB5" s="354"/>
      <c r="KXC5" s="354"/>
      <c r="KXD5" s="354"/>
      <c r="KXE5" s="354"/>
      <c r="KXF5" s="354"/>
      <c r="KXG5" s="354"/>
      <c r="KXH5" s="354"/>
      <c r="KXI5" s="354"/>
      <c r="KXJ5" s="354"/>
      <c r="KXK5" s="354"/>
      <c r="KXL5" s="354"/>
      <c r="KXM5" s="354"/>
      <c r="KXN5" s="354"/>
      <c r="KXO5" s="354"/>
      <c r="KXP5" s="354"/>
      <c r="KXQ5" s="354"/>
      <c r="KXR5" s="354"/>
      <c r="KXS5" s="354"/>
      <c r="KXT5" s="354"/>
      <c r="KXU5" s="354"/>
      <c r="KXV5" s="354"/>
      <c r="KXW5" s="354"/>
      <c r="KXX5" s="354"/>
      <c r="KXY5" s="354"/>
      <c r="KXZ5" s="354"/>
      <c r="KYA5" s="354"/>
      <c r="KYB5" s="354"/>
      <c r="KYC5" s="354"/>
      <c r="KYD5" s="354"/>
      <c r="KYE5" s="354"/>
      <c r="KYF5" s="354"/>
      <c r="KYG5" s="354"/>
      <c r="KYH5" s="354"/>
      <c r="KYI5" s="354"/>
      <c r="KYJ5" s="354"/>
      <c r="KYK5" s="354"/>
      <c r="KYL5" s="354"/>
      <c r="KYM5" s="354"/>
      <c r="KYN5" s="354"/>
      <c r="KYO5" s="354"/>
      <c r="KYP5" s="354"/>
      <c r="KYQ5" s="354"/>
      <c r="KYR5" s="354"/>
      <c r="KYS5" s="354"/>
      <c r="KYT5" s="354"/>
      <c r="KYU5" s="354"/>
      <c r="KYV5" s="354"/>
      <c r="KYW5" s="354"/>
      <c r="KYX5" s="354"/>
      <c r="KYY5" s="354"/>
      <c r="KYZ5" s="354"/>
      <c r="KZA5" s="354"/>
      <c r="KZB5" s="354"/>
      <c r="KZC5" s="354"/>
      <c r="KZD5" s="354"/>
      <c r="KZE5" s="354"/>
      <c r="KZF5" s="354"/>
      <c r="KZG5" s="354"/>
      <c r="KZH5" s="354"/>
      <c r="KZI5" s="354"/>
      <c r="KZJ5" s="354"/>
      <c r="KZK5" s="354"/>
      <c r="KZL5" s="354"/>
      <c r="KZM5" s="354"/>
      <c r="KZN5" s="354"/>
      <c r="KZO5" s="354"/>
      <c r="KZP5" s="354"/>
      <c r="KZQ5" s="354"/>
      <c r="KZR5" s="354"/>
      <c r="KZS5" s="354"/>
      <c r="KZT5" s="354"/>
      <c r="KZU5" s="354"/>
      <c r="KZV5" s="354"/>
      <c r="KZW5" s="354"/>
      <c r="KZX5" s="354"/>
      <c r="KZY5" s="354"/>
      <c r="KZZ5" s="354"/>
      <c r="LAA5" s="354"/>
      <c r="LAB5" s="354"/>
      <c r="LAC5" s="354"/>
      <c r="LAD5" s="354"/>
      <c r="LAE5" s="354"/>
      <c r="LAF5" s="354"/>
      <c r="LAG5" s="354"/>
      <c r="LAH5" s="354"/>
      <c r="LAI5" s="354"/>
      <c r="LAJ5" s="354"/>
      <c r="LAK5" s="354"/>
      <c r="LAL5" s="354"/>
      <c r="LAM5" s="354"/>
      <c r="LAN5" s="354"/>
      <c r="LAO5" s="354"/>
      <c r="LAP5" s="354"/>
      <c r="LAQ5" s="354"/>
      <c r="LAR5" s="354"/>
      <c r="LAS5" s="354"/>
      <c r="LAT5" s="354"/>
      <c r="LAU5" s="354"/>
      <c r="LAV5" s="354"/>
      <c r="LAW5" s="354"/>
      <c r="LAX5" s="354"/>
      <c r="LAY5" s="354"/>
      <c r="LAZ5" s="354"/>
      <c r="LBA5" s="354"/>
      <c r="LBB5" s="354"/>
      <c r="LBC5" s="354"/>
      <c r="LBD5" s="354"/>
      <c r="LBE5" s="354"/>
      <c r="LBF5" s="354"/>
      <c r="LBG5" s="354"/>
      <c r="LBH5" s="354"/>
      <c r="LBI5" s="354"/>
      <c r="LBJ5" s="354"/>
      <c r="LBK5" s="354"/>
      <c r="LBL5" s="354"/>
      <c r="LBM5" s="354"/>
      <c r="LBN5" s="354"/>
      <c r="LBO5" s="354"/>
      <c r="LBP5" s="354"/>
      <c r="LBQ5" s="354"/>
      <c r="LBR5" s="354"/>
      <c r="LBS5" s="354"/>
      <c r="LBT5" s="354"/>
      <c r="LBU5" s="354"/>
      <c r="LBV5" s="354"/>
      <c r="LBW5" s="354"/>
      <c r="LBX5" s="354"/>
      <c r="LBY5" s="354"/>
      <c r="LBZ5" s="354"/>
      <c r="LCA5" s="354"/>
      <c r="LCB5" s="354"/>
      <c r="LCC5" s="354"/>
      <c r="LCD5" s="354"/>
      <c r="LCE5" s="354"/>
      <c r="LCF5" s="354"/>
      <c r="LCG5" s="354"/>
      <c r="LCH5" s="354"/>
      <c r="LCI5" s="354"/>
      <c r="LCJ5" s="354"/>
      <c r="LCK5" s="354"/>
      <c r="LCL5" s="354"/>
      <c r="LCM5" s="354"/>
      <c r="LCN5" s="354"/>
      <c r="LCO5" s="354"/>
      <c r="LCP5" s="354"/>
      <c r="LCQ5" s="354"/>
      <c r="LCR5" s="354"/>
      <c r="LCS5" s="354"/>
      <c r="LCT5" s="354"/>
      <c r="LCU5" s="354"/>
      <c r="LCV5" s="354"/>
      <c r="LCW5" s="354"/>
      <c r="LCX5" s="354"/>
      <c r="LCY5" s="354"/>
      <c r="LCZ5" s="354"/>
      <c r="LDA5" s="354"/>
      <c r="LDB5" s="354"/>
      <c r="LDC5" s="354"/>
      <c r="LDD5" s="354"/>
      <c r="LDE5" s="354"/>
      <c r="LDF5" s="354"/>
      <c r="LDG5" s="354"/>
      <c r="LDH5" s="354"/>
      <c r="LDI5" s="354"/>
      <c r="LDJ5" s="354"/>
      <c r="LDK5" s="354"/>
      <c r="LDL5" s="354"/>
      <c r="LDM5" s="354"/>
      <c r="LDN5" s="354"/>
      <c r="LDO5" s="354"/>
      <c r="LDP5" s="354"/>
      <c r="LDQ5" s="354"/>
      <c r="LDR5" s="354"/>
      <c r="LDS5" s="354"/>
      <c r="LDT5" s="354"/>
      <c r="LDU5" s="354"/>
      <c r="LDV5" s="354"/>
      <c r="LDW5" s="354"/>
      <c r="LDX5" s="354"/>
      <c r="LDY5" s="354"/>
      <c r="LDZ5" s="354"/>
      <c r="LEA5" s="354"/>
      <c r="LEB5" s="354"/>
      <c r="LEC5" s="354"/>
      <c r="LED5" s="354"/>
      <c r="LEE5" s="354"/>
      <c r="LEF5" s="354"/>
      <c r="LEG5" s="354"/>
      <c r="LEH5" s="354"/>
      <c r="LEI5" s="354"/>
      <c r="LEJ5" s="354"/>
      <c r="LEK5" s="354"/>
      <c r="LEL5" s="354"/>
      <c r="LEM5" s="354"/>
      <c r="LEN5" s="354"/>
      <c r="LEO5" s="354"/>
      <c r="LEP5" s="354"/>
      <c r="LEQ5" s="354"/>
      <c r="LER5" s="354"/>
      <c r="LES5" s="354"/>
      <c r="LET5" s="354"/>
      <c r="LEU5" s="354"/>
      <c r="LEV5" s="354"/>
      <c r="LEW5" s="354"/>
      <c r="LEX5" s="354"/>
      <c r="LEY5" s="354"/>
      <c r="LEZ5" s="354"/>
      <c r="LFA5" s="354"/>
      <c r="LFB5" s="354"/>
      <c r="LFC5" s="354"/>
      <c r="LFD5" s="354"/>
      <c r="LFE5" s="354"/>
      <c r="LFF5" s="354"/>
      <c r="LFG5" s="354"/>
      <c r="LFH5" s="354"/>
      <c r="LFI5" s="354"/>
      <c r="LFJ5" s="354"/>
      <c r="LFK5" s="354"/>
      <c r="LFL5" s="354"/>
      <c r="LFM5" s="354"/>
      <c r="LFN5" s="354"/>
      <c r="LFO5" s="354"/>
      <c r="LFP5" s="354"/>
      <c r="LFQ5" s="354"/>
      <c r="LFR5" s="354"/>
      <c r="LFS5" s="354"/>
      <c r="LFT5" s="354"/>
      <c r="LFU5" s="354"/>
      <c r="LFV5" s="354"/>
      <c r="LFW5" s="354"/>
      <c r="LFX5" s="354"/>
      <c r="LFY5" s="354"/>
      <c r="LFZ5" s="354"/>
      <c r="LGA5" s="354"/>
      <c r="LGB5" s="354"/>
      <c r="LGC5" s="354"/>
      <c r="LGD5" s="354"/>
      <c r="LGE5" s="354"/>
      <c r="LGF5" s="354"/>
      <c r="LGG5" s="354"/>
      <c r="LGH5" s="354"/>
      <c r="LGI5" s="354"/>
      <c r="LGJ5" s="354"/>
      <c r="LGK5" s="354"/>
      <c r="LGL5" s="354"/>
      <c r="LGM5" s="354"/>
      <c r="LGN5" s="354"/>
      <c r="LGO5" s="354"/>
      <c r="LGP5" s="354"/>
      <c r="LGQ5" s="354"/>
      <c r="LGR5" s="354"/>
      <c r="LGS5" s="354"/>
      <c r="LGT5" s="354"/>
      <c r="LGU5" s="354"/>
      <c r="LGV5" s="354"/>
      <c r="LGW5" s="354"/>
      <c r="LGX5" s="354"/>
      <c r="LGY5" s="354"/>
      <c r="LGZ5" s="354"/>
      <c r="LHA5" s="354"/>
      <c r="LHB5" s="354"/>
      <c r="LHC5" s="354"/>
      <c r="LHD5" s="354"/>
      <c r="LHE5" s="354"/>
      <c r="LHF5" s="354"/>
      <c r="LHG5" s="354"/>
      <c r="LHH5" s="354"/>
      <c r="LHI5" s="354"/>
      <c r="LHJ5" s="354"/>
      <c r="LHK5" s="354"/>
      <c r="LHL5" s="354"/>
      <c r="LHM5" s="354"/>
      <c r="LHN5" s="354"/>
      <c r="LHO5" s="354"/>
      <c r="LHP5" s="354"/>
      <c r="LHQ5" s="354"/>
      <c r="LHR5" s="354"/>
      <c r="LHS5" s="354"/>
      <c r="LHT5" s="354"/>
      <c r="LHU5" s="354"/>
      <c r="LHV5" s="354"/>
      <c r="LHW5" s="354"/>
      <c r="LHX5" s="354"/>
      <c r="LHY5" s="354"/>
      <c r="LHZ5" s="354"/>
      <c r="LIA5" s="354"/>
      <c r="LIB5" s="354"/>
      <c r="LIC5" s="354"/>
      <c r="LID5" s="354"/>
      <c r="LIE5" s="354"/>
      <c r="LIF5" s="354"/>
      <c r="LIG5" s="354"/>
      <c r="LIH5" s="354"/>
      <c r="LII5" s="354"/>
      <c r="LIJ5" s="354"/>
      <c r="LIK5" s="354"/>
      <c r="LIL5" s="354"/>
      <c r="LIM5" s="354"/>
      <c r="LIN5" s="354"/>
      <c r="LIO5" s="354"/>
      <c r="LIP5" s="354"/>
      <c r="LIQ5" s="354"/>
      <c r="LIR5" s="354"/>
      <c r="LIS5" s="354"/>
      <c r="LIT5" s="354"/>
      <c r="LIU5" s="354"/>
      <c r="LIV5" s="354"/>
      <c r="LIW5" s="354"/>
      <c r="LIX5" s="354"/>
      <c r="LIY5" s="354"/>
      <c r="LIZ5" s="354"/>
      <c r="LJA5" s="354"/>
      <c r="LJB5" s="354"/>
      <c r="LJC5" s="354"/>
      <c r="LJD5" s="354"/>
      <c r="LJE5" s="354"/>
      <c r="LJF5" s="354"/>
      <c r="LJG5" s="354"/>
      <c r="LJH5" s="354"/>
      <c r="LJI5" s="354"/>
      <c r="LJJ5" s="354"/>
      <c r="LJK5" s="354"/>
      <c r="LJL5" s="354"/>
      <c r="LJM5" s="354"/>
      <c r="LJN5" s="354"/>
      <c r="LJO5" s="354"/>
      <c r="LJP5" s="354"/>
      <c r="LJQ5" s="354"/>
      <c r="LJR5" s="354"/>
      <c r="LJS5" s="354"/>
      <c r="LJT5" s="354"/>
      <c r="LJU5" s="354"/>
      <c r="LJV5" s="354"/>
      <c r="LJW5" s="354"/>
      <c r="LJX5" s="354"/>
      <c r="LJY5" s="354"/>
      <c r="LJZ5" s="354"/>
      <c r="LKA5" s="354"/>
      <c r="LKB5" s="354"/>
      <c r="LKC5" s="354"/>
      <c r="LKD5" s="354"/>
      <c r="LKE5" s="354"/>
      <c r="LKF5" s="354"/>
      <c r="LKG5" s="354"/>
      <c r="LKH5" s="354"/>
      <c r="LKI5" s="354"/>
      <c r="LKJ5" s="354"/>
      <c r="LKK5" s="354"/>
      <c r="LKL5" s="354"/>
      <c r="LKM5" s="354"/>
      <c r="LKN5" s="354"/>
      <c r="LKO5" s="354"/>
      <c r="LKP5" s="354"/>
      <c r="LKQ5" s="354"/>
      <c r="LKR5" s="354"/>
      <c r="LKS5" s="354"/>
      <c r="LKT5" s="354"/>
      <c r="LKU5" s="354"/>
      <c r="LKV5" s="354"/>
      <c r="LKW5" s="354"/>
      <c r="LKX5" s="354"/>
      <c r="LKY5" s="354"/>
      <c r="LKZ5" s="354"/>
      <c r="LLA5" s="354"/>
      <c r="LLB5" s="354"/>
      <c r="LLC5" s="354"/>
      <c r="LLD5" s="354"/>
      <c r="LLE5" s="354"/>
      <c r="LLF5" s="354"/>
      <c r="LLG5" s="354"/>
      <c r="LLH5" s="354"/>
      <c r="LLI5" s="354"/>
      <c r="LLJ5" s="354"/>
      <c r="LLK5" s="354"/>
      <c r="LLL5" s="354"/>
      <c r="LLM5" s="354"/>
      <c r="LLN5" s="354"/>
      <c r="LLO5" s="354"/>
      <c r="LLP5" s="354"/>
      <c r="LLQ5" s="354"/>
      <c r="LLR5" s="354"/>
      <c r="LLS5" s="354"/>
      <c r="LLT5" s="354"/>
      <c r="LLU5" s="354"/>
      <c r="LLV5" s="354"/>
      <c r="LLW5" s="354"/>
      <c r="LLX5" s="354"/>
      <c r="LLY5" s="354"/>
      <c r="LLZ5" s="354"/>
      <c r="LMA5" s="354"/>
      <c r="LMB5" s="354"/>
      <c r="LMC5" s="354"/>
      <c r="LMD5" s="354"/>
      <c r="LME5" s="354"/>
      <c r="LMF5" s="354"/>
      <c r="LMG5" s="354"/>
      <c r="LMH5" s="354"/>
      <c r="LMI5" s="354"/>
      <c r="LMJ5" s="354"/>
      <c r="LMK5" s="354"/>
      <c r="LML5" s="354"/>
      <c r="LMM5" s="354"/>
      <c r="LMN5" s="354"/>
      <c r="LMO5" s="354"/>
      <c r="LMP5" s="354"/>
      <c r="LMQ5" s="354"/>
      <c r="LMR5" s="354"/>
      <c r="LMS5" s="354"/>
      <c r="LMT5" s="354"/>
      <c r="LMU5" s="354"/>
      <c r="LMV5" s="354"/>
      <c r="LMW5" s="354"/>
      <c r="LMX5" s="354"/>
      <c r="LMY5" s="354"/>
      <c r="LMZ5" s="354"/>
      <c r="LNA5" s="354"/>
      <c r="LNB5" s="354"/>
      <c r="LNC5" s="354"/>
      <c r="LND5" s="354"/>
      <c r="LNE5" s="354"/>
      <c r="LNF5" s="354"/>
      <c r="LNG5" s="354"/>
      <c r="LNH5" s="354"/>
      <c r="LNI5" s="354"/>
      <c r="LNJ5" s="354"/>
      <c r="LNK5" s="354"/>
      <c r="LNL5" s="354"/>
      <c r="LNM5" s="354"/>
      <c r="LNN5" s="354"/>
      <c r="LNO5" s="354"/>
      <c r="LNP5" s="354"/>
      <c r="LNQ5" s="354"/>
      <c r="LNR5" s="354"/>
      <c r="LNS5" s="354"/>
      <c r="LNT5" s="354"/>
      <c r="LNU5" s="354"/>
      <c r="LNV5" s="354"/>
      <c r="LNW5" s="354"/>
      <c r="LNX5" s="354"/>
      <c r="LNY5" s="354"/>
      <c r="LNZ5" s="354"/>
      <c r="LOA5" s="354"/>
      <c r="LOB5" s="354"/>
      <c r="LOC5" s="354"/>
      <c r="LOD5" s="354"/>
      <c r="LOE5" s="354"/>
      <c r="LOF5" s="354"/>
      <c r="LOG5" s="354"/>
      <c r="LOH5" s="354"/>
      <c r="LOI5" s="354"/>
      <c r="LOJ5" s="354"/>
      <c r="LOK5" s="354"/>
      <c r="LOL5" s="354"/>
      <c r="LOM5" s="354"/>
      <c r="LON5" s="354"/>
      <c r="LOO5" s="354"/>
      <c r="LOP5" s="354"/>
      <c r="LOQ5" s="354"/>
      <c r="LOR5" s="354"/>
      <c r="LOS5" s="354"/>
      <c r="LOT5" s="354"/>
      <c r="LOU5" s="354"/>
      <c r="LOV5" s="354"/>
      <c r="LOW5" s="354"/>
      <c r="LOX5" s="354"/>
      <c r="LOY5" s="354"/>
      <c r="LOZ5" s="354"/>
      <c r="LPA5" s="354"/>
      <c r="LPB5" s="354"/>
      <c r="LPC5" s="354"/>
      <c r="LPD5" s="354"/>
      <c r="LPE5" s="354"/>
      <c r="LPF5" s="354"/>
      <c r="LPG5" s="354"/>
      <c r="LPH5" s="354"/>
      <c r="LPI5" s="354"/>
      <c r="LPJ5" s="354"/>
      <c r="LPK5" s="354"/>
      <c r="LPL5" s="354"/>
      <c r="LPM5" s="354"/>
      <c r="LPN5" s="354"/>
      <c r="LPO5" s="354"/>
      <c r="LPP5" s="354"/>
      <c r="LPQ5" s="354"/>
      <c r="LPR5" s="354"/>
      <c r="LPS5" s="354"/>
      <c r="LPT5" s="354"/>
      <c r="LPU5" s="354"/>
      <c r="LPV5" s="354"/>
      <c r="LPW5" s="354"/>
      <c r="LPX5" s="354"/>
      <c r="LPY5" s="354"/>
      <c r="LPZ5" s="354"/>
      <c r="LQA5" s="354"/>
      <c r="LQB5" s="354"/>
      <c r="LQC5" s="354"/>
      <c r="LQD5" s="354"/>
      <c r="LQE5" s="354"/>
      <c r="LQF5" s="354"/>
      <c r="LQG5" s="354"/>
      <c r="LQH5" s="354"/>
      <c r="LQI5" s="354"/>
      <c r="LQJ5" s="354"/>
      <c r="LQK5" s="354"/>
      <c r="LQL5" s="354"/>
      <c r="LQM5" s="354"/>
      <c r="LQN5" s="354"/>
      <c r="LQO5" s="354"/>
      <c r="LQP5" s="354"/>
      <c r="LQQ5" s="354"/>
      <c r="LQR5" s="354"/>
      <c r="LQS5" s="354"/>
      <c r="LQT5" s="354"/>
      <c r="LQU5" s="354"/>
      <c r="LQV5" s="354"/>
      <c r="LQW5" s="354"/>
      <c r="LQX5" s="354"/>
      <c r="LQY5" s="354"/>
      <c r="LQZ5" s="354"/>
      <c r="LRA5" s="354"/>
      <c r="LRB5" s="354"/>
      <c r="LRC5" s="354"/>
      <c r="LRD5" s="354"/>
      <c r="LRE5" s="354"/>
      <c r="LRF5" s="354"/>
      <c r="LRG5" s="354"/>
      <c r="LRH5" s="354"/>
      <c r="LRI5" s="354"/>
      <c r="LRJ5" s="354"/>
      <c r="LRK5" s="354"/>
      <c r="LRL5" s="354"/>
      <c r="LRM5" s="354"/>
      <c r="LRN5" s="354"/>
      <c r="LRO5" s="354"/>
      <c r="LRP5" s="354"/>
      <c r="LRQ5" s="354"/>
      <c r="LRR5" s="354"/>
      <c r="LRS5" s="354"/>
      <c r="LRT5" s="354"/>
      <c r="LRU5" s="354"/>
      <c r="LRV5" s="354"/>
      <c r="LRW5" s="354"/>
      <c r="LRX5" s="354"/>
      <c r="LRY5" s="354"/>
      <c r="LRZ5" s="354"/>
      <c r="LSA5" s="354"/>
      <c r="LSB5" s="354"/>
      <c r="LSC5" s="354"/>
      <c r="LSD5" s="354"/>
      <c r="LSE5" s="354"/>
      <c r="LSF5" s="354"/>
      <c r="LSG5" s="354"/>
      <c r="LSH5" s="354"/>
      <c r="LSI5" s="354"/>
      <c r="LSJ5" s="354"/>
      <c r="LSK5" s="354"/>
      <c r="LSL5" s="354"/>
      <c r="LSM5" s="354"/>
      <c r="LSN5" s="354"/>
      <c r="LSO5" s="354"/>
      <c r="LSP5" s="354"/>
      <c r="LSQ5" s="354"/>
      <c r="LSR5" s="354"/>
      <c r="LSS5" s="354"/>
      <c r="LST5" s="354"/>
      <c r="LSU5" s="354"/>
      <c r="LSV5" s="354"/>
      <c r="LSW5" s="354"/>
      <c r="LSX5" s="354"/>
      <c r="LSY5" s="354"/>
      <c r="LSZ5" s="354"/>
      <c r="LTA5" s="354"/>
      <c r="LTB5" s="354"/>
      <c r="LTC5" s="354"/>
      <c r="LTD5" s="354"/>
      <c r="LTE5" s="354"/>
      <c r="LTF5" s="354"/>
      <c r="LTG5" s="354"/>
      <c r="LTH5" s="354"/>
      <c r="LTI5" s="354"/>
      <c r="LTJ5" s="354"/>
      <c r="LTK5" s="354"/>
      <c r="LTL5" s="354"/>
      <c r="LTM5" s="354"/>
      <c r="LTN5" s="354"/>
      <c r="LTO5" s="354"/>
      <c r="LTP5" s="354"/>
      <c r="LTQ5" s="354"/>
      <c r="LTR5" s="354"/>
      <c r="LTS5" s="354"/>
      <c r="LTT5" s="354"/>
      <c r="LTU5" s="354"/>
      <c r="LTV5" s="354"/>
      <c r="LTW5" s="354"/>
      <c r="LTX5" s="354"/>
      <c r="LTY5" s="354"/>
      <c r="LTZ5" s="354"/>
      <c r="LUA5" s="354"/>
      <c r="LUB5" s="354"/>
      <c r="LUC5" s="354"/>
      <c r="LUD5" s="354"/>
      <c r="LUE5" s="354"/>
      <c r="LUF5" s="354"/>
      <c r="LUG5" s="354"/>
      <c r="LUH5" s="354"/>
      <c r="LUI5" s="354"/>
      <c r="LUJ5" s="354"/>
      <c r="LUK5" s="354"/>
      <c r="LUL5" s="354"/>
      <c r="LUM5" s="354"/>
      <c r="LUN5" s="354"/>
      <c r="LUO5" s="354"/>
      <c r="LUP5" s="354"/>
      <c r="LUQ5" s="354"/>
      <c r="LUR5" s="354"/>
      <c r="LUS5" s="354"/>
      <c r="LUT5" s="354"/>
      <c r="LUU5" s="354"/>
      <c r="LUV5" s="354"/>
      <c r="LUW5" s="354"/>
      <c r="LUX5" s="354"/>
      <c r="LUY5" s="354"/>
      <c r="LUZ5" s="354"/>
      <c r="LVA5" s="354"/>
      <c r="LVB5" s="354"/>
      <c r="LVC5" s="354"/>
      <c r="LVD5" s="354"/>
      <c r="LVE5" s="354"/>
      <c r="LVF5" s="354"/>
      <c r="LVG5" s="354"/>
      <c r="LVH5" s="354"/>
      <c r="LVI5" s="354"/>
      <c r="LVJ5" s="354"/>
      <c r="LVK5" s="354"/>
      <c r="LVL5" s="354"/>
      <c r="LVM5" s="354"/>
      <c r="LVN5" s="354"/>
      <c r="LVO5" s="354"/>
      <c r="LVP5" s="354"/>
      <c r="LVQ5" s="354"/>
      <c r="LVR5" s="354"/>
      <c r="LVS5" s="354"/>
      <c r="LVT5" s="354"/>
      <c r="LVU5" s="354"/>
      <c r="LVV5" s="354"/>
      <c r="LVW5" s="354"/>
      <c r="LVX5" s="354"/>
      <c r="LVY5" s="354"/>
      <c r="LVZ5" s="354"/>
      <c r="LWA5" s="354"/>
      <c r="LWB5" s="354"/>
      <c r="LWC5" s="354"/>
      <c r="LWD5" s="354"/>
      <c r="LWE5" s="354"/>
      <c r="LWF5" s="354"/>
      <c r="LWG5" s="354"/>
      <c r="LWH5" s="354"/>
      <c r="LWI5" s="354"/>
      <c r="LWJ5" s="354"/>
      <c r="LWK5" s="354"/>
      <c r="LWL5" s="354"/>
      <c r="LWM5" s="354"/>
      <c r="LWN5" s="354"/>
      <c r="LWO5" s="354"/>
      <c r="LWP5" s="354"/>
      <c r="LWQ5" s="354"/>
      <c r="LWR5" s="354"/>
      <c r="LWS5" s="354"/>
      <c r="LWT5" s="354"/>
      <c r="LWU5" s="354"/>
      <c r="LWV5" s="354"/>
      <c r="LWW5" s="354"/>
      <c r="LWX5" s="354"/>
      <c r="LWY5" s="354"/>
      <c r="LWZ5" s="354"/>
      <c r="LXA5" s="354"/>
      <c r="LXB5" s="354"/>
      <c r="LXC5" s="354"/>
      <c r="LXD5" s="354"/>
      <c r="LXE5" s="354"/>
      <c r="LXF5" s="354"/>
      <c r="LXG5" s="354"/>
      <c r="LXH5" s="354"/>
      <c r="LXI5" s="354"/>
      <c r="LXJ5" s="354"/>
      <c r="LXK5" s="354"/>
      <c r="LXL5" s="354"/>
      <c r="LXM5" s="354"/>
      <c r="LXN5" s="354"/>
      <c r="LXO5" s="354"/>
      <c r="LXP5" s="354"/>
      <c r="LXQ5" s="354"/>
      <c r="LXR5" s="354"/>
      <c r="LXS5" s="354"/>
      <c r="LXT5" s="354"/>
      <c r="LXU5" s="354"/>
      <c r="LXV5" s="354"/>
      <c r="LXW5" s="354"/>
      <c r="LXX5" s="354"/>
      <c r="LXY5" s="354"/>
      <c r="LXZ5" s="354"/>
      <c r="LYA5" s="354"/>
      <c r="LYB5" s="354"/>
      <c r="LYC5" s="354"/>
      <c r="LYD5" s="354"/>
      <c r="LYE5" s="354"/>
      <c r="LYF5" s="354"/>
      <c r="LYG5" s="354"/>
      <c r="LYH5" s="354"/>
      <c r="LYI5" s="354"/>
      <c r="LYJ5" s="354"/>
      <c r="LYK5" s="354"/>
      <c r="LYL5" s="354"/>
      <c r="LYM5" s="354"/>
      <c r="LYN5" s="354"/>
      <c r="LYO5" s="354"/>
      <c r="LYP5" s="354"/>
      <c r="LYQ5" s="354"/>
      <c r="LYR5" s="354"/>
      <c r="LYS5" s="354"/>
      <c r="LYT5" s="354"/>
      <c r="LYU5" s="354"/>
      <c r="LYV5" s="354"/>
      <c r="LYW5" s="354"/>
      <c r="LYX5" s="354"/>
      <c r="LYY5" s="354"/>
      <c r="LYZ5" s="354"/>
      <c r="LZA5" s="354"/>
      <c r="LZB5" s="354"/>
      <c r="LZC5" s="354"/>
      <c r="LZD5" s="354"/>
      <c r="LZE5" s="354"/>
      <c r="LZF5" s="354"/>
      <c r="LZG5" s="354"/>
      <c r="LZH5" s="354"/>
      <c r="LZI5" s="354"/>
      <c r="LZJ5" s="354"/>
      <c r="LZK5" s="354"/>
      <c r="LZL5" s="354"/>
      <c r="LZM5" s="354"/>
      <c r="LZN5" s="354"/>
      <c r="LZO5" s="354"/>
      <c r="LZP5" s="354"/>
      <c r="LZQ5" s="354"/>
      <c r="LZR5" s="354"/>
      <c r="LZS5" s="354"/>
      <c r="LZT5" s="354"/>
      <c r="LZU5" s="354"/>
      <c r="LZV5" s="354"/>
      <c r="LZW5" s="354"/>
      <c r="LZX5" s="354"/>
      <c r="LZY5" s="354"/>
      <c r="LZZ5" s="354"/>
      <c r="MAA5" s="354"/>
      <c r="MAB5" s="354"/>
      <c r="MAC5" s="354"/>
      <c r="MAD5" s="354"/>
      <c r="MAE5" s="354"/>
      <c r="MAF5" s="354"/>
      <c r="MAG5" s="354"/>
      <c r="MAH5" s="354"/>
      <c r="MAI5" s="354"/>
      <c r="MAJ5" s="354"/>
      <c r="MAK5" s="354"/>
      <c r="MAL5" s="354"/>
      <c r="MAM5" s="354"/>
      <c r="MAN5" s="354"/>
      <c r="MAO5" s="354"/>
      <c r="MAP5" s="354"/>
      <c r="MAQ5" s="354"/>
      <c r="MAR5" s="354"/>
      <c r="MAS5" s="354"/>
      <c r="MAT5" s="354"/>
      <c r="MAU5" s="354"/>
      <c r="MAV5" s="354"/>
      <c r="MAW5" s="354"/>
      <c r="MAX5" s="354"/>
      <c r="MAY5" s="354"/>
      <c r="MAZ5" s="354"/>
      <c r="MBA5" s="354"/>
      <c r="MBB5" s="354"/>
      <c r="MBC5" s="354"/>
      <c r="MBD5" s="354"/>
      <c r="MBE5" s="354"/>
      <c r="MBF5" s="354"/>
      <c r="MBG5" s="354"/>
      <c r="MBH5" s="354"/>
      <c r="MBI5" s="354"/>
      <c r="MBJ5" s="354"/>
      <c r="MBK5" s="354"/>
      <c r="MBL5" s="354"/>
      <c r="MBM5" s="354"/>
      <c r="MBN5" s="354"/>
      <c r="MBO5" s="354"/>
      <c r="MBP5" s="354"/>
      <c r="MBQ5" s="354"/>
      <c r="MBR5" s="354"/>
      <c r="MBS5" s="354"/>
      <c r="MBT5" s="354"/>
      <c r="MBU5" s="354"/>
      <c r="MBV5" s="354"/>
      <c r="MBW5" s="354"/>
      <c r="MBX5" s="354"/>
      <c r="MBY5" s="354"/>
      <c r="MBZ5" s="354"/>
      <c r="MCA5" s="354"/>
      <c r="MCB5" s="354"/>
      <c r="MCC5" s="354"/>
      <c r="MCD5" s="354"/>
      <c r="MCE5" s="354"/>
      <c r="MCF5" s="354"/>
      <c r="MCG5" s="354"/>
      <c r="MCH5" s="354"/>
      <c r="MCI5" s="354"/>
      <c r="MCJ5" s="354"/>
      <c r="MCK5" s="354"/>
      <c r="MCL5" s="354"/>
      <c r="MCM5" s="354"/>
      <c r="MCN5" s="354"/>
      <c r="MCO5" s="354"/>
      <c r="MCP5" s="354"/>
      <c r="MCQ5" s="354"/>
      <c r="MCR5" s="354"/>
      <c r="MCS5" s="354"/>
      <c r="MCT5" s="354"/>
      <c r="MCU5" s="354"/>
      <c r="MCV5" s="354"/>
      <c r="MCW5" s="354"/>
      <c r="MCX5" s="354"/>
      <c r="MCY5" s="354"/>
      <c r="MCZ5" s="354"/>
      <c r="MDA5" s="354"/>
      <c r="MDB5" s="354"/>
      <c r="MDC5" s="354"/>
      <c r="MDD5" s="354"/>
      <c r="MDE5" s="354"/>
      <c r="MDF5" s="354"/>
      <c r="MDG5" s="354"/>
      <c r="MDH5" s="354"/>
      <c r="MDI5" s="354"/>
      <c r="MDJ5" s="354"/>
      <c r="MDK5" s="354"/>
      <c r="MDL5" s="354"/>
      <c r="MDM5" s="354"/>
      <c r="MDN5" s="354"/>
      <c r="MDO5" s="354"/>
      <c r="MDP5" s="354"/>
      <c r="MDQ5" s="354"/>
      <c r="MDR5" s="354"/>
      <c r="MDS5" s="354"/>
      <c r="MDT5" s="354"/>
      <c r="MDU5" s="354"/>
      <c r="MDV5" s="354"/>
      <c r="MDW5" s="354"/>
      <c r="MDX5" s="354"/>
      <c r="MDY5" s="354"/>
      <c r="MDZ5" s="354"/>
      <c r="MEA5" s="354"/>
      <c r="MEB5" s="354"/>
      <c r="MEC5" s="354"/>
      <c r="MED5" s="354"/>
      <c r="MEE5" s="354"/>
      <c r="MEF5" s="354"/>
      <c r="MEG5" s="354"/>
      <c r="MEH5" s="354"/>
      <c r="MEI5" s="354"/>
      <c r="MEJ5" s="354"/>
      <c r="MEK5" s="354"/>
      <c r="MEL5" s="354"/>
      <c r="MEM5" s="354"/>
      <c r="MEN5" s="354"/>
      <c r="MEO5" s="354"/>
      <c r="MEP5" s="354"/>
      <c r="MEQ5" s="354"/>
      <c r="MER5" s="354"/>
      <c r="MES5" s="354"/>
      <c r="MET5" s="354"/>
      <c r="MEU5" s="354"/>
      <c r="MEV5" s="354"/>
      <c r="MEW5" s="354"/>
      <c r="MEX5" s="354"/>
      <c r="MEY5" s="354"/>
      <c r="MEZ5" s="354"/>
      <c r="MFA5" s="354"/>
      <c r="MFB5" s="354"/>
      <c r="MFC5" s="354"/>
      <c r="MFD5" s="354"/>
      <c r="MFE5" s="354"/>
      <c r="MFF5" s="354"/>
      <c r="MFG5" s="354"/>
      <c r="MFH5" s="354"/>
      <c r="MFI5" s="354"/>
      <c r="MFJ5" s="354"/>
      <c r="MFK5" s="354"/>
      <c r="MFL5" s="354"/>
      <c r="MFM5" s="354"/>
      <c r="MFN5" s="354"/>
      <c r="MFO5" s="354"/>
      <c r="MFP5" s="354"/>
      <c r="MFQ5" s="354"/>
      <c r="MFR5" s="354"/>
      <c r="MFS5" s="354"/>
      <c r="MFT5" s="354"/>
      <c r="MFU5" s="354"/>
      <c r="MFV5" s="354"/>
      <c r="MFW5" s="354"/>
      <c r="MFX5" s="354"/>
      <c r="MFY5" s="354"/>
      <c r="MFZ5" s="354"/>
      <c r="MGA5" s="354"/>
      <c r="MGB5" s="354"/>
      <c r="MGC5" s="354"/>
      <c r="MGD5" s="354"/>
      <c r="MGE5" s="354"/>
      <c r="MGF5" s="354"/>
      <c r="MGG5" s="354"/>
      <c r="MGH5" s="354"/>
      <c r="MGI5" s="354"/>
      <c r="MGJ5" s="354"/>
      <c r="MGK5" s="354"/>
      <c r="MGL5" s="354"/>
      <c r="MGM5" s="354"/>
      <c r="MGN5" s="354"/>
      <c r="MGO5" s="354"/>
      <c r="MGP5" s="354"/>
      <c r="MGQ5" s="354"/>
      <c r="MGR5" s="354"/>
      <c r="MGS5" s="354"/>
      <c r="MGT5" s="354"/>
      <c r="MGU5" s="354"/>
      <c r="MGV5" s="354"/>
      <c r="MGW5" s="354"/>
      <c r="MGX5" s="354"/>
      <c r="MGY5" s="354"/>
      <c r="MGZ5" s="354"/>
      <c r="MHA5" s="354"/>
      <c r="MHB5" s="354"/>
      <c r="MHC5" s="354"/>
      <c r="MHD5" s="354"/>
      <c r="MHE5" s="354"/>
      <c r="MHF5" s="354"/>
      <c r="MHG5" s="354"/>
      <c r="MHH5" s="354"/>
      <c r="MHI5" s="354"/>
      <c r="MHJ5" s="354"/>
      <c r="MHK5" s="354"/>
      <c r="MHL5" s="354"/>
      <c r="MHM5" s="354"/>
      <c r="MHN5" s="354"/>
      <c r="MHO5" s="354"/>
      <c r="MHP5" s="354"/>
      <c r="MHQ5" s="354"/>
      <c r="MHR5" s="354"/>
      <c r="MHS5" s="354"/>
      <c r="MHT5" s="354"/>
      <c r="MHU5" s="354"/>
      <c r="MHV5" s="354"/>
      <c r="MHW5" s="354"/>
      <c r="MHX5" s="354"/>
      <c r="MHY5" s="354"/>
      <c r="MHZ5" s="354"/>
      <c r="MIA5" s="354"/>
      <c r="MIB5" s="354"/>
      <c r="MIC5" s="354"/>
      <c r="MID5" s="354"/>
      <c r="MIE5" s="354"/>
      <c r="MIF5" s="354"/>
      <c r="MIG5" s="354"/>
      <c r="MIH5" s="354"/>
      <c r="MII5" s="354"/>
      <c r="MIJ5" s="354"/>
      <c r="MIK5" s="354"/>
      <c r="MIL5" s="354"/>
      <c r="MIM5" s="354"/>
      <c r="MIN5" s="354"/>
      <c r="MIO5" s="354"/>
      <c r="MIP5" s="354"/>
      <c r="MIQ5" s="354"/>
      <c r="MIR5" s="354"/>
      <c r="MIS5" s="354"/>
      <c r="MIT5" s="354"/>
      <c r="MIU5" s="354"/>
      <c r="MIV5" s="354"/>
      <c r="MIW5" s="354"/>
      <c r="MIX5" s="354"/>
      <c r="MIY5" s="354"/>
      <c r="MIZ5" s="354"/>
      <c r="MJA5" s="354"/>
      <c r="MJB5" s="354"/>
      <c r="MJC5" s="354"/>
      <c r="MJD5" s="354"/>
      <c r="MJE5" s="354"/>
      <c r="MJF5" s="354"/>
      <c r="MJG5" s="354"/>
      <c r="MJH5" s="354"/>
      <c r="MJI5" s="354"/>
      <c r="MJJ5" s="354"/>
      <c r="MJK5" s="354"/>
      <c r="MJL5" s="354"/>
      <c r="MJM5" s="354"/>
      <c r="MJN5" s="354"/>
      <c r="MJO5" s="354"/>
      <c r="MJP5" s="354"/>
      <c r="MJQ5" s="354"/>
      <c r="MJR5" s="354"/>
      <c r="MJS5" s="354"/>
      <c r="MJT5" s="354"/>
      <c r="MJU5" s="354"/>
      <c r="MJV5" s="354"/>
      <c r="MJW5" s="354"/>
      <c r="MJX5" s="354"/>
      <c r="MJY5" s="354"/>
      <c r="MJZ5" s="354"/>
      <c r="MKA5" s="354"/>
      <c r="MKB5" s="354"/>
      <c r="MKC5" s="354"/>
      <c r="MKD5" s="354"/>
      <c r="MKE5" s="354"/>
      <c r="MKF5" s="354"/>
      <c r="MKG5" s="354"/>
      <c r="MKH5" s="354"/>
      <c r="MKI5" s="354"/>
      <c r="MKJ5" s="354"/>
      <c r="MKK5" s="354"/>
      <c r="MKL5" s="354"/>
      <c r="MKM5" s="354"/>
      <c r="MKN5" s="354"/>
      <c r="MKO5" s="354"/>
      <c r="MKP5" s="354"/>
      <c r="MKQ5" s="354"/>
      <c r="MKR5" s="354"/>
      <c r="MKS5" s="354"/>
      <c r="MKT5" s="354"/>
      <c r="MKU5" s="354"/>
      <c r="MKV5" s="354"/>
      <c r="MKW5" s="354"/>
      <c r="MKX5" s="354"/>
      <c r="MKY5" s="354"/>
      <c r="MKZ5" s="354"/>
      <c r="MLA5" s="354"/>
      <c r="MLB5" s="354"/>
      <c r="MLC5" s="354"/>
      <c r="MLD5" s="354"/>
      <c r="MLE5" s="354"/>
      <c r="MLF5" s="354"/>
      <c r="MLG5" s="354"/>
      <c r="MLH5" s="354"/>
      <c r="MLI5" s="354"/>
      <c r="MLJ5" s="354"/>
      <c r="MLK5" s="354"/>
      <c r="MLL5" s="354"/>
      <c r="MLM5" s="354"/>
      <c r="MLN5" s="354"/>
      <c r="MLO5" s="354"/>
      <c r="MLP5" s="354"/>
      <c r="MLQ5" s="354"/>
      <c r="MLR5" s="354"/>
      <c r="MLS5" s="354"/>
      <c r="MLT5" s="354"/>
      <c r="MLU5" s="354"/>
      <c r="MLV5" s="354"/>
      <c r="MLW5" s="354"/>
      <c r="MLX5" s="354"/>
      <c r="MLY5" s="354"/>
      <c r="MLZ5" s="354"/>
      <c r="MMA5" s="354"/>
      <c r="MMB5" s="354"/>
      <c r="MMC5" s="354"/>
      <c r="MMD5" s="354"/>
      <c r="MME5" s="354"/>
      <c r="MMF5" s="354"/>
      <c r="MMG5" s="354"/>
      <c r="MMH5" s="354"/>
      <c r="MMI5" s="354"/>
      <c r="MMJ5" s="354"/>
      <c r="MMK5" s="354"/>
      <c r="MML5" s="354"/>
      <c r="MMM5" s="354"/>
      <c r="MMN5" s="354"/>
      <c r="MMO5" s="354"/>
      <c r="MMP5" s="354"/>
      <c r="MMQ5" s="354"/>
      <c r="MMR5" s="354"/>
      <c r="MMS5" s="354"/>
      <c r="MMT5" s="354"/>
      <c r="MMU5" s="354"/>
      <c r="MMV5" s="354"/>
      <c r="MMW5" s="354"/>
      <c r="MMX5" s="354"/>
      <c r="MMY5" s="354"/>
      <c r="MMZ5" s="354"/>
      <c r="MNA5" s="354"/>
      <c r="MNB5" s="354"/>
      <c r="MNC5" s="354"/>
      <c r="MND5" s="354"/>
      <c r="MNE5" s="354"/>
      <c r="MNF5" s="354"/>
      <c r="MNG5" s="354"/>
      <c r="MNH5" s="354"/>
      <c r="MNI5" s="354"/>
      <c r="MNJ5" s="354"/>
      <c r="MNK5" s="354"/>
      <c r="MNL5" s="354"/>
      <c r="MNM5" s="354"/>
      <c r="MNN5" s="354"/>
      <c r="MNO5" s="354"/>
      <c r="MNP5" s="354"/>
      <c r="MNQ5" s="354"/>
      <c r="MNR5" s="354"/>
      <c r="MNS5" s="354"/>
      <c r="MNT5" s="354"/>
      <c r="MNU5" s="354"/>
      <c r="MNV5" s="354"/>
      <c r="MNW5" s="354"/>
      <c r="MNX5" s="354"/>
      <c r="MNY5" s="354"/>
      <c r="MNZ5" s="354"/>
      <c r="MOA5" s="354"/>
      <c r="MOB5" s="354"/>
      <c r="MOC5" s="354"/>
      <c r="MOD5" s="354"/>
      <c r="MOE5" s="354"/>
      <c r="MOF5" s="354"/>
      <c r="MOG5" s="354"/>
      <c r="MOH5" s="354"/>
      <c r="MOI5" s="354"/>
      <c r="MOJ5" s="354"/>
      <c r="MOK5" s="354"/>
      <c r="MOL5" s="354"/>
      <c r="MOM5" s="354"/>
      <c r="MON5" s="354"/>
      <c r="MOO5" s="354"/>
      <c r="MOP5" s="354"/>
      <c r="MOQ5" s="354"/>
      <c r="MOR5" s="354"/>
      <c r="MOS5" s="354"/>
      <c r="MOT5" s="354"/>
      <c r="MOU5" s="354"/>
      <c r="MOV5" s="354"/>
      <c r="MOW5" s="354"/>
      <c r="MOX5" s="354"/>
      <c r="MOY5" s="354"/>
      <c r="MOZ5" s="354"/>
      <c r="MPA5" s="354"/>
      <c r="MPB5" s="354"/>
      <c r="MPC5" s="354"/>
      <c r="MPD5" s="354"/>
      <c r="MPE5" s="354"/>
      <c r="MPF5" s="354"/>
      <c r="MPG5" s="354"/>
      <c r="MPH5" s="354"/>
      <c r="MPI5" s="354"/>
      <c r="MPJ5" s="354"/>
      <c r="MPK5" s="354"/>
      <c r="MPL5" s="354"/>
      <c r="MPM5" s="354"/>
      <c r="MPN5" s="354"/>
      <c r="MPO5" s="354"/>
      <c r="MPP5" s="354"/>
      <c r="MPQ5" s="354"/>
      <c r="MPR5" s="354"/>
      <c r="MPS5" s="354"/>
      <c r="MPT5" s="354"/>
      <c r="MPU5" s="354"/>
      <c r="MPV5" s="354"/>
      <c r="MPW5" s="354"/>
      <c r="MPX5" s="354"/>
      <c r="MPY5" s="354"/>
      <c r="MPZ5" s="354"/>
      <c r="MQA5" s="354"/>
      <c r="MQB5" s="354"/>
      <c r="MQC5" s="354"/>
      <c r="MQD5" s="354"/>
      <c r="MQE5" s="354"/>
      <c r="MQF5" s="354"/>
      <c r="MQG5" s="354"/>
      <c r="MQH5" s="354"/>
      <c r="MQI5" s="354"/>
      <c r="MQJ5" s="354"/>
      <c r="MQK5" s="354"/>
      <c r="MQL5" s="354"/>
      <c r="MQM5" s="354"/>
      <c r="MQN5" s="354"/>
      <c r="MQO5" s="354"/>
      <c r="MQP5" s="354"/>
      <c r="MQQ5" s="354"/>
      <c r="MQR5" s="354"/>
      <c r="MQS5" s="354"/>
      <c r="MQT5" s="354"/>
      <c r="MQU5" s="354"/>
      <c r="MQV5" s="354"/>
      <c r="MQW5" s="354"/>
      <c r="MQX5" s="354"/>
      <c r="MQY5" s="354"/>
      <c r="MQZ5" s="354"/>
      <c r="MRA5" s="354"/>
      <c r="MRB5" s="354"/>
      <c r="MRC5" s="354"/>
      <c r="MRD5" s="354"/>
      <c r="MRE5" s="354"/>
      <c r="MRF5" s="354"/>
      <c r="MRG5" s="354"/>
      <c r="MRH5" s="354"/>
      <c r="MRI5" s="354"/>
      <c r="MRJ5" s="354"/>
      <c r="MRK5" s="354"/>
      <c r="MRL5" s="354"/>
      <c r="MRM5" s="354"/>
      <c r="MRN5" s="354"/>
      <c r="MRO5" s="354"/>
      <c r="MRP5" s="354"/>
      <c r="MRQ5" s="354"/>
      <c r="MRR5" s="354"/>
      <c r="MRS5" s="354"/>
      <c r="MRT5" s="354"/>
      <c r="MRU5" s="354"/>
      <c r="MRV5" s="354"/>
      <c r="MRW5" s="354"/>
      <c r="MRX5" s="354"/>
      <c r="MRY5" s="354"/>
      <c r="MRZ5" s="354"/>
      <c r="MSA5" s="354"/>
      <c r="MSB5" s="354"/>
      <c r="MSC5" s="354"/>
      <c r="MSD5" s="354"/>
      <c r="MSE5" s="354"/>
      <c r="MSF5" s="354"/>
      <c r="MSG5" s="354"/>
      <c r="MSH5" s="354"/>
      <c r="MSI5" s="354"/>
      <c r="MSJ5" s="354"/>
      <c r="MSK5" s="354"/>
      <c r="MSL5" s="354"/>
      <c r="MSM5" s="354"/>
      <c r="MSN5" s="354"/>
      <c r="MSO5" s="354"/>
      <c r="MSP5" s="354"/>
      <c r="MSQ5" s="354"/>
      <c r="MSR5" s="354"/>
      <c r="MSS5" s="354"/>
      <c r="MST5" s="354"/>
      <c r="MSU5" s="354"/>
      <c r="MSV5" s="354"/>
      <c r="MSW5" s="354"/>
      <c r="MSX5" s="354"/>
      <c r="MSY5" s="354"/>
      <c r="MSZ5" s="354"/>
      <c r="MTA5" s="354"/>
      <c r="MTB5" s="354"/>
      <c r="MTC5" s="354"/>
      <c r="MTD5" s="354"/>
      <c r="MTE5" s="354"/>
      <c r="MTF5" s="354"/>
      <c r="MTG5" s="354"/>
      <c r="MTH5" s="354"/>
      <c r="MTI5" s="354"/>
      <c r="MTJ5" s="354"/>
      <c r="MTK5" s="354"/>
      <c r="MTL5" s="354"/>
      <c r="MTM5" s="354"/>
      <c r="MTN5" s="354"/>
      <c r="MTO5" s="354"/>
      <c r="MTP5" s="354"/>
      <c r="MTQ5" s="354"/>
      <c r="MTR5" s="354"/>
      <c r="MTS5" s="354"/>
      <c r="MTT5" s="354"/>
      <c r="MTU5" s="354"/>
      <c r="MTV5" s="354"/>
      <c r="MTW5" s="354"/>
      <c r="MTX5" s="354"/>
      <c r="MTY5" s="354"/>
      <c r="MTZ5" s="354"/>
      <c r="MUA5" s="354"/>
      <c r="MUB5" s="354"/>
      <c r="MUC5" s="354"/>
      <c r="MUD5" s="354"/>
      <c r="MUE5" s="354"/>
      <c r="MUF5" s="354"/>
      <c r="MUG5" s="354"/>
      <c r="MUH5" s="354"/>
      <c r="MUI5" s="354"/>
      <c r="MUJ5" s="354"/>
      <c r="MUK5" s="354"/>
      <c r="MUL5" s="354"/>
      <c r="MUM5" s="354"/>
      <c r="MUN5" s="354"/>
      <c r="MUO5" s="354"/>
      <c r="MUP5" s="354"/>
      <c r="MUQ5" s="354"/>
      <c r="MUR5" s="354"/>
      <c r="MUS5" s="354"/>
      <c r="MUT5" s="354"/>
      <c r="MUU5" s="354"/>
      <c r="MUV5" s="354"/>
      <c r="MUW5" s="354"/>
      <c r="MUX5" s="354"/>
      <c r="MUY5" s="354"/>
      <c r="MUZ5" s="354"/>
      <c r="MVA5" s="354"/>
      <c r="MVB5" s="354"/>
      <c r="MVC5" s="354"/>
      <c r="MVD5" s="354"/>
      <c r="MVE5" s="354"/>
      <c r="MVF5" s="354"/>
      <c r="MVG5" s="354"/>
      <c r="MVH5" s="354"/>
      <c r="MVI5" s="354"/>
      <c r="MVJ5" s="354"/>
      <c r="MVK5" s="354"/>
      <c r="MVL5" s="354"/>
      <c r="MVM5" s="354"/>
      <c r="MVN5" s="354"/>
      <c r="MVO5" s="354"/>
      <c r="MVP5" s="354"/>
      <c r="MVQ5" s="354"/>
      <c r="MVR5" s="354"/>
      <c r="MVS5" s="354"/>
      <c r="MVT5" s="354"/>
      <c r="MVU5" s="354"/>
      <c r="MVV5" s="354"/>
      <c r="MVW5" s="354"/>
      <c r="MVX5" s="354"/>
      <c r="MVY5" s="354"/>
      <c r="MVZ5" s="354"/>
      <c r="MWA5" s="354"/>
      <c r="MWB5" s="354"/>
      <c r="MWC5" s="354"/>
      <c r="MWD5" s="354"/>
      <c r="MWE5" s="354"/>
      <c r="MWF5" s="354"/>
      <c r="MWG5" s="354"/>
      <c r="MWH5" s="354"/>
      <c r="MWI5" s="354"/>
      <c r="MWJ5" s="354"/>
      <c r="MWK5" s="354"/>
      <c r="MWL5" s="354"/>
      <c r="MWM5" s="354"/>
      <c r="MWN5" s="354"/>
      <c r="MWO5" s="354"/>
      <c r="MWP5" s="354"/>
      <c r="MWQ5" s="354"/>
      <c r="MWR5" s="354"/>
      <c r="MWS5" s="354"/>
      <c r="MWT5" s="354"/>
      <c r="MWU5" s="354"/>
      <c r="MWV5" s="354"/>
      <c r="MWW5" s="354"/>
      <c r="MWX5" s="354"/>
      <c r="MWY5" s="354"/>
      <c r="MWZ5" s="354"/>
      <c r="MXA5" s="354"/>
      <c r="MXB5" s="354"/>
      <c r="MXC5" s="354"/>
      <c r="MXD5" s="354"/>
      <c r="MXE5" s="354"/>
      <c r="MXF5" s="354"/>
      <c r="MXG5" s="354"/>
      <c r="MXH5" s="354"/>
      <c r="MXI5" s="354"/>
      <c r="MXJ5" s="354"/>
      <c r="MXK5" s="354"/>
      <c r="MXL5" s="354"/>
      <c r="MXM5" s="354"/>
      <c r="MXN5" s="354"/>
      <c r="MXO5" s="354"/>
      <c r="MXP5" s="354"/>
      <c r="MXQ5" s="354"/>
      <c r="MXR5" s="354"/>
      <c r="MXS5" s="354"/>
      <c r="MXT5" s="354"/>
      <c r="MXU5" s="354"/>
      <c r="MXV5" s="354"/>
      <c r="MXW5" s="354"/>
      <c r="MXX5" s="354"/>
      <c r="MXY5" s="354"/>
      <c r="MXZ5" s="354"/>
      <c r="MYA5" s="354"/>
      <c r="MYB5" s="354"/>
      <c r="MYC5" s="354"/>
      <c r="MYD5" s="354"/>
      <c r="MYE5" s="354"/>
      <c r="MYF5" s="354"/>
      <c r="MYG5" s="354"/>
      <c r="MYH5" s="354"/>
      <c r="MYI5" s="354"/>
      <c r="MYJ5" s="354"/>
      <c r="MYK5" s="354"/>
      <c r="MYL5" s="354"/>
      <c r="MYM5" s="354"/>
      <c r="MYN5" s="354"/>
      <c r="MYO5" s="354"/>
      <c r="MYP5" s="354"/>
      <c r="MYQ5" s="354"/>
      <c r="MYR5" s="354"/>
      <c r="MYS5" s="354"/>
      <c r="MYT5" s="354"/>
      <c r="MYU5" s="354"/>
      <c r="MYV5" s="354"/>
      <c r="MYW5" s="354"/>
      <c r="MYX5" s="354"/>
      <c r="MYY5" s="354"/>
      <c r="MYZ5" s="354"/>
      <c r="MZA5" s="354"/>
      <c r="MZB5" s="354"/>
      <c r="MZC5" s="354"/>
      <c r="MZD5" s="354"/>
      <c r="MZE5" s="354"/>
      <c r="MZF5" s="354"/>
      <c r="MZG5" s="354"/>
      <c r="MZH5" s="354"/>
      <c r="MZI5" s="354"/>
      <c r="MZJ5" s="354"/>
      <c r="MZK5" s="354"/>
      <c r="MZL5" s="354"/>
      <c r="MZM5" s="354"/>
      <c r="MZN5" s="354"/>
      <c r="MZO5" s="354"/>
      <c r="MZP5" s="354"/>
      <c r="MZQ5" s="354"/>
      <c r="MZR5" s="354"/>
      <c r="MZS5" s="354"/>
      <c r="MZT5" s="354"/>
      <c r="MZU5" s="354"/>
      <c r="MZV5" s="354"/>
      <c r="MZW5" s="354"/>
      <c r="MZX5" s="354"/>
      <c r="MZY5" s="354"/>
      <c r="MZZ5" s="354"/>
      <c r="NAA5" s="354"/>
      <c r="NAB5" s="354"/>
      <c r="NAC5" s="354"/>
      <c r="NAD5" s="354"/>
      <c r="NAE5" s="354"/>
      <c r="NAF5" s="354"/>
      <c r="NAG5" s="354"/>
      <c r="NAH5" s="354"/>
      <c r="NAI5" s="354"/>
      <c r="NAJ5" s="354"/>
      <c r="NAK5" s="354"/>
      <c r="NAL5" s="354"/>
      <c r="NAM5" s="354"/>
      <c r="NAN5" s="354"/>
      <c r="NAO5" s="354"/>
      <c r="NAP5" s="354"/>
      <c r="NAQ5" s="354"/>
      <c r="NAR5" s="354"/>
      <c r="NAS5" s="354"/>
      <c r="NAT5" s="354"/>
      <c r="NAU5" s="354"/>
      <c r="NAV5" s="354"/>
      <c r="NAW5" s="354"/>
      <c r="NAX5" s="354"/>
      <c r="NAY5" s="354"/>
      <c r="NAZ5" s="354"/>
      <c r="NBA5" s="354"/>
      <c r="NBB5" s="354"/>
      <c r="NBC5" s="354"/>
      <c r="NBD5" s="354"/>
      <c r="NBE5" s="354"/>
      <c r="NBF5" s="354"/>
      <c r="NBG5" s="354"/>
      <c r="NBH5" s="354"/>
      <c r="NBI5" s="354"/>
      <c r="NBJ5" s="354"/>
      <c r="NBK5" s="354"/>
      <c r="NBL5" s="354"/>
      <c r="NBM5" s="354"/>
      <c r="NBN5" s="354"/>
      <c r="NBO5" s="354"/>
      <c r="NBP5" s="354"/>
      <c r="NBQ5" s="354"/>
      <c r="NBR5" s="354"/>
      <c r="NBS5" s="354"/>
      <c r="NBT5" s="354"/>
      <c r="NBU5" s="354"/>
      <c r="NBV5" s="354"/>
      <c r="NBW5" s="354"/>
      <c r="NBX5" s="354"/>
      <c r="NBY5" s="354"/>
      <c r="NBZ5" s="354"/>
      <c r="NCA5" s="354"/>
      <c r="NCB5" s="354"/>
      <c r="NCC5" s="354"/>
      <c r="NCD5" s="354"/>
      <c r="NCE5" s="354"/>
      <c r="NCF5" s="354"/>
      <c r="NCG5" s="354"/>
      <c r="NCH5" s="354"/>
      <c r="NCI5" s="354"/>
      <c r="NCJ5" s="354"/>
      <c r="NCK5" s="354"/>
      <c r="NCL5" s="354"/>
      <c r="NCM5" s="354"/>
      <c r="NCN5" s="354"/>
      <c r="NCO5" s="354"/>
      <c r="NCP5" s="354"/>
      <c r="NCQ5" s="354"/>
      <c r="NCR5" s="354"/>
      <c r="NCS5" s="354"/>
      <c r="NCT5" s="354"/>
      <c r="NCU5" s="354"/>
      <c r="NCV5" s="354"/>
      <c r="NCW5" s="354"/>
      <c r="NCX5" s="354"/>
      <c r="NCY5" s="354"/>
      <c r="NCZ5" s="354"/>
      <c r="NDA5" s="354"/>
      <c r="NDB5" s="354"/>
      <c r="NDC5" s="354"/>
      <c r="NDD5" s="354"/>
      <c r="NDE5" s="354"/>
      <c r="NDF5" s="354"/>
      <c r="NDG5" s="354"/>
      <c r="NDH5" s="354"/>
      <c r="NDI5" s="354"/>
      <c r="NDJ5" s="354"/>
      <c r="NDK5" s="354"/>
      <c r="NDL5" s="354"/>
      <c r="NDM5" s="354"/>
      <c r="NDN5" s="354"/>
      <c r="NDO5" s="354"/>
      <c r="NDP5" s="354"/>
      <c r="NDQ5" s="354"/>
      <c r="NDR5" s="354"/>
      <c r="NDS5" s="354"/>
      <c r="NDT5" s="354"/>
      <c r="NDU5" s="354"/>
      <c r="NDV5" s="354"/>
      <c r="NDW5" s="354"/>
      <c r="NDX5" s="354"/>
      <c r="NDY5" s="354"/>
      <c r="NDZ5" s="354"/>
      <c r="NEA5" s="354"/>
      <c r="NEB5" s="354"/>
      <c r="NEC5" s="354"/>
      <c r="NED5" s="354"/>
      <c r="NEE5" s="354"/>
      <c r="NEF5" s="354"/>
      <c r="NEG5" s="354"/>
      <c r="NEH5" s="354"/>
      <c r="NEI5" s="354"/>
      <c r="NEJ5" s="354"/>
      <c r="NEK5" s="354"/>
      <c r="NEL5" s="354"/>
      <c r="NEM5" s="354"/>
      <c r="NEN5" s="354"/>
      <c r="NEO5" s="354"/>
      <c r="NEP5" s="354"/>
      <c r="NEQ5" s="354"/>
      <c r="NER5" s="354"/>
      <c r="NES5" s="354"/>
      <c r="NET5" s="354"/>
      <c r="NEU5" s="354"/>
      <c r="NEV5" s="354"/>
      <c r="NEW5" s="354"/>
      <c r="NEX5" s="354"/>
      <c r="NEY5" s="354"/>
      <c r="NEZ5" s="354"/>
      <c r="NFA5" s="354"/>
      <c r="NFB5" s="354"/>
      <c r="NFC5" s="354"/>
      <c r="NFD5" s="354"/>
      <c r="NFE5" s="354"/>
      <c r="NFF5" s="354"/>
      <c r="NFG5" s="354"/>
      <c r="NFH5" s="354"/>
      <c r="NFI5" s="354"/>
      <c r="NFJ5" s="354"/>
      <c r="NFK5" s="354"/>
      <c r="NFL5" s="354"/>
      <c r="NFM5" s="354"/>
      <c r="NFN5" s="354"/>
      <c r="NFO5" s="354"/>
      <c r="NFP5" s="354"/>
      <c r="NFQ5" s="354"/>
      <c r="NFR5" s="354"/>
      <c r="NFS5" s="354"/>
      <c r="NFT5" s="354"/>
      <c r="NFU5" s="354"/>
      <c r="NFV5" s="354"/>
      <c r="NFW5" s="354"/>
      <c r="NFX5" s="354"/>
      <c r="NFY5" s="354"/>
      <c r="NFZ5" s="354"/>
      <c r="NGA5" s="354"/>
      <c r="NGB5" s="354"/>
      <c r="NGC5" s="354"/>
      <c r="NGD5" s="354"/>
      <c r="NGE5" s="354"/>
      <c r="NGF5" s="354"/>
      <c r="NGG5" s="354"/>
      <c r="NGH5" s="354"/>
      <c r="NGI5" s="354"/>
      <c r="NGJ5" s="354"/>
      <c r="NGK5" s="354"/>
      <c r="NGL5" s="354"/>
      <c r="NGM5" s="354"/>
      <c r="NGN5" s="354"/>
      <c r="NGO5" s="354"/>
      <c r="NGP5" s="354"/>
      <c r="NGQ5" s="354"/>
      <c r="NGR5" s="354"/>
      <c r="NGS5" s="354"/>
      <c r="NGT5" s="354"/>
      <c r="NGU5" s="354"/>
      <c r="NGV5" s="354"/>
      <c r="NGW5" s="354"/>
      <c r="NGX5" s="354"/>
      <c r="NGY5" s="354"/>
      <c r="NGZ5" s="354"/>
      <c r="NHA5" s="354"/>
      <c r="NHB5" s="354"/>
      <c r="NHC5" s="354"/>
      <c r="NHD5" s="354"/>
      <c r="NHE5" s="354"/>
      <c r="NHF5" s="354"/>
      <c r="NHG5" s="354"/>
      <c r="NHH5" s="354"/>
      <c r="NHI5" s="354"/>
      <c r="NHJ5" s="354"/>
      <c r="NHK5" s="354"/>
      <c r="NHL5" s="354"/>
      <c r="NHM5" s="354"/>
      <c r="NHN5" s="354"/>
      <c r="NHO5" s="354"/>
      <c r="NHP5" s="354"/>
      <c r="NHQ5" s="354"/>
      <c r="NHR5" s="354"/>
      <c r="NHS5" s="354"/>
      <c r="NHT5" s="354"/>
      <c r="NHU5" s="354"/>
      <c r="NHV5" s="354"/>
      <c r="NHW5" s="354"/>
      <c r="NHX5" s="354"/>
      <c r="NHY5" s="354"/>
      <c r="NHZ5" s="354"/>
      <c r="NIA5" s="354"/>
      <c r="NIB5" s="354"/>
      <c r="NIC5" s="354"/>
      <c r="NID5" s="354"/>
      <c r="NIE5" s="354"/>
      <c r="NIF5" s="354"/>
      <c r="NIG5" s="354"/>
      <c r="NIH5" s="354"/>
      <c r="NII5" s="354"/>
      <c r="NIJ5" s="354"/>
      <c r="NIK5" s="354"/>
      <c r="NIL5" s="354"/>
      <c r="NIM5" s="354"/>
      <c r="NIN5" s="354"/>
      <c r="NIO5" s="354"/>
      <c r="NIP5" s="354"/>
      <c r="NIQ5" s="354"/>
      <c r="NIR5" s="354"/>
      <c r="NIS5" s="354"/>
      <c r="NIT5" s="354"/>
      <c r="NIU5" s="354"/>
      <c r="NIV5" s="354"/>
      <c r="NIW5" s="354"/>
      <c r="NIX5" s="354"/>
      <c r="NIY5" s="354"/>
      <c r="NIZ5" s="354"/>
      <c r="NJA5" s="354"/>
      <c r="NJB5" s="354"/>
      <c r="NJC5" s="354"/>
      <c r="NJD5" s="354"/>
      <c r="NJE5" s="354"/>
      <c r="NJF5" s="354"/>
      <c r="NJG5" s="354"/>
      <c r="NJH5" s="354"/>
      <c r="NJI5" s="354"/>
      <c r="NJJ5" s="354"/>
      <c r="NJK5" s="354"/>
      <c r="NJL5" s="354"/>
      <c r="NJM5" s="354"/>
      <c r="NJN5" s="354"/>
      <c r="NJO5" s="354"/>
      <c r="NJP5" s="354"/>
      <c r="NJQ5" s="354"/>
      <c r="NJR5" s="354"/>
      <c r="NJS5" s="354"/>
      <c r="NJT5" s="354"/>
      <c r="NJU5" s="354"/>
      <c r="NJV5" s="354"/>
      <c r="NJW5" s="354"/>
      <c r="NJX5" s="354"/>
      <c r="NJY5" s="354"/>
      <c r="NJZ5" s="354"/>
      <c r="NKA5" s="354"/>
      <c r="NKB5" s="354"/>
      <c r="NKC5" s="354"/>
      <c r="NKD5" s="354"/>
      <c r="NKE5" s="354"/>
      <c r="NKF5" s="354"/>
      <c r="NKG5" s="354"/>
      <c r="NKH5" s="354"/>
      <c r="NKI5" s="354"/>
      <c r="NKJ5" s="354"/>
      <c r="NKK5" s="354"/>
      <c r="NKL5" s="354"/>
      <c r="NKM5" s="354"/>
      <c r="NKN5" s="354"/>
      <c r="NKO5" s="354"/>
      <c r="NKP5" s="354"/>
      <c r="NKQ5" s="354"/>
      <c r="NKR5" s="354"/>
      <c r="NKS5" s="354"/>
      <c r="NKT5" s="354"/>
      <c r="NKU5" s="354"/>
      <c r="NKV5" s="354"/>
      <c r="NKW5" s="354"/>
      <c r="NKX5" s="354"/>
      <c r="NKY5" s="354"/>
      <c r="NKZ5" s="354"/>
      <c r="NLA5" s="354"/>
      <c r="NLB5" s="354"/>
      <c r="NLC5" s="354"/>
      <c r="NLD5" s="354"/>
      <c r="NLE5" s="354"/>
      <c r="NLF5" s="354"/>
      <c r="NLG5" s="354"/>
      <c r="NLH5" s="354"/>
      <c r="NLI5" s="354"/>
      <c r="NLJ5" s="354"/>
      <c r="NLK5" s="354"/>
      <c r="NLL5" s="354"/>
      <c r="NLM5" s="354"/>
      <c r="NLN5" s="354"/>
      <c r="NLO5" s="354"/>
      <c r="NLP5" s="354"/>
      <c r="NLQ5" s="354"/>
      <c r="NLR5" s="354"/>
      <c r="NLS5" s="354"/>
      <c r="NLT5" s="354"/>
      <c r="NLU5" s="354"/>
      <c r="NLV5" s="354"/>
      <c r="NLW5" s="354"/>
      <c r="NLX5" s="354"/>
      <c r="NLY5" s="354"/>
      <c r="NLZ5" s="354"/>
      <c r="NMA5" s="354"/>
      <c r="NMB5" s="354"/>
      <c r="NMC5" s="354"/>
      <c r="NMD5" s="354"/>
      <c r="NME5" s="354"/>
      <c r="NMF5" s="354"/>
      <c r="NMG5" s="354"/>
      <c r="NMH5" s="354"/>
      <c r="NMI5" s="354"/>
      <c r="NMJ5" s="354"/>
      <c r="NMK5" s="354"/>
      <c r="NML5" s="354"/>
      <c r="NMM5" s="354"/>
      <c r="NMN5" s="354"/>
      <c r="NMO5" s="354"/>
      <c r="NMP5" s="354"/>
      <c r="NMQ5" s="354"/>
      <c r="NMR5" s="354"/>
      <c r="NMS5" s="354"/>
      <c r="NMT5" s="354"/>
      <c r="NMU5" s="354"/>
      <c r="NMV5" s="354"/>
      <c r="NMW5" s="354"/>
      <c r="NMX5" s="354"/>
      <c r="NMY5" s="354"/>
      <c r="NMZ5" s="354"/>
      <c r="NNA5" s="354"/>
      <c r="NNB5" s="354"/>
      <c r="NNC5" s="354"/>
      <c r="NND5" s="354"/>
      <c r="NNE5" s="354"/>
      <c r="NNF5" s="354"/>
      <c r="NNG5" s="354"/>
      <c r="NNH5" s="354"/>
      <c r="NNI5" s="354"/>
      <c r="NNJ5" s="354"/>
      <c r="NNK5" s="354"/>
      <c r="NNL5" s="354"/>
      <c r="NNM5" s="354"/>
      <c r="NNN5" s="354"/>
      <c r="NNO5" s="354"/>
      <c r="NNP5" s="354"/>
      <c r="NNQ5" s="354"/>
      <c r="NNR5" s="354"/>
      <c r="NNS5" s="354"/>
      <c r="NNT5" s="354"/>
      <c r="NNU5" s="354"/>
      <c r="NNV5" s="354"/>
      <c r="NNW5" s="354"/>
      <c r="NNX5" s="354"/>
      <c r="NNY5" s="354"/>
      <c r="NNZ5" s="354"/>
      <c r="NOA5" s="354"/>
      <c r="NOB5" s="354"/>
      <c r="NOC5" s="354"/>
      <c r="NOD5" s="354"/>
      <c r="NOE5" s="354"/>
      <c r="NOF5" s="354"/>
      <c r="NOG5" s="354"/>
      <c r="NOH5" s="354"/>
      <c r="NOI5" s="354"/>
      <c r="NOJ5" s="354"/>
      <c r="NOK5" s="354"/>
      <c r="NOL5" s="354"/>
      <c r="NOM5" s="354"/>
      <c r="NON5" s="354"/>
      <c r="NOO5" s="354"/>
      <c r="NOP5" s="354"/>
      <c r="NOQ5" s="354"/>
      <c r="NOR5" s="354"/>
      <c r="NOS5" s="354"/>
      <c r="NOT5" s="354"/>
      <c r="NOU5" s="354"/>
      <c r="NOV5" s="354"/>
      <c r="NOW5" s="354"/>
      <c r="NOX5" s="354"/>
      <c r="NOY5" s="354"/>
      <c r="NOZ5" s="354"/>
      <c r="NPA5" s="354"/>
      <c r="NPB5" s="354"/>
      <c r="NPC5" s="354"/>
      <c r="NPD5" s="354"/>
      <c r="NPE5" s="354"/>
      <c r="NPF5" s="354"/>
      <c r="NPG5" s="354"/>
      <c r="NPH5" s="354"/>
      <c r="NPI5" s="354"/>
      <c r="NPJ5" s="354"/>
      <c r="NPK5" s="354"/>
      <c r="NPL5" s="354"/>
      <c r="NPM5" s="354"/>
      <c r="NPN5" s="354"/>
      <c r="NPO5" s="354"/>
      <c r="NPP5" s="354"/>
      <c r="NPQ5" s="354"/>
      <c r="NPR5" s="354"/>
      <c r="NPS5" s="354"/>
      <c r="NPT5" s="354"/>
      <c r="NPU5" s="354"/>
      <c r="NPV5" s="354"/>
      <c r="NPW5" s="354"/>
      <c r="NPX5" s="354"/>
      <c r="NPY5" s="354"/>
      <c r="NPZ5" s="354"/>
      <c r="NQA5" s="354"/>
      <c r="NQB5" s="354"/>
      <c r="NQC5" s="354"/>
      <c r="NQD5" s="354"/>
      <c r="NQE5" s="354"/>
      <c r="NQF5" s="354"/>
      <c r="NQG5" s="354"/>
      <c r="NQH5" s="354"/>
      <c r="NQI5" s="354"/>
      <c r="NQJ5" s="354"/>
      <c r="NQK5" s="354"/>
      <c r="NQL5" s="354"/>
      <c r="NQM5" s="354"/>
      <c r="NQN5" s="354"/>
      <c r="NQO5" s="354"/>
      <c r="NQP5" s="354"/>
      <c r="NQQ5" s="354"/>
      <c r="NQR5" s="354"/>
      <c r="NQS5" s="354"/>
      <c r="NQT5" s="354"/>
      <c r="NQU5" s="354"/>
      <c r="NQV5" s="354"/>
      <c r="NQW5" s="354"/>
      <c r="NQX5" s="354"/>
      <c r="NQY5" s="354"/>
      <c r="NQZ5" s="354"/>
      <c r="NRA5" s="354"/>
      <c r="NRB5" s="354"/>
      <c r="NRC5" s="354"/>
      <c r="NRD5" s="354"/>
      <c r="NRE5" s="354"/>
      <c r="NRF5" s="354"/>
      <c r="NRG5" s="354"/>
      <c r="NRH5" s="354"/>
      <c r="NRI5" s="354"/>
      <c r="NRJ5" s="354"/>
      <c r="NRK5" s="354"/>
      <c r="NRL5" s="354"/>
      <c r="NRM5" s="354"/>
      <c r="NRN5" s="354"/>
      <c r="NRO5" s="354"/>
      <c r="NRP5" s="354"/>
      <c r="NRQ5" s="354"/>
      <c r="NRR5" s="354"/>
      <c r="NRS5" s="354"/>
      <c r="NRT5" s="354"/>
      <c r="NRU5" s="354"/>
      <c r="NRV5" s="354"/>
      <c r="NRW5" s="354"/>
      <c r="NRX5" s="354"/>
      <c r="NRY5" s="354"/>
      <c r="NRZ5" s="354"/>
      <c r="NSA5" s="354"/>
      <c r="NSB5" s="354"/>
      <c r="NSC5" s="354"/>
      <c r="NSD5" s="354"/>
      <c r="NSE5" s="354"/>
      <c r="NSF5" s="354"/>
      <c r="NSG5" s="354"/>
      <c r="NSH5" s="354"/>
      <c r="NSI5" s="354"/>
      <c r="NSJ5" s="354"/>
      <c r="NSK5" s="354"/>
      <c r="NSL5" s="354"/>
      <c r="NSM5" s="354"/>
      <c r="NSN5" s="354"/>
      <c r="NSO5" s="354"/>
      <c r="NSP5" s="354"/>
      <c r="NSQ5" s="354"/>
      <c r="NSR5" s="354"/>
      <c r="NSS5" s="354"/>
      <c r="NST5" s="354"/>
      <c r="NSU5" s="354"/>
      <c r="NSV5" s="354"/>
      <c r="NSW5" s="354"/>
      <c r="NSX5" s="354"/>
      <c r="NSY5" s="354"/>
      <c r="NSZ5" s="354"/>
      <c r="NTA5" s="354"/>
      <c r="NTB5" s="354"/>
      <c r="NTC5" s="354"/>
      <c r="NTD5" s="354"/>
      <c r="NTE5" s="354"/>
      <c r="NTF5" s="354"/>
      <c r="NTG5" s="354"/>
      <c r="NTH5" s="354"/>
      <c r="NTI5" s="354"/>
      <c r="NTJ5" s="354"/>
      <c r="NTK5" s="354"/>
      <c r="NTL5" s="354"/>
      <c r="NTM5" s="354"/>
      <c r="NTN5" s="354"/>
      <c r="NTO5" s="354"/>
      <c r="NTP5" s="354"/>
      <c r="NTQ5" s="354"/>
      <c r="NTR5" s="354"/>
      <c r="NTS5" s="354"/>
      <c r="NTT5" s="354"/>
      <c r="NTU5" s="354"/>
      <c r="NTV5" s="354"/>
      <c r="NTW5" s="354"/>
      <c r="NTX5" s="354"/>
      <c r="NTY5" s="354"/>
      <c r="NTZ5" s="354"/>
      <c r="NUA5" s="354"/>
      <c r="NUB5" s="354"/>
      <c r="NUC5" s="354"/>
      <c r="NUD5" s="354"/>
      <c r="NUE5" s="354"/>
      <c r="NUF5" s="354"/>
      <c r="NUG5" s="354"/>
      <c r="NUH5" s="354"/>
      <c r="NUI5" s="354"/>
      <c r="NUJ5" s="354"/>
      <c r="NUK5" s="354"/>
      <c r="NUL5" s="354"/>
      <c r="NUM5" s="354"/>
      <c r="NUN5" s="354"/>
      <c r="NUO5" s="354"/>
      <c r="NUP5" s="354"/>
      <c r="NUQ5" s="354"/>
      <c r="NUR5" s="354"/>
      <c r="NUS5" s="354"/>
      <c r="NUT5" s="354"/>
      <c r="NUU5" s="354"/>
      <c r="NUV5" s="354"/>
      <c r="NUW5" s="354"/>
      <c r="NUX5" s="354"/>
      <c r="NUY5" s="354"/>
      <c r="NUZ5" s="354"/>
      <c r="NVA5" s="354"/>
      <c r="NVB5" s="354"/>
      <c r="NVC5" s="354"/>
      <c r="NVD5" s="354"/>
      <c r="NVE5" s="354"/>
      <c r="NVF5" s="354"/>
      <c r="NVG5" s="354"/>
      <c r="NVH5" s="354"/>
      <c r="NVI5" s="354"/>
      <c r="NVJ5" s="354"/>
      <c r="NVK5" s="354"/>
      <c r="NVL5" s="354"/>
      <c r="NVM5" s="354"/>
      <c r="NVN5" s="354"/>
      <c r="NVO5" s="354"/>
      <c r="NVP5" s="354"/>
      <c r="NVQ5" s="354"/>
      <c r="NVR5" s="354"/>
      <c r="NVS5" s="354"/>
      <c r="NVT5" s="354"/>
      <c r="NVU5" s="354"/>
      <c r="NVV5" s="354"/>
      <c r="NVW5" s="354"/>
      <c r="NVX5" s="354"/>
      <c r="NVY5" s="354"/>
      <c r="NVZ5" s="354"/>
      <c r="NWA5" s="354"/>
      <c r="NWB5" s="354"/>
      <c r="NWC5" s="354"/>
      <c r="NWD5" s="354"/>
      <c r="NWE5" s="354"/>
      <c r="NWF5" s="354"/>
      <c r="NWG5" s="354"/>
      <c r="NWH5" s="354"/>
      <c r="NWI5" s="354"/>
      <c r="NWJ5" s="354"/>
      <c r="NWK5" s="354"/>
      <c r="NWL5" s="354"/>
      <c r="NWM5" s="354"/>
      <c r="NWN5" s="354"/>
      <c r="NWO5" s="354"/>
      <c r="NWP5" s="354"/>
      <c r="NWQ5" s="354"/>
      <c r="NWR5" s="354"/>
      <c r="NWS5" s="354"/>
      <c r="NWT5" s="354"/>
      <c r="NWU5" s="354"/>
      <c r="NWV5" s="354"/>
      <c r="NWW5" s="354"/>
      <c r="NWX5" s="354"/>
      <c r="NWY5" s="354"/>
      <c r="NWZ5" s="354"/>
      <c r="NXA5" s="354"/>
      <c r="NXB5" s="354"/>
      <c r="NXC5" s="354"/>
      <c r="NXD5" s="354"/>
      <c r="NXE5" s="354"/>
      <c r="NXF5" s="354"/>
      <c r="NXG5" s="354"/>
      <c r="NXH5" s="354"/>
      <c r="NXI5" s="354"/>
      <c r="NXJ5" s="354"/>
      <c r="NXK5" s="354"/>
      <c r="NXL5" s="354"/>
      <c r="NXM5" s="354"/>
      <c r="NXN5" s="354"/>
      <c r="NXO5" s="354"/>
      <c r="NXP5" s="354"/>
      <c r="NXQ5" s="354"/>
      <c r="NXR5" s="354"/>
      <c r="NXS5" s="354"/>
      <c r="NXT5" s="354"/>
      <c r="NXU5" s="354"/>
      <c r="NXV5" s="354"/>
      <c r="NXW5" s="354"/>
      <c r="NXX5" s="354"/>
      <c r="NXY5" s="354"/>
      <c r="NXZ5" s="354"/>
      <c r="NYA5" s="354"/>
      <c r="NYB5" s="354"/>
      <c r="NYC5" s="354"/>
      <c r="NYD5" s="354"/>
      <c r="NYE5" s="354"/>
      <c r="NYF5" s="354"/>
      <c r="NYG5" s="354"/>
      <c r="NYH5" s="354"/>
      <c r="NYI5" s="354"/>
      <c r="NYJ5" s="354"/>
      <c r="NYK5" s="354"/>
      <c r="NYL5" s="354"/>
      <c r="NYM5" s="354"/>
      <c r="NYN5" s="354"/>
      <c r="NYO5" s="354"/>
      <c r="NYP5" s="354"/>
      <c r="NYQ5" s="354"/>
      <c r="NYR5" s="354"/>
      <c r="NYS5" s="354"/>
      <c r="NYT5" s="354"/>
      <c r="NYU5" s="354"/>
      <c r="NYV5" s="354"/>
      <c r="NYW5" s="354"/>
      <c r="NYX5" s="354"/>
      <c r="NYY5" s="354"/>
      <c r="NYZ5" s="354"/>
      <c r="NZA5" s="354"/>
      <c r="NZB5" s="354"/>
      <c r="NZC5" s="354"/>
      <c r="NZD5" s="354"/>
      <c r="NZE5" s="354"/>
      <c r="NZF5" s="354"/>
      <c r="NZG5" s="354"/>
      <c r="NZH5" s="354"/>
      <c r="NZI5" s="354"/>
      <c r="NZJ5" s="354"/>
      <c r="NZK5" s="354"/>
      <c r="NZL5" s="354"/>
      <c r="NZM5" s="354"/>
      <c r="NZN5" s="354"/>
      <c r="NZO5" s="354"/>
      <c r="NZP5" s="354"/>
      <c r="NZQ5" s="354"/>
      <c r="NZR5" s="354"/>
      <c r="NZS5" s="354"/>
      <c r="NZT5" s="354"/>
      <c r="NZU5" s="354"/>
      <c r="NZV5" s="354"/>
      <c r="NZW5" s="354"/>
      <c r="NZX5" s="354"/>
      <c r="NZY5" s="354"/>
      <c r="NZZ5" s="354"/>
      <c r="OAA5" s="354"/>
      <c r="OAB5" s="354"/>
      <c r="OAC5" s="354"/>
      <c r="OAD5" s="354"/>
      <c r="OAE5" s="354"/>
      <c r="OAF5" s="354"/>
      <c r="OAG5" s="354"/>
      <c r="OAH5" s="354"/>
      <c r="OAI5" s="354"/>
      <c r="OAJ5" s="354"/>
      <c r="OAK5" s="354"/>
      <c r="OAL5" s="354"/>
      <c r="OAM5" s="354"/>
      <c r="OAN5" s="354"/>
      <c r="OAO5" s="354"/>
      <c r="OAP5" s="354"/>
      <c r="OAQ5" s="354"/>
      <c r="OAR5" s="354"/>
      <c r="OAS5" s="354"/>
      <c r="OAT5" s="354"/>
      <c r="OAU5" s="354"/>
      <c r="OAV5" s="354"/>
      <c r="OAW5" s="354"/>
      <c r="OAX5" s="354"/>
      <c r="OAY5" s="354"/>
      <c r="OAZ5" s="354"/>
      <c r="OBA5" s="354"/>
      <c r="OBB5" s="354"/>
      <c r="OBC5" s="354"/>
      <c r="OBD5" s="354"/>
      <c r="OBE5" s="354"/>
      <c r="OBF5" s="354"/>
      <c r="OBG5" s="354"/>
      <c r="OBH5" s="354"/>
      <c r="OBI5" s="354"/>
      <c r="OBJ5" s="354"/>
      <c r="OBK5" s="354"/>
      <c r="OBL5" s="354"/>
      <c r="OBM5" s="354"/>
      <c r="OBN5" s="354"/>
      <c r="OBO5" s="354"/>
      <c r="OBP5" s="354"/>
      <c r="OBQ5" s="354"/>
      <c r="OBR5" s="354"/>
      <c r="OBS5" s="354"/>
      <c r="OBT5" s="354"/>
      <c r="OBU5" s="354"/>
      <c r="OBV5" s="354"/>
      <c r="OBW5" s="354"/>
      <c r="OBX5" s="354"/>
      <c r="OBY5" s="354"/>
      <c r="OBZ5" s="354"/>
      <c r="OCA5" s="354"/>
      <c r="OCB5" s="354"/>
      <c r="OCC5" s="354"/>
      <c r="OCD5" s="354"/>
      <c r="OCE5" s="354"/>
      <c r="OCF5" s="354"/>
      <c r="OCG5" s="354"/>
      <c r="OCH5" s="354"/>
      <c r="OCI5" s="354"/>
      <c r="OCJ5" s="354"/>
      <c r="OCK5" s="354"/>
      <c r="OCL5" s="354"/>
      <c r="OCM5" s="354"/>
      <c r="OCN5" s="354"/>
      <c r="OCO5" s="354"/>
      <c r="OCP5" s="354"/>
      <c r="OCQ5" s="354"/>
      <c r="OCR5" s="354"/>
      <c r="OCS5" s="354"/>
      <c r="OCT5" s="354"/>
      <c r="OCU5" s="354"/>
      <c r="OCV5" s="354"/>
      <c r="OCW5" s="354"/>
      <c r="OCX5" s="354"/>
      <c r="OCY5" s="354"/>
      <c r="OCZ5" s="354"/>
      <c r="ODA5" s="354"/>
      <c r="ODB5" s="354"/>
      <c r="ODC5" s="354"/>
      <c r="ODD5" s="354"/>
      <c r="ODE5" s="354"/>
      <c r="ODF5" s="354"/>
      <c r="ODG5" s="354"/>
      <c r="ODH5" s="354"/>
      <c r="ODI5" s="354"/>
      <c r="ODJ5" s="354"/>
      <c r="ODK5" s="354"/>
      <c r="ODL5" s="354"/>
      <c r="ODM5" s="354"/>
      <c r="ODN5" s="354"/>
      <c r="ODO5" s="354"/>
      <c r="ODP5" s="354"/>
      <c r="ODQ5" s="354"/>
      <c r="ODR5" s="354"/>
      <c r="ODS5" s="354"/>
      <c r="ODT5" s="354"/>
      <c r="ODU5" s="354"/>
      <c r="ODV5" s="354"/>
      <c r="ODW5" s="354"/>
      <c r="ODX5" s="354"/>
      <c r="ODY5" s="354"/>
      <c r="ODZ5" s="354"/>
      <c r="OEA5" s="354"/>
      <c r="OEB5" s="354"/>
      <c r="OEC5" s="354"/>
      <c r="OED5" s="354"/>
      <c r="OEE5" s="354"/>
      <c r="OEF5" s="354"/>
      <c r="OEG5" s="354"/>
      <c r="OEH5" s="354"/>
      <c r="OEI5" s="354"/>
      <c r="OEJ5" s="354"/>
      <c r="OEK5" s="354"/>
      <c r="OEL5" s="354"/>
      <c r="OEM5" s="354"/>
      <c r="OEN5" s="354"/>
      <c r="OEO5" s="354"/>
      <c r="OEP5" s="354"/>
      <c r="OEQ5" s="354"/>
      <c r="OER5" s="354"/>
      <c r="OES5" s="354"/>
      <c r="OET5" s="354"/>
      <c r="OEU5" s="354"/>
      <c r="OEV5" s="354"/>
      <c r="OEW5" s="354"/>
      <c r="OEX5" s="354"/>
      <c r="OEY5" s="354"/>
      <c r="OEZ5" s="354"/>
      <c r="OFA5" s="354"/>
      <c r="OFB5" s="354"/>
      <c r="OFC5" s="354"/>
      <c r="OFD5" s="354"/>
      <c r="OFE5" s="354"/>
      <c r="OFF5" s="354"/>
      <c r="OFG5" s="354"/>
      <c r="OFH5" s="354"/>
      <c r="OFI5" s="354"/>
      <c r="OFJ5" s="354"/>
      <c r="OFK5" s="354"/>
      <c r="OFL5" s="354"/>
      <c r="OFM5" s="354"/>
      <c r="OFN5" s="354"/>
      <c r="OFO5" s="354"/>
      <c r="OFP5" s="354"/>
      <c r="OFQ5" s="354"/>
      <c r="OFR5" s="354"/>
      <c r="OFS5" s="354"/>
      <c r="OFT5" s="354"/>
      <c r="OFU5" s="354"/>
      <c r="OFV5" s="354"/>
      <c r="OFW5" s="354"/>
      <c r="OFX5" s="354"/>
      <c r="OFY5" s="354"/>
      <c r="OFZ5" s="354"/>
      <c r="OGA5" s="354"/>
      <c r="OGB5" s="354"/>
      <c r="OGC5" s="354"/>
      <c r="OGD5" s="354"/>
      <c r="OGE5" s="354"/>
      <c r="OGF5" s="354"/>
      <c r="OGG5" s="354"/>
      <c r="OGH5" s="354"/>
      <c r="OGI5" s="354"/>
      <c r="OGJ5" s="354"/>
      <c r="OGK5" s="354"/>
      <c r="OGL5" s="354"/>
      <c r="OGM5" s="354"/>
      <c r="OGN5" s="354"/>
      <c r="OGO5" s="354"/>
      <c r="OGP5" s="354"/>
      <c r="OGQ5" s="354"/>
      <c r="OGR5" s="354"/>
      <c r="OGS5" s="354"/>
      <c r="OGT5" s="354"/>
      <c r="OGU5" s="354"/>
      <c r="OGV5" s="354"/>
      <c r="OGW5" s="354"/>
      <c r="OGX5" s="354"/>
      <c r="OGY5" s="354"/>
      <c r="OGZ5" s="354"/>
      <c r="OHA5" s="354"/>
      <c r="OHB5" s="354"/>
      <c r="OHC5" s="354"/>
      <c r="OHD5" s="354"/>
      <c r="OHE5" s="354"/>
      <c r="OHF5" s="354"/>
      <c r="OHG5" s="354"/>
      <c r="OHH5" s="354"/>
      <c r="OHI5" s="354"/>
      <c r="OHJ5" s="354"/>
      <c r="OHK5" s="354"/>
      <c r="OHL5" s="354"/>
      <c r="OHM5" s="354"/>
      <c r="OHN5" s="354"/>
      <c r="OHO5" s="354"/>
      <c r="OHP5" s="354"/>
      <c r="OHQ5" s="354"/>
      <c r="OHR5" s="354"/>
      <c r="OHS5" s="354"/>
      <c r="OHT5" s="354"/>
      <c r="OHU5" s="354"/>
      <c r="OHV5" s="354"/>
      <c r="OHW5" s="354"/>
      <c r="OHX5" s="354"/>
      <c r="OHY5" s="354"/>
      <c r="OHZ5" s="354"/>
      <c r="OIA5" s="354"/>
      <c r="OIB5" s="354"/>
      <c r="OIC5" s="354"/>
      <c r="OID5" s="354"/>
      <c r="OIE5" s="354"/>
      <c r="OIF5" s="354"/>
      <c r="OIG5" s="354"/>
      <c r="OIH5" s="354"/>
      <c r="OII5" s="354"/>
      <c r="OIJ5" s="354"/>
      <c r="OIK5" s="354"/>
      <c r="OIL5" s="354"/>
      <c r="OIM5" s="354"/>
      <c r="OIN5" s="354"/>
      <c r="OIO5" s="354"/>
      <c r="OIP5" s="354"/>
      <c r="OIQ5" s="354"/>
      <c r="OIR5" s="354"/>
      <c r="OIS5" s="354"/>
      <c r="OIT5" s="354"/>
      <c r="OIU5" s="354"/>
      <c r="OIV5" s="354"/>
      <c r="OIW5" s="354"/>
      <c r="OIX5" s="354"/>
      <c r="OIY5" s="354"/>
      <c r="OIZ5" s="354"/>
      <c r="OJA5" s="354"/>
      <c r="OJB5" s="354"/>
      <c r="OJC5" s="354"/>
      <c r="OJD5" s="354"/>
      <c r="OJE5" s="354"/>
      <c r="OJF5" s="354"/>
      <c r="OJG5" s="354"/>
      <c r="OJH5" s="354"/>
      <c r="OJI5" s="354"/>
      <c r="OJJ5" s="354"/>
      <c r="OJK5" s="354"/>
      <c r="OJL5" s="354"/>
      <c r="OJM5" s="354"/>
      <c r="OJN5" s="354"/>
      <c r="OJO5" s="354"/>
      <c r="OJP5" s="354"/>
      <c r="OJQ5" s="354"/>
      <c r="OJR5" s="354"/>
      <c r="OJS5" s="354"/>
      <c r="OJT5" s="354"/>
      <c r="OJU5" s="354"/>
      <c r="OJV5" s="354"/>
      <c r="OJW5" s="354"/>
      <c r="OJX5" s="354"/>
      <c r="OJY5" s="354"/>
      <c r="OJZ5" s="354"/>
      <c r="OKA5" s="354"/>
      <c r="OKB5" s="354"/>
      <c r="OKC5" s="354"/>
      <c r="OKD5" s="354"/>
      <c r="OKE5" s="354"/>
      <c r="OKF5" s="354"/>
      <c r="OKG5" s="354"/>
      <c r="OKH5" s="354"/>
      <c r="OKI5" s="354"/>
      <c r="OKJ5" s="354"/>
      <c r="OKK5" s="354"/>
      <c r="OKL5" s="354"/>
      <c r="OKM5" s="354"/>
      <c r="OKN5" s="354"/>
      <c r="OKO5" s="354"/>
      <c r="OKP5" s="354"/>
      <c r="OKQ5" s="354"/>
      <c r="OKR5" s="354"/>
      <c r="OKS5" s="354"/>
      <c r="OKT5" s="354"/>
      <c r="OKU5" s="354"/>
      <c r="OKV5" s="354"/>
      <c r="OKW5" s="354"/>
      <c r="OKX5" s="354"/>
      <c r="OKY5" s="354"/>
      <c r="OKZ5" s="354"/>
      <c r="OLA5" s="354"/>
      <c r="OLB5" s="354"/>
      <c r="OLC5" s="354"/>
      <c r="OLD5" s="354"/>
      <c r="OLE5" s="354"/>
      <c r="OLF5" s="354"/>
      <c r="OLG5" s="354"/>
      <c r="OLH5" s="354"/>
      <c r="OLI5" s="354"/>
      <c r="OLJ5" s="354"/>
      <c r="OLK5" s="354"/>
      <c r="OLL5" s="354"/>
      <c r="OLM5" s="354"/>
      <c r="OLN5" s="354"/>
      <c r="OLO5" s="354"/>
      <c r="OLP5" s="354"/>
      <c r="OLQ5" s="354"/>
      <c r="OLR5" s="354"/>
      <c r="OLS5" s="354"/>
      <c r="OLT5" s="354"/>
      <c r="OLU5" s="354"/>
      <c r="OLV5" s="354"/>
      <c r="OLW5" s="354"/>
      <c r="OLX5" s="354"/>
      <c r="OLY5" s="354"/>
      <c r="OLZ5" s="354"/>
      <c r="OMA5" s="354"/>
      <c r="OMB5" s="354"/>
      <c r="OMC5" s="354"/>
      <c r="OMD5" s="354"/>
      <c r="OME5" s="354"/>
      <c r="OMF5" s="354"/>
      <c r="OMG5" s="354"/>
      <c r="OMH5" s="354"/>
      <c r="OMI5" s="354"/>
      <c r="OMJ5" s="354"/>
      <c r="OMK5" s="354"/>
      <c r="OML5" s="354"/>
      <c r="OMM5" s="354"/>
      <c r="OMN5" s="354"/>
      <c r="OMO5" s="354"/>
      <c r="OMP5" s="354"/>
      <c r="OMQ5" s="354"/>
      <c r="OMR5" s="354"/>
      <c r="OMS5" s="354"/>
      <c r="OMT5" s="354"/>
      <c r="OMU5" s="354"/>
      <c r="OMV5" s="354"/>
      <c r="OMW5" s="354"/>
      <c r="OMX5" s="354"/>
      <c r="OMY5" s="354"/>
      <c r="OMZ5" s="354"/>
      <c r="ONA5" s="354"/>
      <c r="ONB5" s="354"/>
      <c r="ONC5" s="354"/>
      <c r="OND5" s="354"/>
      <c r="ONE5" s="354"/>
      <c r="ONF5" s="354"/>
      <c r="ONG5" s="354"/>
      <c r="ONH5" s="354"/>
      <c r="ONI5" s="354"/>
      <c r="ONJ5" s="354"/>
      <c r="ONK5" s="354"/>
      <c r="ONL5" s="354"/>
      <c r="ONM5" s="354"/>
      <c r="ONN5" s="354"/>
      <c r="ONO5" s="354"/>
      <c r="ONP5" s="354"/>
      <c r="ONQ5" s="354"/>
      <c r="ONR5" s="354"/>
      <c r="ONS5" s="354"/>
      <c r="ONT5" s="354"/>
      <c r="ONU5" s="354"/>
      <c r="ONV5" s="354"/>
      <c r="ONW5" s="354"/>
      <c r="ONX5" s="354"/>
      <c r="ONY5" s="354"/>
      <c r="ONZ5" s="354"/>
      <c r="OOA5" s="354"/>
      <c r="OOB5" s="354"/>
      <c r="OOC5" s="354"/>
      <c r="OOD5" s="354"/>
      <c r="OOE5" s="354"/>
      <c r="OOF5" s="354"/>
      <c r="OOG5" s="354"/>
      <c r="OOH5" s="354"/>
      <c r="OOI5" s="354"/>
      <c r="OOJ5" s="354"/>
      <c r="OOK5" s="354"/>
      <c r="OOL5" s="354"/>
      <c r="OOM5" s="354"/>
      <c r="OON5" s="354"/>
      <c r="OOO5" s="354"/>
      <c r="OOP5" s="354"/>
      <c r="OOQ5" s="354"/>
      <c r="OOR5" s="354"/>
      <c r="OOS5" s="354"/>
      <c r="OOT5" s="354"/>
      <c r="OOU5" s="354"/>
      <c r="OOV5" s="354"/>
      <c r="OOW5" s="354"/>
      <c r="OOX5" s="354"/>
      <c r="OOY5" s="354"/>
      <c r="OOZ5" s="354"/>
      <c r="OPA5" s="354"/>
      <c r="OPB5" s="354"/>
      <c r="OPC5" s="354"/>
      <c r="OPD5" s="354"/>
      <c r="OPE5" s="354"/>
      <c r="OPF5" s="354"/>
      <c r="OPG5" s="354"/>
      <c r="OPH5" s="354"/>
      <c r="OPI5" s="354"/>
      <c r="OPJ5" s="354"/>
      <c r="OPK5" s="354"/>
      <c r="OPL5" s="354"/>
      <c r="OPM5" s="354"/>
      <c r="OPN5" s="354"/>
      <c r="OPO5" s="354"/>
      <c r="OPP5" s="354"/>
      <c r="OPQ5" s="354"/>
      <c r="OPR5" s="354"/>
      <c r="OPS5" s="354"/>
      <c r="OPT5" s="354"/>
      <c r="OPU5" s="354"/>
      <c r="OPV5" s="354"/>
      <c r="OPW5" s="354"/>
      <c r="OPX5" s="354"/>
      <c r="OPY5" s="354"/>
      <c r="OPZ5" s="354"/>
      <c r="OQA5" s="354"/>
      <c r="OQB5" s="354"/>
      <c r="OQC5" s="354"/>
      <c r="OQD5" s="354"/>
      <c r="OQE5" s="354"/>
      <c r="OQF5" s="354"/>
      <c r="OQG5" s="354"/>
      <c r="OQH5" s="354"/>
      <c r="OQI5" s="354"/>
      <c r="OQJ5" s="354"/>
      <c r="OQK5" s="354"/>
      <c r="OQL5" s="354"/>
      <c r="OQM5" s="354"/>
      <c r="OQN5" s="354"/>
      <c r="OQO5" s="354"/>
      <c r="OQP5" s="354"/>
      <c r="OQQ5" s="354"/>
      <c r="OQR5" s="354"/>
      <c r="OQS5" s="354"/>
      <c r="OQT5" s="354"/>
      <c r="OQU5" s="354"/>
      <c r="OQV5" s="354"/>
      <c r="OQW5" s="354"/>
      <c r="OQX5" s="354"/>
      <c r="OQY5" s="354"/>
      <c r="OQZ5" s="354"/>
      <c r="ORA5" s="354"/>
      <c r="ORB5" s="354"/>
      <c r="ORC5" s="354"/>
      <c r="ORD5" s="354"/>
      <c r="ORE5" s="354"/>
      <c r="ORF5" s="354"/>
      <c r="ORG5" s="354"/>
      <c r="ORH5" s="354"/>
      <c r="ORI5" s="354"/>
      <c r="ORJ5" s="354"/>
      <c r="ORK5" s="354"/>
      <c r="ORL5" s="354"/>
      <c r="ORM5" s="354"/>
      <c r="ORN5" s="354"/>
      <c r="ORO5" s="354"/>
      <c r="ORP5" s="354"/>
      <c r="ORQ5" s="354"/>
      <c r="ORR5" s="354"/>
      <c r="ORS5" s="354"/>
      <c r="ORT5" s="354"/>
      <c r="ORU5" s="354"/>
      <c r="ORV5" s="354"/>
      <c r="ORW5" s="354"/>
      <c r="ORX5" s="354"/>
      <c r="ORY5" s="354"/>
      <c r="ORZ5" s="354"/>
      <c r="OSA5" s="354"/>
      <c r="OSB5" s="354"/>
      <c r="OSC5" s="354"/>
      <c r="OSD5" s="354"/>
      <c r="OSE5" s="354"/>
      <c r="OSF5" s="354"/>
      <c r="OSG5" s="354"/>
      <c r="OSH5" s="354"/>
      <c r="OSI5" s="354"/>
      <c r="OSJ5" s="354"/>
      <c r="OSK5" s="354"/>
      <c r="OSL5" s="354"/>
      <c r="OSM5" s="354"/>
      <c r="OSN5" s="354"/>
      <c r="OSO5" s="354"/>
      <c r="OSP5" s="354"/>
      <c r="OSQ5" s="354"/>
      <c r="OSR5" s="354"/>
      <c r="OSS5" s="354"/>
      <c r="OST5" s="354"/>
      <c r="OSU5" s="354"/>
      <c r="OSV5" s="354"/>
      <c r="OSW5" s="354"/>
      <c r="OSX5" s="354"/>
      <c r="OSY5" s="354"/>
      <c r="OSZ5" s="354"/>
      <c r="OTA5" s="354"/>
      <c r="OTB5" s="354"/>
      <c r="OTC5" s="354"/>
      <c r="OTD5" s="354"/>
      <c r="OTE5" s="354"/>
      <c r="OTF5" s="354"/>
      <c r="OTG5" s="354"/>
      <c r="OTH5" s="354"/>
      <c r="OTI5" s="354"/>
      <c r="OTJ5" s="354"/>
      <c r="OTK5" s="354"/>
      <c r="OTL5" s="354"/>
      <c r="OTM5" s="354"/>
      <c r="OTN5" s="354"/>
      <c r="OTO5" s="354"/>
      <c r="OTP5" s="354"/>
      <c r="OTQ5" s="354"/>
      <c r="OTR5" s="354"/>
      <c r="OTS5" s="354"/>
      <c r="OTT5" s="354"/>
      <c r="OTU5" s="354"/>
      <c r="OTV5" s="354"/>
      <c r="OTW5" s="354"/>
      <c r="OTX5" s="354"/>
      <c r="OTY5" s="354"/>
      <c r="OTZ5" s="354"/>
      <c r="OUA5" s="354"/>
      <c r="OUB5" s="354"/>
      <c r="OUC5" s="354"/>
      <c r="OUD5" s="354"/>
      <c r="OUE5" s="354"/>
      <c r="OUF5" s="354"/>
      <c r="OUG5" s="354"/>
      <c r="OUH5" s="354"/>
      <c r="OUI5" s="354"/>
      <c r="OUJ5" s="354"/>
      <c r="OUK5" s="354"/>
      <c r="OUL5" s="354"/>
      <c r="OUM5" s="354"/>
      <c r="OUN5" s="354"/>
      <c r="OUO5" s="354"/>
      <c r="OUP5" s="354"/>
      <c r="OUQ5" s="354"/>
      <c r="OUR5" s="354"/>
      <c r="OUS5" s="354"/>
      <c r="OUT5" s="354"/>
      <c r="OUU5" s="354"/>
      <c r="OUV5" s="354"/>
      <c r="OUW5" s="354"/>
      <c r="OUX5" s="354"/>
      <c r="OUY5" s="354"/>
      <c r="OUZ5" s="354"/>
      <c r="OVA5" s="354"/>
      <c r="OVB5" s="354"/>
      <c r="OVC5" s="354"/>
      <c r="OVD5" s="354"/>
      <c r="OVE5" s="354"/>
      <c r="OVF5" s="354"/>
      <c r="OVG5" s="354"/>
      <c r="OVH5" s="354"/>
      <c r="OVI5" s="354"/>
      <c r="OVJ5" s="354"/>
      <c r="OVK5" s="354"/>
      <c r="OVL5" s="354"/>
      <c r="OVM5" s="354"/>
      <c r="OVN5" s="354"/>
      <c r="OVO5" s="354"/>
      <c r="OVP5" s="354"/>
      <c r="OVQ5" s="354"/>
      <c r="OVR5" s="354"/>
      <c r="OVS5" s="354"/>
      <c r="OVT5" s="354"/>
      <c r="OVU5" s="354"/>
      <c r="OVV5" s="354"/>
      <c r="OVW5" s="354"/>
      <c r="OVX5" s="354"/>
      <c r="OVY5" s="354"/>
      <c r="OVZ5" s="354"/>
      <c r="OWA5" s="354"/>
      <c r="OWB5" s="354"/>
      <c r="OWC5" s="354"/>
      <c r="OWD5" s="354"/>
      <c r="OWE5" s="354"/>
      <c r="OWF5" s="354"/>
      <c r="OWG5" s="354"/>
      <c r="OWH5" s="354"/>
      <c r="OWI5" s="354"/>
      <c r="OWJ5" s="354"/>
      <c r="OWK5" s="354"/>
      <c r="OWL5" s="354"/>
      <c r="OWM5" s="354"/>
      <c r="OWN5" s="354"/>
      <c r="OWO5" s="354"/>
      <c r="OWP5" s="354"/>
      <c r="OWQ5" s="354"/>
      <c r="OWR5" s="354"/>
      <c r="OWS5" s="354"/>
      <c r="OWT5" s="354"/>
      <c r="OWU5" s="354"/>
      <c r="OWV5" s="354"/>
      <c r="OWW5" s="354"/>
      <c r="OWX5" s="354"/>
      <c r="OWY5" s="354"/>
      <c r="OWZ5" s="354"/>
      <c r="OXA5" s="354"/>
      <c r="OXB5" s="354"/>
      <c r="OXC5" s="354"/>
      <c r="OXD5" s="354"/>
      <c r="OXE5" s="354"/>
      <c r="OXF5" s="354"/>
      <c r="OXG5" s="354"/>
      <c r="OXH5" s="354"/>
      <c r="OXI5" s="354"/>
      <c r="OXJ5" s="354"/>
      <c r="OXK5" s="354"/>
      <c r="OXL5" s="354"/>
      <c r="OXM5" s="354"/>
      <c r="OXN5" s="354"/>
      <c r="OXO5" s="354"/>
      <c r="OXP5" s="354"/>
      <c r="OXQ5" s="354"/>
      <c r="OXR5" s="354"/>
      <c r="OXS5" s="354"/>
      <c r="OXT5" s="354"/>
      <c r="OXU5" s="354"/>
      <c r="OXV5" s="354"/>
      <c r="OXW5" s="354"/>
      <c r="OXX5" s="354"/>
      <c r="OXY5" s="354"/>
      <c r="OXZ5" s="354"/>
      <c r="OYA5" s="354"/>
      <c r="OYB5" s="354"/>
      <c r="OYC5" s="354"/>
      <c r="OYD5" s="354"/>
      <c r="OYE5" s="354"/>
      <c r="OYF5" s="354"/>
      <c r="OYG5" s="354"/>
      <c r="OYH5" s="354"/>
      <c r="OYI5" s="354"/>
      <c r="OYJ5" s="354"/>
      <c r="OYK5" s="354"/>
      <c r="OYL5" s="354"/>
      <c r="OYM5" s="354"/>
      <c r="OYN5" s="354"/>
      <c r="OYO5" s="354"/>
      <c r="OYP5" s="354"/>
      <c r="OYQ5" s="354"/>
      <c r="OYR5" s="354"/>
      <c r="OYS5" s="354"/>
      <c r="OYT5" s="354"/>
      <c r="OYU5" s="354"/>
      <c r="OYV5" s="354"/>
      <c r="OYW5" s="354"/>
      <c r="OYX5" s="354"/>
      <c r="OYY5" s="354"/>
      <c r="OYZ5" s="354"/>
      <c r="OZA5" s="354"/>
      <c r="OZB5" s="354"/>
      <c r="OZC5" s="354"/>
      <c r="OZD5" s="354"/>
      <c r="OZE5" s="354"/>
      <c r="OZF5" s="354"/>
      <c r="OZG5" s="354"/>
      <c r="OZH5" s="354"/>
      <c r="OZI5" s="354"/>
      <c r="OZJ5" s="354"/>
      <c r="OZK5" s="354"/>
      <c r="OZL5" s="354"/>
      <c r="OZM5" s="354"/>
      <c r="OZN5" s="354"/>
      <c r="OZO5" s="354"/>
      <c r="OZP5" s="354"/>
      <c r="OZQ5" s="354"/>
      <c r="OZR5" s="354"/>
      <c r="OZS5" s="354"/>
      <c r="OZT5" s="354"/>
      <c r="OZU5" s="354"/>
      <c r="OZV5" s="354"/>
      <c r="OZW5" s="354"/>
      <c r="OZX5" s="354"/>
      <c r="OZY5" s="354"/>
      <c r="OZZ5" s="354"/>
      <c r="PAA5" s="354"/>
      <c r="PAB5" s="354"/>
      <c r="PAC5" s="354"/>
      <c r="PAD5" s="354"/>
      <c r="PAE5" s="354"/>
      <c r="PAF5" s="354"/>
      <c r="PAG5" s="354"/>
      <c r="PAH5" s="354"/>
      <c r="PAI5" s="354"/>
      <c r="PAJ5" s="354"/>
      <c r="PAK5" s="354"/>
      <c r="PAL5" s="354"/>
      <c r="PAM5" s="354"/>
      <c r="PAN5" s="354"/>
      <c r="PAO5" s="354"/>
      <c r="PAP5" s="354"/>
      <c r="PAQ5" s="354"/>
      <c r="PAR5" s="354"/>
      <c r="PAS5" s="354"/>
      <c r="PAT5" s="354"/>
      <c r="PAU5" s="354"/>
      <c r="PAV5" s="354"/>
      <c r="PAW5" s="354"/>
      <c r="PAX5" s="354"/>
      <c r="PAY5" s="354"/>
      <c r="PAZ5" s="354"/>
      <c r="PBA5" s="354"/>
      <c r="PBB5" s="354"/>
      <c r="PBC5" s="354"/>
      <c r="PBD5" s="354"/>
      <c r="PBE5" s="354"/>
      <c r="PBF5" s="354"/>
      <c r="PBG5" s="354"/>
      <c r="PBH5" s="354"/>
      <c r="PBI5" s="354"/>
      <c r="PBJ5" s="354"/>
      <c r="PBK5" s="354"/>
      <c r="PBL5" s="354"/>
      <c r="PBM5" s="354"/>
      <c r="PBN5" s="354"/>
      <c r="PBO5" s="354"/>
      <c r="PBP5" s="354"/>
      <c r="PBQ5" s="354"/>
      <c r="PBR5" s="354"/>
      <c r="PBS5" s="354"/>
      <c r="PBT5" s="354"/>
      <c r="PBU5" s="354"/>
      <c r="PBV5" s="354"/>
      <c r="PBW5" s="354"/>
      <c r="PBX5" s="354"/>
      <c r="PBY5" s="354"/>
      <c r="PBZ5" s="354"/>
      <c r="PCA5" s="354"/>
      <c r="PCB5" s="354"/>
      <c r="PCC5" s="354"/>
      <c r="PCD5" s="354"/>
      <c r="PCE5" s="354"/>
      <c r="PCF5" s="354"/>
      <c r="PCG5" s="354"/>
      <c r="PCH5" s="354"/>
      <c r="PCI5" s="354"/>
      <c r="PCJ5" s="354"/>
      <c r="PCK5" s="354"/>
      <c r="PCL5" s="354"/>
      <c r="PCM5" s="354"/>
      <c r="PCN5" s="354"/>
      <c r="PCO5" s="354"/>
      <c r="PCP5" s="354"/>
      <c r="PCQ5" s="354"/>
      <c r="PCR5" s="354"/>
      <c r="PCS5" s="354"/>
      <c r="PCT5" s="354"/>
      <c r="PCU5" s="354"/>
      <c r="PCV5" s="354"/>
      <c r="PCW5" s="354"/>
      <c r="PCX5" s="354"/>
      <c r="PCY5" s="354"/>
      <c r="PCZ5" s="354"/>
      <c r="PDA5" s="354"/>
      <c r="PDB5" s="354"/>
      <c r="PDC5" s="354"/>
      <c r="PDD5" s="354"/>
      <c r="PDE5" s="354"/>
      <c r="PDF5" s="354"/>
      <c r="PDG5" s="354"/>
      <c r="PDH5" s="354"/>
      <c r="PDI5" s="354"/>
      <c r="PDJ5" s="354"/>
      <c r="PDK5" s="354"/>
      <c r="PDL5" s="354"/>
      <c r="PDM5" s="354"/>
      <c r="PDN5" s="354"/>
      <c r="PDO5" s="354"/>
      <c r="PDP5" s="354"/>
      <c r="PDQ5" s="354"/>
      <c r="PDR5" s="354"/>
      <c r="PDS5" s="354"/>
      <c r="PDT5" s="354"/>
      <c r="PDU5" s="354"/>
      <c r="PDV5" s="354"/>
      <c r="PDW5" s="354"/>
      <c r="PDX5" s="354"/>
      <c r="PDY5" s="354"/>
      <c r="PDZ5" s="354"/>
      <c r="PEA5" s="354"/>
      <c r="PEB5" s="354"/>
      <c r="PEC5" s="354"/>
      <c r="PED5" s="354"/>
      <c r="PEE5" s="354"/>
      <c r="PEF5" s="354"/>
      <c r="PEG5" s="354"/>
      <c r="PEH5" s="354"/>
      <c r="PEI5" s="354"/>
      <c r="PEJ5" s="354"/>
      <c r="PEK5" s="354"/>
      <c r="PEL5" s="354"/>
      <c r="PEM5" s="354"/>
      <c r="PEN5" s="354"/>
      <c r="PEO5" s="354"/>
      <c r="PEP5" s="354"/>
      <c r="PEQ5" s="354"/>
      <c r="PER5" s="354"/>
      <c r="PES5" s="354"/>
      <c r="PET5" s="354"/>
      <c r="PEU5" s="354"/>
      <c r="PEV5" s="354"/>
      <c r="PEW5" s="354"/>
      <c r="PEX5" s="354"/>
      <c r="PEY5" s="354"/>
      <c r="PEZ5" s="354"/>
      <c r="PFA5" s="354"/>
      <c r="PFB5" s="354"/>
      <c r="PFC5" s="354"/>
      <c r="PFD5" s="354"/>
      <c r="PFE5" s="354"/>
      <c r="PFF5" s="354"/>
      <c r="PFG5" s="354"/>
      <c r="PFH5" s="354"/>
      <c r="PFI5" s="354"/>
      <c r="PFJ5" s="354"/>
      <c r="PFK5" s="354"/>
      <c r="PFL5" s="354"/>
      <c r="PFM5" s="354"/>
      <c r="PFN5" s="354"/>
      <c r="PFO5" s="354"/>
      <c r="PFP5" s="354"/>
      <c r="PFQ5" s="354"/>
      <c r="PFR5" s="354"/>
      <c r="PFS5" s="354"/>
      <c r="PFT5" s="354"/>
      <c r="PFU5" s="354"/>
      <c r="PFV5" s="354"/>
      <c r="PFW5" s="354"/>
      <c r="PFX5" s="354"/>
      <c r="PFY5" s="354"/>
      <c r="PFZ5" s="354"/>
      <c r="PGA5" s="354"/>
      <c r="PGB5" s="354"/>
      <c r="PGC5" s="354"/>
      <c r="PGD5" s="354"/>
      <c r="PGE5" s="354"/>
      <c r="PGF5" s="354"/>
      <c r="PGG5" s="354"/>
      <c r="PGH5" s="354"/>
      <c r="PGI5" s="354"/>
      <c r="PGJ5" s="354"/>
      <c r="PGK5" s="354"/>
      <c r="PGL5" s="354"/>
      <c r="PGM5" s="354"/>
      <c r="PGN5" s="354"/>
      <c r="PGO5" s="354"/>
      <c r="PGP5" s="354"/>
      <c r="PGQ5" s="354"/>
      <c r="PGR5" s="354"/>
      <c r="PGS5" s="354"/>
      <c r="PGT5" s="354"/>
      <c r="PGU5" s="354"/>
      <c r="PGV5" s="354"/>
      <c r="PGW5" s="354"/>
      <c r="PGX5" s="354"/>
      <c r="PGY5" s="354"/>
      <c r="PGZ5" s="354"/>
      <c r="PHA5" s="354"/>
      <c r="PHB5" s="354"/>
      <c r="PHC5" s="354"/>
      <c r="PHD5" s="354"/>
      <c r="PHE5" s="354"/>
      <c r="PHF5" s="354"/>
      <c r="PHG5" s="354"/>
      <c r="PHH5" s="354"/>
      <c r="PHI5" s="354"/>
      <c r="PHJ5" s="354"/>
      <c r="PHK5" s="354"/>
      <c r="PHL5" s="354"/>
      <c r="PHM5" s="354"/>
      <c r="PHN5" s="354"/>
      <c r="PHO5" s="354"/>
      <c r="PHP5" s="354"/>
      <c r="PHQ5" s="354"/>
      <c r="PHR5" s="354"/>
      <c r="PHS5" s="354"/>
      <c r="PHT5" s="354"/>
      <c r="PHU5" s="354"/>
      <c r="PHV5" s="354"/>
      <c r="PHW5" s="354"/>
      <c r="PHX5" s="354"/>
      <c r="PHY5" s="354"/>
      <c r="PHZ5" s="354"/>
      <c r="PIA5" s="354"/>
      <c r="PIB5" s="354"/>
      <c r="PIC5" s="354"/>
      <c r="PID5" s="354"/>
      <c r="PIE5" s="354"/>
      <c r="PIF5" s="354"/>
      <c r="PIG5" s="354"/>
      <c r="PIH5" s="354"/>
      <c r="PII5" s="354"/>
      <c r="PIJ5" s="354"/>
      <c r="PIK5" s="354"/>
      <c r="PIL5" s="354"/>
      <c r="PIM5" s="354"/>
      <c r="PIN5" s="354"/>
      <c r="PIO5" s="354"/>
      <c r="PIP5" s="354"/>
      <c r="PIQ5" s="354"/>
      <c r="PIR5" s="354"/>
      <c r="PIS5" s="354"/>
      <c r="PIT5" s="354"/>
      <c r="PIU5" s="354"/>
      <c r="PIV5" s="354"/>
      <c r="PIW5" s="354"/>
      <c r="PIX5" s="354"/>
      <c r="PIY5" s="354"/>
      <c r="PIZ5" s="354"/>
      <c r="PJA5" s="354"/>
      <c r="PJB5" s="354"/>
      <c r="PJC5" s="354"/>
      <c r="PJD5" s="354"/>
      <c r="PJE5" s="354"/>
      <c r="PJF5" s="354"/>
      <c r="PJG5" s="354"/>
      <c r="PJH5" s="354"/>
      <c r="PJI5" s="354"/>
      <c r="PJJ5" s="354"/>
      <c r="PJK5" s="354"/>
      <c r="PJL5" s="354"/>
      <c r="PJM5" s="354"/>
      <c r="PJN5" s="354"/>
      <c r="PJO5" s="354"/>
      <c r="PJP5" s="354"/>
      <c r="PJQ5" s="354"/>
      <c r="PJR5" s="354"/>
      <c r="PJS5" s="354"/>
      <c r="PJT5" s="354"/>
      <c r="PJU5" s="354"/>
      <c r="PJV5" s="354"/>
      <c r="PJW5" s="354"/>
      <c r="PJX5" s="354"/>
      <c r="PJY5" s="354"/>
      <c r="PJZ5" s="354"/>
      <c r="PKA5" s="354"/>
      <c r="PKB5" s="354"/>
      <c r="PKC5" s="354"/>
      <c r="PKD5" s="354"/>
      <c r="PKE5" s="354"/>
      <c r="PKF5" s="354"/>
      <c r="PKG5" s="354"/>
      <c r="PKH5" s="354"/>
      <c r="PKI5" s="354"/>
      <c r="PKJ5" s="354"/>
      <c r="PKK5" s="354"/>
      <c r="PKL5" s="354"/>
      <c r="PKM5" s="354"/>
      <c r="PKN5" s="354"/>
      <c r="PKO5" s="354"/>
      <c r="PKP5" s="354"/>
      <c r="PKQ5" s="354"/>
      <c r="PKR5" s="354"/>
      <c r="PKS5" s="354"/>
      <c r="PKT5" s="354"/>
      <c r="PKU5" s="354"/>
      <c r="PKV5" s="354"/>
      <c r="PKW5" s="354"/>
      <c r="PKX5" s="354"/>
      <c r="PKY5" s="354"/>
      <c r="PKZ5" s="354"/>
      <c r="PLA5" s="354"/>
      <c r="PLB5" s="354"/>
      <c r="PLC5" s="354"/>
      <c r="PLD5" s="354"/>
      <c r="PLE5" s="354"/>
      <c r="PLF5" s="354"/>
      <c r="PLG5" s="354"/>
      <c r="PLH5" s="354"/>
      <c r="PLI5" s="354"/>
      <c r="PLJ5" s="354"/>
      <c r="PLK5" s="354"/>
      <c r="PLL5" s="354"/>
      <c r="PLM5" s="354"/>
      <c r="PLN5" s="354"/>
      <c r="PLO5" s="354"/>
      <c r="PLP5" s="354"/>
      <c r="PLQ5" s="354"/>
      <c r="PLR5" s="354"/>
      <c r="PLS5" s="354"/>
      <c r="PLT5" s="354"/>
      <c r="PLU5" s="354"/>
      <c r="PLV5" s="354"/>
      <c r="PLW5" s="354"/>
      <c r="PLX5" s="354"/>
      <c r="PLY5" s="354"/>
      <c r="PLZ5" s="354"/>
      <c r="PMA5" s="354"/>
      <c r="PMB5" s="354"/>
      <c r="PMC5" s="354"/>
      <c r="PMD5" s="354"/>
      <c r="PME5" s="354"/>
      <c r="PMF5" s="354"/>
      <c r="PMG5" s="354"/>
      <c r="PMH5" s="354"/>
      <c r="PMI5" s="354"/>
      <c r="PMJ5" s="354"/>
      <c r="PMK5" s="354"/>
      <c r="PML5" s="354"/>
      <c r="PMM5" s="354"/>
      <c r="PMN5" s="354"/>
      <c r="PMO5" s="354"/>
      <c r="PMP5" s="354"/>
      <c r="PMQ5" s="354"/>
      <c r="PMR5" s="354"/>
      <c r="PMS5" s="354"/>
      <c r="PMT5" s="354"/>
      <c r="PMU5" s="354"/>
      <c r="PMV5" s="354"/>
      <c r="PMW5" s="354"/>
      <c r="PMX5" s="354"/>
      <c r="PMY5" s="354"/>
      <c r="PMZ5" s="354"/>
      <c r="PNA5" s="354"/>
      <c r="PNB5" s="354"/>
      <c r="PNC5" s="354"/>
      <c r="PND5" s="354"/>
      <c r="PNE5" s="354"/>
      <c r="PNF5" s="354"/>
      <c r="PNG5" s="354"/>
      <c r="PNH5" s="354"/>
      <c r="PNI5" s="354"/>
      <c r="PNJ5" s="354"/>
      <c r="PNK5" s="354"/>
      <c r="PNL5" s="354"/>
      <c r="PNM5" s="354"/>
      <c r="PNN5" s="354"/>
      <c r="PNO5" s="354"/>
      <c r="PNP5" s="354"/>
      <c r="PNQ5" s="354"/>
      <c r="PNR5" s="354"/>
      <c r="PNS5" s="354"/>
      <c r="PNT5" s="354"/>
      <c r="PNU5" s="354"/>
      <c r="PNV5" s="354"/>
      <c r="PNW5" s="354"/>
      <c r="PNX5" s="354"/>
      <c r="PNY5" s="354"/>
      <c r="PNZ5" s="354"/>
      <c r="POA5" s="354"/>
      <c r="POB5" s="354"/>
      <c r="POC5" s="354"/>
      <c r="POD5" s="354"/>
      <c r="POE5" s="354"/>
      <c r="POF5" s="354"/>
      <c r="POG5" s="354"/>
      <c r="POH5" s="354"/>
      <c r="POI5" s="354"/>
      <c r="POJ5" s="354"/>
      <c r="POK5" s="354"/>
      <c r="POL5" s="354"/>
      <c r="POM5" s="354"/>
      <c r="PON5" s="354"/>
      <c r="POO5" s="354"/>
      <c r="POP5" s="354"/>
      <c r="POQ5" s="354"/>
      <c r="POR5" s="354"/>
      <c r="POS5" s="354"/>
      <c r="POT5" s="354"/>
      <c r="POU5" s="354"/>
      <c r="POV5" s="354"/>
      <c r="POW5" s="354"/>
      <c r="POX5" s="354"/>
      <c r="POY5" s="354"/>
      <c r="POZ5" s="354"/>
      <c r="PPA5" s="354"/>
      <c r="PPB5" s="354"/>
      <c r="PPC5" s="354"/>
      <c r="PPD5" s="354"/>
      <c r="PPE5" s="354"/>
      <c r="PPF5" s="354"/>
      <c r="PPG5" s="354"/>
      <c r="PPH5" s="354"/>
      <c r="PPI5" s="354"/>
      <c r="PPJ5" s="354"/>
      <c r="PPK5" s="354"/>
      <c r="PPL5" s="354"/>
      <c r="PPM5" s="354"/>
      <c r="PPN5" s="354"/>
      <c r="PPO5" s="354"/>
      <c r="PPP5" s="354"/>
      <c r="PPQ5" s="354"/>
      <c r="PPR5" s="354"/>
      <c r="PPS5" s="354"/>
      <c r="PPT5" s="354"/>
      <c r="PPU5" s="354"/>
      <c r="PPV5" s="354"/>
      <c r="PPW5" s="354"/>
      <c r="PPX5" s="354"/>
      <c r="PPY5" s="354"/>
      <c r="PPZ5" s="354"/>
      <c r="PQA5" s="354"/>
      <c r="PQB5" s="354"/>
      <c r="PQC5" s="354"/>
      <c r="PQD5" s="354"/>
      <c r="PQE5" s="354"/>
      <c r="PQF5" s="354"/>
      <c r="PQG5" s="354"/>
      <c r="PQH5" s="354"/>
      <c r="PQI5" s="354"/>
      <c r="PQJ5" s="354"/>
      <c r="PQK5" s="354"/>
      <c r="PQL5" s="354"/>
      <c r="PQM5" s="354"/>
      <c r="PQN5" s="354"/>
      <c r="PQO5" s="354"/>
      <c r="PQP5" s="354"/>
      <c r="PQQ5" s="354"/>
      <c r="PQR5" s="354"/>
      <c r="PQS5" s="354"/>
      <c r="PQT5" s="354"/>
      <c r="PQU5" s="354"/>
      <c r="PQV5" s="354"/>
      <c r="PQW5" s="354"/>
      <c r="PQX5" s="354"/>
      <c r="PQY5" s="354"/>
      <c r="PQZ5" s="354"/>
      <c r="PRA5" s="354"/>
      <c r="PRB5" s="354"/>
      <c r="PRC5" s="354"/>
      <c r="PRD5" s="354"/>
      <c r="PRE5" s="354"/>
      <c r="PRF5" s="354"/>
      <c r="PRG5" s="354"/>
      <c r="PRH5" s="354"/>
      <c r="PRI5" s="354"/>
      <c r="PRJ5" s="354"/>
      <c r="PRK5" s="354"/>
      <c r="PRL5" s="354"/>
      <c r="PRM5" s="354"/>
      <c r="PRN5" s="354"/>
      <c r="PRO5" s="354"/>
      <c r="PRP5" s="354"/>
      <c r="PRQ5" s="354"/>
      <c r="PRR5" s="354"/>
      <c r="PRS5" s="354"/>
      <c r="PRT5" s="354"/>
      <c r="PRU5" s="354"/>
      <c r="PRV5" s="354"/>
      <c r="PRW5" s="354"/>
      <c r="PRX5" s="354"/>
      <c r="PRY5" s="354"/>
      <c r="PRZ5" s="354"/>
      <c r="PSA5" s="354"/>
      <c r="PSB5" s="354"/>
      <c r="PSC5" s="354"/>
      <c r="PSD5" s="354"/>
      <c r="PSE5" s="354"/>
      <c r="PSF5" s="354"/>
      <c r="PSG5" s="354"/>
      <c r="PSH5" s="354"/>
      <c r="PSI5" s="354"/>
      <c r="PSJ5" s="354"/>
      <c r="PSK5" s="354"/>
      <c r="PSL5" s="354"/>
      <c r="PSM5" s="354"/>
      <c r="PSN5" s="354"/>
      <c r="PSO5" s="354"/>
      <c r="PSP5" s="354"/>
      <c r="PSQ5" s="354"/>
      <c r="PSR5" s="354"/>
      <c r="PSS5" s="354"/>
      <c r="PST5" s="354"/>
      <c r="PSU5" s="354"/>
      <c r="PSV5" s="354"/>
      <c r="PSW5" s="354"/>
      <c r="PSX5" s="354"/>
      <c r="PSY5" s="354"/>
      <c r="PSZ5" s="354"/>
      <c r="PTA5" s="354"/>
      <c r="PTB5" s="354"/>
      <c r="PTC5" s="354"/>
      <c r="PTD5" s="354"/>
      <c r="PTE5" s="354"/>
      <c r="PTF5" s="354"/>
      <c r="PTG5" s="354"/>
      <c r="PTH5" s="354"/>
      <c r="PTI5" s="354"/>
      <c r="PTJ5" s="354"/>
      <c r="PTK5" s="354"/>
      <c r="PTL5" s="354"/>
      <c r="PTM5" s="354"/>
      <c r="PTN5" s="354"/>
      <c r="PTO5" s="354"/>
      <c r="PTP5" s="354"/>
      <c r="PTQ5" s="354"/>
      <c r="PTR5" s="354"/>
      <c r="PTS5" s="354"/>
      <c r="PTT5" s="354"/>
      <c r="PTU5" s="354"/>
      <c r="PTV5" s="354"/>
      <c r="PTW5" s="354"/>
      <c r="PTX5" s="354"/>
      <c r="PTY5" s="354"/>
      <c r="PTZ5" s="354"/>
      <c r="PUA5" s="354"/>
      <c r="PUB5" s="354"/>
      <c r="PUC5" s="354"/>
      <c r="PUD5" s="354"/>
      <c r="PUE5" s="354"/>
      <c r="PUF5" s="354"/>
      <c r="PUG5" s="354"/>
      <c r="PUH5" s="354"/>
      <c r="PUI5" s="354"/>
      <c r="PUJ5" s="354"/>
      <c r="PUK5" s="354"/>
      <c r="PUL5" s="354"/>
      <c r="PUM5" s="354"/>
      <c r="PUN5" s="354"/>
      <c r="PUO5" s="354"/>
      <c r="PUP5" s="354"/>
      <c r="PUQ5" s="354"/>
      <c r="PUR5" s="354"/>
      <c r="PUS5" s="354"/>
      <c r="PUT5" s="354"/>
      <c r="PUU5" s="354"/>
      <c r="PUV5" s="354"/>
      <c r="PUW5" s="354"/>
      <c r="PUX5" s="354"/>
      <c r="PUY5" s="354"/>
      <c r="PUZ5" s="354"/>
      <c r="PVA5" s="354"/>
      <c r="PVB5" s="354"/>
      <c r="PVC5" s="354"/>
      <c r="PVD5" s="354"/>
      <c r="PVE5" s="354"/>
      <c r="PVF5" s="354"/>
      <c r="PVG5" s="354"/>
      <c r="PVH5" s="354"/>
      <c r="PVI5" s="354"/>
      <c r="PVJ5" s="354"/>
      <c r="PVK5" s="354"/>
      <c r="PVL5" s="354"/>
      <c r="PVM5" s="354"/>
      <c r="PVN5" s="354"/>
      <c r="PVO5" s="354"/>
      <c r="PVP5" s="354"/>
      <c r="PVQ5" s="354"/>
      <c r="PVR5" s="354"/>
      <c r="PVS5" s="354"/>
      <c r="PVT5" s="354"/>
      <c r="PVU5" s="354"/>
      <c r="PVV5" s="354"/>
      <c r="PVW5" s="354"/>
      <c r="PVX5" s="354"/>
      <c r="PVY5" s="354"/>
      <c r="PVZ5" s="354"/>
      <c r="PWA5" s="354"/>
      <c r="PWB5" s="354"/>
      <c r="PWC5" s="354"/>
      <c r="PWD5" s="354"/>
      <c r="PWE5" s="354"/>
      <c r="PWF5" s="354"/>
      <c r="PWG5" s="354"/>
      <c r="PWH5" s="354"/>
      <c r="PWI5" s="354"/>
      <c r="PWJ5" s="354"/>
      <c r="PWK5" s="354"/>
      <c r="PWL5" s="354"/>
      <c r="PWM5" s="354"/>
      <c r="PWN5" s="354"/>
      <c r="PWO5" s="354"/>
      <c r="PWP5" s="354"/>
      <c r="PWQ5" s="354"/>
      <c r="PWR5" s="354"/>
      <c r="PWS5" s="354"/>
      <c r="PWT5" s="354"/>
      <c r="PWU5" s="354"/>
      <c r="PWV5" s="354"/>
      <c r="PWW5" s="354"/>
      <c r="PWX5" s="354"/>
      <c r="PWY5" s="354"/>
      <c r="PWZ5" s="354"/>
      <c r="PXA5" s="354"/>
      <c r="PXB5" s="354"/>
      <c r="PXC5" s="354"/>
      <c r="PXD5" s="354"/>
      <c r="PXE5" s="354"/>
      <c r="PXF5" s="354"/>
      <c r="PXG5" s="354"/>
      <c r="PXH5" s="354"/>
      <c r="PXI5" s="354"/>
      <c r="PXJ5" s="354"/>
      <c r="PXK5" s="354"/>
      <c r="PXL5" s="354"/>
      <c r="PXM5" s="354"/>
      <c r="PXN5" s="354"/>
      <c r="PXO5" s="354"/>
      <c r="PXP5" s="354"/>
      <c r="PXQ5" s="354"/>
      <c r="PXR5" s="354"/>
      <c r="PXS5" s="354"/>
      <c r="PXT5" s="354"/>
      <c r="PXU5" s="354"/>
      <c r="PXV5" s="354"/>
      <c r="PXW5" s="354"/>
      <c r="PXX5" s="354"/>
      <c r="PXY5" s="354"/>
      <c r="PXZ5" s="354"/>
      <c r="PYA5" s="354"/>
      <c r="PYB5" s="354"/>
      <c r="PYC5" s="354"/>
      <c r="PYD5" s="354"/>
      <c r="PYE5" s="354"/>
      <c r="PYF5" s="354"/>
      <c r="PYG5" s="354"/>
      <c r="PYH5" s="354"/>
      <c r="PYI5" s="354"/>
      <c r="PYJ5" s="354"/>
      <c r="PYK5" s="354"/>
      <c r="PYL5" s="354"/>
      <c r="PYM5" s="354"/>
      <c r="PYN5" s="354"/>
      <c r="PYO5" s="354"/>
      <c r="PYP5" s="354"/>
      <c r="PYQ5" s="354"/>
      <c r="PYR5" s="354"/>
      <c r="PYS5" s="354"/>
      <c r="PYT5" s="354"/>
      <c r="PYU5" s="354"/>
      <c r="PYV5" s="354"/>
      <c r="PYW5" s="354"/>
      <c r="PYX5" s="354"/>
      <c r="PYY5" s="354"/>
      <c r="PYZ5" s="354"/>
      <c r="PZA5" s="354"/>
      <c r="PZB5" s="354"/>
      <c r="PZC5" s="354"/>
      <c r="PZD5" s="354"/>
      <c r="PZE5" s="354"/>
      <c r="PZF5" s="354"/>
      <c r="PZG5" s="354"/>
      <c r="PZH5" s="354"/>
      <c r="PZI5" s="354"/>
      <c r="PZJ5" s="354"/>
      <c r="PZK5" s="354"/>
      <c r="PZL5" s="354"/>
      <c r="PZM5" s="354"/>
      <c r="PZN5" s="354"/>
      <c r="PZO5" s="354"/>
      <c r="PZP5" s="354"/>
      <c r="PZQ5" s="354"/>
      <c r="PZR5" s="354"/>
      <c r="PZS5" s="354"/>
      <c r="PZT5" s="354"/>
      <c r="PZU5" s="354"/>
      <c r="PZV5" s="354"/>
      <c r="PZW5" s="354"/>
      <c r="PZX5" s="354"/>
      <c r="PZY5" s="354"/>
      <c r="PZZ5" s="354"/>
      <c r="QAA5" s="354"/>
      <c r="QAB5" s="354"/>
      <c r="QAC5" s="354"/>
      <c r="QAD5" s="354"/>
      <c r="QAE5" s="354"/>
      <c r="QAF5" s="354"/>
      <c r="QAG5" s="354"/>
      <c r="QAH5" s="354"/>
      <c r="QAI5" s="354"/>
      <c r="QAJ5" s="354"/>
      <c r="QAK5" s="354"/>
      <c r="QAL5" s="354"/>
      <c r="QAM5" s="354"/>
      <c r="QAN5" s="354"/>
      <c r="QAO5" s="354"/>
      <c r="QAP5" s="354"/>
      <c r="QAQ5" s="354"/>
      <c r="QAR5" s="354"/>
      <c r="QAS5" s="354"/>
      <c r="QAT5" s="354"/>
      <c r="QAU5" s="354"/>
      <c r="QAV5" s="354"/>
      <c r="QAW5" s="354"/>
      <c r="QAX5" s="354"/>
      <c r="QAY5" s="354"/>
      <c r="QAZ5" s="354"/>
      <c r="QBA5" s="354"/>
      <c r="QBB5" s="354"/>
      <c r="QBC5" s="354"/>
      <c r="QBD5" s="354"/>
      <c r="QBE5" s="354"/>
      <c r="QBF5" s="354"/>
      <c r="QBG5" s="354"/>
      <c r="QBH5" s="354"/>
      <c r="QBI5" s="354"/>
      <c r="QBJ5" s="354"/>
      <c r="QBK5" s="354"/>
      <c r="QBL5" s="354"/>
      <c r="QBM5" s="354"/>
      <c r="QBN5" s="354"/>
      <c r="QBO5" s="354"/>
      <c r="QBP5" s="354"/>
      <c r="QBQ5" s="354"/>
      <c r="QBR5" s="354"/>
      <c r="QBS5" s="354"/>
      <c r="QBT5" s="354"/>
      <c r="QBU5" s="354"/>
      <c r="QBV5" s="354"/>
      <c r="QBW5" s="354"/>
      <c r="QBX5" s="354"/>
      <c r="QBY5" s="354"/>
      <c r="QBZ5" s="354"/>
      <c r="QCA5" s="354"/>
      <c r="QCB5" s="354"/>
      <c r="QCC5" s="354"/>
      <c r="QCD5" s="354"/>
      <c r="QCE5" s="354"/>
      <c r="QCF5" s="354"/>
      <c r="QCG5" s="354"/>
      <c r="QCH5" s="354"/>
      <c r="QCI5" s="354"/>
      <c r="QCJ5" s="354"/>
      <c r="QCK5" s="354"/>
      <c r="QCL5" s="354"/>
      <c r="QCM5" s="354"/>
      <c r="QCN5" s="354"/>
      <c r="QCO5" s="354"/>
      <c r="QCP5" s="354"/>
      <c r="QCQ5" s="354"/>
      <c r="QCR5" s="354"/>
      <c r="QCS5" s="354"/>
      <c r="QCT5" s="354"/>
      <c r="QCU5" s="354"/>
      <c r="QCV5" s="354"/>
      <c r="QCW5" s="354"/>
      <c r="QCX5" s="354"/>
      <c r="QCY5" s="354"/>
      <c r="QCZ5" s="354"/>
      <c r="QDA5" s="354"/>
      <c r="QDB5" s="354"/>
      <c r="QDC5" s="354"/>
      <c r="QDD5" s="354"/>
      <c r="QDE5" s="354"/>
      <c r="QDF5" s="354"/>
      <c r="QDG5" s="354"/>
      <c r="QDH5" s="354"/>
      <c r="QDI5" s="354"/>
      <c r="QDJ5" s="354"/>
      <c r="QDK5" s="354"/>
      <c r="QDL5" s="354"/>
      <c r="QDM5" s="354"/>
      <c r="QDN5" s="354"/>
      <c r="QDO5" s="354"/>
      <c r="QDP5" s="354"/>
      <c r="QDQ5" s="354"/>
      <c r="QDR5" s="354"/>
      <c r="QDS5" s="354"/>
      <c r="QDT5" s="354"/>
      <c r="QDU5" s="354"/>
      <c r="QDV5" s="354"/>
      <c r="QDW5" s="354"/>
      <c r="QDX5" s="354"/>
      <c r="QDY5" s="354"/>
      <c r="QDZ5" s="354"/>
      <c r="QEA5" s="354"/>
      <c r="QEB5" s="354"/>
      <c r="QEC5" s="354"/>
      <c r="QED5" s="354"/>
      <c r="QEE5" s="354"/>
      <c r="QEF5" s="354"/>
      <c r="QEG5" s="354"/>
      <c r="QEH5" s="354"/>
      <c r="QEI5" s="354"/>
      <c r="QEJ5" s="354"/>
      <c r="QEK5" s="354"/>
      <c r="QEL5" s="354"/>
      <c r="QEM5" s="354"/>
      <c r="QEN5" s="354"/>
      <c r="QEO5" s="354"/>
      <c r="QEP5" s="354"/>
      <c r="QEQ5" s="354"/>
      <c r="QER5" s="354"/>
      <c r="QES5" s="354"/>
      <c r="QET5" s="354"/>
      <c r="QEU5" s="354"/>
      <c r="QEV5" s="354"/>
      <c r="QEW5" s="354"/>
      <c r="QEX5" s="354"/>
      <c r="QEY5" s="354"/>
      <c r="QEZ5" s="354"/>
      <c r="QFA5" s="354"/>
      <c r="QFB5" s="354"/>
      <c r="QFC5" s="354"/>
      <c r="QFD5" s="354"/>
      <c r="QFE5" s="354"/>
      <c r="QFF5" s="354"/>
      <c r="QFG5" s="354"/>
      <c r="QFH5" s="354"/>
      <c r="QFI5" s="354"/>
      <c r="QFJ5" s="354"/>
      <c r="QFK5" s="354"/>
      <c r="QFL5" s="354"/>
      <c r="QFM5" s="354"/>
      <c r="QFN5" s="354"/>
      <c r="QFO5" s="354"/>
      <c r="QFP5" s="354"/>
      <c r="QFQ5" s="354"/>
      <c r="QFR5" s="354"/>
      <c r="QFS5" s="354"/>
      <c r="QFT5" s="354"/>
      <c r="QFU5" s="354"/>
      <c r="QFV5" s="354"/>
      <c r="QFW5" s="354"/>
      <c r="QFX5" s="354"/>
      <c r="QFY5" s="354"/>
      <c r="QFZ5" s="354"/>
      <c r="QGA5" s="354"/>
      <c r="QGB5" s="354"/>
      <c r="QGC5" s="354"/>
      <c r="QGD5" s="354"/>
      <c r="QGE5" s="354"/>
      <c r="QGF5" s="354"/>
      <c r="QGG5" s="354"/>
      <c r="QGH5" s="354"/>
      <c r="QGI5" s="354"/>
      <c r="QGJ5" s="354"/>
      <c r="QGK5" s="354"/>
      <c r="QGL5" s="354"/>
      <c r="QGM5" s="354"/>
      <c r="QGN5" s="354"/>
      <c r="QGO5" s="354"/>
      <c r="QGP5" s="354"/>
      <c r="QGQ5" s="354"/>
      <c r="QGR5" s="354"/>
      <c r="QGS5" s="354"/>
      <c r="QGT5" s="354"/>
      <c r="QGU5" s="354"/>
      <c r="QGV5" s="354"/>
      <c r="QGW5" s="354"/>
      <c r="QGX5" s="354"/>
      <c r="QGY5" s="354"/>
      <c r="QGZ5" s="354"/>
      <c r="QHA5" s="354"/>
      <c r="QHB5" s="354"/>
      <c r="QHC5" s="354"/>
      <c r="QHD5" s="354"/>
      <c r="QHE5" s="354"/>
      <c r="QHF5" s="354"/>
      <c r="QHG5" s="354"/>
      <c r="QHH5" s="354"/>
      <c r="QHI5" s="354"/>
      <c r="QHJ5" s="354"/>
      <c r="QHK5" s="354"/>
      <c r="QHL5" s="354"/>
      <c r="QHM5" s="354"/>
      <c r="QHN5" s="354"/>
      <c r="QHO5" s="354"/>
      <c r="QHP5" s="354"/>
      <c r="QHQ5" s="354"/>
      <c r="QHR5" s="354"/>
      <c r="QHS5" s="354"/>
      <c r="QHT5" s="354"/>
      <c r="QHU5" s="354"/>
      <c r="QHV5" s="354"/>
      <c r="QHW5" s="354"/>
      <c r="QHX5" s="354"/>
      <c r="QHY5" s="354"/>
      <c r="QHZ5" s="354"/>
      <c r="QIA5" s="354"/>
      <c r="QIB5" s="354"/>
      <c r="QIC5" s="354"/>
      <c r="QID5" s="354"/>
      <c r="QIE5" s="354"/>
      <c r="QIF5" s="354"/>
      <c r="QIG5" s="354"/>
      <c r="QIH5" s="354"/>
      <c r="QII5" s="354"/>
      <c r="QIJ5" s="354"/>
      <c r="QIK5" s="354"/>
      <c r="QIL5" s="354"/>
      <c r="QIM5" s="354"/>
      <c r="QIN5" s="354"/>
      <c r="QIO5" s="354"/>
      <c r="QIP5" s="354"/>
      <c r="QIQ5" s="354"/>
      <c r="QIR5" s="354"/>
      <c r="QIS5" s="354"/>
      <c r="QIT5" s="354"/>
      <c r="QIU5" s="354"/>
      <c r="QIV5" s="354"/>
      <c r="QIW5" s="354"/>
      <c r="QIX5" s="354"/>
      <c r="QIY5" s="354"/>
      <c r="QIZ5" s="354"/>
      <c r="QJA5" s="354"/>
      <c r="QJB5" s="354"/>
      <c r="QJC5" s="354"/>
      <c r="QJD5" s="354"/>
      <c r="QJE5" s="354"/>
      <c r="QJF5" s="354"/>
      <c r="QJG5" s="354"/>
      <c r="QJH5" s="354"/>
      <c r="QJI5" s="354"/>
      <c r="QJJ5" s="354"/>
      <c r="QJK5" s="354"/>
      <c r="QJL5" s="354"/>
      <c r="QJM5" s="354"/>
      <c r="QJN5" s="354"/>
      <c r="QJO5" s="354"/>
      <c r="QJP5" s="354"/>
      <c r="QJQ5" s="354"/>
      <c r="QJR5" s="354"/>
      <c r="QJS5" s="354"/>
      <c r="QJT5" s="354"/>
      <c r="QJU5" s="354"/>
      <c r="QJV5" s="354"/>
      <c r="QJW5" s="354"/>
      <c r="QJX5" s="354"/>
      <c r="QJY5" s="354"/>
      <c r="QJZ5" s="354"/>
      <c r="QKA5" s="354"/>
      <c r="QKB5" s="354"/>
      <c r="QKC5" s="354"/>
      <c r="QKD5" s="354"/>
      <c r="QKE5" s="354"/>
      <c r="QKF5" s="354"/>
      <c r="QKG5" s="354"/>
      <c r="QKH5" s="354"/>
      <c r="QKI5" s="354"/>
      <c r="QKJ5" s="354"/>
      <c r="QKK5" s="354"/>
      <c r="QKL5" s="354"/>
      <c r="QKM5" s="354"/>
      <c r="QKN5" s="354"/>
      <c r="QKO5" s="354"/>
      <c r="QKP5" s="354"/>
      <c r="QKQ5" s="354"/>
      <c r="QKR5" s="354"/>
      <c r="QKS5" s="354"/>
      <c r="QKT5" s="354"/>
      <c r="QKU5" s="354"/>
      <c r="QKV5" s="354"/>
      <c r="QKW5" s="354"/>
      <c r="QKX5" s="354"/>
      <c r="QKY5" s="354"/>
      <c r="QKZ5" s="354"/>
      <c r="QLA5" s="354"/>
      <c r="QLB5" s="354"/>
      <c r="QLC5" s="354"/>
      <c r="QLD5" s="354"/>
      <c r="QLE5" s="354"/>
      <c r="QLF5" s="354"/>
      <c r="QLG5" s="354"/>
      <c r="QLH5" s="354"/>
      <c r="QLI5" s="354"/>
      <c r="QLJ5" s="354"/>
      <c r="QLK5" s="354"/>
      <c r="QLL5" s="354"/>
      <c r="QLM5" s="354"/>
      <c r="QLN5" s="354"/>
      <c r="QLO5" s="354"/>
      <c r="QLP5" s="354"/>
      <c r="QLQ5" s="354"/>
      <c r="QLR5" s="354"/>
      <c r="QLS5" s="354"/>
      <c r="QLT5" s="354"/>
      <c r="QLU5" s="354"/>
      <c r="QLV5" s="354"/>
      <c r="QLW5" s="354"/>
      <c r="QLX5" s="354"/>
      <c r="QLY5" s="354"/>
      <c r="QLZ5" s="354"/>
      <c r="QMA5" s="354"/>
      <c r="QMB5" s="354"/>
      <c r="QMC5" s="354"/>
      <c r="QMD5" s="354"/>
      <c r="QME5" s="354"/>
      <c r="QMF5" s="354"/>
      <c r="QMG5" s="354"/>
      <c r="QMH5" s="354"/>
      <c r="QMI5" s="354"/>
      <c r="QMJ5" s="354"/>
      <c r="QMK5" s="354"/>
      <c r="QML5" s="354"/>
      <c r="QMM5" s="354"/>
      <c r="QMN5" s="354"/>
      <c r="QMO5" s="354"/>
      <c r="QMP5" s="354"/>
      <c r="QMQ5" s="354"/>
      <c r="QMR5" s="354"/>
      <c r="QMS5" s="354"/>
      <c r="QMT5" s="354"/>
      <c r="QMU5" s="354"/>
      <c r="QMV5" s="354"/>
      <c r="QMW5" s="354"/>
      <c r="QMX5" s="354"/>
      <c r="QMY5" s="354"/>
      <c r="QMZ5" s="354"/>
      <c r="QNA5" s="354"/>
      <c r="QNB5" s="354"/>
      <c r="QNC5" s="354"/>
      <c r="QND5" s="354"/>
      <c r="QNE5" s="354"/>
      <c r="QNF5" s="354"/>
      <c r="QNG5" s="354"/>
      <c r="QNH5" s="354"/>
      <c r="QNI5" s="354"/>
      <c r="QNJ5" s="354"/>
      <c r="QNK5" s="354"/>
      <c r="QNL5" s="354"/>
      <c r="QNM5" s="354"/>
      <c r="QNN5" s="354"/>
      <c r="QNO5" s="354"/>
      <c r="QNP5" s="354"/>
      <c r="QNQ5" s="354"/>
      <c r="QNR5" s="354"/>
      <c r="QNS5" s="354"/>
      <c r="QNT5" s="354"/>
      <c r="QNU5" s="354"/>
      <c r="QNV5" s="354"/>
      <c r="QNW5" s="354"/>
      <c r="QNX5" s="354"/>
      <c r="QNY5" s="354"/>
      <c r="QNZ5" s="354"/>
      <c r="QOA5" s="354"/>
      <c r="QOB5" s="354"/>
      <c r="QOC5" s="354"/>
      <c r="QOD5" s="354"/>
      <c r="QOE5" s="354"/>
      <c r="QOF5" s="354"/>
      <c r="QOG5" s="354"/>
      <c r="QOH5" s="354"/>
      <c r="QOI5" s="354"/>
      <c r="QOJ5" s="354"/>
      <c r="QOK5" s="354"/>
      <c r="QOL5" s="354"/>
      <c r="QOM5" s="354"/>
      <c r="QON5" s="354"/>
      <c r="QOO5" s="354"/>
      <c r="QOP5" s="354"/>
      <c r="QOQ5" s="354"/>
      <c r="QOR5" s="354"/>
      <c r="QOS5" s="354"/>
      <c r="QOT5" s="354"/>
      <c r="QOU5" s="354"/>
      <c r="QOV5" s="354"/>
      <c r="QOW5" s="354"/>
      <c r="QOX5" s="354"/>
      <c r="QOY5" s="354"/>
      <c r="QOZ5" s="354"/>
      <c r="QPA5" s="354"/>
      <c r="QPB5" s="354"/>
      <c r="QPC5" s="354"/>
      <c r="QPD5" s="354"/>
      <c r="QPE5" s="354"/>
      <c r="QPF5" s="354"/>
      <c r="QPG5" s="354"/>
      <c r="QPH5" s="354"/>
      <c r="QPI5" s="354"/>
      <c r="QPJ5" s="354"/>
      <c r="QPK5" s="354"/>
      <c r="QPL5" s="354"/>
      <c r="QPM5" s="354"/>
      <c r="QPN5" s="354"/>
      <c r="QPO5" s="354"/>
      <c r="QPP5" s="354"/>
      <c r="QPQ5" s="354"/>
      <c r="QPR5" s="354"/>
      <c r="QPS5" s="354"/>
      <c r="QPT5" s="354"/>
      <c r="QPU5" s="354"/>
      <c r="QPV5" s="354"/>
      <c r="QPW5" s="354"/>
      <c r="QPX5" s="354"/>
      <c r="QPY5" s="354"/>
      <c r="QPZ5" s="354"/>
      <c r="QQA5" s="354"/>
      <c r="QQB5" s="354"/>
      <c r="QQC5" s="354"/>
      <c r="QQD5" s="354"/>
      <c r="QQE5" s="354"/>
      <c r="QQF5" s="354"/>
      <c r="QQG5" s="354"/>
      <c r="QQH5" s="354"/>
      <c r="QQI5" s="354"/>
      <c r="QQJ5" s="354"/>
      <c r="QQK5" s="354"/>
      <c r="QQL5" s="354"/>
      <c r="QQM5" s="354"/>
      <c r="QQN5" s="354"/>
      <c r="QQO5" s="354"/>
      <c r="QQP5" s="354"/>
      <c r="QQQ5" s="354"/>
      <c r="QQR5" s="354"/>
      <c r="QQS5" s="354"/>
      <c r="QQT5" s="354"/>
      <c r="QQU5" s="354"/>
      <c r="QQV5" s="354"/>
      <c r="QQW5" s="354"/>
      <c r="QQX5" s="354"/>
      <c r="QQY5" s="354"/>
      <c r="QQZ5" s="354"/>
      <c r="QRA5" s="354"/>
      <c r="QRB5" s="354"/>
      <c r="QRC5" s="354"/>
      <c r="QRD5" s="354"/>
      <c r="QRE5" s="354"/>
      <c r="QRF5" s="354"/>
      <c r="QRG5" s="354"/>
      <c r="QRH5" s="354"/>
      <c r="QRI5" s="354"/>
      <c r="QRJ5" s="354"/>
      <c r="QRK5" s="354"/>
      <c r="QRL5" s="354"/>
      <c r="QRM5" s="354"/>
      <c r="QRN5" s="354"/>
      <c r="QRO5" s="354"/>
      <c r="QRP5" s="354"/>
      <c r="QRQ5" s="354"/>
      <c r="QRR5" s="354"/>
      <c r="QRS5" s="354"/>
      <c r="QRT5" s="354"/>
      <c r="QRU5" s="354"/>
      <c r="QRV5" s="354"/>
      <c r="QRW5" s="354"/>
      <c r="QRX5" s="354"/>
      <c r="QRY5" s="354"/>
      <c r="QRZ5" s="354"/>
      <c r="QSA5" s="354"/>
      <c r="QSB5" s="354"/>
      <c r="QSC5" s="354"/>
      <c r="QSD5" s="354"/>
      <c r="QSE5" s="354"/>
      <c r="QSF5" s="354"/>
      <c r="QSG5" s="354"/>
      <c r="QSH5" s="354"/>
      <c r="QSI5" s="354"/>
      <c r="QSJ5" s="354"/>
      <c r="QSK5" s="354"/>
      <c r="QSL5" s="354"/>
      <c r="QSM5" s="354"/>
      <c r="QSN5" s="354"/>
      <c r="QSO5" s="354"/>
      <c r="QSP5" s="354"/>
      <c r="QSQ5" s="354"/>
      <c r="QSR5" s="354"/>
      <c r="QSS5" s="354"/>
      <c r="QST5" s="354"/>
      <c r="QSU5" s="354"/>
      <c r="QSV5" s="354"/>
      <c r="QSW5" s="354"/>
      <c r="QSX5" s="354"/>
      <c r="QSY5" s="354"/>
      <c r="QSZ5" s="354"/>
      <c r="QTA5" s="354"/>
      <c r="QTB5" s="354"/>
      <c r="QTC5" s="354"/>
      <c r="QTD5" s="354"/>
      <c r="QTE5" s="354"/>
      <c r="QTF5" s="354"/>
      <c r="QTG5" s="354"/>
      <c r="QTH5" s="354"/>
      <c r="QTI5" s="354"/>
      <c r="QTJ5" s="354"/>
      <c r="QTK5" s="354"/>
      <c r="QTL5" s="354"/>
      <c r="QTM5" s="354"/>
      <c r="QTN5" s="354"/>
      <c r="QTO5" s="354"/>
      <c r="QTP5" s="354"/>
      <c r="QTQ5" s="354"/>
      <c r="QTR5" s="354"/>
      <c r="QTS5" s="354"/>
      <c r="QTT5" s="354"/>
      <c r="QTU5" s="354"/>
      <c r="QTV5" s="354"/>
      <c r="QTW5" s="354"/>
      <c r="QTX5" s="354"/>
      <c r="QTY5" s="354"/>
      <c r="QTZ5" s="354"/>
      <c r="QUA5" s="354"/>
      <c r="QUB5" s="354"/>
      <c r="QUC5" s="354"/>
      <c r="QUD5" s="354"/>
      <c r="QUE5" s="354"/>
      <c r="QUF5" s="354"/>
      <c r="QUG5" s="354"/>
      <c r="QUH5" s="354"/>
      <c r="QUI5" s="354"/>
      <c r="QUJ5" s="354"/>
      <c r="QUK5" s="354"/>
      <c r="QUL5" s="354"/>
      <c r="QUM5" s="354"/>
      <c r="QUN5" s="354"/>
      <c r="QUO5" s="354"/>
      <c r="QUP5" s="354"/>
      <c r="QUQ5" s="354"/>
      <c r="QUR5" s="354"/>
      <c r="QUS5" s="354"/>
      <c r="QUT5" s="354"/>
      <c r="QUU5" s="354"/>
      <c r="QUV5" s="354"/>
      <c r="QUW5" s="354"/>
      <c r="QUX5" s="354"/>
      <c r="QUY5" s="354"/>
      <c r="QUZ5" s="354"/>
      <c r="QVA5" s="354"/>
      <c r="QVB5" s="354"/>
      <c r="QVC5" s="354"/>
      <c r="QVD5" s="354"/>
      <c r="QVE5" s="354"/>
      <c r="QVF5" s="354"/>
      <c r="QVG5" s="354"/>
      <c r="QVH5" s="354"/>
      <c r="QVI5" s="354"/>
      <c r="QVJ5" s="354"/>
      <c r="QVK5" s="354"/>
      <c r="QVL5" s="354"/>
      <c r="QVM5" s="354"/>
      <c r="QVN5" s="354"/>
      <c r="QVO5" s="354"/>
      <c r="QVP5" s="354"/>
      <c r="QVQ5" s="354"/>
      <c r="QVR5" s="354"/>
      <c r="QVS5" s="354"/>
      <c r="QVT5" s="354"/>
      <c r="QVU5" s="354"/>
      <c r="QVV5" s="354"/>
      <c r="QVW5" s="354"/>
      <c r="QVX5" s="354"/>
      <c r="QVY5" s="354"/>
      <c r="QVZ5" s="354"/>
      <c r="QWA5" s="354"/>
      <c r="QWB5" s="354"/>
      <c r="QWC5" s="354"/>
      <c r="QWD5" s="354"/>
      <c r="QWE5" s="354"/>
      <c r="QWF5" s="354"/>
      <c r="QWG5" s="354"/>
      <c r="QWH5" s="354"/>
      <c r="QWI5" s="354"/>
      <c r="QWJ5" s="354"/>
      <c r="QWK5" s="354"/>
      <c r="QWL5" s="354"/>
      <c r="QWM5" s="354"/>
      <c r="QWN5" s="354"/>
      <c r="QWO5" s="354"/>
      <c r="QWP5" s="354"/>
      <c r="QWQ5" s="354"/>
      <c r="QWR5" s="354"/>
      <c r="QWS5" s="354"/>
      <c r="QWT5" s="354"/>
      <c r="QWU5" s="354"/>
      <c r="QWV5" s="354"/>
      <c r="QWW5" s="354"/>
      <c r="QWX5" s="354"/>
      <c r="QWY5" s="354"/>
      <c r="QWZ5" s="354"/>
      <c r="QXA5" s="354"/>
      <c r="QXB5" s="354"/>
      <c r="QXC5" s="354"/>
      <c r="QXD5" s="354"/>
      <c r="QXE5" s="354"/>
      <c r="QXF5" s="354"/>
      <c r="QXG5" s="354"/>
      <c r="QXH5" s="354"/>
      <c r="QXI5" s="354"/>
      <c r="QXJ5" s="354"/>
      <c r="QXK5" s="354"/>
      <c r="QXL5" s="354"/>
      <c r="QXM5" s="354"/>
      <c r="QXN5" s="354"/>
      <c r="QXO5" s="354"/>
      <c r="QXP5" s="354"/>
      <c r="QXQ5" s="354"/>
      <c r="QXR5" s="354"/>
      <c r="QXS5" s="354"/>
      <c r="QXT5" s="354"/>
      <c r="QXU5" s="354"/>
      <c r="QXV5" s="354"/>
      <c r="QXW5" s="354"/>
      <c r="QXX5" s="354"/>
      <c r="QXY5" s="354"/>
      <c r="QXZ5" s="354"/>
      <c r="QYA5" s="354"/>
      <c r="QYB5" s="354"/>
      <c r="QYC5" s="354"/>
      <c r="QYD5" s="354"/>
      <c r="QYE5" s="354"/>
      <c r="QYF5" s="354"/>
      <c r="QYG5" s="354"/>
      <c r="QYH5" s="354"/>
      <c r="QYI5" s="354"/>
      <c r="QYJ5" s="354"/>
      <c r="QYK5" s="354"/>
      <c r="QYL5" s="354"/>
      <c r="QYM5" s="354"/>
      <c r="QYN5" s="354"/>
      <c r="QYO5" s="354"/>
      <c r="QYP5" s="354"/>
      <c r="QYQ5" s="354"/>
      <c r="QYR5" s="354"/>
      <c r="QYS5" s="354"/>
      <c r="QYT5" s="354"/>
      <c r="QYU5" s="354"/>
      <c r="QYV5" s="354"/>
      <c r="QYW5" s="354"/>
      <c r="QYX5" s="354"/>
      <c r="QYY5" s="354"/>
      <c r="QYZ5" s="354"/>
      <c r="QZA5" s="354"/>
      <c r="QZB5" s="354"/>
      <c r="QZC5" s="354"/>
      <c r="QZD5" s="354"/>
      <c r="QZE5" s="354"/>
      <c r="QZF5" s="354"/>
      <c r="QZG5" s="354"/>
      <c r="QZH5" s="354"/>
      <c r="QZI5" s="354"/>
      <c r="QZJ5" s="354"/>
      <c r="QZK5" s="354"/>
      <c r="QZL5" s="354"/>
      <c r="QZM5" s="354"/>
      <c r="QZN5" s="354"/>
      <c r="QZO5" s="354"/>
      <c r="QZP5" s="354"/>
      <c r="QZQ5" s="354"/>
      <c r="QZR5" s="354"/>
      <c r="QZS5" s="354"/>
      <c r="QZT5" s="354"/>
      <c r="QZU5" s="354"/>
      <c r="QZV5" s="354"/>
      <c r="QZW5" s="354"/>
      <c r="QZX5" s="354"/>
      <c r="QZY5" s="354"/>
      <c r="QZZ5" s="354"/>
      <c r="RAA5" s="354"/>
      <c r="RAB5" s="354"/>
      <c r="RAC5" s="354"/>
      <c r="RAD5" s="354"/>
      <c r="RAE5" s="354"/>
      <c r="RAF5" s="354"/>
      <c r="RAG5" s="354"/>
      <c r="RAH5" s="354"/>
      <c r="RAI5" s="354"/>
      <c r="RAJ5" s="354"/>
      <c r="RAK5" s="354"/>
      <c r="RAL5" s="354"/>
      <c r="RAM5" s="354"/>
      <c r="RAN5" s="354"/>
      <c r="RAO5" s="354"/>
      <c r="RAP5" s="354"/>
      <c r="RAQ5" s="354"/>
      <c r="RAR5" s="354"/>
      <c r="RAS5" s="354"/>
      <c r="RAT5" s="354"/>
      <c r="RAU5" s="354"/>
      <c r="RAV5" s="354"/>
      <c r="RAW5" s="354"/>
      <c r="RAX5" s="354"/>
      <c r="RAY5" s="354"/>
      <c r="RAZ5" s="354"/>
      <c r="RBA5" s="354"/>
      <c r="RBB5" s="354"/>
      <c r="RBC5" s="354"/>
      <c r="RBD5" s="354"/>
      <c r="RBE5" s="354"/>
      <c r="RBF5" s="354"/>
      <c r="RBG5" s="354"/>
      <c r="RBH5" s="354"/>
      <c r="RBI5" s="354"/>
      <c r="RBJ5" s="354"/>
      <c r="RBK5" s="354"/>
      <c r="RBL5" s="354"/>
      <c r="RBM5" s="354"/>
      <c r="RBN5" s="354"/>
      <c r="RBO5" s="354"/>
      <c r="RBP5" s="354"/>
      <c r="RBQ5" s="354"/>
      <c r="RBR5" s="354"/>
      <c r="RBS5" s="354"/>
      <c r="RBT5" s="354"/>
      <c r="RBU5" s="354"/>
      <c r="RBV5" s="354"/>
      <c r="RBW5" s="354"/>
      <c r="RBX5" s="354"/>
      <c r="RBY5" s="354"/>
      <c r="RBZ5" s="354"/>
      <c r="RCA5" s="354"/>
      <c r="RCB5" s="354"/>
      <c r="RCC5" s="354"/>
      <c r="RCD5" s="354"/>
      <c r="RCE5" s="354"/>
      <c r="RCF5" s="354"/>
      <c r="RCG5" s="354"/>
      <c r="RCH5" s="354"/>
      <c r="RCI5" s="354"/>
      <c r="RCJ5" s="354"/>
      <c r="RCK5" s="354"/>
      <c r="RCL5" s="354"/>
      <c r="RCM5" s="354"/>
      <c r="RCN5" s="354"/>
      <c r="RCO5" s="354"/>
      <c r="RCP5" s="354"/>
      <c r="RCQ5" s="354"/>
      <c r="RCR5" s="354"/>
      <c r="RCS5" s="354"/>
      <c r="RCT5" s="354"/>
      <c r="RCU5" s="354"/>
      <c r="RCV5" s="354"/>
      <c r="RCW5" s="354"/>
      <c r="RCX5" s="354"/>
      <c r="RCY5" s="354"/>
      <c r="RCZ5" s="354"/>
      <c r="RDA5" s="354"/>
      <c r="RDB5" s="354"/>
      <c r="RDC5" s="354"/>
      <c r="RDD5" s="354"/>
      <c r="RDE5" s="354"/>
      <c r="RDF5" s="354"/>
      <c r="RDG5" s="354"/>
      <c r="RDH5" s="354"/>
      <c r="RDI5" s="354"/>
      <c r="RDJ5" s="354"/>
      <c r="RDK5" s="354"/>
      <c r="RDL5" s="354"/>
      <c r="RDM5" s="354"/>
      <c r="RDN5" s="354"/>
      <c r="RDO5" s="354"/>
      <c r="RDP5" s="354"/>
      <c r="RDQ5" s="354"/>
      <c r="RDR5" s="354"/>
      <c r="RDS5" s="354"/>
      <c r="RDT5" s="354"/>
      <c r="RDU5" s="354"/>
      <c r="RDV5" s="354"/>
      <c r="RDW5" s="354"/>
      <c r="RDX5" s="354"/>
      <c r="RDY5" s="354"/>
      <c r="RDZ5" s="354"/>
      <c r="REA5" s="354"/>
      <c r="REB5" s="354"/>
      <c r="REC5" s="354"/>
      <c r="RED5" s="354"/>
      <c r="REE5" s="354"/>
      <c r="REF5" s="354"/>
      <c r="REG5" s="354"/>
      <c r="REH5" s="354"/>
      <c r="REI5" s="354"/>
      <c r="REJ5" s="354"/>
      <c r="REK5" s="354"/>
      <c r="REL5" s="354"/>
      <c r="REM5" s="354"/>
      <c r="REN5" s="354"/>
      <c r="REO5" s="354"/>
      <c r="REP5" s="354"/>
      <c r="REQ5" s="354"/>
      <c r="RER5" s="354"/>
      <c r="RES5" s="354"/>
      <c r="RET5" s="354"/>
      <c r="REU5" s="354"/>
      <c r="REV5" s="354"/>
      <c r="REW5" s="354"/>
      <c r="REX5" s="354"/>
      <c r="REY5" s="354"/>
      <c r="REZ5" s="354"/>
      <c r="RFA5" s="354"/>
      <c r="RFB5" s="354"/>
      <c r="RFC5" s="354"/>
      <c r="RFD5" s="354"/>
      <c r="RFE5" s="354"/>
      <c r="RFF5" s="354"/>
      <c r="RFG5" s="354"/>
      <c r="RFH5" s="354"/>
      <c r="RFI5" s="354"/>
      <c r="RFJ5" s="354"/>
      <c r="RFK5" s="354"/>
      <c r="RFL5" s="354"/>
      <c r="RFM5" s="354"/>
      <c r="RFN5" s="354"/>
      <c r="RFO5" s="354"/>
      <c r="RFP5" s="354"/>
      <c r="RFQ5" s="354"/>
      <c r="RFR5" s="354"/>
      <c r="RFS5" s="354"/>
      <c r="RFT5" s="354"/>
      <c r="RFU5" s="354"/>
      <c r="RFV5" s="354"/>
      <c r="RFW5" s="354"/>
      <c r="RFX5" s="354"/>
      <c r="RFY5" s="354"/>
      <c r="RFZ5" s="354"/>
      <c r="RGA5" s="354"/>
      <c r="RGB5" s="354"/>
      <c r="RGC5" s="354"/>
      <c r="RGD5" s="354"/>
      <c r="RGE5" s="354"/>
      <c r="RGF5" s="354"/>
      <c r="RGG5" s="354"/>
      <c r="RGH5" s="354"/>
      <c r="RGI5" s="354"/>
      <c r="RGJ5" s="354"/>
      <c r="RGK5" s="354"/>
      <c r="RGL5" s="354"/>
      <c r="RGM5" s="354"/>
      <c r="RGN5" s="354"/>
      <c r="RGO5" s="354"/>
      <c r="RGP5" s="354"/>
      <c r="RGQ5" s="354"/>
      <c r="RGR5" s="354"/>
      <c r="RGS5" s="354"/>
      <c r="RGT5" s="354"/>
      <c r="RGU5" s="354"/>
      <c r="RGV5" s="354"/>
      <c r="RGW5" s="354"/>
      <c r="RGX5" s="354"/>
      <c r="RGY5" s="354"/>
      <c r="RGZ5" s="354"/>
      <c r="RHA5" s="354"/>
      <c r="RHB5" s="354"/>
      <c r="RHC5" s="354"/>
      <c r="RHD5" s="354"/>
      <c r="RHE5" s="354"/>
      <c r="RHF5" s="354"/>
      <c r="RHG5" s="354"/>
      <c r="RHH5" s="354"/>
      <c r="RHI5" s="354"/>
      <c r="RHJ5" s="354"/>
      <c r="RHK5" s="354"/>
      <c r="RHL5" s="354"/>
      <c r="RHM5" s="354"/>
      <c r="RHN5" s="354"/>
      <c r="RHO5" s="354"/>
      <c r="RHP5" s="354"/>
      <c r="RHQ5" s="354"/>
      <c r="RHR5" s="354"/>
      <c r="RHS5" s="354"/>
      <c r="RHT5" s="354"/>
      <c r="RHU5" s="354"/>
      <c r="RHV5" s="354"/>
      <c r="RHW5" s="354"/>
      <c r="RHX5" s="354"/>
      <c r="RHY5" s="354"/>
      <c r="RHZ5" s="354"/>
      <c r="RIA5" s="354"/>
      <c r="RIB5" s="354"/>
      <c r="RIC5" s="354"/>
      <c r="RID5" s="354"/>
      <c r="RIE5" s="354"/>
      <c r="RIF5" s="354"/>
      <c r="RIG5" s="354"/>
      <c r="RIH5" s="354"/>
      <c r="RII5" s="354"/>
      <c r="RIJ5" s="354"/>
      <c r="RIK5" s="354"/>
      <c r="RIL5" s="354"/>
      <c r="RIM5" s="354"/>
      <c r="RIN5" s="354"/>
      <c r="RIO5" s="354"/>
      <c r="RIP5" s="354"/>
      <c r="RIQ5" s="354"/>
      <c r="RIR5" s="354"/>
      <c r="RIS5" s="354"/>
      <c r="RIT5" s="354"/>
      <c r="RIU5" s="354"/>
      <c r="RIV5" s="354"/>
      <c r="RIW5" s="354"/>
      <c r="RIX5" s="354"/>
      <c r="RIY5" s="354"/>
      <c r="RIZ5" s="354"/>
      <c r="RJA5" s="354"/>
      <c r="RJB5" s="354"/>
      <c r="RJC5" s="354"/>
      <c r="RJD5" s="354"/>
      <c r="RJE5" s="354"/>
      <c r="RJF5" s="354"/>
      <c r="RJG5" s="354"/>
      <c r="RJH5" s="354"/>
      <c r="RJI5" s="354"/>
      <c r="RJJ5" s="354"/>
      <c r="RJK5" s="354"/>
      <c r="RJL5" s="354"/>
      <c r="RJM5" s="354"/>
      <c r="RJN5" s="354"/>
      <c r="RJO5" s="354"/>
      <c r="RJP5" s="354"/>
      <c r="RJQ5" s="354"/>
      <c r="RJR5" s="354"/>
      <c r="RJS5" s="354"/>
      <c r="RJT5" s="354"/>
      <c r="RJU5" s="354"/>
      <c r="RJV5" s="354"/>
      <c r="RJW5" s="354"/>
      <c r="RJX5" s="354"/>
      <c r="RJY5" s="354"/>
      <c r="RJZ5" s="354"/>
      <c r="RKA5" s="354"/>
      <c r="RKB5" s="354"/>
      <c r="RKC5" s="354"/>
      <c r="RKD5" s="354"/>
      <c r="RKE5" s="354"/>
      <c r="RKF5" s="354"/>
      <c r="RKG5" s="354"/>
      <c r="RKH5" s="354"/>
      <c r="RKI5" s="354"/>
      <c r="RKJ5" s="354"/>
      <c r="RKK5" s="354"/>
      <c r="RKL5" s="354"/>
      <c r="RKM5" s="354"/>
      <c r="RKN5" s="354"/>
      <c r="RKO5" s="354"/>
      <c r="RKP5" s="354"/>
      <c r="RKQ5" s="354"/>
      <c r="RKR5" s="354"/>
      <c r="RKS5" s="354"/>
      <c r="RKT5" s="354"/>
      <c r="RKU5" s="354"/>
      <c r="RKV5" s="354"/>
      <c r="RKW5" s="354"/>
      <c r="RKX5" s="354"/>
      <c r="RKY5" s="354"/>
      <c r="RKZ5" s="354"/>
      <c r="RLA5" s="354"/>
      <c r="RLB5" s="354"/>
      <c r="RLC5" s="354"/>
      <c r="RLD5" s="354"/>
      <c r="RLE5" s="354"/>
      <c r="RLF5" s="354"/>
      <c r="RLG5" s="354"/>
      <c r="RLH5" s="354"/>
      <c r="RLI5" s="354"/>
      <c r="RLJ5" s="354"/>
      <c r="RLK5" s="354"/>
      <c r="RLL5" s="354"/>
      <c r="RLM5" s="354"/>
      <c r="RLN5" s="354"/>
      <c r="RLO5" s="354"/>
      <c r="RLP5" s="354"/>
      <c r="RLQ5" s="354"/>
      <c r="RLR5" s="354"/>
      <c r="RLS5" s="354"/>
      <c r="RLT5" s="354"/>
      <c r="RLU5" s="354"/>
      <c r="RLV5" s="354"/>
      <c r="RLW5" s="354"/>
      <c r="RLX5" s="354"/>
      <c r="RLY5" s="354"/>
      <c r="RLZ5" s="354"/>
      <c r="RMA5" s="354"/>
      <c r="RMB5" s="354"/>
      <c r="RMC5" s="354"/>
      <c r="RMD5" s="354"/>
      <c r="RME5" s="354"/>
      <c r="RMF5" s="354"/>
      <c r="RMG5" s="354"/>
      <c r="RMH5" s="354"/>
      <c r="RMI5" s="354"/>
      <c r="RMJ5" s="354"/>
      <c r="RMK5" s="354"/>
      <c r="RML5" s="354"/>
      <c r="RMM5" s="354"/>
      <c r="RMN5" s="354"/>
      <c r="RMO5" s="354"/>
      <c r="RMP5" s="354"/>
      <c r="RMQ5" s="354"/>
      <c r="RMR5" s="354"/>
      <c r="RMS5" s="354"/>
      <c r="RMT5" s="354"/>
      <c r="RMU5" s="354"/>
      <c r="RMV5" s="354"/>
      <c r="RMW5" s="354"/>
      <c r="RMX5" s="354"/>
      <c r="RMY5" s="354"/>
      <c r="RMZ5" s="354"/>
      <c r="RNA5" s="354"/>
      <c r="RNB5" s="354"/>
      <c r="RNC5" s="354"/>
      <c r="RND5" s="354"/>
      <c r="RNE5" s="354"/>
      <c r="RNF5" s="354"/>
      <c r="RNG5" s="354"/>
      <c r="RNH5" s="354"/>
      <c r="RNI5" s="354"/>
      <c r="RNJ5" s="354"/>
      <c r="RNK5" s="354"/>
      <c r="RNL5" s="354"/>
      <c r="RNM5" s="354"/>
      <c r="RNN5" s="354"/>
      <c r="RNO5" s="354"/>
      <c r="RNP5" s="354"/>
      <c r="RNQ5" s="354"/>
      <c r="RNR5" s="354"/>
      <c r="RNS5" s="354"/>
      <c r="RNT5" s="354"/>
      <c r="RNU5" s="354"/>
      <c r="RNV5" s="354"/>
      <c r="RNW5" s="354"/>
      <c r="RNX5" s="354"/>
      <c r="RNY5" s="354"/>
      <c r="RNZ5" s="354"/>
      <c r="ROA5" s="354"/>
      <c r="ROB5" s="354"/>
      <c r="ROC5" s="354"/>
      <c r="ROD5" s="354"/>
      <c r="ROE5" s="354"/>
      <c r="ROF5" s="354"/>
      <c r="ROG5" s="354"/>
      <c r="ROH5" s="354"/>
      <c r="ROI5" s="354"/>
      <c r="ROJ5" s="354"/>
      <c r="ROK5" s="354"/>
      <c r="ROL5" s="354"/>
      <c r="ROM5" s="354"/>
      <c r="RON5" s="354"/>
      <c r="ROO5" s="354"/>
      <c r="ROP5" s="354"/>
      <c r="ROQ5" s="354"/>
      <c r="ROR5" s="354"/>
      <c r="ROS5" s="354"/>
      <c r="ROT5" s="354"/>
      <c r="ROU5" s="354"/>
      <c r="ROV5" s="354"/>
      <c r="ROW5" s="354"/>
      <c r="ROX5" s="354"/>
      <c r="ROY5" s="354"/>
      <c r="ROZ5" s="354"/>
      <c r="RPA5" s="354"/>
      <c r="RPB5" s="354"/>
      <c r="RPC5" s="354"/>
      <c r="RPD5" s="354"/>
      <c r="RPE5" s="354"/>
      <c r="RPF5" s="354"/>
      <c r="RPG5" s="354"/>
      <c r="RPH5" s="354"/>
      <c r="RPI5" s="354"/>
      <c r="RPJ5" s="354"/>
      <c r="RPK5" s="354"/>
      <c r="RPL5" s="354"/>
      <c r="RPM5" s="354"/>
      <c r="RPN5" s="354"/>
      <c r="RPO5" s="354"/>
      <c r="RPP5" s="354"/>
      <c r="RPQ5" s="354"/>
      <c r="RPR5" s="354"/>
      <c r="RPS5" s="354"/>
      <c r="RPT5" s="354"/>
      <c r="RPU5" s="354"/>
      <c r="RPV5" s="354"/>
      <c r="RPW5" s="354"/>
      <c r="RPX5" s="354"/>
      <c r="RPY5" s="354"/>
      <c r="RPZ5" s="354"/>
      <c r="RQA5" s="354"/>
      <c r="RQB5" s="354"/>
      <c r="RQC5" s="354"/>
      <c r="RQD5" s="354"/>
      <c r="RQE5" s="354"/>
      <c r="RQF5" s="354"/>
      <c r="RQG5" s="354"/>
      <c r="RQH5" s="354"/>
      <c r="RQI5" s="354"/>
      <c r="RQJ5" s="354"/>
      <c r="RQK5" s="354"/>
      <c r="RQL5" s="354"/>
      <c r="RQM5" s="354"/>
      <c r="RQN5" s="354"/>
      <c r="RQO5" s="354"/>
      <c r="RQP5" s="354"/>
      <c r="RQQ5" s="354"/>
      <c r="RQR5" s="354"/>
      <c r="RQS5" s="354"/>
      <c r="RQT5" s="354"/>
      <c r="RQU5" s="354"/>
      <c r="RQV5" s="354"/>
      <c r="RQW5" s="354"/>
      <c r="RQX5" s="354"/>
      <c r="RQY5" s="354"/>
      <c r="RQZ5" s="354"/>
      <c r="RRA5" s="354"/>
      <c r="RRB5" s="354"/>
      <c r="RRC5" s="354"/>
      <c r="RRD5" s="354"/>
      <c r="RRE5" s="354"/>
      <c r="RRF5" s="354"/>
      <c r="RRG5" s="354"/>
      <c r="RRH5" s="354"/>
      <c r="RRI5" s="354"/>
      <c r="RRJ5" s="354"/>
      <c r="RRK5" s="354"/>
      <c r="RRL5" s="354"/>
      <c r="RRM5" s="354"/>
      <c r="RRN5" s="354"/>
      <c r="RRO5" s="354"/>
      <c r="RRP5" s="354"/>
      <c r="RRQ5" s="354"/>
      <c r="RRR5" s="354"/>
      <c r="RRS5" s="354"/>
      <c r="RRT5" s="354"/>
      <c r="RRU5" s="354"/>
      <c r="RRV5" s="354"/>
      <c r="RRW5" s="354"/>
      <c r="RRX5" s="354"/>
      <c r="RRY5" s="354"/>
      <c r="RRZ5" s="354"/>
      <c r="RSA5" s="354"/>
      <c r="RSB5" s="354"/>
      <c r="RSC5" s="354"/>
      <c r="RSD5" s="354"/>
      <c r="RSE5" s="354"/>
      <c r="RSF5" s="354"/>
      <c r="RSG5" s="354"/>
      <c r="RSH5" s="354"/>
      <c r="RSI5" s="354"/>
      <c r="RSJ5" s="354"/>
      <c r="RSK5" s="354"/>
      <c r="RSL5" s="354"/>
      <c r="RSM5" s="354"/>
      <c r="RSN5" s="354"/>
      <c r="RSO5" s="354"/>
      <c r="RSP5" s="354"/>
      <c r="RSQ5" s="354"/>
      <c r="RSR5" s="354"/>
      <c r="RSS5" s="354"/>
      <c r="RST5" s="354"/>
      <c r="RSU5" s="354"/>
      <c r="RSV5" s="354"/>
      <c r="RSW5" s="354"/>
      <c r="RSX5" s="354"/>
      <c r="RSY5" s="354"/>
      <c r="RSZ5" s="354"/>
      <c r="RTA5" s="354"/>
      <c r="RTB5" s="354"/>
      <c r="RTC5" s="354"/>
      <c r="RTD5" s="354"/>
      <c r="RTE5" s="354"/>
      <c r="RTF5" s="354"/>
      <c r="RTG5" s="354"/>
      <c r="RTH5" s="354"/>
      <c r="RTI5" s="354"/>
      <c r="RTJ5" s="354"/>
      <c r="RTK5" s="354"/>
      <c r="RTL5" s="354"/>
      <c r="RTM5" s="354"/>
      <c r="RTN5" s="354"/>
      <c r="RTO5" s="354"/>
      <c r="RTP5" s="354"/>
      <c r="RTQ5" s="354"/>
      <c r="RTR5" s="354"/>
      <c r="RTS5" s="354"/>
      <c r="RTT5" s="354"/>
      <c r="RTU5" s="354"/>
      <c r="RTV5" s="354"/>
      <c r="RTW5" s="354"/>
      <c r="RTX5" s="354"/>
      <c r="RTY5" s="354"/>
      <c r="RTZ5" s="354"/>
      <c r="RUA5" s="354"/>
      <c r="RUB5" s="354"/>
      <c r="RUC5" s="354"/>
      <c r="RUD5" s="354"/>
      <c r="RUE5" s="354"/>
      <c r="RUF5" s="354"/>
      <c r="RUG5" s="354"/>
      <c r="RUH5" s="354"/>
      <c r="RUI5" s="354"/>
      <c r="RUJ5" s="354"/>
      <c r="RUK5" s="354"/>
      <c r="RUL5" s="354"/>
      <c r="RUM5" s="354"/>
      <c r="RUN5" s="354"/>
      <c r="RUO5" s="354"/>
      <c r="RUP5" s="354"/>
      <c r="RUQ5" s="354"/>
      <c r="RUR5" s="354"/>
      <c r="RUS5" s="354"/>
      <c r="RUT5" s="354"/>
      <c r="RUU5" s="354"/>
      <c r="RUV5" s="354"/>
      <c r="RUW5" s="354"/>
      <c r="RUX5" s="354"/>
      <c r="RUY5" s="354"/>
      <c r="RUZ5" s="354"/>
      <c r="RVA5" s="354"/>
      <c r="RVB5" s="354"/>
      <c r="RVC5" s="354"/>
      <c r="RVD5" s="354"/>
      <c r="RVE5" s="354"/>
      <c r="RVF5" s="354"/>
      <c r="RVG5" s="354"/>
      <c r="RVH5" s="354"/>
      <c r="RVI5" s="354"/>
      <c r="RVJ5" s="354"/>
      <c r="RVK5" s="354"/>
      <c r="RVL5" s="354"/>
      <c r="RVM5" s="354"/>
      <c r="RVN5" s="354"/>
      <c r="RVO5" s="354"/>
      <c r="RVP5" s="354"/>
      <c r="RVQ5" s="354"/>
      <c r="RVR5" s="354"/>
      <c r="RVS5" s="354"/>
      <c r="RVT5" s="354"/>
      <c r="RVU5" s="354"/>
      <c r="RVV5" s="354"/>
      <c r="RVW5" s="354"/>
      <c r="RVX5" s="354"/>
      <c r="RVY5" s="354"/>
      <c r="RVZ5" s="354"/>
      <c r="RWA5" s="354"/>
      <c r="RWB5" s="354"/>
      <c r="RWC5" s="354"/>
      <c r="RWD5" s="354"/>
      <c r="RWE5" s="354"/>
      <c r="RWF5" s="354"/>
      <c r="RWG5" s="354"/>
      <c r="RWH5" s="354"/>
      <c r="RWI5" s="354"/>
      <c r="RWJ5" s="354"/>
      <c r="RWK5" s="354"/>
      <c r="RWL5" s="354"/>
      <c r="RWM5" s="354"/>
      <c r="RWN5" s="354"/>
      <c r="RWO5" s="354"/>
      <c r="RWP5" s="354"/>
      <c r="RWQ5" s="354"/>
      <c r="RWR5" s="354"/>
      <c r="RWS5" s="354"/>
      <c r="RWT5" s="354"/>
      <c r="RWU5" s="354"/>
      <c r="RWV5" s="354"/>
      <c r="RWW5" s="354"/>
      <c r="RWX5" s="354"/>
      <c r="RWY5" s="354"/>
      <c r="RWZ5" s="354"/>
      <c r="RXA5" s="354"/>
      <c r="RXB5" s="354"/>
      <c r="RXC5" s="354"/>
      <c r="RXD5" s="354"/>
      <c r="RXE5" s="354"/>
      <c r="RXF5" s="354"/>
      <c r="RXG5" s="354"/>
      <c r="RXH5" s="354"/>
      <c r="RXI5" s="354"/>
      <c r="RXJ5" s="354"/>
      <c r="RXK5" s="354"/>
      <c r="RXL5" s="354"/>
      <c r="RXM5" s="354"/>
      <c r="RXN5" s="354"/>
      <c r="RXO5" s="354"/>
      <c r="RXP5" s="354"/>
      <c r="RXQ5" s="354"/>
      <c r="RXR5" s="354"/>
      <c r="RXS5" s="354"/>
      <c r="RXT5" s="354"/>
      <c r="RXU5" s="354"/>
      <c r="RXV5" s="354"/>
      <c r="RXW5" s="354"/>
      <c r="RXX5" s="354"/>
      <c r="RXY5" s="354"/>
      <c r="RXZ5" s="354"/>
      <c r="RYA5" s="354"/>
      <c r="RYB5" s="354"/>
      <c r="RYC5" s="354"/>
      <c r="RYD5" s="354"/>
      <c r="RYE5" s="354"/>
      <c r="RYF5" s="354"/>
      <c r="RYG5" s="354"/>
      <c r="RYH5" s="354"/>
      <c r="RYI5" s="354"/>
      <c r="RYJ5" s="354"/>
      <c r="RYK5" s="354"/>
      <c r="RYL5" s="354"/>
      <c r="RYM5" s="354"/>
      <c r="RYN5" s="354"/>
      <c r="RYO5" s="354"/>
      <c r="RYP5" s="354"/>
      <c r="RYQ5" s="354"/>
      <c r="RYR5" s="354"/>
      <c r="RYS5" s="354"/>
      <c r="RYT5" s="354"/>
      <c r="RYU5" s="354"/>
      <c r="RYV5" s="354"/>
      <c r="RYW5" s="354"/>
      <c r="RYX5" s="354"/>
      <c r="RYY5" s="354"/>
      <c r="RYZ5" s="354"/>
      <c r="RZA5" s="354"/>
      <c r="RZB5" s="354"/>
      <c r="RZC5" s="354"/>
      <c r="RZD5" s="354"/>
      <c r="RZE5" s="354"/>
      <c r="RZF5" s="354"/>
      <c r="RZG5" s="354"/>
      <c r="RZH5" s="354"/>
      <c r="RZI5" s="354"/>
      <c r="RZJ5" s="354"/>
      <c r="RZK5" s="354"/>
      <c r="RZL5" s="354"/>
      <c r="RZM5" s="354"/>
      <c r="RZN5" s="354"/>
      <c r="RZO5" s="354"/>
      <c r="RZP5" s="354"/>
      <c r="RZQ5" s="354"/>
      <c r="RZR5" s="354"/>
      <c r="RZS5" s="354"/>
      <c r="RZT5" s="354"/>
      <c r="RZU5" s="354"/>
      <c r="RZV5" s="354"/>
      <c r="RZW5" s="354"/>
      <c r="RZX5" s="354"/>
      <c r="RZY5" s="354"/>
      <c r="RZZ5" s="354"/>
      <c r="SAA5" s="354"/>
      <c r="SAB5" s="354"/>
      <c r="SAC5" s="354"/>
      <c r="SAD5" s="354"/>
      <c r="SAE5" s="354"/>
      <c r="SAF5" s="354"/>
      <c r="SAG5" s="354"/>
      <c r="SAH5" s="354"/>
      <c r="SAI5" s="354"/>
      <c r="SAJ5" s="354"/>
      <c r="SAK5" s="354"/>
      <c r="SAL5" s="354"/>
      <c r="SAM5" s="354"/>
      <c r="SAN5" s="354"/>
      <c r="SAO5" s="354"/>
      <c r="SAP5" s="354"/>
      <c r="SAQ5" s="354"/>
      <c r="SAR5" s="354"/>
      <c r="SAS5" s="354"/>
      <c r="SAT5" s="354"/>
      <c r="SAU5" s="354"/>
      <c r="SAV5" s="354"/>
      <c r="SAW5" s="354"/>
      <c r="SAX5" s="354"/>
      <c r="SAY5" s="354"/>
      <c r="SAZ5" s="354"/>
      <c r="SBA5" s="354"/>
      <c r="SBB5" s="354"/>
      <c r="SBC5" s="354"/>
      <c r="SBD5" s="354"/>
      <c r="SBE5" s="354"/>
      <c r="SBF5" s="354"/>
      <c r="SBG5" s="354"/>
      <c r="SBH5" s="354"/>
      <c r="SBI5" s="354"/>
      <c r="SBJ5" s="354"/>
      <c r="SBK5" s="354"/>
      <c r="SBL5" s="354"/>
      <c r="SBM5" s="354"/>
      <c r="SBN5" s="354"/>
      <c r="SBO5" s="354"/>
      <c r="SBP5" s="354"/>
      <c r="SBQ5" s="354"/>
      <c r="SBR5" s="354"/>
      <c r="SBS5" s="354"/>
      <c r="SBT5" s="354"/>
      <c r="SBU5" s="354"/>
      <c r="SBV5" s="354"/>
      <c r="SBW5" s="354"/>
      <c r="SBX5" s="354"/>
      <c r="SBY5" s="354"/>
      <c r="SBZ5" s="354"/>
      <c r="SCA5" s="354"/>
      <c r="SCB5" s="354"/>
      <c r="SCC5" s="354"/>
      <c r="SCD5" s="354"/>
      <c r="SCE5" s="354"/>
      <c r="SCF5" s="354"/>
      <c r="SCG5" s="354"/>
      <c r="SCH5" s="354"/>
      <c r="SCI5" s="354"/>
      <c r="SCJ5" s="354"/>
      <c r="SCK5" s="354"/>
      <c r="SCL5" s="354"/>
      <c r="SCM5" s="354"/>
      <c r="SCN5" s="354"/>
      <c r="SCO5" s="354"/>
      <c r="SCP5" s="354"/>
      <c r="SCQ5" s="354"/>
      <c r="SCR5" s="354"/>
      <c r="SCS5" s="354"/>
      <c r="SCT5" s="354"/>
      <c r="SCU5" s="354"/>
      <c r="SCV5" s="354"/>
      <c r="SCW5" s="354"/>
      <c r="SCX5" s="354"/>
      <c r="SCY5" s="354"/>
      <c r="SCZ5" s="354"/>
      <c r="SDA5" s="354"/>
      <c r="SDB5" s="354"/>
      <c r="SDC5" s="354"/>
      <c r="SDD5" s="354"/>
      <c r="SDE5" s="354"/>
      <c r="SDF5" s="354"/>
      <c r="SDG5" s="354"/>
      <c r="SDH5" s="354"/>
      <c r="SDI5" s="354"/>
      <c r="SDJ5" s="354"/>
      <c r="SDK5" s="354"/>
      <c r="SDL5" s="354"/>
      <c r="SDM5" s="354"/>
      <c r="SDN5" s="354"/>
      <c r="SDO5" s="354"/>
      <c r="SDP5" s="354"/>
      <c r="SDQ5" s="354"/>
      <c r="SDR5" s="354"/>
      <c r="SDS5" s="354"/>
      <c r="SDT5" s="354"/>
      <c r="SDU5" s="354"/>
      <c r="SDV5" s="354"/>
      <c r="SDW5" s="354"/>
      <c r="SDX5" s="354"/>
      <c r="SDY5" s="354"/>
      <c r="SDZ5" s="354"/>
      <c r="SEA5" s="354"/>
      <c r="SEB5" s="354"/>
      <c r="SEC5" s="354"/>
      <c r="SED5" s="354"/>
      <c r="SEE5" s="354"/>
      <c r="SEF5" s="354"/>
      <c r="SEG5" s="354"/>
      <c r="SEH5" s="354"/>
      <c r="SEI5" s="354"/>
      <c r="SEJ5" s="354"/>
      <c r="SEK5" s="354"/>
      <c r="SEL5" s="354"/>
      <c r="SEM5" s="354"/>
      <c r="SEN5" s="354"/>
      <c r="SEO5" s="354"/>
      <c r="SEP5" s="354"/>
      <c r="SEQ5" s="354"/>
      <c r="SER5" s="354"/>
      <c r="SES5" s="354"/>
      <c r="SET5" s="354"/>
      <c r="SEU5" s="354"/>
      <c r="SEV5" s="354"/>
      <c r="SEW5" s="354"/>
      <c r="SEX5" s="354"/>
      <c r="SEY5" s="354"/>
      <c r="SEZ5" s="354"/>
      <c r="SFA5" s="354"/>
      <c r="SFB5" s="354"/>
      <c r="SFC5" s="354"/>
      <c r="SFD5" s="354"/>
      <c r="SFE5" s="354"/>
      <c r="SFF5" s="354"/>
      <c r="SFG5" s="354"/>
      <c r="SFH5" s="354"/>
      <c r="SFI5" s="354"/>
      <c r="SFJ5" s="354"/>
      <c r="SFK5" s="354"/>
      <c r="SFL5" s="354"/>
      <c r="SFM5" s="354"/>
      <c r="SFN5" s="354"/>
      <c r="SFO5" s="354"/>
      <c r="SFP5" s="354"/>
      <c r="SFQ5" s="354"/>
      <c r="SFR5" s="354"/>
      <c r="SFS5" s="354"/>
      <c r="SFT5" s="354"/>
      <c r="SFU5" s="354"/>
      <c r="SFV5" s="354"/>
      <c r="SFW5" s="354"/>
      <c r="SFX5" s="354"/>
      <c r="SFY5" s="354"/>
      <c r="SFZ5" s="354"/>
      <c r="SGA5" s="354"/>
      <c r="SGB5" s="354"/>
      <c r="SGC5" s="354"/>
      <c r="SGD5" s="354"/>
      <c r="SGE5" s="354"/>
      <c r="SGF5" s="354"/>
      <c r="SGG5" s="354"/>
      <c r="SGH5" s="354"/>
      <c r="SGI5" s="354"/>
      <c r="SGJ5" s="354"/>
      <c r="SGK5" s="354"/>
      <c r="SGL5" s="354"/>
      <c r="SGM5" s="354"/>
      <c r="SGN5" s="354"/>
      <c r="SGO5" s="354"/>
      <c r="SGP5" s="354"/>
      <c r="SGQ5" s="354"/>
      <c r="SGR5" s="354"/>
      <c r="SGS5" s="354"/>
      <c r="SGT5" s="354"/>
      <c r="SGU5" s="354"/>
      <c r="SGV5" s="354"/>
      <c r="SGW5" s="354"/>
      <c r="SGX5" s="354"/>
      <c r="SGY5" s="354"/>
      <c r="SGZ5" s="354"/>
      <c r="SHA5" s="354"/>
      <c r="SHB5" s="354"/>
      <c r="SHC5" s="354"/>
      <c r="SHD5" s="354"/>
      <c r="SHE5" s="354"/>
      <c r="SHF5" s="354"/>
      <c r="SHG5" s="354"/>
      <c r="SHH5" s="354"/>
      <c r="SHI5" s="354"/>
      <c r="SHJ5" s="354"/>
      <c r="SHK5" s="354"/>
      <c r="SHL5" s="354"/>
      <c r="SHM5" s="354"/>
      <c r="SHN5" s="354"/>
      <c r="SHO5" s="354"/>
      <c r="SHP5" s="354"/>
      <c r="SHQ5" s="354"/>
      <c r="SHR5" s="354"/>
      <c r="SHS5" s="354"/>
      <c r="SHT5" s="354"/>
      <c r="SHU5" s="354"/>
      <c r="SHV5" s="354"/>
      <c r="SHW5" s="354"/>
      <c r="SHX5" s="354"/>
      <c r="SHY5" s="354"/>
      <c r="SHZ5" s="354"/>
      <c r="SIA5" s="354"/>
      <c r="SIB5" s="354"/>
      <c r="SIC5" s="354"/>
      <c r="SID5" s="354"/>
      <c r="SIE5" s="354"/>
      <c r="SIF5" s="354"/>
      <c r="SIG5" s="354"/>
      <c r="SIH5" s="354"/>
      <c r="SII5" s="354"/>
      <c r="SIJ5" s="354"/>
      <c r="SIK5" s="354"/>
      <c r="SIL5" s="354"/>
      <c r="SIM5" s="354"/>
      <c r="SIN5" s="354"/>
      <c r="SIO5" s="354"/>
      <c r="SIP5" s="354"/>
      <c r="SIQ5" s="354"/>
      <c r="SIR5" s="354"/>
      <c r="SIS5" s="354"/>
      <c r="SIT5" s="354"/>
      <c r="SIU5" s="354"/>
      <c r="SIV5" s="354"/>
      <c r="SIW5" s="354"/>
      <c r="SIX5" s="354"/>
      <c r="SIY5" s="354"/>
      <c r="SIZ5" s="354"/>
      <c r="SJA5" s="354"/>
      <c r="SJB5" s="354"/>
      <c r="SJC5" s="354"/>
      <c r="SJD5" s="354"/>
      <c r="SJE5" s="354"/>
      <c r="SJF5" s="354"/>
      <c r="SJG5" s="354"/>
      <c r="SJH5" s="354"/>
      <c r="SJI5" s="354"/>
      <c r="SJJ5" s="354"/>
      <c r="SJK5" s="354"/>
      <c r="SJL5" s="354"/>
      <c r="SJM5" s="354"/>
      <c r="SJN5" s="354"/>
      <c r="SJO5" s="354"/>
      <c r="SJP5" s="354"/>
      <c r="SJQ5" s="354"/>
      <c r="SJR5" s="354"/>
      <c r="SJS5" s="354"/>
      <c r="SJT5" s="354"/>
      <c r="SJU5" s="354"/>
      <c r="SJV5" s="354"/>
      <c r="SJW5" s="354"/>
      <c r="SJX5" s="354"/>
      <c r="SJY5" s="354"/>
      <c r="SJZ5" s="354"/>
      <c r="SKA5" s="354"/>
      <c r="SKB5" s="354"/>
      <c r="SKC5" s="354"/>
      <c r="SKD5" s="354"/>
      <c r="SKE5" s="354"/>
      <c r="SKF5" s="354"/>
      <c r="SKG5" s="354"/>
      <c r="SKH5" s="354"/>
      <c r="SKI5" s="354"/>
      <c r="SKJ5" s="354"/>
      <c r="SKK5" s="354"/>
      <c r="SKL5" s="354"/>
      <c r="SKM5" s="354"/>
      <c r="SKN5" s="354"/>
      <c r="SKO5" s="354"/>
      <c r="SKP5" s="354"/>
      <c r="SKQ5" s="354"/>
      <c r="SKR5" s="354"/>
      <c r="SKS5" s="354"/>
      <c r="SKT5" s="354"/>
      <c r="SKU5" s="354"/>
      <c r="SKV5" s="354"/>
      <c r="SKW5" s="354"/>
      <c r="SKX5" s="354"/>
      <c r="SKY5" s="354"/>
      <c r="SKZ5" s="354"/>
      <c r="SLA5" s="354"/>
      <c r="SLB5" s="354"/>
      <c r="SLC5" s="354"/>
      <c r="SLD5" s="354"/>
      <c r="SLE5" s="354"/>
      <c r="SLF5" s="354"/>
      <c r="SLG5" s="354"/>
      <c r="SLH5" s="354"/>
      <c r="SLI5" s="354"/>
      <c r="SLJ5" s="354"/>
      <c r="SLK5" s="354"/>
      <c r="SLL5" s="354"/>
      <c r="SLM5" s="354"/>
      <c r="SLN5" s="354"/>
      <c r="SLO5" s="354"/>
      <c r="SLP5" s="354"/>
      <c r="SLQ5" s="354"/>
      <c r="SLR5" s="354"/>
      <c r="SLS5" s="354"/>
      <c r="SLT5" s="354"/>
      <c r="SLU5" s="354"/>
      <c r="SLV5" s="354"/>
      <c r="SLW5" s="354"/>
      <c r="SLX5" s="354"/>
      <c r="SLY5" s="354"/>
      <c r="SLZ5" s="354"/>
      <c r="SMA5" s="354"/>
      <c r="SMB5" s="354"/>
      <c r="SMC5" s="354"/>
      <c r="SMD5" s="354"/>
      <c r="SME5" s="354"/>
      <c r="SMF5" s="354"/>
      <c r="SMG5" s="354"/>
      <c r="SMH5" s="354"/>
      <c r="SMI5" s="354"/>
      <c r="SMJ5" s="354"/>
      <c r="SMK5" s="354"/>
      <c r="SML5" s="354"/>
      <c r="SMM5" s="354"/>
      <c r="SMN5" s="354"/>
      <c r="SMO5" s="354"/>
      <c r="SMP5" s="354"/>
      <c r="SMQ5" s="354"/>
      <c r="SMR5" s="354"/>
      <c r="SMS5" s="354"/>
      <c r="SMT5" s="354"/>
      <c r="SMU5" s="354"/>
      <c r="SMV5" s="354"/>
      <c r="SMW5" s="354"/>
      <c r="SMX5" s="354"/>
      <c r="SMY5" s="354"/>
      <c r="SMZ5" s="354"/>
      <c r="SNA5" s="354"/>
      <c r="SNB5" s="354"/>
      <c r="SNC5" s="354"/>
      <c r="SND5" s="354"/>
      <c r="SNE5" s="354"/>
      <c r="SNF5" s="354"/>
      <c r="SNG5" s="354"/>
      <c r="SNH5" s="354"/>
      <c r="SNI5" s="354"/>
      <c r="SNJ5" s="354"/>
      <c r="SNK5" s="354"/>
      <c r="SNL5" s="354"/>
      <c r="SNM5" s="354"/>
      <c r="SNN5" s="354"/>
      <c r="SNO5" s="354"/>
      <c r="SNP5" s="354"/>
      <c r="SNQ5" s="354"/>
      <c r="SNR5" s="354"/>
      <c r="SNS5" s="354"/>
      <c r="SNT5" s="354"/>
      <c r="SNU5" s="354"/>
      <c r="SNV5" s="354"/>
      <c r="SNW5" s="354"/>
      <c r="SNX5" s="354"/>
      <c r="SNY5" s="354"/>
      <c r="SNZ5" s="354"/>
      <c r="SOA5" s="354"/>
      <c r="SOB5" s="354"/>
      <c r="SOC5" s="354"/>
      <c r="SOD5" s="354"/>
      <c r="SOE5" s="354"/>
      <c r="SOF5" s="354"/>
      <c r="SOG5" s="354"/>
      <c r="SOH5" s="354"/>
      <c r="SOI5" s="354"/>
      <c r="SOJ5" s="354"/>
      <c r="SOK5" s="354"/>
      <c r="SOL5" s="354"/>
      <c r="SOM5" s="354"/>
      <c r="SON5" s="354"/>
      <c r="SOO5" s="354"/>
      <c r="SOP5" s="354"/>
      <c r="SOQ5" s="354"/>
      <c r="SOR5" s="354"/>
      <c r="SOS5" s="354"/>
      <c r="SOT5" s="354"/>
      <c r="SOU5" s="354"/>
      <c r="SOV5" s="354"/>
      <c r="SOW5" s="354"/>
      <c r="SOX5" s="354"/>
      <c r="SOY5" s="354"/>
      <c r="SOZ5" s="354"/>
      <c r="SPA5" s="354"/>
      <c r="SPB5" s="354"/>
      <c r="SPC5" s="354"/>
      <c r="SPD5" s="354"/>
      <c r="SPE5" s="354"/>
      <c r="SPF5" s="354"/>
      <c r="SPG5" s="354"/>
      <c r="SPH5" s="354"/>
      <c r="SPI5" s="354"/>
      <c r="SPJ5" s="354"/>
      <c r="SPK5" s="354"/>
      <c r="SPL5" s="354"/>
      <c r="SPM5" s="354"/>
      <c r="SPN5" s="354"/>
      <c r="SPO5" s="354"/>
      <c r="SPP5" s="354"/>
      <c r="SPQ5" s="354"/>
      <c r="SPR5" s="354"/>
      <c r="SPS5" s="354"/>
      <c r="SPT5" s="354"/>
      <c r="SPU5" s="354"/>
      <c r="SPV5" s="354"/>
      <c r="SPW5" s="354"/>
      <c r="SPX5" s="354"/>
      <c r="SPY5" s="354"/>
      <c r="SPZ5" s="354"/>
      <c r="SQA5" s="354"/>
      <c r="SQB5" s="354"/>
      <c r="SQC5" s="354"/>
      <c r="SQD5" s="354"/>
      <c r="SQE5" s="354"/>
      <c r="SQF5" s="354"/>
      <c r="SQG5" s="354"/>
      <c r="SQH5" s="354"/>
      <c r="SQI5" s="354"/>
      <c r="SQJ5" s="354"/>
      <c r="SQK5" s="354"/>
      <c r="SQL5" s="354"/>
      <c r="SQM5" s="354"/>
      <c r="SQN5" s="354"/>
      <c r="SQO5" s="354"/>
      <c r="SQP5" s="354"/>
      <c r="SQQ5" s="354"/>
      <c r="SQR5" s="354"/>
      <c r="SQS5" s="354"/>
      <c r="SQT5" s="354"/>
      <c r="SQU5" s="354"/>
      <c r="SQV5" s="354"/>
      <c r="SQW5" s="354"/>
      <c r="SQX5" s="354"/>
      <c r="SQY5" s="354"/>
      <c r="SQZ5" s="354"/>
      <c r="SRA5" s="354"/>
      <c r="SRB5" s="354"/>
      <c r="SRC5" s="354"/>
      <c r="SRD5" s="354"/>
      <c r="SRE5" s="354"/>
      <c r="SRF5" s="354"/>
      <c r="SRG5" s="354"/>
      <c r="SRH5" s="354"/>
      <c r="SRI5" s="354"/>
      <c r="SRJ5" s="354"/>
      <c r="SRK5" s="354"/>
      <c r="SRL5" s="354"/>
      <c r="SRM5" s="354"/>
      <c r="SRN5" s="354"/>
      <c r="SRO5" s="354"/>
      <c r="SRP5" s="354"/>
      <c r="SRQ5" s="354"/>
      <c r="SRR5" s="354"/>
      <c r="SRS5" s="354"/>
      <c r="SRT5" s="354"/>
      <c r="SRU5" s="354"/>
      <c r="SRV5" s="354"/>
      <c r="SRW5" s="354"/>
      <c r="SRX5" s="354"/>
      <c r="SRY5" s="354"/>
      <c r="SRZ5" s="354"/>
      <c r="SSA5" s="354"/>
      <c r="SSB5" s="354"/>
      <c r="SSC5" s="354"/>
      <c r="SSD5" s="354"/>
      <c r="SSE5" s="354"/>
      <c r="SSF5" s="354"/>
      <c r="SSG5" s="354"/>
      <c r="SSH5" s="354"/>
      <c r="SSI5" s="354"/>
      <c r="SSJ5" s="354"/>
      <c r="SSK5" s="354"/>
      <c r="SSL5" s="354"/>
      <c r="SSM5" s="354"/>
      <c r="SSN5" s="354"/>
      <c r="SSO5" s="354"/>
      <c r="SSP5" s="354"/>
      <c r="SSQ5" s="354"/>
      <c r="SSR5" s="354"/>
      <c r="SSS5" s="354"/>
      <c r="SST5" s="354"/>
      <c r="SSU5" s="354"/>
      <c r="SSV5" s="354"/>
      <c r="SSW5" s="354"/>
      <c r="SSX5" s="354"/>
      <c r="SSY5" s="354"/>
      <c r="SSZ5" s="354"/>
      <c r="STA5" s="354"/>
      <c r="STB5" s="354"/>
      <c r="STC5" s="354"/>
      <c r="STD5" s="354"/>
      <c r="STE5" s="354"/>
      <c r="STF5" s="354"/>
      <c r="STG5" s="354"/>
      <c r="STH5" s="354"/>
      <c r="STI5" s="354"/>
      <c r="STJ5" s="354"/>
      <c r="STK5" s="354"/>
      <c r="STL5" s="354"/>
      <c r="STM5" s="354"/>
      <c r="STN5" s="354"/>
      <c r="STO5" s="354"/>
      <c r="STP5" s="354"/>
      <c r="STQ5" s="354"/>
      <c r="STR5" s="354"/>
      <c r="STS5" s="354"/>
      <c r="STT5" s="354"/>
      <c r="STU5" s="354"/>
      <c r="STV5" s="354"/>
      <c r="STW5" s="354"/>
      <c r="STX5" s="354"/>
      <c r="STY5" s="354"/>
      <c r="STZ5" s="354"/>
      <c r="SUA5" s="354"/>
      <c r="SUB5" s="354"/>
      <c r="SUC5" s="354"/>
      <c r="SUD5" s="354"/>
      <c r="SUE5" s="354"/>
      <c r="SUF5" s="354"/>
      <c r="SUG5" s="354"/>
      <c r="SUH5" s="354"/>
      <c r="SUI5" s="354"/>
      <c r="SUJ5" s="354"/>
      <c r="SUK5" s="354"/>
      <c r="SUL5" s="354"/>
      <c r="SUM5" s="354"/>
      <c r="SUN5" s="354"/>
      <c r="SUO5" s="354"/>
      <c r="SUP5" s="354"/>
      <c r="SUQ5" s="354"/>
      <c r="SUR5" s="354"/>
      <c r="SUS5" s="354"/>
      <c r="SUT5" s="354"/>
      <c r="SUU5" s="354"/>
      <c r="SUV5" s="354"/>
      <c r="SUW5" s="354"/>
      <c r="SUX5" s="354"/>
      <c r="SUY5" s="354"/>
      <c r="SUZ5" s="354"/>
      <c r="SVA5" s="354"/>
      <c r="SVB5" s="354"/>
      <c r="SVC5" s="354"/>
      <c r="SVD5" s="354"/>
      <c r="SVE5" s="354"/>
      <c r="SVF5" s="354"/>
      <c r="SVG5" s="354"/>
      <c r="SVH5" s="354"/>
      <c r="SVI5" s="354"/>
      <c r="SVJ5" s="354"/>
      <c r="SVK5" s="354"/>
      <c r="SVL5" s="354"/>
      <c r="SVM5" s="354"/>
      <c r="SVN5" s="354"/>
      <c r="SVO5" s="354"/>
      <c r="SVP5" s="354"/>
      <c r="SVQ5" s="354"/>
      <c r="SVR5" s="354"/>
      <c r="SVS5" s="354"/>
      <c r="SVT5" s="354"/>
      <c r="SVU5" s="354"/>
      <c r="SVV5" s="354"/>
      <c r="SVW5" s="354"/>
      <c r="SVX5" s="354"/>
      <c r="SVY5" s="354"/>
      <c r="SVZ5" s="354"/>
      <c r="SWA5" s="354"/>
      <c r="SWB5" s="354"/>
      <c r="SWC5" s="354"/>
      <c r="SWD5" s="354"/>
      <c r="SWE5" s="354"/>
      <c r="SWF5" s="354"/>
      <c r="SWG5" s="354"/>
      <c r="SWH5" s="354"/>
      <c r="SWI5" s="354"/>
      <c r="SWJ5" s="354"/>
      <c r="SWK5" s="354"/>
      <c r="SWL5" s="354"/>
      <c r="SWM5" s="354"/>
      <c r="SWN5" s="354"/>
      <c r="SWO5" s="354"/>
      <c r="SWP5" s="354"/>
      <c r="SWQ5" s="354"/>
      <c r="SWR5" s="354"/>
      <c r="SWS5" s="354"/>
      <c r="SWT5" s="354"/>
      <c r="SWU5" s="354"/>
      <c r="SWV5" s="354"/>
      <c r="SWW5" s="354"/>
      <c r="SWX5" s="354"/>
      <c r="SWY5" s="354"/>
      <c r="SWZ5" s="354"/>
      <c r="SXA5" s="354"/>
      <c r="SXB5" s="354"/>
      <c r="SXC5" s="354"/>
      <c r="SXD5" s="354"/>
      <c r="SXE5" s="354"/>
      <c r="SXF5" s="354"/>
      <c r="SXG5" s="354"/>
      <c r="SXH5" s="354"/>
      <c r="SXI5" s="354"/>
      <c r="SXJ5" s="354"/>
      <c r="SXK5" s="354"/>
      <c r="SXL5" s="354"/>
      <c r="SXM5" s="354"/>
      <c r="SXN5" s="354"/>
      <c r="SXO5" s="354"/>
      <c r="SXP5" s="354"/>
      <c r="SXQ5" s="354"/>
      <c r="SXR5" s="354"/>
      <c r="SXS5" s="354"/>
      <c r="SXT5" s="354"/>
      <c r="SXU5" s="354"/>
      <c r="SXV5" s="354"/>
      <c r="SXW5" s="354"/>
      <c r="SXX5" s="354"/>
      <c r="SXY5" s="354"/>
      <c r="SXZ5" s="354"/>
      <c r="SYA5" s="354"/>
      <c r="SYB5" s="354"/>
      <c r="SYC5" s="354"/>
      <c r="SYD5" s="354"/>
      <c r="SYE5" s="354"/>
      <c r="SYF5" s="354"/>
      <c r="SYG5" s="354"/>
      <c r="SYH5" s="354"/>
      <c r="SYI5" s="354"/>
      <c r="SYJ5" s="354"/>
      <c r="SYK5" s="354"/>
      <c r="SYL5" s="354"/>
      <c r="SYM5" s="354"/>
      <c r="SYN5" s="354"/>
      <c r="SYO5" s="354"/>
      <c r="SYP5" s="354"/>
      <c r="SYQ5" s="354"/>
      <c r="SYR5" s="354"/>
      <c r="SYS5" s="354"/>
      <c r="SYT5" s="354"/>
      <c r="SYU5" s="354"/>
      <c r="SYV5" s="354"/>
      <c r="SYW5" s="354"/>
      <c r="SYX5" s="354"/>
      <c r="SYY5" s="354"/>
      <c r="SYZ5" s="354"/>
      <c r="SZA5" s="354"/>
      <c r="SZB5" s="354"/>
      <c r="SZC5" s="354"/>
      <c r="SZD5" s="354"/>
      <c r="SZE5" s="354"/>
      <c r="SZF5" s="354"/>
      <c r="SZG5" s="354"/>
      <c r="SZH5" s="354"/>
      <c r="SZI5" s="354"/>
      <c r="SZJ5" s="354"/>
      <c r="SZK5" s="354"/>
      <c r="SZL5" s="354"/>
      <c r="SZM5" s="354"/>
      <c r="SZN5" s="354"/>
      <c r="SZO5" s="354"/>
      <c r="SZP5" s="354"/>
      <c r="SZQ5" s="354"/>
      <c r="SZR5" s="354"/>
      <c r="SZS5" s="354"/>
      <c r="SZT5" s="354"/>
      <c r="SZU5" s="354"/>
      <c r="SZV5" s="354"/>
      <c r="SZW5" s="354"/>
      <c r="SZX5" s="354"/>
      <c r="SZY5" s="354"/>
      <c r="SZZ5" s="354"/>
      <c r="TAA5" s="354"/>
      <c r="TAB5" s="354"/>
      <c r="TAC5" s="354"/>
      <c r="TAD5" s="354"/>
      <c r="TAE5" s="354"/>
      <c r="TAF5" s="354"/>
      <c r="TAG5" s="354"/>
      <c r="TAH5" s="354"/>
      <c r="TAI5" s="354"/>
      <c r="TAJ5" s="354"/>
      <c r="TAK5" s="354"/>
      <c r="TAL5" s="354"/>
      <c r="TAM5" s="354"/>
      <c r="TAN5" s="354"/>
      <c r="TAO5" s="354"/>
      <c r="TAP5" s="354"/>
      <c r="TAQ5" s="354"/>
      <c r="TAR5" s="354"/>
      <c r="TAS5" s="354"/>
      <c r="TAT5" s="354"/>
      <c r="TAU5" s="354"/>
      <c r="TAV5" s="354"/>
      <c r="TAW5" s="354"/>
      <c r="TAX5" s="354"/>
      <c r="TAY5" s="354"/>
      <c r="TAZ5" s="354"/>
      <c r="TBA5" s="354"/>
      <c r="TBB5" s="354"/>
      <c r="TBC5" s="354"/>
      <c r="TBD5" s="354"/>
      <c r="TBE5" s="354"/>
      <c r="TBF5" s="354"/>
      <c r="TBG5" s="354"/>
      <c r="TBH5" s="354"/>
      <c r="TBI5" s="354"/>
      <c r="TBJ5" s="354"/>
      <c r="TBK5" s="354"/>
      <c r="TBL5" s="354"/>
      <c r="TBM5" s="354"/>
      <c r="TBN5" s="354"/>
      <c r="TBO5" s="354"/>
      <c r="TBP5" s="354"/>
      <c r="TBQ5" s="354"/>
      <c r="TBR5" s="354"/>
      <c r="TBS5" s="354"/>
      <c r="TBT5" s="354"/>
      <c r="TBU5" s="354"/>
      <c r="TBV5" s="354"/>
      <c r="TBW5" s="354"/>
      <c r="TBX5" s="354"/>
      <c r="TBY5" s="354"/>
      <c r="TBZ5" s="354"/>
      <c r="TCA5" s="354"/>
      <c r="TCB5" s="354"/>
      <c r="TCC5" s="354"/>
      <c r="TCD5" s="354"/>
      <c r="TCE5" s="354"/>
      <c r="TCF5" s="354"/>
      <c r="TCG5" s="354"/>
      <c r="TCH5" s="354"/>
      <c r="TCI5" s="354"/>
      <c r="TCJ5" s="354"/>
      <c r="TCK5" s="354"/>
      <c r="TCL5" s="354"/>
      <c r="TCM5" s="354"/>
      <c r="TCN5" s="354"/>
      <c r="TCO5" s="354"/>
      <c r="TCP5" s="354"/>
      <c r="TCQ5" s="354"/>
      <c r="TCR5" s="354"/>
      <c r="TCS5" s="354"/>
      <c r="TCT5" s="354"/>
      <c r="TCU5" s="354"/>
      <c r="TCV5" s="354"/>
      <c r="TCW5" s="354"/>
      <c r="TCX5" s="354"/>
      <c r="TCY5" s="354"/>
      <c r="TCZ5" s="354"/>
      <c r="TDA5" s="354"/>
      <c r="TDB5" s="354"/>
      <c r="TDC5" s="354"/>
      <c r="TDD5" s="354"/>
      <c r="TDE5" s="354"/>
      <c r="TDF5" s="354"/>
      <c r="TDG5" s="354"/>
      <c r="TDH5" s="354"/>
      <c r="TDI5" s="354"/>
      <c r="TDJ5" s="354"/>
      <c r="TDK5" s="354"/>
      <c r="TDL5" s="354"/>
      <c r="TDM5" s="354"/>
      <c r="TDN5" s="354"/>
      <c r="TDO5" s="354"/>
      <c r="TDP5" s="354"/>
      <c r="TDQ5" s="354"/>
      <c r="TDR5" s="354"/>
      <c r="TDS5" s="354"/>
      <c r="TDT5" s="354"/>
      <c r="TDU5" s="354"/>
      <c r="TDV5" s="354"/>
      <c r="TDW5" s="354"/>
      <c r="TDX5" s="354"/>
      <c r="TDY5" s="354"/>
      <c r="TDZ5" s="354"/>
      <c r="TEA5" s="354"/>
      <c r="TEB5" s="354"/>
      <c r="TEC5" s="354"/>
      <c r="TED5" s="354"/>
      <c r="TEE5" s="354"/>
      <c r="TEF5" s="354"/>
      <c r="TEG5" s="354"/>
      <c r="TEH5" s="354"/>
      <c r="TEI5" s="354"/>
      <c r="TEJ5" s="354"/>
      <c r="TEK5" s="354"/>
      <c r="TEL5" s="354"/>
      <c r="TEM5" s="354"/>
      <c r="TEN5" s="354"/>
      <c r="TEO5" s="354"/>
      <c r="TEP5" s="354"/>
      <c r="TEQ5" s="354"/>
      <c r="TER5" s="354"/>
      <c r="TES5" s="354"/>
      <c r="TET5" s="354"/>
      <c r="TEU5" s="354"/>
      <c r="TEV5" s="354"/>
      <c r="TEW5" s="354"/>
      <c r="TEX5" s="354"/>
      <c r="TEY5" s="354"/>
      <c r="TEZ5" s="354"/>
      <c r="TFA5" s="354"/>
      <c r="TFB5" s="354"/>
      <c r="TFC5" s="354"/>
      <c r="TFD5" s="354"/>
      <c r="TFE5" s="354"/>
      <c r="TFF5" s="354"/>
      <c r="TFG5" s="354"/>
      <c r="TFH5" s="354"/>
      <c r="TFI5" s="354"/>
      <c r="TFJ5" s="354"/>
      <c r="TFK5" s="354"/>
      <c r="TFL5" s="354"/>
      <c r="TFM5" s="354"/>
      <c r="TFN5" s="354"/>
      <c r="TFO5" s="354"/>
      <c r="TFP5" s="354"/>
      <c r="TFQ5" s="354"/>
      <c r="TFR5" s="354"/>
      <c r="TFS5" s="354"/>
      <c r="TFT5" s="354"/>
      <c r="TFU5" s="354"/>
      <c r="TFV5" s="354"/>
      <c r="TFW5" s="354"/>
      <c r="TFX5" s="354"/>
      <c r="TFY5" s="354"/>
      <c r="TFZ5" s="354"/>
      <c r="TGA5" s="354"/>
      <c r="TGB5" s="354"/>
      <c r="TGC5" s="354"/>
      <c r="TGD5" s="354"/>
      <c r="TGE5" s="354"/>
      <c r="TGF5" s="354"/>
      <c r="TGG5" s="354"/>
      <c r="TGH5" s="354"/>
      <c r="TGI5" s="354"/>
      <c r="TGJ5" s="354"/>
      <c r="TGK5" s="354"/>
      <c r="TGL5" s="354"/>
      <c r="TGM5" s="354"/>
      <c r="TGN5" s="354"/>
      <c r="TGO5" s="354"/>
      <c r="TGP5" s="354"/>
      <c r="TGQ5" s="354"/>
      <c r="TGR5" s="354"/>
      <c r="TGS5" s="354"/>
      <c r="TGT5" s="354"/>
      <c r="TGU5" s="354"/>
      <c r="TGV5" s="354"/>
      <c r="TGW5" s="354"/>
      <c r="TGX5" s="354"/>
      <c r="TGY5" s="354"/>
      <c r="TGZ5" s="354"/>
      <c r="THA5" s="354"/>
      <c r="THB5" s="354"/>
      <c r="THC5" s="354"/>
      <c r="THD5" s="354"/>
      <c r="THE5" s="354"/>
      <c r="THF5" s="354"/>
      <c r="THG5" s="354"/>
      <c r="THH5" s="354"/>
      <c r="THI5" s="354"/>
      <c r="THJ5" s="354"/>
      <c r="THK5" s="354"/>
      <c r="THL5" s="354"/>
      <c r="THM5" s="354"/>
      <c r="THN5" s="354"/>
      <c r="THO5" s="354"/>
      <c r="THP5" s="354"/>
      <c r="THQ5" s="354"/>
      <c r="THR5" s="354"/>
      <c r="THS5" s="354"/>
      <c r="THT5" s="354"/>
      <c r="THU5" s="354"/>
      <c r="THV5" s="354"/>
      <c r="THW5" s="354"/>
      <c r="THX5" s="354"/>
      <c r="THY5" s="354"/>
      <c r="THZ5" s="354"/>
      <c r="TIA5" s="354"/>
      <c r="TIB5" s="354"/>
      <c r="TIC5" s="354"/>
      <c r="TID5" s="354"/>
      <c r="TIE5" s="354"/>
      <c r="TIF5" s="354"/>
      <c r="TIG5" s="354"/>
      <c r="TIH5" s="354"/>
      <c r="TII5" s="354"/>
      <c r="TIJ5" s="354"/>
      <c r="TIK5" s="354"/>
      <c r="TIL5" s="354"/>
      <c r="TIM5" s="354"/>
      <c r="TIN5" s="354"/>
      <c r="TIO5" s="354"/>
      <c r="TIP5" s="354"/>
      <c r="TIQ5" s="354"/>
      <c r="TIR5" s="354"/>
      <c r="TIS5" s="354"/>
      <c r="TIT5" s="354"/>
      <c r="TIU5" s="354"/>
      <c r="TIV5" s="354"/>
      <c r="TIW5" s="354"/>
      <c r="TIX5" s="354"/>
      <c r="TIY5" s="354"/>
      <c r="TIZ5" s="354"/>
      <c r="TJA5" s="354"/>
      <c r="TJB5" s="354"/>
      <c r="TJC5" s="354"/>
      <c r="TJD5" s="354"/>
      <c r="TJE5" s="354"/>
      <c r="TJF5" s="354"/>
      <c r="TJG5" s="354"/>
      <c r="TJH5" s="354"/>
      <c r="TJI5" s="354"/>
      <c r="TJJ5" s="354"/>
      <c r="TJK5" s="354"/>
      <c r="TJL5" s="354"/>
      <c r="TJM5" s="354"/>
      <c r="TJN5" s="354"/>
      <c r="TJO5" s="354"/>
      <c r="TJP5" s="354"/>
      <c r="TJQ5" s="354"/>
      <c r="TJR5" s="354"/>
      <c r="TJS5" s="354"/>
      <c r="TJT5" s="354"/>
      <c r="TJU5" s="354"/>
      <c r="TJV5" s="354"/>
      <c r="TJW5" s="354"/>
      <c r="TJX5" s="354"/>
      <c r="TJY5" s="354"/>
      <c r="TJZ5" s="354"/>
      <c r="TKA5" s="354"/>
      <c r="TKB5" s="354"/>
      <c r="TKC5" s="354"/>
      <c r="TKD5" s="354"/>
      <c r="TKE5" s="354"/>
      <c r="TKF5" s="354"/>
      <c r="TKG5" s="354"/>
      <c r="TKH5" s="354"/>
      <c r="TKI5" s="354"/>
      <c r="TKJ5" s="354"/>
      <c r="TKK5" s="354"/>
      <c r="TKL5" s="354"/>
      <c r="TKM5" s="354"/>
      <c r="TKN5" s="354"/>
      <c r="TKO5" s="354"/>
      <c r="TKP5" s="354"/>
      <c r="TKQ5" s="354"/>
      <c r="TKR5" s="354"/>
      <c r="TKS5" s="354"/>
      <c r="TKT5" s="354"/>
      <c r="TKU5" s="354"/>
      <c r="TKV5" s="354"/>
      <c r="TKW5" s="354"/>
      <c r="TKX5" s="354"/>
      <c r="TKY5" s="354"/>
      <c r="TKZ5" s="354"/>
      <c r="TLA5" s="354"/>
      <c r="TLB5" s="354"/>
      <c r="TLC5" s="354"/>
      <c r="TLD5" s="354"/>
      <c r="TLE5" s="354"/>
      <c r="TLF5" s="354"/>
      <c r="TLG5" s="354"/>
      <c r="TLH5" s="354"/>
      <c r="TLI5" s="354"/>
      <c r="TLJ5" s="354"/>
      <c r="TLK5" s="354"/>
      <c r="TLL5" s="354"/>
      <c r="TLM5" s="354"/>
      <c r="TLN5" s="354"/>
      <c r="TLO5" s="354"/>
      <c r="TLP5" s="354"/>
      <c r="TLQ5" s="354"/>
      <c r="TLR5" s="354"/>
      <c r="TLS5" s="354"/>
      <c r="TLT5" s="354"/>
      <c r="TLU5" s="354"/>
      <c r="TLV5" s="354"/>
      <c r="TLW5" s="354"/>
      <c r="TLX5" s="354"/>
      <c r="TLY5" s="354"/>
      <c r="TLZ5" s="354"/>
      <c r="TMA5" s="354"/>
      <c r="TMB5" s="354"/>
      <c r="TMC5" s="354"/>
      <c r="TMD5" s="354"/>
      <c r="TME5" s="354"/>
      <c r="TMF5" s="354"/>
      <c r="TMG5" s="354"/>
      <c r="TMH5" s="354"/>
      <c r="TMI5" s="354"/>
      <c r="TMJ5" s="354"/>
      <c r="TMK5" s="354"/>
      <c r="TML5" s="354"/>
      <c r="TMM5" s="354"/>
      <c r="TMN5" s="354"/>
      <c r="TMO5" s="354"/>
      <c r="TMP5" s="354"/>
      <c r="TMQ5" s="354"/>
      <c r="TMR5" s="354"/>
      <c r="TMS5" s="354"/>
      <c r="TMT5" s="354"/>
      <c r="TMU5" s="354"/>
      <c r="TMV5" s="354"/>
      <c r="TMW5" s="354"/>
      <c r="TMX5" s="354"/>
      <c r="TMY5" s="354"/>
      <c r="TMZ5" s="354"/>
      <c r="TNA5" s="354"/>
      <c r="TNB5" s="354"/>
      <c r="TNC5" s="354"/>
      <c r="TND5" s="354"/>
      <c r="TNE5" s="354"/>
      <c r="TNF5" s="354"/>
      <c r="TNG5" s="354"/>
      <c r="TNH5" s="354"/>
      <c r="TNI5" s="354"/>
      <c r="TNJ5" s="354"/>
      <c r="TNK5" s="354"/>
      <c r="TNL5" s="354"/>
      <c r="TNM5" s="354"/>
      <c r="TNN5" s="354"/>
      <c r="TNO5" s="354"/>
      <c r="TNP5" s="354"/>
      <c r="TNQ5" s="354"/>
      <c r="TNR5" s="354"/>
      <c r="TNS5" s="354"/>
      <c r="TNT5" s="354"/>
      <c r="TNU5" s="354"/>
      <c r="TNV5" s="354"/>
      <c r="TNW5" s="354"/>
      <c r="TNX5" s="354"/>
      <c r="TNY5" s="354"/>
      <c r="TNZ5" s="354"/>
      <c r="TOA5" s="354"/>
      <c r="TOB5" s="354"/>
      <c r="TOC5" s="354"/>
      <c r="TOD5" s="354"/>
      <c r="TOE5" s="354"/>
      <c r="TOF5" s="354"/>
      <c r="TOG5" s="354"/>
      <c r="TOH5" s="354"/>
      <c r="TOI5" s="354"/>
      <c r="TOJ5" s="354"/>
      <c r="TOK5" s="354"/>
      <c r="TOL5" s="354"/>
      <c r="TOM5" s="354"/>
      <c r="TON5" s="354"/>
      <c r="TOO5" s="354"/>
      <c r="TOP5" s="354"/>
      <c r="TOQ5" s="354"/>
      <c r="TOR5" s="354"/>
      <c r="TOS5" s="354"/>
      <c r="TOT5" s="354"/>
      <c r="TOU5" s="354"/>
      <c r="TOV5" s="354"/>
      <c r="TOW5" s="354"/>
      <c r="TOX5" s="354"/>
      <c r="TOY5" s="354"/>
      <c r="TOZ5" s="354"/>
      <c r="TPA5" s="354"/>
      <c r="TPB5" s="354"/>
      <c r="TPC5" s="354"/>
      <c r="TPD5" s="354"/>
      <c r="TPE5" s="354"/>
      <c r="TPF5" s="354"/>
      <c r="TPG5" s="354"/>
      <c r="TPH5" s="354"/>
      <c r="TPI5" s="354"/>
      <c r="TPJ5" s="354"/>
      <c r="TPK5" s="354"/>
      <c r="TPL5" s="354"/>
      <c r="TPM5" s="354"/>
      <c r="TPN5" s="354"/>
      <c r="TPO5" s="354"/>
      <c r="TPP5" s="354"/>
      <c r="TPQ5" s="354"/>
      <c r="TPR5" s="354"/>
      <c r="TPS5" s="354"/>
      <c r="TPT5" s="354"/>
      <c r="TPU5" s="354"/>
      <c r="TPV5" s="354"/>
      <c r="TPW5" s="354"/>
      <c r="TPX5" s="354"/>
      <c r="TPY5" s="354"/>
      <c r="TPZ5" s="354"/>
      <c r="TQA5" s="354"/>
      <c r="TQB5" s="354"/>
      <c r="TQC5" s="354"/>
      <c r="TQD5" s="354"/>
      <c r="TQE5" s="354"/>
      <c r="TQF5" s="354"/>
      <c r="TQG5" s="354"/>
      <c r="TQH5" s="354"/>
      <c r="TQI5" s="354"/>
      <c r="TQJ5" s="354"/>
      <c r="TQK5" s="354"/>
      <c r="TQL5" s="354"/>
      <c r="TQM5" s="354"/>
      <c r="TQN5" s="354"/>
      <c r="TQO5" s="354"/>
      <c r="TQP5" s="354"/>
      <c r="TQQ5" s="354"/>
      <c r="TQR5" s="354"/>
      <c r="TQS5" s="354"/>
      <c r="TQT5" s="354"/>
      <c r="TQU5" s="354"/>
      <c r="TQV5" s="354"/>
      <c r="TQW5" s="354"/>
      <c r="TQX5" s="354"/>
      <c r="TQY5" s="354"/>
      <c r="TQZ5" s="354"/>
      <c r="TRA5" s="354"/>
      <c r="TRB5" s="354"/>
      <c r="TRC5" s="354"/>
      <c r="TRD5" s="354"/>
      <c r="TRE5" s="354"/>
      <c r="TRF5" s="354"/>
      <c r="TRG5" s="354"/>
      <c r="TRH5" s="354"/>
      <c r="TRI5" s="354"/>
      <c r="TRJ5" s="354"/>
      <c r="TRK5" s="354"/>
      <c r="TRL5" s="354"/>
      <c r="TRM5" s="354"/>
      <c r="TRN5" s="354"/>
      <c r="TRO5" s="354"/>
      <c r="TRP5" s="354"/>
      <c r="TRQ5" s="354"/>
      <c r="TRR5" s="354"/>
      <c r="TRS5" s="354"/>
      <c r="TRT5" s="354"/>
      <c r="TRU5" s="354"/>
      <c r="TRV5" s="354"/>
      <c r="TRW5" s="354"/>
      <c r="TRX5" s="354"/>
      <c r="TRY5" s="354"/>
      <c r="TRZ5" s="354"/>
      <c r="TSA5" s="354"/>
      <c r="TSB5" s="354"/>
      <c r="TSC5" s="354"/>
      <c r="TSD5" s="354"/>
      <c r="TSE5" s="354"/>
      <c r="TSF5" s="354"/>
      <c r="TSG5" s="354"/>
      <c r="TSH5" s="354"/>
      <c r="TSI5" s="354"/>
      <c r="TSJ5" s="354"/>
      <c r="TSK5" s="354"/>
      <c r="TSL5" s="354"/>
      <c r="TSM5" s="354"/>
      <c r="TSN5" s="354"/>
      <c r="TSO5" s="354"/>
      <c r="TSP5" s="354"/>
      <c r="TSQ5" s="354"/>
      <c r="TSR5" s="354"/>
      <c r="TSS5" s="354"/>
      <c r="TST5" s="354"/>
      <c r="TSU5" s="354"/>
      <c r="TSV5" s="354"/>
      <c r="TSW5" s="354"/>
      <c r="TSX5" s="354"/>
      <c r="TSY5" s="354"/>
      <c r="TSZ5" s="354"/>
      <c r="TTA5" s="354"/>
      <c r="TTB5" s="354"/>
      <c r="TTC5" s="354"/>
      <c r="TTD5" s="354"/>
      <c r="TTE5" s="354"/>
      <c r="TTF5" s="354"/>
      <c r="TTG5" s="354"/>
      <c r="TTH5" s="354"/>
      <c r="TTI5" s="354"/>
      <c r="TTJ5" s="354"/>
      <c r="TTK5" s="354"/>
      <c r="TTL5" s="354"/>
      <c r="TTM5" s="354"/>
      <c r="TTN5" s="354"/>
      <c r="TTO5" s="354"/>
      <c r="TTP5" s="354"/>
      <c r="TTQ5" s="354"/>
      <c r="TTR5" s="354"/>
      <c r="TTS5" s="354"/>
      <c r="TTT5" s="354"/>
      <c r="TTU5" s="354"/>
      <c r="TTV5" s="354"/>
      <c r="TTW5" s="354"/>
      <c r="TTX5" s="354"/>
      <c r="TTY5" s="354"/>
      <c r="TTZ5" s="354"/>
      <c r="TUA5" s="354"/>
      <c r="TUB5" s="354"/>
      <c r="TUC5" s="354"/>
      <c r="TUD5" s="354"/>
      <c r="TUE5" s="354"/>
      <c r="TUF5" s="354"/>
      <c r="TUG5" s="354"/>
      <c r="TUH5" s="354"/>
      <c r="TUI5" s="354"/>
      <c r="TUJ5" s="354"/>
      <c r="TUK5" s="354"/>
      <c r="TUL5" s="354"/>
      <c r="TUM5" s="354"/>
      <c r="TUN5" s="354"/>
      <c r="TUO5" s="354"/>
      <c r="TUP5" s="354"/>
      <c r="TUQ5" s="354"/>
      <c r="TUR5" s="354"/>
      <c r="TUS5" s="354"/>
      <c r="TUT5" s="354"/>
      <c r="TUU5" s="354"/>
      <c r="TUV5" s="354"/>
      <c r="TUW5" s="354"/>
      <c r="TUX5" s="354"/>
      <c r="TUY5" s="354"/>
      <c r="TUZ5" s="354"/>
      <c r="TVA5" s="354"/>
      <c r="TVB5" s="354"/>
      <c r="TVC5" s="354"/>
      <c r="TVD5" s="354"/>
      <c r="TVE5" s="354"/>
      <c r="TVF5" s="354"/>
      <c r="TVG5" s="354"/>
      <c r="TVH5" s="354"/>
      <c r="TVI5" s="354"/>
      <c r="TVJ5" s="354"/>
      <c r="TVK5" s="354"/>
      <c r="TVL5" s="354"/>
      <c r="TVM5" s="354"/>
      <c r="TVN5" s="354"/>
      <c r="TVO5" s="354"/>
      <c r="TVP5" s="354"/>
      <c r="TVQ5" s="354"/>
      <c r="TVR5" s="354"/>
      <c r="TVS5" s="354"/>
      <c r="TVT5" s="354"/>
      <c r="TVU5" s="354"/>
      <c r="TVV5" s="354"/>
      <c r="TVW5" s="354"/>
      <c r="TVX5" s="354"/>
      <c r="TVY5" s="354"/>
      <c r="TVZ5" s="354"/>
      <c r="TWA5" s="354"/>
      <c r="TWB5" s="354"/>
      <c r="TWC5" s="354"/>
      <c r="TWD5" s="354"/>
      <c r="TWE5" s="354"/>
      <c r="TWF5" s="354"/>
      <c r="TWG5" s="354"/>
      <c r="TWH5" s="354"/>
      <c r="TWI5" s="354"/>
      <c r="TWJ5" s="354"/>
      <c r="TWK5" s="354"/>
      <c r="TWL5" s="354"/>
      <c r="TWM5" s="354"/>
      <c r="TWN5" s="354"/>
      <c r="TWO5" s="354"/>
      <c r="TWP5" s="354"/>
      <c r="TWQ5" s="354"/>
      <c r="TWR5" s="354"/>
      <c r="TWS5" s="354"/>
      <c r="TWT5" s="354"/>
      <c r="TWU5" s="354"/>
      <c r="TWV5" s="354"/>
      <c r="TWW5" s="354"/>
      <c r="TWX5" s="354"/>
      <c r="TWY5" s="354"/>
      <c r="TWZ5" s="354"/>
      <c r="TXA5" s="354"/>
      <c r="TXB5" s="354"/>
      <c r="TXC5" s="354"/>
      <c r="TXD5" s="354"/>
      <c r="TXE5" s="354"/>
      <c r="TXF5" s="354"/>
      <c r="TXG5" s="354"/>
      <c r="TXH5" s="354"/>
      <c r="TXI5" s="354"/>
      <c r="TXJ5" s="354"/>
      <c r="TXK5" s="354"/>
      <c r="TXL5" s="354"/>
      <c r="TXM5" s="354"/>
      <c r="TXN5" s="354"/>
      <c r="TXO5" s="354"/>
      <c r="TXP5" s="354"/>
      <c r="TXQ5" s="354"/>
      <c r="TXR5" s="354"/>
      <c r="TXS5" s="354"/>
      <c r="TXT5" s="354"/>
      <c r="TXU5" s="354"/>
      <c r="TXV5" s="354"/>
      <c r="TXW5" s="354"/>
      <c r="TXX5" s="354"/>
      <c r="TXY5" s="354"/>
      <c r="TXZ5" s="354"/>
      <c r="TYA5" s="354"/>
      <c r="TYB5" s="354"/>
      <c r="TYC5" s="354"/>
      <c r="TYD5" s="354"/>
      <c r="TYE5" s="354"/>
      <c r="TYF5" s="354"/>
      <c r="TYG5" s="354"/>
      <c r="TYH5" s="354"/>
      <c r="TYI5" s="354"/>
      <c r="TYJ5" s="354"/>
      <c r="TYK5" s="354"/>
      <c r="TYL5" s="354"/>
      <c r="TYM5" s="354"/>
      <c r="TYN5" s="354"/>
      <c r="TYO5" s="354"/>
      <c r="TYP5" s="354"/>
      <c r="TYQ5" s="354"/>
      <c r="TYR5" s="354"/>
      <c r="TYS5" s="354"/>
      <c r="TYT5" s="354"/>
      <c r="TYU5" s="354"/>
      <c r="TYV5" s="354"/>
      <c r="TYW5" s="354"/>
      <c r="TYX5" s="354"/>
      <c r="TYY5" s="354"/>
      <c r="TYZ5" s="354"/>
      <c r="TZA5" s="354"/>
      <c r="TZB5" s="354"/>
      <c r="TZC5" s="354"/>
      <c r="TZD5" s="354"/>
      <c r="TZE5" s="354"/>
      <c r="TZF5" s="354"/>
      <c r="TZG5" s="354"/>
      <c r="TZH5" s="354"/>
      <c r="TZI5" s="354"/>
      <c r="TZJ5" s="354"/>
      <c r="TZK5" s="354"/>
      <c r="TZL5" s="354"/>
      <c r="TZM5" s="354"/>
      <c r="TZN5" s="354"/>
      <c r="TZO5" s="354"/>
      <c r="TZP5" s="354"/>
      <c r="TZQ5" s="354"/>
      <c r="TZR5" s="354"/>
      <c r="TZS5" s="354"/>
      <c r="TZT5" s="354"/>
      <c r="TZU5" s="354"/>
      <c r="TZV5" s="354"/>
      <c r="TZW5" s="354"/>
      <c r="TZX5" s="354"/>
      <c r="TZY5" s="354"/>
      <c r="TZZ5" s="354"/>
      <c r="UAA5" s="354"/>
      <c r="UAB5" s="354"/>
      <c r="UAC5" s="354"/>
      <c r="UAD5" s="354"/>
      <c r="UAE5" s="354"/>
      <c r="UAF5" s="354"/>
      <c r="UAG5" s="354"/>
      <c r="UAH5" s="354"/>
      <c r="UAI5" s="354"/>
      <c r="UAJ5" s="354"/>
      <c r="UAK5" s="354"/>
      <c r="UAL5" s="354"/>
      <c r="UAM5" s="354"/>
      <c r="UAN5" s="354"/>
      <c r="UAO5" s="354"/>
      <c r="UAP5" s="354"/>
      <c r="UAQ5" s="354"/>
      <c r="UAR5" s="354"/>
      <c r="UAS5" s="354"/>
      <c r="UAT5" s="354"/>
      <c r="UAU5" s="354"/>
      <c r="UAV5" s="354"/>
      <c r="UAW5" s="354"/>
      <c r="UAX5" s="354"/>
      <c r="UAY5" s="354"/>
      <c r="UAZ5" s="354"/>
      <c r="UBA5" s="354"/>
      <c r="UBB5" s="354"/>
      <c r="UBC5" s="354"/>
      <c r="UBD5" s="354"/>
      <c r="UBE5" s="354"/>
      <c r="UBF5" s="354"/>
      <c r="UBG5" s="354"/>
      <c r="UBH5" s="354"/>
      <c r="UBI5" s="354"/>
      <c r="UBJ5" s="354"/>
      <c r="UBK5" s="354"/>
      <c r="UBL5" s="354"/>
      <c r="UBM5" s="354"/>
      <c r="UBN5" s="354"/>
      <c r="UBO5" s="354"/>
      <c r="UBP5" s="354"/>
      <c r="UBQ5" s="354"/>
      <c r="UBR5" s="354"/>
      <c r="UBS5" s="354"/>
      <c r="UBT5" s="354"/>
      <c r="UBU5" s="354"/>
      <c r="UBV5" s="354"/>
      <c r="UBW5" s="354"/>
      <c r="UBX5" s="354"/>
      <c r="UBY5" s="354"/>
      <c r="UBZ5" s="354"/>
      <c r="UCA5" s="354"/>
      <c r="UCB5" s="354"/>
      <c r="UCC5" s="354"/>
      <c r="UCD5" s="354"/>
      <c r="UCE5" s="354"/>
      <c r="UCF5" s="354"/>
      <c r="UCG5" s="354"/>
      <c r="UCH5" s="354"/>
      <c r="UCI5" s="354"/>
      <c r="UCJ5" s="354"/>
      <c r="UCK5" s="354"/>
      <c r="UCL5" s="354"/>
      <c r="UCM5" s="354"/>
      <c r="UCN5" s="354"/>
      <c r="UCO5" s="354"/>
      <c r="UCP5" s="354"/>
      <c r="UCQ5" s="354"/>
      <c r="UCR5" s="354"/>
      <c r="UCS5" s="354"/>
      <c r="UCT5" s="354"/>
      <c r="UCU5" s="354"/>
      <c r="UCV5" s="354"/>
      <c r="UCW5" s="354"/>
      <c r="UCX5" s="354"/>
      <c r="UCY5" s="354"/>
      <c r="UCZ5" s="354"/>
      <c r="UDA5" s="354"/>
      <c r="UDB5" s="354"/>
      <c r="UDC5" s="354"/>
      <c r="UDD5" s="354"/>
      <c r="UDE5" s="354"/>
      <c r="UDF5" s="354"/>
      <c r="UDG5" s="354"/>
      <c r="UDH5" s="354"/>
      <c r="UDI5" s="354"/>
      <c r="UDJ5" s="354"/>
      <c r="UDK5" s="354"/>
      <c r="UDL5" s="354"/>
      <c r="UDM5" s="354"/>
      <c r="UDN5" s="354"/>
      <c r="UDO5" s="354"/>
      <c r="UDP5" s="354"/>
      <c r="UDQ5" s="354"/>
      <c r="UDR5" s="354"/>
      <c r="UDS5" s="354"/>
      <c r="UDT5" s="354"/>
      <c r="UDU5" s="354"/>
      <c r="UDV5" s="354"/>
      <c r="UDW5" s="354"/>
      <c r="UDX5" s="354"/>
      <c r="UDY5" s="354"/>
      <c r="UDZ5" s="354"/>
      <c r="UEA5" s="354"/>
      <c r="UEB5" s="354"/>
      <c r="UEC5" s="354"/>
      <c r="UED5" s="354"/>
      <c r="UEE5" s="354"/>
      <c r="UEF5" s="354"/>
      <c r="UEG5" s="354"/>
      <c r="UEH5" s="354"/>
      <c r="UEI5" s="354"/>
      <c r="UEJ5" s="354"/>
      <c r="UEK5" s="354"/>
      <c r="UEL5" s="354"/>
      <c r="UEM5" s="354"/>
      <c r="UEN5" s="354"/>
      <c r="UEO5" s="354"/>
      <c r="UEP5" s="354"/>
      <c r="UEQ5" s="354"/>
      <c r="UER5" s="354"/>
      <c r="UES5" s="354"/>
      <c r="UET5" s="354"/>
      <c r="UEU5" s="354"/>
      <c r="UEV5" s="354"/>
      <c r="UEW5" s="354"/>
      <c r="UEX5" s="354"/>
      <c r="UEY5" s="354"/>
      <c r="UEZ5" s="354"/>
      <c r="UFA5" s="354"/>
      <c r="UFB5" s="354"/>
      <c r="UFC5" s="354"/>
      <c r="UFD5" s="354"/>
      <c r="UFE5" s="354"/>
      <c r="UFF5" s="354"/>
      <c r="UFG5" s="354"/>
      <c r="UFH5" s="354"/>
      <c r="UFI5" s="354"/>
      <c r="UFJ5" s="354"/>
      <c r="UFK5" s="354"/>
      <c r="UFL5" s="354"/>
      <c r="UFM5" s="354"/>
      <c r="UFN5" s="354"/>
      <c r="UFO5" s="354"/>
      <c r="UFP5" s="354"/>
      <c r="UFQ5" s="354"/>
      <c r="UFR5" s="354"/>
      <c r="UFS5" s="354"/>
      <c r="UFT5" s="354"/>
      <c r="UFU5" s="354"/>
      <c r="UFV5" s="354"/>
      <c r="UFW5" s="354"/>
      <c r="UFX5" s="354"/>
      <c r="UFY5" s="354"/>
      <c r="UFZ5" s="354"/>
      <c r="UGA5" s="354"/>
      <c r="UGB5" s="354"/>
      <c r="UGC5" s="354"/>
      <c r="UGD5" s="354"/>
      <c r="UGE5" s="354"/>
      <c r="UGF5" s="354"/>
      <c r="UGG5" s="354"/>
      <c r="UGH5" s="354"/>
      <c r="UGI5" s="354"/>
      <c r="UGJ5" s="354"/>
      <c r="UGK5" s="354"/>
      <c r="UGL5" s="354"/>
      <c r="UGM5" s="354"/>
      <c r="UGN5" s="354"/>
      <c r="UGO5" s="354"/>
      <c r="UGP5" s="354"/>
      <c r="UGQ5" s="354"/>
      <c r="UGR5" s="354"/>
      <c r="UGS5" s="354"/>
      <c r="UGT5" s="354"/>
      <c r="UGU5" s="354"/>
      <c r="UGV5" s="354"/>
      <c r="UGW5" s="354"/>
      <c r="UGX5" s="354"/>
      <c r="UGY5" s="354"/>
      <c r="UGZ5" s="354"/>
      <c r="UHA5" s="354"/>
      <c r="UHB5" s="354"/>
      <c r="UHC5" s="354"/>
      <c r="UHD5" s="354"/>
      <c r="UHE5" s="354"/>
      <c r="UHF5" s="354"/>
      <c r="UHG5" s="354"/>
      <c r="UHH5" s="354"/>
      <c r="UHI5" s="354"/>
      <c r="UHJ5" s="354"/>
      <c r="UHK5" s="354"/>
      <c r="UHL5" s="354"/>
      <c r="UHM5" s="354"/>
      <c r="UHN5" s="354"/>
      <c r="UHO5" s="354"/>
      <c r="UHP5" s="354"/>
      <c r="UHQ5" s="354"/>
      <c r="UHR5" s="354"/>
      <c r="UHS5" s="354"/>
      <c r="UHT5" s="354"/>
      <c r="UHU5" s="354"/>
      <c r="UHV5" s="354"/>
      <c r="UHW5" s="354"/>
      <c r="UHX5" s="354"/>
      <c r="UHY5" s="354"/>
      <c r="UHZ5" s="354"/>
      <c r="UIA5" s="354"/>
      <c r="UIB5" s="354"/>
      <c r="UIC5" s="354"/>
      <c r="UID5" s="354"/>
      <c r="UIE5" s="354"/>
      <c r="UIF5" s="354"/>
      <c r="UIG5" s="354"/>
      <c r="UIH5" s="354"/>
      <c r="UII5" s="354"/>
      <c r="UIJ5" s="354"/>
      <c r="UIK5" s="354"/>
      <c r="UIL5" s="354"/>
      <c r="UIM5" s="354"/>
      <c r="UIN5" s="354"/>
      <c r="UIO5" s="354"/>
      <c r="UIP5" s="354"/>
      <c r="UIQ5" s="354"/>
      <c r="UIR5" s="354"/>
      <c r="UIS5" s="354"/>
      <c r="UIT5" s="354"/>
      <c r="UIU5" s="354"/>
      <c r="UIV5" s="354"/>
      <c r="UIW5" s="354"/>
      <c r="UIX5" s="354"/>
      <c r="UIY5" s="354"/>
      <c r="UIZ5" s="354"/>
      <c r="UJA5" s="354"/>
      <c r="UJB5" s="354"/>
      <c r="UJC5" s="354"/>
      <c r="UJD5" s="354"/>
      <c r="UJE5" s="354"/>
      <c r="UJF5" s="354"/>
      <c r="UJG5" s="354"/>
      <c r="UJH5" s="354"/>
      <c r="UJI5" s="354"/>
      <c r="UJJ5" s="354"/>
      <c r="UJK5" s="354"/>
      <c r="UJL5" s="354"/>
      <c r="UJM5" s="354"/>
      <c r="UJN5" s="354"/>
      <c r="UJO5" s="354"/>
      <c r="UJP5" s="354"/>
      <c r="UJQ5" s="354"/>
      <c r="UJR5" s="354"/>
      <c r="UJS5" s="354"/>
      <c r="UJT5" s="354"/>
      <c r="UJU5" s="354"/>
      <c r="UJV5" s="354"/>
      <c r="UJW5" s="354"/>
      <c r="UJX5" s="354"/>
      <c r="UJY5" s="354"/>
      <c r="UJZ5" s="354"/>
      <c r="UKA5" s="354"/>
      <c r="UKB5" s="354"/>
      <c r="UKC5" s="354"/>
      <c r="UKD5" s="354"/>
      <c r="UKE5" s="354"/>
      <c r="UKF5" s="354"/>
      <c r="UKG5" s="354"/>
      <c r="UKH5" s="354"/>
      <c r="UKI5" s="354"/>
      <c r="UKJ5" s="354"/>
      <c r="UKK5" s="354"/>
      <c r="UKL5" s="354"/>
      <c r="UKM5" s="354"/>
      <c r="UKN5" s="354"/>
      <c r="UKO5" s="354"/>
      <c r="UKP5" s="354"/>
      <c r="UKQ5" s="354"/>
      <c r="UKR5" s="354"/>
      <c r="UKS5" s="354"/>
      <c r="UKT5" s="354"/>
      <c r="UKU5" s="354"/>
      <c r="UKV5" s="354"/>
      <c r="UKW5" s="354"/>
      <c r="UKX5" s="354"/>
      <c r="UKY5" s="354"/>
      <c r="UKZ5" s="354"/>
      <c r="ULA5" s="354"/>
      <c r="ULB5" s="354"/>
      <c r="ULC5" s="354"/>
      <c r="ULD5" s="354"/>
      <c r="ULE5" s="354"/>
      <c r="ULF5" s="354"/>
      <c r="ULG5" s="354"/>
      <c r="ULH5" s="354"/>
      <c r="ULI5" s="354"/>
      <c r="ULJ5" s="354"/>
      <c r="ULK5" s="354"/>
      <c r="ULL5" s="354"/>
      <c r="ULM5" s="354"/>
      <c r="ULN5" s="354"/>
      <c r="ULO5" s="354"/>
      <c r="ULP5" s="354"/>
      <c r="ULQ5" s="354"/>
      <c r="ULR5" s="354"/>
      <c r="ULS5" s="354"/>
      <c r="ULT5" s="354"/>
      <c r="ULU5" s="354"/>
      <c r="ULV5" s="354"/>
      <c r="ULW5" s="354"/>
      <c r="ULX5" s="354"/>
      <c r="ULY5" s="354"/>
      <c r="ULZ5" s="354"/>
      <c r="UMA5" s="354"/>
      <c r="UMB5" s="354"/>
      <c r="UMC5" s="354"/>
      <c r="UMD5" s="354"/>
      <c r="UME5" s="354"/>
      <c r="UMF5" s="354"/>
      <c r="UMG5" s="354"/>
      <c r="UMH5" s="354"/>
      <c r="UMI5" s="354"/>
      <c r="UMJ5" s="354"/>
      <c r="UMK5" s="354"/>
      <c r="UML5" s="354"/>
      <c r="UMM5" s="354"/>
      <c r="UMN5" s="354"/>
      <c r="UMO5" s="354"/>
      <c r="UMP5" s="354"/>
      <c r="UMQ5" s="354"/>
      <c r="UMR5" s="354"/>
      <c r="UMS5" s="354"/>
      <c r="UMT5" s="354"/>
      <c r="UMU5" s="354"/>
      <c r="UMV5" s="354"/>
      <c r="UMW5" s="354"/>
      <c r="UMX5" s="354"/>
      <c r="UMY5" s="354"/>
      <c r="UMZ5" s="354"/>
      <c r="UNA5" s="354"/>
      <c r="UNB5" s="354"/>
      <c r="UNC5" s="354"/>
      <c r="UND5" s="354"/>
      <c r="UNE5" s="354"/>
      <c r="UNF5" s="354"/>
      <c r="UNG5" s="354"/>
      <c r="UNH5" s="354"/>
      <c r="UNI5" s="354"/>
      <c r="UNJ5" s="354"/>
      <c r="UNK5" s="354"/>
      <c r="UNL5" s="354"/>
      <c r="UNM5" s="354"/>
      <c r="UNN5" s="354"/>
      <c r="UNO5" s="354"/>
      <c r="UNP5" s="354"/>
      <c r="UNQ5" s="354"/>
      <c r="UNR5" s="354"/>
      <c r="UNS5" s="354"/>
      <c r="UNT5" s="354"/>
      <c r="UNU5" s="354"/>
      <c r="UNV5" s="354"/>
      <c r="UNW5" s="354"/>
      <c r="UNX5" s="354"/>
      <c r="UNY5" s="354"/>
      <c r="UNZ5" s="354"/>
      <c r="UOA5" s="354"/>
      <c r="UOB5" s="354"/>
      <c r="UOC5" s="354"/>
      <c r="UOD5" s="354"/>
      <c r="UOE5" s="354"/>
      <c r="UOF5" s="354"/>
      <c r="UOG5" s="354"/>
      <c r="UOH5" s="354"/>
      <c r="UOI5" s="354"/>
      <c r="UOJ5" s="354"/>
      <c r="UOK5" s="354"/>
      <c r="UOL5" s="354"/>
      <c r="UOM5" s="354"/>
      <c r="UON5" s="354"/>
      <c r="UOO5" s="354"/>
      <c r="UOP5" s="354"/>
      <c r="UOQ5" s="354"/>
      <c r="UOR5" s="354"/>
      <c r="UOS5" s="354"/>
      <c r="UOT5" s="354"/>
      <c r="UOU5" s="354"/>
      <c r="UOV5" s="354"/>
      <c r="UOW5" s="354"/>
      <c r="UOX5" s="354"/>
      <c r="UOY5" s="354"/>
      <c r="UOZ5" s="354"/>
      <c r="UPA5" s="354"/>
      <c r="UPB5" s="354"/>
      <c r="UPC5" s="354"/>
      <c r="UPD5" s="354"/>
      <c r="UPE5" s="354"/>
      <c r="UPF5" s="354"/>
      <c r="UPG5" s="354"/>
      <c r="UPH5" s="354"/>
      <c r="UPI5" s="354"/>
      <c r="UPJ5" s="354"/>
      <c r="UPK5" s="354"/>
      <c r="UPL5" s="354"/>
      <c r="UPM5" s="354"/>
      <c r="UPN5" s="354"/>
      <c r="UPO5" s="354"/>
      <c r="UPP5" s="354"/>
      <c r="UPQ5" s="354"/>
      <c r="UPR5" s="354"/>
      <c r="UPS5" s="354"/>
      <c r="UPT5" s="354"/>
      <c r="UPU5" s="354"/>
      <c r="UPV5" s="354"/>
      <c r="UPW5" s="354"/>
      <c r="UPX5" s="354"/>
      <c r="UPY5" s="354"/>
      <c r="UPZ5" s="354"/>
      <c r="UQA5" s="354"/>
      <c r="UQB5" s="354"/>
      <c r="UQC5" s="354"/>
      <c r="UQD5" s="354"/>
      <c r="UQE5" s="354"/>
      <c r="UQF5" s="354"/>
      <c r="UQG5" s="354"/>
      <c r="UQH5" s="354"/>
      <c r="UQI5" s="354"/>
      <c r="UQJ5" s="354"/>
      <c r="UQK5" s="354"/>
      <c r="UQL5" s="354"/>
      <c r="UQM5" s="354"/>
      <c r="UQN5" s="354"/>
      <c r="UQO5" s="354"/>
      <c r="UQP5" s="354"/>
      <c r="UQQ5" s="354"/>
      <c r="UQR5" s="354"/>
      <c r="UQS5" s="354"/>
      <c r="UQT5" s="354"/>
      <c r="UQU5" s="354"/>
      <c r="UQV5" s="354"/>
      <c r="UQW5" s="354"/>
      <c r="UQX5" s="354"/>
      <c r="UQY5" s="354"/>
      <c r="UQZ5" s="354"/>
      <c r="URA5" s="354"/>
      <c r="URB5" s="354"/>
      <c r="URC5" s="354"/>
      <c r="URD5" s="354"/>
      <c r="URE5" s="354"/>
      <c r="URF5" s="354"/>
      <c r="URG5" s="354"/>
      <c r="URH5" s="354"/>
      <c r="URI5" s="354"/>
      <c r="URJ5" s="354"/>
      <c r="URK5" s="354"/>
      <c r="URL5" s="354"/>
      <c r="URM5" s="354"/>
      <c r="URN5" s="354"/>
      <c r="URO5" s="354"/>
      <c r="URP5" s="354"/>
      <c r="URQ5" s="354"/>
      <c r="URR5" s="354"/>
      <c r="URS5" s="354"/>
      <c r="URT5" s="354"/>
      <c r="URU5" s="354"/>
      <c r="URV5" s="354"/>
      <c r="URW5" s="354"/>
      <c r="URX5" s="354"/>
      <c r="URY5" s="354"/>
      <c r="URZ5" s="354"/>
      <c r="USA5" s="354"/>
      <c r="USB5" s="354"/>
      <c r="USC5" s="354"/>
      <c r="USD5" s="354"/>
      <c r="USE5" s="354"/>
      <c r="USF5" s="354"/>
      <c r="USG5" s="354"/>
      <c r="USH5" s="354"/>
      <c r="USI5" s="354"/>
      <c r="USJ5" s="354"/>
      <c r="USK5" s="354"/>
      <c r="USL5" s="354"/>
      <c r="USM5" s="354"/>
      <c r="USN5" s="354"/>
      <c r="USO5" s="354"/>
      <c r="USP5" s="354"/>
      <c r="USQ5" s="354"/>
      <c r="USR5" s="354"/>
      <c r="USS5" s="354"/>
      <c r="UST5" s="354"/>
      <c r="USU5" s="354"/>
      <c r="USV5" s="354"/>
      <c r="USW5" s="354"/>
      <c r="USX5" s="354"/>
      <c r="USY5" s="354"/>
      <c r="USZ5" s="354"/>
      <c r="UTA5" s="354"/>
      <c r="UTB5" s="354"/>
      <c r="UTC5" s="354"/>
      <c r="UTD5" s="354"/>
      <c r="UTE5" s="354"/>
      <c r="UTF5" s="354"/>
      <c r="UTG5" s="354"/>
      <c r="UTH5" s="354"/>
      <c r="UTI5" s="354"/>
      <c r="UTJ5" s="354"/>
      <c r="UTK5" s="354"/>
      <c r="UTL5" s="354"/>
      <c r="UTM5" s="354"/>
      <c r="UTN5" s="354"/>
      <c r="UTO5" s="354"/>
      <c r="UTP5" s="354"/>
      <c r="UTQ5" s="354"/>
      <c r="UTR5" s="354"/>
      <c r="UTS5" s="354"/>
      <c r="UTT5" s="354"/>
      <c r="UTU5" s="354"/>
      <c r="UTV5" s="354"/>
      <c r="UTW5" s="354"/>
      <c r="UTX5" s="354"/>
      <c r="UTY5" s="354"/>
      <c r="UTZ5" s="354"/>
      <c r="UUA5" s="354"/>
      <c r="UUB5" s="354"/>
      <c r="UUC5" s="354"/>
      <c r="UUD5" s="354"/>
      <c r="UUE5" s="354"/>
      <c r="UUF5" s="354"/>
      <c r="UUG5" s="354"/>
      <c r="UUH5" s="354"/>
      <c r="UUI5" s="354"/>
      <c r="UUJ5" s="354"/>
      <c r="UUK5" s="354"/>
      <c r="UUL5" s="354"/>
      <c r="UUM5" s="354"/>
      <c r="UUN5" s="354"/>
      <c r="UUO5" s="354"/>
      <c r="UUP5" s="354"/>
      <c r="UUQ5" s="354"/>
      <c r="UUR5" s="354"/>
      <c r="UUS5" s="354"/>
      <c r="UUT5" s="354"/>
      <c r="UUU5" s="354"/>
      <c r="UUV5" s="354"/>
      <c r="UUW5" s="354"/>
      <c r="UUX5" s="354"/>
      <c r="UUY5" s="354"/>
      <c r="UUZ5" s="354"/>
      <c r="UVA5" s="354"/>
      <c r="UVB5" s="354"/>
      <c r="UVC5" s="354"/>
      <c r="UVD5" s="354"/>
      <c r="UVE5" s="354"/>
      <c r="UVF5" s="354"/>
      <c r="UVG5" s="354"/>
      <c r="UVH5" s="354"/>
      <c r="UVI5" s="354"/>
      <c r="UVJ5" s="354"/>
      <c r="UVK5" s="354"/>
      <c r="UVL5" s="354"/>
      <c r="UVM5" s="354"/>
      <c r="UVN5" s="354"/>
      <c r="UVO5" s="354"/>
      <c r="UVP5" s="354"/>
      <c r="UVQ5" s="354"/>
      <c r="UVR5" s="354"/>
      <c r="UVS5" s="354"/>
      <c r="UVT5" s="354"/>
      <c r="UVU5" s="354"/>
      <c r="UVV5" s="354"/>
      <c r="UVW5" s="354"/>
      <c r="UVX5" s="354"/>
      <c r="UVY5" s="354"/>
      <c r="UVZ5" s="354"/>
      <c r="UWA5" s="354"/>
      <c r="UWB5" s="354"/>
      <c r="UWC5" s="354"/>
      <c r="UWD5" s="354"/>
      <c r="UWE5" s="354"/>
      <c r="UWF5" s="354"/>
      <c r="UWG5" s="354"/>
      <c r="UWH5" s="354"/>
      <c r="UWI5" s="354"/>
      <c r="UWJ5" s="354"/>
      <c r="UWK5" s="354"/>
      <c r="UWL5" s="354"/>
      <c r="UWM5" s="354"/>
      <c r="UWN5" s="354"/>
      <c r="UWO5" s="354"/>
      <c r="UWP5" s="354"/>
      <c r="UWQ5" s="354"/>
      <c r="UWR5" s="354"/>
      <c r="UWS5" s="354"/>
      <c r="UWT5" s="354"/>
      <c r="UWU5" s="354"/>
      <c r="UWV5" s="354"/>
      <c r="UWW5" s="354"/>
      <c r="UWX5" s="354"/>
      <c r="UWY5" s="354"/>
      <c r="UWZ5" s="354"/>
      <c r="UXA5" s="354"/>
      <c r="UXB5" s="354"/>
      <c r="UXC5" s="354"/>
      <c r="UXD5" s="354"/>
      <c r="UXE5" s="354"/>
      <c r="UXF5" s="354"/>
      <c r="UXG5" s="354"/>
      <c r="UXH5" s="354"/>
      <c r="UXI5" s="354"/>
      <c r="UXJ5" s="354"/>
      <c r="UXK5" s="354"/>
      <c r="UXL5" s="354"/>
      <c r="UXM5" s="354"/>
      <c r="UXN5" s="354"/>
      <c r="UXO5" s="354"/>
      <c r="UXP5" s="354"/>
      <c r="UXQ5" s="354"/>
      <c r="UXR5" s="354"/>
      <c r="UXS5" s="354"/>
      <c r="UXT5" s="354"/>
      <c r="UXU5" s="354"/>
      <c r="UXV5" s="354"/>
      <c r="UXW5" s="354"/>
      <c r="UXX5" s="354"/>
      <c r="UXY5" s="354"/>
      <c r="UXZ5" s="354"/>
      <c r="UYA5" s="354"/>
      <c r="UYB5" s="354"/>
      <c r="UYC5" s="354"/>
      <c r="UYD5" s="354"/>
      <c r="UYE5" s="354"/>
      <c r="UYF5" s="354"/>
      <c r="UYG5" s="354"/>
      <c r="UYH5" s="354"/>
      <c r="UYI5" s="354"/>
      <c r="UYJ5" s="354"/>
      <c r="UYK5" s="354"/>
      <c r="UYL5" s="354"/>
      <c r="UYM5" s="354"/>
      <c r="UYN5" s="354"/>
      <c r="UYO5" s="354"/>
      <c r="UYP5" s="354"/>
      <c r="UYQ5" s="354"/>
      <c r="UYR5" s="354"/>
      <c r="UYS5" s="354"/>
      <c r="UYT5" s="354"/>
      <c r="UYU5" s="354"/>
      <c r="UYV5" s="354"/>
      <c r="UYW5" s="354"/>
      <c r="UYX5" s="354"/>
      <c r="UYY5" s="354"/>
      <c r="UYZ5" s="354"/>
      <c r="UZA5" s="354"/>
      <c r="UZB5" s="354"/>
      <c r="UZC5" s="354"/>
      <c r="UZD5" s="354"/>
      <c r="UZE5" s="354"/>
      <c r="UZF5" s="354"/>
      <c r="UZG5" s="354"/>
      <c r="UZH5" s="354"/>
      <c r="UZI5" s="354"/>
      <c r="UZJ5" s="354"/>
      <c r="UZK5" s="354"/>
      <c r="UZL5" s="354"/>
      <c r="UZM5" s="354"/>
      <c r="UZN5" s="354"/>
      <c r="UZO5" s="354"/>
      <c r="UZP5" s="354"/>
      <c r="UZQ5" s="354"/>
      <c r="UZR5" s="354"/>
      <c r="UZS5" s="354"/>
      <c r="UZT5" s="354"/>
      <c r="UZU5" s="354"/>
      <c r="UZV5" s="354"/>
      <c r="UZW5" s="354"/>
      <c r="UZX5" s="354"/>
      <c r="UZY5" s="354"/>
      <c r="UZZ5" s="354"/>
      <c r="VAA5" s="354"/>
      <c r="VAB5" s="354"/>
      <c r="VAC5" s="354"/>
      <c r="VAD5" s="354"/>
      <c r="VAE5" s="354"/>
      <c r="VAF5" s="354"/>
      <c r="VAG5" s="354"/>
      <c r="VAH5" s="354"/>
      <c r="VAI5" s="354"/>
      <c r="VAJ5" s="354"/>
      <c r="VAK5" s="354"/>
      <c r="VAL5" s="354"/>
      <c r="VAM5" s="354"/>
      <c r="VAN5" s="354"/>
      <c r="VAO5" s="354"/>
      <c r="VAP5" s="354"/>
      <c r="VAQ5" s="354"/>
      <c r="VAR5" s="354"/>
      <c r="VAS5" s="354"/>
      <c r="VAT5" s="354"/>
      <c r="VAU5" s="354"/>
      <c r="VAV5" s="354"/>
      <c r="VAW5" s="354"/>
      <c r="VAX5" s="354"/>
      <c r="VAY5" s="354"/>
      <c r="VAZ5" s="354"/>
      <c r="VBA5" s="354"/>
      <c r="VBB5" s="354"/>
      <c r="VBC5" s="354"/>
      <c r="VBD5" s="354"/>
      <c r="VBE5" s="354"/>
      <c r="VBF5" s="354"/>
      <c r="VBG5" s="354"/>
      <c r="VBH5" s="354"/>
      <c r="VBI5" s="354"/>
      <c r="VBJ5" s="354"/>
      <c r="VBK5" s="354"/>
      <c r="VBL5" s="354"/>
      <c r="VBM5" s="354"/>
      <c r="VBN5" s="354"/>
      <c r="VBO5" s="354"/>
      <c r="VBP5" s="354"/>
      <c r="VBQ5" s="354"/>
      <c r="VBR5" s="354"/>
      <c r="VBS5" s="354"/>
      <c r="VBT5" s="354"/>
      <c r="VBU5" s="354"/>
      <c r="VBV5" s="354"/>
      <c r="VBW5" s="354"/>
      <c r="VBX5" s="354"/>
      <c r="VBY5" s="354"/>
      <c r="VBZ5" s="354"/>
      <c r="VCA5" s="354"/>
      <c r="VCB5" s="354"/>
      <c r="VCC5" s="354"/>
      <c r="VCD5" s="354"/>
      <c r="VCE5" s="354"/>
      <c r="VCF5" s="354"/>
      <c r="VCG5" s="354"/>
      <c r="VCH5" s="354"/>
      <c r="VCI5" s="354"/>
      <c r="VCJ5" s="354"/>
      <c r="VCK5" s="354"/>
      <c r="VCL5" s="354"/>
      <c r="VCM5" s="354"/>
      <c r="VCN5" s="354"/>
      <c r="VCO5" s="354"/>
      <c r="VCP5" s="354"/>
      <c r="VCQ5" s="354"/>
      <c r="VCR5" s="354"/>
      <c r="VCS5" s="354"/>
      <c r="VCT5" s="354"/>
      <c r="VCU5" s="354"/>
      <c r="VCV5" s="354"/>
      <c r="VCW5" s="354"/>
      <c r="VCX5" s="354"/>
      <c r="VCY5" s="354"/>
      <c r="VCZ5" s="354"/>
      <c r="VDA5" s="354"/>
      <c r="VDB5" s="354"/>
      <c r="VDC5" s="354"/>
      <c r="VDD5" s="354"/>
      <c r="VDE5" s="354"/>
      <c r="VDF5" s="354"/>
      <c r="VDG5" s="354"/>
      <c r="VDH5" s="354"/>
      <c r="VDI5" s="354"/>
      <c r="VDJ5" s="354"/>
      <c r="VDK5" s="354"/>
      <c r="VDL5" s="354"/>
      <c r="VDM5" s="354"/>
      <c r="VDN5" s="354"/>
      <c r="VDO5" s="354"/>
      <c r="VDP5" s="354"/>
      <c r="VDQ5" s="354"/>
      <c r="VDR5" s="354"/>
      <c r="VDS5" s="354"/>
      <c r="VDT5" s="354"/>
      <c r="VDU5" s="354"/>
      <c r="VDV5" s="354"/>
      <c r="VDW5" s="354"/>
      <c r="VDX5" s="354"/>
      <c r="VDY5" s="354"/>
      <c r="VDZ5" s="354"/>
      <c r="VEA5" s="354"/>
      <c r="VEB5" s="354"/>
      <c r="VEC5" s="354"/>
      <c r="VED5" s="354"/>
      <c r="VEE5" s="354"/>
      <c r="VEF5" s="354"/>
      <c r="VEG5" s="354"/>
      <c r="VEH5" s="354"/>
      <c r="VEI5" s="354"/>
      <c r="VEJ5" s="354"/>
      <c r="VEK5" s="354"/>
      <c r="VEL5" s="354"/>
      <c r="VEM5" s="354"/>
      <c r="VEN5" s="354"/>
      <c r="VEO5" s="354"/>
      <c r="VEP5" s="354"/>
      <c r="VEQ5" s="354"/>
      <c r="VER5" s="354"/>
      <c r="VES5" s="354"/>
      <c r="VET5" s="354"/>
      <c r="VEU5" s="354"/>
      <c r="VEV5" s="354"/>
      <c r="VEW5" s="354"/>
      <c r="VEX5" s="354"/>
      <c r="VEY5" s="354"/>
      <c r="VEZ5" s="354"/>
      <c r="VFA5" s="354"/>
      <c r="VFB5" s="354"/>
      <c r="VFC5" s="354"/>
      <c r="VFD5" s="354"/>
      <c r="VFE5" s="354"/>
      <c r="VFF5" s="354"/>
      <c r="VFG5" s="354"/>
      <c r="VFH5" s="354"/>
      <c r="VFI5" s="354"/>
      <c r="VFJ5" s="354"/>
      <c r="VFK5" s="354"/>
      <c r="VFL5" s="354"/>
      <c r="VFM5" s="354"/>
      <c r="VFN5" s="354"/>
      <c r="VFO5" s="354"/>
      <c r="VFP5" s="354"/>
      <c r="VFQ5" s="354"/>
      <c r="VFR5" s="354"/>
      <c r="VFS5" s="354"/>
      <c r="VFT5" s="354"/>
      <c r="VFU5" s="354"/>
      <c r="VFV5" s="354"/>
      <c r="VFW5" s="354"/>
      <c r="VFX5" s="354"/>
      <c r="VFY5" s="354"/>
      <c r="VFZ5" s="354"/>
      <c r="VGA5" s="354"/>
      <c r="VGB5" s="354"/>
      <c r="VGC5" s="354"/>
      <c r="VGD5" s="354"/>
      <c r="VGE5" s="354"/>
      <c r="VGF5" s="354"/>
      <c r="VGG5" s="354"/>
      <c r="VGH5" s="354"/>
      <c r="VGI5" s="354"/>
      <c r="VGJ5" s="354"/>
      <c r="VGK5" s="354"/>
      <c r="VGL5" s="354"/>
      <c r="VGM5" s="354"/>
      <c r="VGN5" s="354"/>
      <c r="VGO5" s="354"/>
      <c r="VGP5" s="354"/>
      <c r="VGQ5" s="354"/>
      <c r="VGR5" s="354"/>
      <c r="VGS5" s="354"/>
      <c r="VGT5" s="354"/>
      <c r="VGU5" s="354"/>
      <c r="VGV5" s="354"/>
      <c r="VGW5" s="354"/>
      <c r="VGX5" s="354"/>
      <c r="VGY5" s="354"/>
      <c r="VGZ5" s="354"/>
      <c r="VHA5" s="354"/>
      <c r="VHB5" s="354"/>
      <c r="VHC5" s="354"/>
      <c r="VHD5" s="354"/>
      <c r="VHE5" s="354"/>
      <c r="VHF5" s="354"/>
      <c r="VHG5" s="354"/>
      <c r="VHH5" s="354"/>
      <c r="VHI5" s="354"/>
      <c r="VHJ5" s="354"/>
      <c r="VHK5" s="354"/>
      <c r="VHL5" s="354"/>
      <c r="VHM5" s="354"/>
      <c r="VHN5" s="354"/>
      <c r="VHO5" s="354"/>
      <c r="VHP5" s="354"/>
      <c r="VHQ5" s="354"/>
      <c r="VHR5" s="354"/>
      <c r="VHS5" s="354"/>
      <c r="VHT5" s="354"/>
      <c r="VHU5" s="354"/>
      <c r="VHV5" s="354"/>
      <c r="VHW5" s="354"/>
      <c r="VHX5" s="354"/>
      <c r="VHY5" s="354"/>
      <c r="VHZ5" s="354"/>
      <c r="VIA5" s="354"/>
      <c r="VIB5" s="354"/>
      <c r="VIC5" s="354"/>
      <c r="VID5" s="354"/>
      <c r="VIE5" s="354"/>
      <c r="VIF5" s="354"/>
      <c r="VIG5" s="354"/>
      <c r="VIH5" s="354"/>
      <c r="VII5" s="354"/>
      <c r="VIJ5" s="354"/>
      <c r="VIK5" s="354"/>
      <c r="VIL5" s="354"/>
      <c r="VIM5" s="354"/>
      <c r="VIN5" s="354"/>
      <c r="VIO5" s="354"/>
      <c r="VIP5" s="354"/>
      <c r="VIQ5" s="354"/>
      <c r="VIR5" s="354"/>
      <c r="VIS5" s="354"/>
      <c r="VIT5" s="354"/>
      <c r="VIU5" s="354"/>
      <c r="VIV5" s="354"/>
      <c r="VIW5" s="354"/>
      <c r="VIX5" s="354"/>
      <c r="VIY5" s="354"/>
      <c r="VIZ5" s="354"/>
      <c r="VJA5" s="354"/>
      <c r="VJB5" s="354"/>
      <c r="VJC5" s="354"/>
      <c r="VJD5" s="354"/>
      <c r="VJE5" s="354"/>
      <c r="VJF5" s="354"/>
      <c r="VJG5" s="354"/>
      <c r="VJH5" s="354"/>
      <c r="VJI5" s="354"/>
      <c r="VJJ5" s="354"/>
      <c r="VJK5" s="354"/>
      <c r="VJL5" s="354"/>
      <c r="VJM5" s="354"/>
      <c r="VJN5" s="354"/>
      <c r="VJO5" s="354"/>
      <c r="VJP5" s="354"/>
      <c r="VJQ5" s="354"/>
      <c r="VJR5" s="354"/>
      <c r="VJS5" s="354"/>
      <c r="VJT5" s="354"/>
      <c r="VJU5" s="354"/>
      <c r="VJV5" s="354"/>
      <c r="VJW5" s="354"/>
      <c r="VJX5" s="354"/>
      <c r="VJY5" s="354"/>
      <c r="VJZ5" s="354"/>
      <c r="VKA5" s="354"/>
      <c r="VKB5" s="354"/>
      <c r="VKC5" s="354"/>
      <c r="VKD5" s="354"/>
      <c r="VKE5" s="354"/>
      <c r="VKF5" s="354"/>
      <c r="VKG5" s="354"/>
      <c r="VKH5" s="354"/>
      <c r="VKI5" s="354"/>
      <c r="VKJ5" s="354"/>
      <c r="VKK5" s="354"/>
      <c r="VKL5" s="354"/>
      <c r="VKM5" s="354"/>
      <c r="VKN5" s="354"/>
      <c r="VKO5" s="354"/>
      <c r="VKP5" s="354"/>
      <c r="VKQ5" s="354"/>
      <c r="VKR5" s="354"/>
      <c r="VKS5" s="354"/>
      <c r="VKT5" s="354"/>
      <c r="VKU5" s="354"/>
      <c r="VKV5" s="354"/>
      <c r="VKW5" s="354"/>
      <c r="VKX5" s="354"/>
      <c r="VKY5" s="354"/>
      <c r="VKZ5" s="354"/>
      <c r="VLA5" s="354"/>
      <c r="VLB5" s="354"/>
      <c r="VLC5" s="354"/>
      <c r="VLD5" s="354"/>
      <c r="VLE5" s="354"/>
      <c r="VLF5" s="354"/>
      <c r="VLG5" s="354"/>
      <c r="VLH5" s="354"/>
      <c r="VLI5" s="354"/>
      <c r="VLJ5" s="354"/>
      <c r="VLK5" s="354"/>
      <c r="VLL5" s="354"/>
      <c r="VLM5" s="354"/>
      <c r="VLN5" s="354"/>
      <c r="VLO5" s="354"/>
      <c r="VLP5" s="354"/>
      <c r="VLQ5" s="354"/>
      <c r="VLR5" s="354"/>
      <c r="VLS5" s="354"/>
      <c r="VLT5" s="354"/>
      <c r="VLU5" s="354"/>
      <c r="VLV5" s="354"/>
      <c r="VLW5" s="354"/>
      <c r="VLX5" s="354"/>
      <c r="VLY5" s="354"/>
      <c r="VLZ5" s="354"/>
      <c r="VMA5" s="354"/>
      <c r="VMB5" s="354"/>
      <c r="VMC5" s="354"/>
      <c r="VMD5" s="354"/>
      <c r="VME5" s="354"/>
      <c r="VMF5" s="354"/>
      <c r="VMG5" s="354"/>
      <c r="VMH5" s="354"/>
      <c r="VMI5" s="354"/>
      <c r="VMJ5" s="354"/>
      <c r="VMK5" s="354"/>
      <c r="VML5" s="354"/>
      <c r="VMM5" s="354"/>
      <c r="VMN5" s="354"/>
      <c r="VMO5" s="354"/>
      <c r="VMP5" s="354"/>
      <c r="VMQ5" s="354"/>
      <c r="VMR5" s="354"/>
      <c r="VMS5" s="354"/>
      <c r="VMT5" s="354"/>
      <c r="VMU5" s="354"/>
      <c r="VMV5" s="354"/>
      <c r="VMW5" s="354"/>
      <c r="VMX5" s="354"/>
      <c r="VMY5" s="354"/>
      <c r="VMZ5" s="354"/>
      <c r="VNA5" s="354"/>
      <c r="VNB5" s="354"/>
      <c r="VNC5" s="354"/>
      <c r="VND5" s="354"/>
      <c r="VNE5" s="354"/>
      <c r="VNF5" s="354"/>
      <c r="VNG5" s="354"/>
      <c r="VNH5" s="354"/>
      <c r="VNI5" s="354"/>
      <c r="VNJ5" s="354"/>
      <c r="VNK5" s="354"/>
      <c r="VNL5" s="354"/>
      <c r="VNM5" s="354"/>
      <c r="VNN5" s="354"/>
      <c r="VNO5" s="354"/>
      <c r="VNP5" s="354"/>
      <c r="VNQ5" s="354"/>
      <c r="VNR5" s="354"/>
      <c r="VNS5" s="354"/>
      <c r="VNT5" s="354"/>
      <c r="VNU5" s="354"/>
      <c r="VNV5" s="354"/>
      <c r="VNW5" s="354"/>
      <c r="VNX5" s="354"/>
      <c r="VNY5" s="354"/>
      <c r="VNZ5" s="354"/>
      <c r="VOA5" s="354"/>
      <c r="VOB5" s="354"/>
      <c r="VOC5" s="354"/>
      <c r="VOD5" s="354"/>
      <c r="VOE5" s="354"/>
      <c r="VOF5" s="354"/>
      <c r="VOG5" s="354"/>
      <c r="VOH5" s="354"/>
      <c r="VOI5" s="354"/>
      <c r="VOJ5" s="354"/>
      <c r="VOK5" s="354"/>
      <c r="VOL5" s="354"/>
      <c r="VOM5" s="354"/>
      <c r="VON5" s="354"/>
      <c r="VOO5" s="354"/>
      <c r="VOP5" s="354"/>
      <c r="VOQ5" s="354"/>
      <c r="VOR5" s="354"/>
      <c r="VOS5" s="354"/>
      <c r="VOT5" s="354"/>
      <c r="VOU5" s="354"/>
      <c r="VOV5" s="354"/>
      <c r="VOW5" s="354"/>
      <c r="VOX5" s="354"/>
      <c r="VOY5" s="354"/>
      <c r="VOZ5" s="354"/>
      <c r="VPA5" s="354"/>
      <c r="VPB5" s="354"/>
      <c r="VPC5" s="354"/>
      <c r="VPD5" s="354"/>
      <c r="VPE5" s="354"/>
      <c r="VPF5" s="354"/>
      <c r="VPG5" s="354"/>
      <c r="VPH5" s="354"/>
      <c r="VPI5" s="354"/>
      <c r="VPJ5" s="354"/>
      <c r="VPK5" s="354"/>
      <c r="VPL5" s="354"/>
      <c r="VPM5" s="354"/>
      <c r="VPN5" s="354"/>
      <c r="VPO5" s="354"/>
      <c r="VPP5" s="354"/>
      <c r="VPQ5" s="354"/>
      <c r="VPR5" s="354"/>
      <c r="VPS5" s="354"/>
      <c r="VPT5" s="354"/>
      <c r="VPU5" s="354"/>
      <c r="VPV5" s="354"/>
      <c r="VPW5" s="354"/>
      <c r="VPX5" s="354"/>
      <c r="VPY5" s="354"/>
      <c r="VPZ5" s="354"/>
      <c r="VQA5" s="354"/>
      <c r="VQB5" s="354"/>
      <c r="VQC5" s="354"/>
      <c r="VQD5" s="354"/>
      <c r="VQE5" s="354"/>
      <c r="VQF5" s="354"/>
      <c r="VQG5" s="354"/>
      <c r="VQH5" s="354"/>
      <c r="VQI5" s="354"/>
      <c r="VQJ5" s="354"/>
      <c r="VQK5" s="354"/>
      <c r="VQL5" s="354"/>
      <c r="VQM5" s="354"/>
      <c r="VQN5" s="354"/>
      <c r="VQO5" s="354"/>
      <c r="VQP5" s="354"/>
      <c r="VQQ5" s="354"/>
      <c r="VQR5" s="354"/>
      <c r="VQS5" s="354"/>
      <c r="VQT5" s="354"/>
      <c r="VQU5" s="354"/>
      <c r="VQV5" s="354"/>
      <c r="VQW5" s="354"/>
      <c r="VQX5" s="354"/>
      <c r="VQY5" s="354"/>
      <c r="VQZ5" s="354"/>
      <c r="VRA5" s="354"/>
      <c r="VRB5" s="354"/>
      <c r="VRC5" s="354"/>
      <c r="VRD5" s="354"/>
      <c r="VRE5" s="354"/>
      <c r="VRF5" s="354"/>
      <c r="VRG5" s="354"/>
      <c r="VRH5" s="354"/>
      <c r="VRI5" s="354"/>
      <c r="VRJ5" s="354"/>
      <c r="VRK5" s="354"/>
      <c r="VRL5" s="354"/>
      <c r="VRM5" s="354"/>
      <c r="VRN5" s="354"/>
      <c r="VRO5" s="354"/>
      <c r="VRP5" s="354"/>
      <c r="VRQ5" s="354"/>
      <c r="VRR5" s="354"/>
      <c r="VRS5" s="354"/>
      <c r="VRT5" s="354"/>
      <c r="VRU5" s="354"/>
      <c r="VRV5" s="354"/>
      <c r="VRW5" s="354"/>
      <c r="VRX5" s="354"/>
      <c r="VRY5" s="354"/>
      <c r="VRZ5" s="354"/>
      <c r="VSA5" s="354"/>
      <c r="VSB5" s="354"/>
      <c r="VSC5" s="354"/>
      <c r="VSD5" s="354"/>
      <c r="VSE5" s="354"/>
      <c r="VSF5" s="354"/>
      <c r="VSG5" s="354"/>
      <c r="VSH5" s="354"/>
      <c r="VSI5" s="354"/>
      <c r="VSJ5" s="354"/>
      <c r="VSK5" s="354"/>
      <c r="VSL5" s="354"/>
      <c r="VSM5" s="354"/>
      <c r="VSN5" s="354"/>
      <c r="VSO5" s="354"/>
      <c r="VSP5" s="354"/>
      <c r="VSQ5" s="354"/>
      <c r="VSR5" s="354"/>
      <c r="VSS5" s="354"/>
      <c r="VST5" s="354"/>
      <c r="VSU5" s="354"/>
      <c r="VSV5" s="354"/>
      <c r="VSW5" s="354"/>
      <c r="VSX5" s="354"/>
      <c r="VSY5" s="354"/>
      <c r="VSZ5" s="354"/>
      <c r="VTA5" s="354"/>
      <c r="VTB5" s="354"/>
      <c r="VTC5" s="354"/>
      <c r="VTD5" s="354"/>
      <c r="VTE5" s="354"/>
      <c r="VTF5" s="354"/>
      <c r="VTG5" s="354"/>
      <c r="VTH5" s="354"/>
      <c r="VTI5" s="354"/>
      <c r="VTJ5" s="354"/>
      <c r="VTK5" s="354"/>
      <c r="VTL5" s="354"/>
      <c r="VTM5" s="354"/>
      <c r="VTN5" s="354"/>
      <c r="VTO5" s="354"/>
      <c r="VTP5" s="354"/>
      <c r="VTQ5" s="354"/>
      <c r="VTR5" s="354"/>
      <c r="VTS5" s="354"/>
      <c r="VTT5" s="354"/>
      <c r="VTU5" s="354"/>
      <c r="VTV5" s="354"/>
      <c r="VTW5" s="354"/>
      <c r="VTX5" s="354"/>
      <c r="VTY5" s="354"/>
      <c r="VTZ5" s="354"/>
      <c r="VUA5" s="354"/>
      <c r="VUB5" s="354"/>
      <c r="VUC5" s="354"/>
      <c r="VUD5" s="354"/>
      <c r="VUE5" s="354"/>
      <c r="VUF5" s="354"/>
      <c r="VUG5" s="354"/>
      <c r="VUH5" s="354"/>
      <c r="VUI5" s="354"/>
      <c r="VUJ5" s="354"/>
      <c r="VUK5" s="354"/>
      <c r="VUL5" s="354"/>
      <c r="VUM5" s="354"/>
      <c r="VUN5" s="354"/>
      <c r="VUO5" s="354"/>
      <c r="VUP5" s="354"/>
      <c r="VUQ5" s="354"/>
      <c r="VUR5" s="354"/>
      <c r="VUS5" s="354"/>
      <c r="VUT5" s="354"/>
      <c r="VUU5" s="354"/>
      <c r="VUV5" s="354"/>
      <c r="VUW5" s="354"/>
      <c r="VUX5" s="354"/>
      <c r="VUY5" s="354"/>
      <c r="VUZ5" s="354"/>
      <c r="VVA5" s="354"/>
      <c r="VVB5" s="354"/>
      <c r="VVC5" s="354"/>
      <c r="VVD5" s="354"/>
      <c r="VVE5" s="354"/>
      <c r="VVF5" s="354"/>
      <c r="VVG5" s="354"/>
      <c r="VVH5" s="354"/>
      <c r="VVI5" s="354"/>
      <c r="VVJ5" s="354"/>
      <c r="VVK5" s="354"/>
      <c r="VVL5" s="354"/>
      <c r="VVM5" s="354"/>
      <c r="VVN5" s="354"/>
      <c r="VVO5" s="354"/>
      <c r="VVP5" s="354"/>
      <c r="VVQ5" s="354"/>
      <c r="VVR5" s="354"/>
      <c r="VVS5" s="354"/>
      <c r="VVT5" s="354"/>
      <c r="VVU5" s="354"/>
      <c r="VVV5" s="354"/>
      <c r="VVW5" s="354"/>
      <c r="VVX5" s="354"/>
      <c r="VVY5" s="354"/>
      <c r="VVZ5" s="354"/>
      <c r="VWA5" s="354"/>
      <c r="VWB5" s="354"/>
      <c r="VWC5" s="354"/>
      <c r="VWD5" s="354"/>
      <c r="VWE5" s="354"/>
      <c r="VWF5" s="354"/>
      <c r="VWG5" s="354"/>
      <c r="VWH5" s="354"/>
      <c r="VWI5" s="354"/>
      <c r="VWJ5" s="354"/>
      <c r="VWK5" s="354"/>
      <c r="VWL5" s="354"/>
      <c r="VWM5" s="354"/>
      <c r="VWN5" s="354"/>
      <c r="VWO5" s="354"/>
      <c r="VWP5" s="354"/>
      <c r="VWQ5" s="354"/>
      <c r="VWR5" s="354"/>
      <c r="VWS5" s="354"/>
      <c r="VWT5" s="354"/>
      <c r="VWU5" s="354"/>
      <c r="VWV5" s="354"/>
      <c r="VWW5" s="354"/>
      <c r="VWX5" s="354"/>
      <c r="VWY5" s="354"/>
      <c r="VWZ5" s="354"/>
      <c r="VXA5" s="354"/>
      <c r="VXB5" s="354"/>
      <c r="VXC5" s="354"/>
      <c r="VXD5" s="354"/>
      <c r="VXE5" s="354"/>
      <c r="VXF5" s="354"/>
      <c r="VXG5" s="354"/>
      <c r="VXH5" s="354"/>
      <c r="VXI5" s="354"/>
      <c r="VXJ5" s="354"/>
      <c r="VXK5" s="354"/>
      <c r="VXL5" s="354"/>
      <c r="VXM5" s="354"/>
      <c r="VXN5" s="354"/>
      <c r="VXO5" s="354"/>
      <c r="VXP5" s="354"/>
      <c r="VXQ5" s="354"/>
      <c r="VXR5" s="354"/>
      <c r="VXS5" s="354"/>
      <c r="VXT5" s="354"/>
      <c r="VXU5" s="354"/>
      <c r="VXV5" s="354"/>
      <c r="VXW5" s="354"/>
      <c r="VXX5" s="354"/>
      <c r="VXY5" s="354"/>
      <c r="VXZ5" s="354"/>
      <c r="VYA5" s="354"/>
      <c r="VYB5" s="354"/>
      <c r="VYC5" s="354"/>
      <c r="VYD5" s="354"/>
      <c r="VYE5" s="354"/>
      <c r="VYF5" s="354"/>
      <c r="VYG5" s="354"/>
      <c r="VYH5" s="354"/>
      <c r="VYI5" s="354"/>
      <c r="VYJ5" s="354"/>
      <c r="VYK5" s="354"/>
      <c r="VYL5" s="354"/>
      <c r="VYM5" s="354"/>
      <c r="VYN5" s="354"/>
      <c r="VYO5" s="354"/>
      <c r="VYP5" s="354"/>
      <c r="VYQ5" s="354"/>
      <c r="VYR5" s="354"/>
      <c r="VYS5" s="354"/>
      <c r="VYT5" s="354"/>
      <c r="VYU5" s="354"/>
      <c r="VYV5" s="354"/>
      <c r="VYW5" s="354"/>
      <c r="VYX5" s="354"/>
      <c r="VYY5" s="354"/>
      <c r="VYZ5" s="354"/>
      <c r="VZA5" s="354"/>
      <c r="VZB5" s="354"/>
      <c r="VZC5" s="354"/>
      <c r="VZD5" s="354"/>
      <c r="VZE5" s="354"/>
      <c r="VZF5" s="354"/>
      <c r="VZG5" s="354"/>
      <c r="VZH5" s="354"/>
      <c r="VZI5" s="354"/>
      <c r="VZJ5" s="354"/>
      <c r="VZK5" s="354"/>
      <c r="VZL5" s="354"/>
      <c r="VZM5" s="354"/>
      <c r="VZN5" s="354"/>
      <c r="VZO5" s="354"/>
      <c r="VZP5" s="354"/>
      <c r="VZQ5" s="354"/>
      <c r="VZR5" s="354"/>
      <c r="VZS5" s="354"/>
      <c r="VZT5" s="354"/>
      <c r="VZU5" s="354"/>
      <c r="VZV5" s="354"/>
      <c r="VZW5" s="354"/>
      <c r="VZX5" s="354"/>
      <c r="VZY5" s="354"/>
      <c r="VZZ5" s="354"/>
      <c r="WAA5" s="354"/>
      <c r="WAB5" s="354"/>
      <c r="WAC5" s="354"/>
      <c r="WAD5" s="354"/>
      <c r="WAE5" s="354"/>
      <c r="WAF5" s="354"/>
      <c r="WAG5" s="354"/>
      <c r="WAH5" s="354"/>
      <c r="WAI5" s="354"/>
      <c r="WAJ5" s="354"/>
      <c r="WAK5" s="354"/>
      <c r="WAL5" s="354"/>
      <c r="WAM5" s="354"/>
      <c r="WAN5" s="354"/>
      <c r="WAO5" s="354"/>
      <c r="WAP5" s="354"/>
      <c r="WAQ5" s="354"/>
      <c r="WAR5" s="354"/>
      <c r="WAS5" s="354"/>
      <c r="WAT5" s="354"/>
      <c r="WAU5" s="354"/>
      <c r="WAV5" s="354"/>
      <c r="WAW5" s="354"/>
      <c r="WAX5" s="354"/>
      <c r="WAY5" s="354"/>
      <c r="WAZ5" s="354"/>
      <c r="WBA5" s="354"/>
      <c r="WBB5" s="354"/>
      <c r="WBC5" s="354"/>
      <c r="WBD5" s="354"/>
      <c r="WBE5" s="354"/>
      <c r="WBF5" s="354"/>
      <c r="WBG5" s="354"/>
      <c r="WBH5" s="354"/>
      <c r="WBI5" s="354"/>
      <c r="WBJ5" s="354"/>
      <c r="WBK5" s="354"/>
      <c r="WBL5" s="354"/>
      <c r="WBM5" s="354"/>
      <c r="WBN5" s="354"/>
      <c r="WBO5" s="354"/>
      <c r="WBP5" s="354"/>
      <c r="WBQ5" s="354"/>
      <c r="WBR5" s="354"/>
      <c r="WBS5" s="354"/>
      <c r="WBT5" s="354"/>
      <c r="WBU5" s="354"/>
      <c r="WBV5" s="354"/>
      <c r="WBW5" s="354"/>
      <c r="WBX5" s="354"/>
      <c r="WBY5" s="354"/>
      <c r="WBZ5" s="354"/>
      <c r="WCA5" s="354"/>
      <c r="WCB5" s="354"/>
      <c r="WCC5" s="354"/>
      <c r="WCD5" s="354"/>
      <c r="WCE5" s="354"/>
      <c r="WCF5" s="354"/>
      <c r="WCG5" s="354"/>
      <c r="WCH5" s="354"/>
      <c r="WCI5" s="354"/>
      <c r="WCJ5" s="354"/>
      <c r="WCK5" s="354"/>
      <c r="WCL5" s="354"/>
      <c r="WCM5" s="354"/>
      <c r="WCN5" s="354"/>
      <c r="WCO5" s="354"/>
      <c r="WCP5" s="354"/>
      <c r="WCQ5" s="354"/>
      <c r="WCR5" s="354"/>
      <c r="WCS5" s="354"/>
      <c r="WCT5" s="354"/>
      <c r="WCU5" s="354"/>
      <c r="WCV5" s="354"/>
      <c r="WCW5" s="354"/>
      <c r="WCX5" s="354"/>
      <c r="WCY5" s="354"/>
      <c r="WCZ5" s="354"/>
      <c r="WDA5" s="354"/>
      <c r="WDB5" s="354"/>
      <c r="WDC5" s="354"/>
      <c r="WDD5" s="354"/>
      <c r="WDE5" s="354"/>
      <c r="WDF5" s="354"/>
      <c r="WDG5" s="354"/>
      <c r="WDH5" s="354"/>
      <c r="WDI5" s="354"/>
      <c r="WDJ5" s="354"/>
      <c r="WDK5" s="354"/>
      <c r="WDL5" s="354"/>
      <c r="WDM5" s="354"/>
      <c r="WDN5" s="354"/>
      <c r="WDO5" s="354"/>
      <c r="WDP5" s="354"/>
      <c r="WDQ5" s="354"/>
      <c r="WDR5" s="354"/>
      <c r="WDS5" s="354"/>
      <c r="WDT5" s="354"/>
      <c r="WDU5" s="354"/>
      <c r="WDV5" s="354"/>
      <c r="WDW5" s="354"/>
      <c r="WDX5" s="354"/>
      <c r="WDY5" s="354"/>
      <c r="WDZ5" s="354"/>
      <c r="WEA5" s="354"/>
      <c r="WEB5" s="354"/>
      <c r="WEC5" s="354"/>
      <c r="WED5" s="354"/>
      <c r="WEE5" s="354"/>
      <c r="WEF5" s="354"/>
      <c r="WEG5" s="354"/>
      <c r="WEH5" s="354"/>
      <c r="WEI5" s="354"/>
      <c r="WEJ5" s="354"/>
      <c r="WEK5" s="354"/>
      <c r="WEL5" s="354"/>
      <c r="WEM5" s="354"/>
      <c r="WEN5" s="354"/>
      <c r="WEO5" s="354"/>
      <c r="WEP5" s="354"/>
      <c r="WEQ5" s="354"/>
      <c r="WER5" s="354"/>
      <c r="WES5" s="354"/>
      <c r="WET5" s="354"/>
      <c r="WEU5" s="354"/>
      <c r="WEV5" s="354"/>
      <c r="WEW5" s="354"/>
      <c r="WEX5" s="354"/>
      <c r="WEY5" s="354"/>
      <c r="WEZ5" s="354"/>
      <c r="WFA5" s="354"/>
      <c r="WFB5" s="354"/>
      <c r="WFC5" s="354"/>
      <c r="WFD5" s="354"/>
      <c r="WFE5" s="354"/>
      <c r="WFF5" s="354"/>
      <c r="WFG5" s="354"/>
      <c r="WFH5" s="354"/>
      <c r="WFI5" s="354"/>
      <c r="WFJ5" s="354"/>
      <c r="WFK5" s="354"/>
      <c r="WFL5" s="354"/>
      <c r="WFM5" s="354"/>
      <c r="WFN5" s="354"/>
      <c r="WFO5" s="354"/>
      <c r="WFP5" s="354"/>
      <c r="WFQ5" s="354"/>
      <c r="WFR5" s="354"/>
      <c r="WFS5" s="354"/>
      <c r="WFT5" s="354"/>
      <c r="WFU5" s="354"/>
      <c r="WFV5" s="354"/>
      <c r="WFW5" s="354"/>
      <c r="WFX5" s="354"/>
      <c r="WFY5" s="354"/>
      <c r="WFZ5" s="354"/>
      <c r="WGA5" s="354"/>
      <c r="WGB5" s="354"/>
      <c r="WGC5" s="354"/>
      <c r="WGD5" s="354"/>
      <c r="WGE5" s="354"/>
      <c r="WGF5" s="354"/>
      <c r="WGG5" s="354"/>
      <c r="WGH5" s="354"/>
      <c r="WGI5" s="354"/>
      <c r="WGJ5" s="354"/>
      <c r="WGK5" s="354"/>
      <c r="WGL5" s="354"/>
      <c r="WGM5" s="354"/>
      <c r="WGN5" s="354"/>
      <c r="WGO5" s="354"/>
      <c r="WGP5" s="354"/>
      <c r="WGQ5" s="354"/>
      <c r="WGR5" s="354"/>
      <c r="WGS5" s="354"/>
      <c r="WGT5" s="354"/>
      <c r="WGU5" s="354"/>
      <c r="WGV5" s="354"/>
      <c r="WGW5" s="354"/>
      <c r="WGX5" s="354"/>
      <c r="WGY5" s="354"/>
      <c r="WGZ5" s="354"/>
      <c r="WHA5" s="354"/>
      <c r="WHB5" s="354"/>
      <c r="WHC5" s="354"/>
      <c r="WHD5" s="354"/>
      <c r="WHE5" s="354"/>
      <c r="WHF5" s="354"/>
      <c r="WHG5" s="354"/>
      <c r="WHH5" s="354"/>
      <c r="WHI5" s="354"/>
      <c r="WHJ5" s="354"/>
      <c r="WHK5" s="354"/>
      <c r="WHL5" s="354"/>
      <c r="WHM5" s="354"/>
      <c r="WHN5" s="354"/>
      <c r="WHO5" s="354"/>
      <c r="WHP5" s="354"/>
      <c r="WHQ5" s="354"/>
      <c r="WHR5" s="354"/>
      <c r="WHS5" s="354"/>
      <c r="WHT5" s="354"/>
      <c r="WHU5" s="354"/>
      <c r="WHV5" s="354"/>
      <c r="WHW5" s="354"/>
      <c r="WHX5" s="354"/>
      <c r="WHY5" s="354"/>
      <c r="WHZ5" s="354"/>
      <c r="WIA5" s="354"/>
      <c r="WIB5" s="354"/>
      <c r="WIC5" s="354"/>
      <c r="WID5" s="354"/>
      <c r="WIE5" s="354"/>
      <c r="WIF5" s="354"/>
      <c r="WIG5" s="354"/>
      <c r="WIH5" s="354"/>
      <c r="WII5" s="354"/>
      <c r="WIJ5" s="354"/>
      <c r="WIK5" s="354"/>
      <c r="WIL5" s="354"/>
      <c r="WIM5" s="354"/>
      <c r="WIN5" s="354"/>
      <c r="WIO5" s="354"/>
      <c r="WIP5" s="354"/>
      <c r="WIQ5" s="354"/>
      <c r="WIR5" s="354"/>
      <c r="WIS5" s="354"/>
      <c r="WIT5" s="354"/>
      <c r="WIU5" s="354"/>
      <c r="WIV5" s="354"/>
      <c r="WIW5" s="354"/>
      <c r="WIX5" s="354"/>
      <c r="WIY5" s="354"/>
      <c r="WIZ5" s="354"/>
      <c r="WJA5" s="354"/>
      <c r="WJB5" s="354"/>
      <c r="WJC5" s="354"/>
      <c r="WJD5" s="354"/>
      <c r="WJE5" s="354"/>
      <c r="WJF5" s="354"/>
      <c r="WJG5" s="354"/>
      <c r="WJH5" s="354"/>
      <c r="WJI5" s="354"/>
      <c r="WJJ5" s="354"/>
      <c r="WJK5" s="354"/>
      <c r="WJL5" s="354"/>
      <c r="WJM5" s="354"/>
      <c r="WJN5" s="354"/>
      <c r="WJO5" s="354"/>
      <c r="WJP5" s="354"/>
      <c r="WJQ5" s="354"/>
      <c r="WJR5" s="354"/>
      <c r="WJS5" s="354"/>
      <c r="WJT5" s="354"/>
      <c r="WJU5" s="354"/>
      <c r="WJV5" s="354"/>
      <c r="WJW5" s="354"/>
      <c r="WJX5" s="354"/>
      <c r="WJY5" s="354"/>
      <c r="WJZ5" s="354"/>
      <c r="WKA5" s="354"/>
      <c r="WKB5" s="354"/>
      <c r="WKC5" s="354"/>
      <c r="WKD5" s="354"/>
      <c r="WKE5" s="354"/>
      <c r="WKF5" s="354"/>
      <c r="WKG5" s="354"/>
      <c r="WKH5" s="354"/>
      <c r="WKI5" s="354"/>
      <c r="WKJ5" s="354"/>
      <c r="WKK5" s="354"/>
      <c r="WKL5" s="354"/>
      <c r="WKM5" s="354"/>
      <c r="WKN5" s="354"/>
      <c r="WKO5" s="354"/>
      <c r="WKP5" s="354"/>
      <c r="WKQ5" s="354"/>
      <c r="WKR5" s="354"/>
      <c r="WKS5" s="354"/>
      <c r="WKT5" s="354"/>
      <c r="WKU5" s="354"/>
      <c r="WKV5" s="354"/>
      <c r="WKW5" s="354"/>
      <c r="WKX5" s="354"/>
      <c r="WKY5" s="354"/>
      <c r="WKZ5" s="354"/>
      <c r="WLA5" s="354"/>
      <c r="WLB5" s="354"/>
      <c r="WLC5" s="354"/>
      <c r="WLD5" s="354"/>
      <c r="WLE5" s="354"/>
      <c r="WLF5" s="354"/>
      <c r="WLG5" s="354"/>
      <c r="WLH5" s="354"/>
      <c r="WLI5" s="354"/>
      <c r="WLJ5" s="354"/>
      <c r="WLK5" s="354"/>
      <c r="WLL5" s="354"/>
      <c r="WLM5" s="354"/>
      <c r="WLN5" s="354"/>
      <c r="WLO5" s="354"/>
      <c r="WLP5" s="354"/>
      <c r="WLQ5" s="354"/>
      <c r="WLR5" s="354"/>
      <c r="WLS5" s="354"/>
      <c r="WLT5" s="354"/>
      <c r="WLU5" s="354"/>
      <c r="WLV5" s="354"/>
      <c r="WLW5" s="354"/>
      <c r="WLX5" s="354"/>
      <c r="WLY5" s="354"/>
      <c r="WLZ5" s="354"/>
      <c r="WMA5" s="354"/>
      <c r="WMB5" s="354"/>
      <c r="WMC5" s="354"/>
      <c r="WMD5" s="354"/>
      <c r="WME5" s="354"/>
      <c r="WMF5" s="354"/>
      <c r="WMG5" s="354"/>
      <c r="WMH5" s="354"/>
      <c r="WMI5" s="354"/>
      <c r="WMJ5" s="354"/>
      <c r="WMK5" s="354"/>
      <c r="WML5" s="354"/>
      <c r="WMM5" s="354"/>
      <c r="WMN5" s="354"/>
      <c r="WMO5" s="354"/>
      <c r="WMP5" s="354"/>
      <c r="WMQ5" s="354"/>
      <c r="WMR5" s="354"/>
      <c r="WMS5" s="354"/>
      <c r="WMT5" s="354"/>
      <c r="WMU5" s="354"/>
      <c r="WMV5" s="354"/>
      <c r="WMW5" s="354"/>
      <c r="WMX5" s="354"/>
      <c r="WMY5" s="354"/>
      <c r="WMZ5" s="354"/>
      <c r="WNA5" s="354"/>
      <c r="WNB5" s="354"/>
      <c r="WNC5" s="354"/>
      <c r="WND5" s="354"/>
      <c r="WNE5" s="354"/>
      <c r="WNF5" s="354"/>
      <c r="WNG5" s="354"/>
      <c r="WNH5" s="354"/>
      <c r="WNI5" s="354"/>
      <c r="WNJ5" s="354"/>
      <c r="WNK5" s="354"/>
      <c r="WNL5" s="354"/>
      <c r="WNM5" s="354"/>
      <c r="WNN5" s="354"/>
      <c r="WNO5" s="354"/>
      <c r="WNP5" s="354"/>
      <c r="WNQ5" s="354"/>
      <c r="WNR5" s="354"/>
      <c r="WNS5" s="354"/>
      <c r="WNT5" s="354"/>
      <c r="WNU5" s="354"/>
      <c r="WNV5" s="354"/>
      <c r="WNW5" s="354"/>
      <c r="WNX5" s="354"/>
      <c r="WNY5" s="354"/>
      <c r="WNZ5" s="354"/>
      <c r="WOA5" s="354"/>
      <c r="WOB5" s="354"/>
      <c r="WOC5" s="354"/>
      <c r="WOD5" s="354"/>
      <c r="WOE5" s="354"/>
      <c r="WOF5" s="354"/>
      <c r="WOG5" s="354"/>
      <c r="WOH5" s="354"/>
      <c r="WOI5" s="354"/>
      <c r="WOJ5" s="354"/>
      <c r="WOK5" s="354"/>
      <c r="WOL5" s="354"/>
      <c r="WOM5" s="354"/>
      <c r="WON5" s="354"/>
      <c r="WOO5" s="354"/>
      <c r="WOP5" s="354"/>
      <c r="WOQ5" s="354"/>
      <c r="WOR5" s="354"/>
      <c r="WOS5" s="354"/>
      <c r="WOT5" s="354"/>
      <c r="WOU5" s="354"/>
      <c r="WOV5" s="354"/>
      <c r="WOW5" s="354"/>
      <c r="WOX5" s="354"/>
      <c r="WOY5" s="354"/>
      <c r="WOZ5" s="354"/>
      <c r="WPA5" s="354"/>
      <c r="WPB5" s="354"/>
      <c r="WPC5" s="354"/>
      <c r="WPD5" s="354"/>
      <c r="WPE5" s="354"/>
      <c r="WPF5" s="354"/>
      <c r="WPG5" s="354"/>
      <c r="WPH5" s="354"/>
      <c r="WPI5" s="354"/>
      <c r="WPJ5" s="354"/>
      <c r="WPK5" s="354"/>
      <c r="WPL5" s="354"/>
      <c r="WPM5" s="354"/>
      <c r="WPN5" s="354"/>
      <c r="WPO5" s="354"/>
      <c r="WPP5" s="354"/>
      <c r="WPQ5" s="354"/>
      <c r="WPR5" s="354"/>
      <c r="WPS5" s="354"/>
      <c r="WPT5" s="354"/>
      <c r="WPU5" s="354"/>
      <c r="WPV5" s="354"/>
      <c r="WPW5" s="354"/>
      <c r="WPX5" s="354"/>
      <c r="WPY5" s="354"/>
      <c r="WPZ5" s="354"/>
      <c r="WQA5" s="354"/>
      <c r="WQB5" s="354"/>
      <c r="WQC5" s="354"/>
      <c r="WQD5" s="354"/>
      <c r="WQE5" s="354"/>
      <c r="WQF5" s="354"/>
      <c r="WQG5" s="354"/>
      <c r="WQH5" s="354"/>
      <c r="WQI5" s="354"/>
      <c r="WQJ5" s="354"/>
      <c r="WQK5" s="354"/>
      <c r="WQL5" s="354"/>
      <c r="WQM5" s="354"/>
      <c r="WQN5" s="354"/>
      <c r="WQO5" s="354"/>
      <c r="WQP5" s="354"/>
      <c r="WQQ5" s="354"/>
      <c r="WQR5" s="354"/>
      <c r="WQS5" s="354"/>
      <c r="WQT5" s="354"/>
      <c r="WQU5" s="354"/>
      <c r="WQV5" s="354"/>
      <c r="WQW5" s="354"/>
      <c r="WQX5" s="354"/>
      <c r="WQY5" s="354"/>
      <c r="WQZ5" s="354"/>
      <c r="WRA5" s="354"/>
      <c r="WRB5" s="354"/>
      <c r="WRC5" s="354"/>
      <c r="WRD5" s="354"/>
      <c r="WRE5" s="354"/>
      <c r="WRF5" s="354"/>
      <c r="WRG5" s="354"/>
      <c r="WRH5" s="354"/>
      <c r="WRI5" s="354"/>
      <c r="WRJ5" s="354"/>
      <c r="WRK5" s="354"/>
      <c r="WRL5" s="354"/>
      <c r="WRM5" s="354"/>
      <c r="WRN5" s="354"/>
      <c r="WRO5" s="354"/>
      <c r="WRP5" s="354"/>
      <c r="WRQ5" s="354"/>
      <c r="WRR5" s="354"/>
      <c r="WRS5" s="354"/>
      <c r="WRT5" s="354"/>
      <c r="WRU5" s="354"/>
      <c r="WRV5" s="354"/>
      <c r="WRW5" s="354"/>
      <c r="WRX5" s="354"/>
      <c r="WRY5" s="354"/>
      <c r="WRZ5" s="354"/>
      <c r="WSA5" s="354"/>
      <c r="WSB5" s="354"/>
      <c r="WSC5" s="354"/>
      <c r="WSD5" s="354"/>
      <c r="WSE5" s="354"/>
      <c r="WSF5" s="354"/>
      <c r="WSG5" s="354"/>
      <c r="WSH5" s="354"/>
      <c r="WSI5" s="354"/>
      <c r="WSJ5" s="354"/>
      <c r="WSK5" s="354"/>
      <c r="WSL5" s="354"/>
      <c r="WSM5" s="354"/>
      <c r="WSN5" s="354"/>
      <c r="WSO5" s="354"/>
      <c r="WSP5" s="354"/>
      <c r="WSQ5" s="354"/>
      <c r="WSR5" s="354"/>
      <c r="WSS5" s="354"/>
      <c r="WST5" s="354"/>
      <c r="WSU5" s="354"/>
      <c r="WSV5" s="354"/>
      <c r="WSW5" s="354"/>
      <c r="WSX5" s="354"/>
      <c r="WSY5" s="354"/>
      <c r="WSZ5" s="354"/>
      <c r="WTA5" s="354"/>
      <c r="WTB5" s="354"/>
      <c r="WTC5" s="354"/>
      <c r="WTD5" s="354"/>
      <c r="WTE5" s="354"/>
      <c r="WTF5" s="354"/>
      <c r="WTG5" s="354"/>
      <c r="WTH5" s="354"/>
      <c r="WTI5" s="354"/>
      <c r="WTJ5" s="354"/>
      <c r="WTK5" s="354"/>
      <c r="WTL5" s="354"/>
      <c r="WTM5" s="354"/>
      <c r="WTN5" s="354"/>
      <c r="WTO5" s="354"/>
      <c r="WTP5" s="354"/>
      <c r="WTQ5" s="354"/>
      <c r="WTR5" s="354"/>
      <c r="WTS5" s="354"/>
      <c r="WTT5" s="354"/>
      <c r="WTU5" s="354"/>
      <c r="WTV5" s="354"/>
      <c r="WTW5" s="354"/>
      <c r="WTX5" s="354"/>
      <c r="WTY5" s="354"/>
      <c r="WTZ5" s="354"/>
      <c r="WUA5" s="354"/>
      <c r="WUB5" s="354"/>
      <c r="WUC5" s="354"/>
      <c r="WUD5" s="354"/>
      <c r="WUE5" s="354"/>
      <c r="WUF5" s="354"/>
      <c r="WUG5" s="354"/>
      <c r="WUH5" s="354"/>
      <c r="WUI5" s="354"/>
      <c r="WUJ5" s="354"/>
      <c r="WUK5" s="354"/>
      <c r="WUL5" s="354"/>
      <c r="WUM5" s="354"/>
      <c r="WUN5" s="354"/>
      <c r="WUO5" s="354"/>
      <c r="WUP5" s="354"/>
      <c r="WUQ5" s="354"/>
      <c r="WUR5" s="354"/>
      <c r="WUS5" s="354"/>
      <c r="WUT5" s="354"/>
      <c r="WUU5" s="354"/>
      <c r="WUV5" s="354"/>
      <c r="WUW5" s="354"/>
      <c r="WUX5" s="354"/>
      <c r="WUY5" s="354"/>
      <c r="WUZ5" s="354"/>
      <c r="WVA5" s="354"/>
      <c r="WVB5" s="354"/>
      <c r="WVC5" s="354"/>
      <c r="WVD5" s="354"/>
      <c r="WVE5" s="354"/>
      <c r="WVF5" s="354"/>
      <c r="WVG5" s="354"/>
      <c r="WVH5" s="354"/>
      <c r="WVI5" s="354"/>
      <c r="WVJ5" s="354"/>
      <c r="WVK5" s="354"/>
      <c r="WVL5" s="354"/>
      <c r="WVM5" s="354"/>
      <c r="WVN5" s="354"/>
      <c r="WVO5" s="354"/>
      <c r="WVP5" s="354"/>
      <c r="WVQ5" s="354"/>
      <c r="WVR5" s="354"/>
      <c r="WVS5" s="354"/>
      <c r="WVT5" s="354"/>
      <c r="WVU5" s="354"/>
      <c r="WVV5" s="354"/>
      <c r="WVW5" s="354"/>
      <c r="WVX5" s="354"/>
      <c r="WVY5" s="354"/>
      <c r="WVZ5" s="354"/>
      <c r="WWA5" s="354"/>
      <c r="WWB5" s="354"/>
      <c r="WWC5" s="354"/>
      <c r="WWD5" s="354"/>
      <c r="WWE5" s="354"/>
      <c r="WWF5" s="354"/>
      <c r="WWG5" s="354"/>
      <c r="WWH5" s="354"/>
      <c r="WWI5" s="354"/>
      <c r="WWJ5" s="354"/>
      <c r="WWK5" s="354"/>
      <c r="WWL5" s="354"/>
      <c r="WWM5" s="354"/>
      <c r="WWN5" s="354"/>
      <c r="WWO5" s="354"/>
      <c r="WWP5" s="354"/>
      <c r="WWQ5" s="354"/>
      <c r="WWR5" s="354"/>
      <c r="WWS5" s="354"/>
      <c r="WWT5" s="354"/>
      <c r="WWU5" s="354"/>
      <c r="WWV5" s="354"/>
      <c r="WWW5" s="354"/>
      <c r="WWX5" s="354"/>
      <c r="WWY5" s="354"/>
      <c r="WWZ5" s="354"/>
      <c r="WXA5" s="354"/>
      <c r="WXB5" s="354"/>
      <c r="WXC5" s="354"/>
      <c r="WXD5" s="354"/>
      <c r="WXE5" s="354"/>
      <c r="WXF5" s="354"/>
      <c r="WXG5" s="354"/>
      <c r="WXH5" s="354"/>
      <c r="WXI5" s="354"/>
      <c r="WXJ5" s="354"/>
      <c r="WXK5" s="354"/>
      <c r="WXL5" s="354"/>
      <c r="WXM5" s="354"/>
      <c r="WXN5" s="354"/>
      <c r="WXO5" s="354"/>
      <c r="WXP5" s="354"/>
      <c r="WXQ5" s="354"/>
      <c r="WXR5" s="354"/>
      <c r="WXS5" s="354"/>
      <c r="WXT5" s="354"/>
      <c r="WXU5" s="354"/>
      <c r="WXV5" s="354"/>
      <c r="WXW5" s="354"/>
      <c r="WXX5" s="354"/>
      <c r="WXY5" s="354"/>
      <c r="WXZ5" s="354"/>
      <c r="WYA5" s="354"/>
      <c r="WYB5" s="354"/>
      <c r="WYC5" s="354"/>
      <c r="WYD5" s="354"/>
      <c r="WYE5" s="354"/>
      <c r="WYF5" s="354"/>
      <c r="WYG5" s="354"/>
      <c r="WYH5" s="354"/>
      <c r="WYI5" s="354"/>
      <c r="WYJ5" s="354"/>
      <c r="WYK5" s="354"/>
      <c r="WYL5" s="354"/>
      <c r="WYM5" s="354"/>
      <c r="WYN5" s="354"/>
      <c r="WYO5" s="354"/>
      <c r="WYP5" s="354"/>
      <c r="WYQ5" s="354"/>
      <c r="WYR5" s="354"/>
      <c r="WYS5" s="354"/>
      <c r="WYT5" s="354"/>
      <c r="WYU5" s="354"/>
      <c r="WYV5" s="354"/>
      <c r="WYW5" s="354"/>
      <c r="WYX5" s="354"/>
      <c r="WYY5" s="354"/>
      <c r="WYZ5" s="354"/>
      <c r="WZA5" s="354"/>
      <c r="WZB5" s="354"/>
      <c r="WZC5" s="354"/>
      <c r="WZD5" s="354"/>
      <c r="WZE5" s="354"/>
      <c r="WZF5" s="354"/>
      <c r="WZG5" s="354"/>
      <c r="WZH5" s="354"/>
      <c r="WZI5" s="354"/>
      <c r="WZJ5" s="354"/>
      <c r="WZK5" s="354"/>
      <c r="WZL5" s="354"/>
      <c r="WZM5" s="354"/>
      <c r="WZN5" s="354"/>
      <c r="WZO5" s="354"/>
      <c r="WZP5" s="354"/>
      <c r="WZQ5" s="354"/>
      <c r="WZR5" s="354"/>
      <c r="WZS5" s="354"/>
      <c r="WZT5" s="354"/>
      <c r="WZU5" s="354"/>
      <c r="WZV5" s="354"/>
      <c r="WZW5" s="354"/>
      <c r="WZX5" s="354"/>
      <c r="WZY5" s="354"/>
      <c r="WZZ5" s="354"/>
      <c r="XAA5" s="354"/>
      <c r="XAB5" s="354"/>
      <c r="XAC5" s="354"/>
      <c r="XAD5" s="354"/>
      <c r="XAE5" s="354"/>
      <c r="XAF5" s="354"/>
      <c r="XAG5" s="354"/>
      <c r="XAH5" s="354"/>
      <c r="XAI5" s="354"/>
      <c r="XAJ5" s="354"/>
      <c r="XAK5" s="354"/>
      <c r="XAL5" s="354"/>
      <c r="XAM5" s="354"/>
      <c r="XAN5" s="354"/>
      <c r="XAO5" s="354"/>
      <c r="XAP5" s="354"/>
      <c r="XAQ5" s="354"/>
      <c r="XAR5" s="354"/>
      <c r="XAS5" s="354"/>
      <c r="XAT5" s="354"/>
      <c r="XAU5" s="354"/>
      <c r="XAV5" s="354"/>
      <c r="XAW5" s="354"/>
      <c r="XAX5" s="354"/>
      <c r="XAY5" s="354"/>
      <c r="XAZ5" s="354"/>
      <c r="XBA5" s="354"/>
      <c r="XBB5" s="354"/>
      <c r="XBC5" s="354"/>
      <c r="XBD5" s="354"/>
      <c r="XBE5" s="354"/>
      <c r="XBF5" s="354"/>
      <c r="XBG5" s="354"/>
      <c r="XBH5" s="354"/>
      <c r="XBI5" s="354"/>
      <c r="XBJ5" s="354"/>
      <c r="XBK5" s="354"/>
      <c r="XBL5" s="354"/>
      <c r="XBM5" s="354"/>
      <c r="XBN5" s="354"/>
      <c r="XBO5" s="354"/>
      <c r="XBP5" s="354"/>
      <c r="XBQ5" s="354"/>
      <c r="XBR5" s="354"/>
      <c r="XBS5" s="354"/>
      <c r="XBT5" s="354"/>
      <c r="XBU5" s="354"/>
      <c r="XBV5" s="354"/>
      <c r="XBW5" s="354"/>
      <c r="XBX5" s="354"/>
      <c r="XBY5" s="354"/>
      <c r="XBZ5" s="354"/>
      <c r="XCA5" s="354"/>
      <c r="XCB5" s="354"/>
      <c r="XCC5" s="354"/>
      <c r="XCD5" s="354"/>
      <c r="XCE5" s="354"/>
      <c r="XCF5" s="354"/>
      <c r="XCG5" s="354"/>
      <c r="XCH5" s="354"/>
      <c r="XCI5" s="354"/>
      <c r="XCJ5" s="354"/>
      <c r="XCK5" s="354"/>
      <c r="XCL5" s="354"/>
      <c r="XCM5" s="354"/>
      <c r="XCN5" s="354"/>
      <c r="XCO5" s="354"/>
      <c r="XCP5" s="354"/>
      <c r="XCQ5" s="354"/>
      <c r="XCR5" s="354"/>
      <c r="XCS5" s="354"/>
      <c r="XCT5" s="354"/>
      <c r="XCU5" s="354"/>
      <c r="XCV5" s="354"/>
      <c r="XCW5" s="354"/>
      <c r="XCX5" s="354"/>
      <c r="XCY5" s="354"/>
      <c r="XCZ5" s="354"/>
      <c r="XDA5" s="354"/>
      <c r="XDB5" s="354"/>
      <c r="XDC5" s="354"/>
      <c r="XDD5" s="354"/>
      <c r="XDE5" s="354"/>
      <c r="XDF5" s="354"/>
      <c r="XDG5" s="354"/>
      <c r="XDH5" s="354"/>
      <c r="XDI5" s="354"/>
      <c r="XDJ5" s="354"/>
      <c r="XDK5" s="354"/>
      <c r="XDL5" s="354"/>
      <c r="XDM5" s="354"/>
      <c r="XDN5" s="354"/>
      <c r="XDO5" s="354"/>
      <c r="XDP5" s="354"/>
      <c r="XDQ5" s="354"/>
      <c r="XDR5" s="354"/>
      <c r="XDS5" s="354"/>
      <c r="XDT5" s="354"/>
      <c r="XDU5" s="354"/>
      <c r="XDV5" s="354"/>
      <c r="XDW5" s="354"/>
      <c r="XDX5" s="354"/>
      <c r="XDY5" s="354"/>
      <c r="XDZ5" s="354"/>
      <c r="XEA5" s="354"/>
      <c r="XEB5" s="354"/>
      <c r="XEC5" s="354"/>
      <c r="XED5" s="354"/>
      <c r="XEE5" s="354"/>
      <c r="XEF5" s="354"/>
      <c r="XEG5" s="354"/>
      <c r="XEH5" s="354"/>
      <c r="XEI5" s="354"/>
      <c r="XEJ5" s="354"/>
      <c r="XEK5" s="354"/>
      <c r="XEL5" s="354"/>
      <c r="XEM5" s="354"/>
      <c r="XEN5" s="354"/>
      <c r="XEO5" s="354"/>
      <c r="XEP5" s="526"/>
      <c r="XEQ5" s="408"/>
      <c r="XER5" s="411"/>
      <c r="XES5" s="409"/>
      <c r="XET5" s="410"/>
    </row>
    <row r="6" spans="1:16374" s="356" customFormat="1" ht="25.5">
      <c r="A6" s="863">
        <v>1</v>
      </c>
      <c r="B6" s="857" t="s">
        <v>910</v>
      </c>
      <c r="C6" s="857" t="s">
        <v>526</v>
      </c>
      <c r="D6" s="857" t="s">
        <v>531</v>
      </c>
      <c r="E6" s="871" t="s">
        <v>532</v>
      </c>
      <c r="F6" s="872">
        <v>24000</v>
      </c>
      <c r="G6" s="873" t="s">
        <v>917</v>
      </c>
    </row>
    <row r="7" spans="1:16374" s="356" customFormat="1">
      <c r="A7" s="863">
        <v>2</v>
      </c>
      <c r="B7" s="857" t="s">
        <v>214</v>
      </c>
      <c r="C7" s="857" t="s">
        <v>526</v>
      </c>
      <c r="D7" s="857" t="s">
        <v>531</v>
      </c>
      <c r="E7" s="857" t="s">
        <v>183</v>
      </c>
      <c r="F7" s="872">
        <v>19900</v>
      </c>
      <c r="G7" s="874" t="s">
        <v>918</v>
      </c>
    </row>
    <row r="8" spans="1:16374" s="356" customFormat="1" ht="38.25">
      <c r="A8" s="863">
        <v>3</v>
      </c>
      <c r="B8" s="866" t="s">
        <v>911</v>
      </c>
      <c r="C8" s="866" t="s">
        <v>526</v>
      </c>
      <c r="D8" s="866" t="s">
        <v>533</v>
      </c>
      <c r="E8" s="858" t="s">
        <v>534</v>
      </c>
      <c r="F8" s="860">
        <v>21600</v>
      </c>
      <c r="G8" s="858" t="s">
        <v>556</v>
      </c>
    </row>
    <row r="9" spans="1:16374" s="356" customFormat="1" ht="25.5">
      <c r="A9" s="863">
        <v>4</v>
      </c>
      <c r="B9" s="866" t="s">
        <v>214</v>
      </c>
      <c r="C9" s="866" t="s">
        <v>526</v>
      </c>
      <c r="D9" s="866" t="s">
        <v>531</v>
      </c>
      <c r="E9" s="858" t="s">
        <v>534</v>
      </c>
      <c r="F9" s="860">
        <v>2400</v>
      </c>
      <c r="G9" s="858" t="s">
        <v>919</v>
      </c>
    </row>
    <row r="10" spans="1:16374" s="356" customFormat="1" ht="77.25" customHeight="1">
      <c r="A10" s="863">
        <v>5</v>
      </c>
      <c r="B10" s="866" t="s">
        <v>912</v>
      </c>
      <c r="C10" s="866" t="s">
        <v>526</v>
      </c>
      <c r="D10" s="866" t="s">
        <v>535</v>
      </c>
      <c r="E10" s="858" t="s">
        <v>538</v>
      </c>
      <c r="F10" s="860">
        <v>22000</v>
      </c>
      <c r="G10" s="858" t="s">
        <v>539</v>
      </c>
    </row>
    <row r="11" spans="1:16374" s="356" customFormat="1" ht="38.25">
      <c r="A11" s="863">
        <v>6</v>
      </c>
      <c r="B11" s="866" t="s">
        <v>913</v>
      </c>
      <c r="C11" s="866" t="s">
        <v>526</v>
      </c>
      <c r="D11" s="866" t="s">
        <v>531</v>
      </c>
      <c r="E11" s="858" t="s">
        <v>541</v>
      </c>
      <c r="F11" s="860">
        <v>9600</v>
      </c>
      <c r="G11" s="858" t="s">
        <v>542</v>
      </c>
    </row>
    <row r="12" spans="1:16374" s="356" customFormat="1" ht="24.75" customHeight="1">
      <c r="A12" s="863">
        <v>7</v>
      </c>
      <c r="B12" s="866" t="s">
        <v>912</v>
      </c>
      <c r="C12" s="866" t="s">
        <v>526</v>
      </c>
      <c r="D12" s="866" t="s">
        <v>535</v>
      </c>
      <c r="E12" s="858" t="s">
        <v>544</v>
      </c>
      <c r="F12" s="860">
        <v>19000</v>
      </c>
      <c r="G12" s="858" t="s">
        <v>557</v>
      </c>
    </row>
    <row r="13" spans="1:16374" s="356" customFormat="1">
      <c r="A13" s="863">
        <v>8</v>
      </c>
      <c r="B13" s="866" t="s">
        <v>214</v>
      </c>
      <c r="C13" s="866" t="s">
        <v>213</v>
      </c>
      <c r="D13" s="866" t="s">
        <v>177</v>
      </c>
      <c r="E13" s="858" t="s">
        <v>546</v>
      </c>
      <c r="F13" s="860">
        <v>33200</v>
      </c>
      <c r="G13" s="858" t="s">
        <v>547</v>
      </c>
    </row>
    <row r="14" spans="1:16374" s="356" customFormat="1" ht="76.5">
      <c r="A14" s="863">
        <v>9</v>
      </c>
      <c r="B14" s="866" t="s">
        <v>214</v>
      </c>
      <c r="C14" s="866" t="s">
        <v>213</v>
      </c>
      <c r="D14" s="866" t="s">
        <v>177</v>
      </c>
      <c r="E14" s="858" t="s">
        <v>549</v>
      </c>
      <c r="F14" s="860">
        <v>41360</v>
      </c>
      <c r="G14" s="858" t="s">
        <v>920</v>
      </c>
    </row>
    <row r="15" spans="1:16374" s="356" customFormat="1" ht="25.5" customHeight="1">
      <c r="A15" s="863">
        <v>10</v>
      </c>
      <c r="B15" s="866" t="s">
        <v>914</v>
      </c>
      <c r="C15" s="866" t="s">
        <v>213</v>
      </c>
      <c r="D15" s="866" t="s">
        <v>177</v>
      </c>
      <c r="E15" s="858" t="s">
        <v>550</v>
      </c>
      <c r="F15" s="860">
        <v>115000</v>
      </c>
      <c r="G15" s="875" t="s">
        <v>558</v>
      </c>
    </row>
  </sheetData>
  <autoFilter ref="A3:G15"/>
  <pageMargins left="0.70866141732283472" right="0.70866141732283472" top="0.19685039370078741" bottom="0.39370078740157483" header="0.31496062992125984" footer="0.31496062992125984"/>
  <pageSetup paperSize="9" scale="10" orientation="landscape" r:id="rId1"/>
  <headerFooter>
    <oddFooter>&amp;C&amp;P/&amp;N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6" tint="0.59999389629810485"/>
  </sheetPr>
  <dimension ref="A1:K10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.75"/>
  <cols>
    <col min="1" max="1" width="4" style="529" customWidth="1"/>
    <col min="2" max="2" width="17" style="354" customWidth="1"/>
    <col min="3" max="3" width="18.5703125" style="354" customWidth="1"/>
    <col min="4" max="4" width="22.42578125" style="354" customWidth="1"/>
    <col min="5" max="5" width="22.28515625" style="354" customWidth="1"/>
    <col min="6" max="6" width="11.5703125" style="522" customWidth="1"/>
    <col min="7" max="16384" width="9.140625" style="354"/>
  </cols>
  <sheetData>
    <row r="1" spans="1:11" ht="15">
      <c r="A1" s="527" t="s">
        <v>655</v>
      </c>
      <c r="B1" s="353"/>
      <c r="C1" s="353"/>
      <c r="D1" s="353"/>
      <c r="E1" s="353"/>
      <c r="F1" s="525" t="s">
        <v>657</v>
      </c>
      <c r="G1" s="353"/>
      <c r="H1" s="353"/>
      <c r="I1" s="353"/>
      <c r="J1" s="353"/>
      <c r="K1" s="353"/>
    </row>
    <row r="2" spans="1:11" ht="15">
      <c r="A2" s="528"/>
      <c r="B2" s="353"/>
      <c r="C2" s="353"/>
      <c r="D2" s="353"/>
      <c r="E2" s="353"/>
      <c r="F2" s="521"/>
      <c r="G2" s="353"/>
      <c r="H2" s="353"/>
      <c r="I2" s="353"/>
      <c r="J2" s="353"/>
      <c r="K2" s="353"/>
    </row>
    <row r="3" spans="1:11" ht="30">
      <c r="A3" s="850" t="s">
        <v>387</v>
      </c>
      <c r="B3" s="851" t="s">
        <v>495</v>
      </c>
      <c r="C3" s="851" t="s">
        <v>388</v>
      </c>
      <c r="D3" s="851" t="s">
        <v>247</v>
      </c>
      <c r="E3" s="851" t="s">
        <v>496</v>
      </c>
      <c r="F3" s="852" t="s">
        <v>909</v>
      </c>
      <c r="G3" s="353"/>
      <c r="H3" s="353"/>
      <c r="I3" s="353"/>
      <c r="J3" s="353"/>
      <c r="K3" s="353"/>
    </row>
    <row r="4" spans="1:11" ht="15">
      <c r="A4" s="853"/>
      <c r="B4" s="854" t="s">
        <v>46</v>
      </c>
      <c r="C4" s="854"/>
      <c r="D4" s="854"/>
      <c r="E4" s="854"/>
      <c r="F4" s="855"/>
      <c r="G4" s="353"/>
      <c r="H4" s="353"/>
      <c r="I4" s="353"/>
      <c r="J4" s="353"/>
      <c r="K4" s="353"/>
    </row>
    <row r="5" spans="1:11" ht="15">
      <c r="A5" s="856"/>
      <c r="B5" s="861" t="s">
        <v>214</v>
      </c>
      <c r="C5" s="861"/>
      <c r="D5" s="861"/>
      <c r="E5" s="861"/>
      <c r="F5" s="862">
        <f>SUM(F6:F10)</f>
        <v>664000</v>
      </c>
      <c r="G5" s="353"/>
      <c r="H5" s="353"/>
      <c r="I5" s="353"/>
      <c r="J5" s="353"/>
      <c r="K5" s="353"/>
    </row>
    <row r="6" spans="1:11" s="356" customFormat="1" ht="38.25">
      <c r="A6" s="857">
        <v>1</v>
      </c>
      <c r="B6" s="858" t="s">
        <v>214</v>
      </c>
      <c r="C6" s="858" t="s">
        <v>526</v>
      </c>
      <c r="D6" s="858" t="s">
        <v>261</v>
      </c>
      <c r="E6" s="858"/>
      <c r="F6" s="859">
        <v>100000</v>
      </c>
      <c r="G6" s="355"/>
      <c r="H6" s="355"/>
      <c r="I6" s="355"/>
      <c r="J6" s="355"/>
      <c r="K6" s="355"/>
    </row>
    <row r="7" spans="1:11" s="356" customFormat="1" ht="25.5">
      <c r="A7" s="857">
        <v>2</v>
      </c>
      <c r="B7" s="858" t="s">
        <v>214</v>
      </c>
      <c r="C7" s="858" t="s">
        <v>526</v>
      </c>
      <c r="D7" s="858" t="s">
        <v>331</v>
      </c>
      <c r="E7" s="858"/>
      <c r="F7" s="859">
        <v>5000</v>
      </c>
      <c r="G7" s="355"/>
      <c r="H7" s="355"/>
      <c r="I7" s="355"/>
      <c r="J7" s="355"/>
      <c r="K7" s="355"/>
    </row>
    <row r="8" spans="1:11" s="356" customFormat="1" ht="38.25">
      <c r="A8" s="857">
        <v>3</v>
      </c>
      <c r="B8" s="858" t="s">
        <v>214</v>
      </c>
      <c r="C8" s="858" t="s">
        <v>526</v>
      </c>
      <c r="D8" s="858" t="s">
        <v>684</v>
      </c>
      <c r="E8" s="858"/>
      <c r="F8" s="859">
        <v>500000</v>
      </c>
      <c r="G8" s="355"/>
      <c r="H8" s="355"/>
      <c r="I8" s="355"/>
      <c r="J8" s="355"/>
      <c r="K8" s="355"/>
    </row>
    <row r="9" spans="1:11" s="356" customFormat="1" ht="38.25">
      <c r="A9" s="857">
        <v>4</v>
      </c>
      <c r="B9" s="858" t="s">
        <v>214</v>
      </c>
      <c r="C9" s="858" t="s">
        <v>526</v>
      </c>
      <c r="D9" s="858" t="s">
        <v>244</v>
      </c>
      <c r="E9" s="858"/>
      <c r="F9" s="859">
        <v>39000</v>
      </c>
      <c r="G9" s="355"/>
      <c r="H9" s="355"/>
      <c r="I9" s="355"/>
      <c r="J9" s="355"/>
      <c r="K9" s="355"/>
    </row>
    <row r="10" spans="1:11" s="356" customFormat="1" ht="25.5">
      <c r="A10" s="857">
        <v>5</v>
      </c>
      <c r="B10" s="858" t="s">
        <v>214</v>
      </c>
      <c r="C10" s="858" t="s">
        <v>526</v>
      </c>
      <c r="D10" s="858" t="s">
        <v>328</v>
      </c>
      <c r="E10" s="858"/>
      <c r="F10" s="859">
        <v>20000</v>
      </c>
      <c r="G10" s="355"/>
      <c r="H10" s="355"/>
      <c r="I10" s="355"/>
      <c r="J10" s="355"/>
      <c r="K10" s="355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theme="6" tint="0.59999389629810485"/>
  </sheetPr>
  <dimension ref="A1:W437"/>
  <sheetViews>
    <sheetView showZeros="0" topLeftCell="C1" zoomScaleNormal="100" workbookViewId="0">
      <pane ySplit="5" topLeftCell="A42" activePane="bottomLeft" state="frozen"/>
      <selection activeCell="J31" sqref="J31"/>
      <selection pane="bottomLeft" activeCell="C4" sqref="C4:C5"/>
    </sheetView>
  </sheetViews>
  <sheetFormatPr defaultColWidth="9.140625" defaultRowHeight="12.75"/>
  <cols>
    <col min="1" max="1" width="9" style="375" hidden="1" customWidth="1"/>
    <col min="2" max="2" width="7.85546875" style="375" hidden="1" customWidth="1"/>
    <col min="3" max="3" width="50" style="83" customWidth="1"/>
    <col min="4" max="4" width="4.5703125" style="83" customWidth="1"/>
    <col min="5" max="5" width="5.7109375" style="346" customWidth="1"/>
    <col min="6" max="7" width="15.28515625" style="83" customWidth="1"/>
    <col min="8" max="8" width="15.85546875" style="695" customWidth="1"/>
    <col min="9" max="9" width="15.85546875" style="83" customWidth="1"/>
    <col min="10" max="10" width="12.7109375" style="83" bestFit="1" customWidth="1"/>
    <col min="11" max="11" width="6" style="83" bestFit="1" customWidth="1"/>
    <col min="12" max="12" width="7.7109375" style="83" bestFit="1" customWidth="1"/>
    <col min="13" max="13" width="15.7109375" style="83" bestFit="1" customWidth="1"/>
    <col min="14" max="14" width="5.42578125" style="83" bestFit="1" customWidth="1"/>
    <col min="15" max="15" width="12.7109375" style="83" bestFit="1" customWidth="1"/>
    <col min="16" max="16" width="12.7109375" style="83" customWidth="1"/>
    <col min="17" max="17" width="13.140625" style="83" customWidth="1"/>
    <col min="18" max="18" width="12.7109375" style="83" bestFit="1" customWidth="1"/>
    <col min="19" max="19" width="14" style="695" customWidth="1"/>
    <col min="20" max="20" width="13.28515625" style="83" customWidth="1"/>
    <col min="21" max="21" width="19.5703125" style="83" customWidth="1"/>
    <col min="22" max="16384" width="9.140625" style="83"/>
  </cols>
  <sheetData>
    <row r="1" spans="1:23" ht="15">
      <c r="C1" s="279" t="s">
        <v>875</v>
      </c>
      <c r="D1" s="281"/>
      <c r="E1" s="280"/>
      <c r="F1" s="279"/>
      <c r="G1" s="279"/>
      <c r="H1" s="66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68"/>
      <c r="T1" s="594" t="s">
        <v>796</v>
      </c>
      <c r="U1" s="594"/>
      <c r="W1" s="33"/>
    </row>
    <row r="2" spans="1:23">
      <c r="C2" s="799" t="s">
        <v>878</v>
      </c>
      <c r="E2" s="282"/>
      <c r="F2" s="417"/>
      <c r="G2" s="417"/>
      <c r="H2" s="66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662"/>
      <c r="T2" s="282"/>
      <c r="U2" s="282"/>
      <c r="W2" s="33"/>
    </row>
    <row r="3" spans="1:23">
      <c r="C3" s="417"/>
      <c r="E3" s="282"/>
      <c r="F3" s="417"/>
      <c r="G3" s="417"/>
      <c r="H3" s="663"/>
      <c r="I3" s="283"/>
      <c r="J3" s="1094"/>
      <c r="K3" s="1094"/>
      <c r="L3" s="1094"/>
      <c r="M3" s="1094"/>
      <c r="N3" s="1094"/>
      <c r="O3" s="283"/>
      <c r="P3" s="283"/>
      <c r="Q3" s="768"/>
      <c r="R3" s="283">
        <v>115690068</v>
      </c>
      <c r="S3" s="663"/>
      <c r="T3" s="283"/>
      <c r="U3" s="283"/>
      <c r="W3" s="33"/>
    </row>
    <row r="4" spans="1:23" ht="12.75" customHeight="1">
      <c r="B4" s="446" t="s">
        <v>555</v>
      </c>
      <c r="C4" s="1088" t="s">
        <v>389</v>
      </c>
      <c r="D4" s="1090" t="s">
        <v>391</v>
      </c>
      <c r="E4" s="1089" t="s">
        <v>390</v>
      </c>
      <c r="F4" s="1086" t="s">
        <v>896</v>
      </c>
      <c r="G4" s="1086" t="s">
        <v>803</v>
      </c>
      <c r="H4" s="1091" t="s">
        <v>790</v>
      </c>
      <c r="I4" s="1086" t="s">
        <v>915</v>
      </c>
      <c r="J4" s="1095" t="s">
        <v>777</v>
      </c>
      <c r="K4" s="1096"/>
      <c r="L4" s="1096"/>
      <c r="M4" s="1096"/>
      <c r="N4" s="1097"/>
      <c r="O4" s="759">
        <v>2018</v>
      </c>
      <c r="P4" s="771">
        <v>2018</v>
      </c>
      <c r="Q4" s="769">
        <v>2018</v>
      </c>
      <c r="R4" s="425">
        <v>2018</v>
      </c>
      <c r="S4" s="1092" t="s">
        <v>773</v>
      </c>
      <c r="T4" s="1086" t="s">
        <v>916</v>
      </c>
      <c r="U4" s="1086" t="s">
        <v>877</v>
      </c>
    </row>
    <row r="5" spans="1:23" ht="42" customHeight="1">
      <c r="A5" s="375">
        <v>2018</v>
      </c>
      <c r="B5" s="375">
        <v>2019</v>
      </c>
      <c r="C5" s="1088"/>
      <c r="D5" s="1090"/>
      <c r="E5" s="1089"/>
      <c r="F5" s="1087"/>
      <c r="G5" s="1087"/>
      <c r="H5" s="1091"/>
      <c r="I5" s="1087"/>
      <c r="J5" s="767" t="s">
        <v>799</v>
      </c>
      <c r="K5" s="767" t="s">
        <v>801</v>
      </c>
      <c r="L5" s="767" t="s">
        <v>800</v>
      </c>
      <c r="M5" s="767" t="s">
        <v>802</v>
      </c>
      <c r="N5" s="767" t="s">
        <v>438</v>
      </c>
      <c r="O5" s="284" t="s">
        <v>813</v>
      </c>
      <c r="P5" s="772" t="s">
        <v>809</v>
      </c>
      <c r="Q5" s="770" t="s">
        <v>812</v>
      </c>
      <c r="R5" s="284" t="s">
        <v>811</v>
      </c>
      <c r="S5" s="1093"/>
      <c r="T5" s="1087"/>
      <c r="U5" s="1087"/>
    </row>
    <row r="6" spans="1:23" ht="24" customHeight="1">
      <c r="A6" s="277">
        <f>SUM(A7:A306)</f>
        <v>5843200</v>
      </c>
      <c r="B6" s="277">
        <f>SUM(B7:B306)</f>
        <v>2510850</v>
      </c>
      <c r="C6" s="378" t="s">
        <v>320</v>
      </c>
      <c r="D6" s="380"/>
      <c r="E6" s="379"/>
      <c r="F6" s="719"/>
      <c r="G6" s="719"/>
      <c r="H6" s="664">
        <f>H14+H55+H105+H116+H133+H136+H152+H160+H165+H231+H238+H293+H295</f>
        <v>584171168.11000001</v>
      </c>
      <c r="I6" s="641"/>
      <c r="J6" s="641"/>
      <c r="K6" s="641"/>
      <c r="L6" s="641"/>
      <c r="M6" s="641"/>
      <c r="N6" s="641"/>
      <c r="O6" s="380">
        <f>O14+O55+O105+O116+O133+O136+O152+O160+O165+O231+O238+O293+O295</f>
        <v>114908068</v>
      </c>
      <c r="P6" s="380">
        <f>P14+P55+P105+P116+P133+P136+P152+P160+P165+P231+P238+P293+P295</f>
        <v>782000</v>
      </c>
      <c r="Q6" s="641"/>
      <c r="R6" s="380">
        <f>SUM(O6:Q6)</f>
        <v>115690068</v>
      </c>
      <c r="S6" s="664">
        <f>S14+S55+S105+S116+S133+S136+S152+S160+S165+S231+S238+S293+S295</f>
        <v>118853746</v>
      </c>
      <c r="T6" s="380"/>
      <c r="U6" s="380"/>
    </row>
    <row r="7" spans="1:23" ht="15">
      <c r="C7" s="382" t="s">
        <v>551</v>
      </c>
      <c r="D7" s="389" t="s">
        <v>46</v>
      </c>
      <c r="E7" s="381"/>
      <c r="F7" s="642"/>
      <c r="G7" s="642"/>
      <c r="H7" s="665">
        <f t="shared" ref="H7" ca="1" si="0">SUM(H8:H12)</f>
        <v>584171168.11000001</v>
      </c>
      <c r="I7" s="642"/>
      <c r="J7" s="642"/>
      <c r="K7" s="642"/>
      <c r="L7" s="642"/>
      <c r="M7" s="642"/>
      <c r="N7" s="642"/>
      <c r="O7" s="382">
        <f t="shared" ref="O7" ca="1" si="1">SUM(O8:O12)</f>
        <v>114908068</v>
      </c>
      <c r="P7" s="382">
        <f t="shared" ref="P7" ca="1" si="2">SUM(P8:P12)</f>
        <v>782000</v>
      </c>
      <c r="Q7" s="642"/>
      <c r="R7" s="382">
        <f t="shared" ref="R7:R68" ca="1" si="3">SUM(O7:Q7)</f>
        <v>115690068</v>
      </c>
      <c r="S7" s="665">
        <f t="shared" ref="S7" ca="1" si="4">SUM(S8:S12)</f>
        <v>118853746</v>
      </c>
      <c r="T7" s="382"/>
      <c r="U7" s="382"/>
    </row>
    <row r="8" spans="1:23" ht="14.25">
      <c r="C8" s="383" t="s">
        <v>110</v>
      </c>
      <c r="D8" s="385" t="s">
        <v>25</v>
      </c>
      <c r="E8" s="384"/>
      <c r="F8" s="720"/>
      <c r="G8" s="720"/>
      <c r="H8" s="666">
        <f ca="1">SUMIF($D$14:H$306,$D8,H$14:H$306)-H241</f>
        <v>427814449</v>
      </c>
      <c r="I8" s="643"/>
      <c r="J8" s="643"/>
      <c r="K8" s="643"/>
      <c r="L8" s="643"/>
      <c r="M8" s="643"/>
      <c r="N8" s="643"/>
      <c r="O8" s="386">
        <f ca="1">SUMIF($D$14:O$306,$D8,O$14:O$306)-O241</f>
        <v>81833198</v>
      </c>
      <c r="P8" s="386">
        <f ca="1">SUMIF($D$14:P$306,$D8,P$14:P$306)-P241</f>
        <v>0</v>
      </c>
      <c r="Q8" s="643"/>
      <c r="R8" s="386">
        <f t="shared" ca="1" si="3"/>
        <v>81833198</v>
      </c>
      <c r="S8" s="666">
        <f ca="1">SUMIF($D$14:S$306,$D8,S$14:S$306)-S241</f>
        <v>85477703</v>
      </c>
      <c r="T8" s="386"/>
      <c r="U8" s="386"/>
    </row>
    <row r="9" spans="1:23" ht="14.25">
      <c r="C9" s="383"/>
      <c r="D9" s="385" t="s">
        <v>26</v>
      </c>
      <c r="E9" s="384"/>
      <c r="F9" s="720"/>
      <c r="G9" s="720"/>
      <c r="H9" s="666">
        <f ca="1">SUMIF($D$14:H$306,$D9,H$14:H$306)</f>
        <v>77492754</v>
      </c>
      <c r="I9" s="643"/>
      <c r="J9" s="643"/>
      <c r="K9" s="643"/>
      <c r="L9" s="643"/>
      <c r="M9" s="643"/>
      <c r="N9" s="643"/>
      <c r="O9" s="386">
        <f ca="1">SUMIF($D$14:O$306,$D9,O$14:O$306)</f>
        <v>4090332</v>
      </c>
      <c r="P9" s="386">
        <f ca="1">SUMIF($D$14:P$306,$D9,P$14:P$306)</f>
        <v>782000</v>
      </c>
      <c r="Q9" s="643"/>
      <c r="R9" s="386">
        <f t="shared" ca="1" si="3"/>
        <v>4872332</v>
      </c>
      <c r="S9" s="666">
        <f ca="1">SUMIF($D$14:S$306,$D9,S$14:S$306)</f>
        <v>13188223</v>
      </c>
      <c r="T9" s="386"/>
      <c r="U9" s="386"/>
    </row>
    <row r="10" spans="1:23" ht="14.25">
      <c r="C10" s="383"/>
      <c r="D10" s="385" t="s">
        <v>138</v>
      </c>
      <c r="E10" s="384"/>
      <c r="F10" s="720"/>
      <c r="G10" s="720"/>
      <c r="H10" s="666">
        <f ca="1">SUMIF($D$14:H$306,$D10,H$14:H$306)</f>
        <v>22680</v>
      </c>
      <c r="I10" s="643"/>
      <c r="J10" s="643"/>
      <c r="K10" s="643"/>
      <c r="L10" s="643"/>
      <c r="M10" s="643"/>
      <c r="N10" s="643"/>
      <c r="O10" s="386">
        <f ca="1">SUMIF($D$14:O$306,$D10,O$14:O$306)</f>
        <v>275220</v>
      </c>
      <c r="P10" s="386">
        <f ca="1">SUMIF($D$14:P$306,$D10,P$14:P$306)</f>
        <v>0</v>
      </c>
      <c r="Q10" s="643"/>
      <c r="R10" s="386">
        <f t="shared" ca="1" si="3"/>
        <v>275220</v>
      </c>
      <c r="S10" s="666">
        <f ca="1">SUMIF($D$14:S$306,$D10,S$14:S$306)</f>
        <v>377710</v>
      </c>
      <c r="T10" s="386"/>
      <c r="U10" s="386"/>
    </row>
    <row r="11" spans="1:23" ht="14.25">
      <c r="C11" s="383"/>
      <c r="D11" s="385" t="s">
        <v>134</v>
      </c>
      <c r="E11" s="384"/>
      <c r="F11" s="720"/>
      <c r="G11" s="720"/>
      <c r="H11" s="666">
        <f ca="1">SUMIF($D$14:H$306,$D11,H$14:H$306)-H242</f>
        <v>3183458</v>
      </c>
      <c r="I11" s="643"/>
      <c r="J11" s="643"/>
      <c r="K11" s="643"/>
      <c r="L11" s="643"/>
      <c r="M11" s="643"/>
      <c r="N11" s="643"/>
      <c r="O11" s="386">
        <f ca="1">SUMIF($D$14:O$306,$D11,O$14:O$306)-O242</f>
        <v>1781533</v>
      </c>
      <c r="P11" s="386">
        <f ca="1">SUMIF($D$14:P$306,$D11,P$14:P$306)-P242</f>
        <v>0</v>
      </c>
      <c r="Q11" s="643"/>
      <c r="R11" s="386">
        <f t="shared" ca="1" si="3"/>
        <v>1781533</v>
      </c>
      <c r="S11" s="666">
        <f ca="1">SUMIF($D$14:S$306,$D11,S$14:S$306)-S242</f>
        <v>819402</v>
      </c>
      <c r="T11" s="386"/>
      <c r="U11" s="386"/>
    </row>
    <row r="12" spans="1:23" ht="14.25">
      <c r="C12" s="387"/>
      <c r="D12" s="385" t="s">
        <v>111</v>
      </c>
      <c r="E12" s="384"/>
      <c r="F12" s="721"/>
      <c r="G12" s="721"/>
      <c r="H12" s="666">
        <f ca="1">SUMIF($D$14:H$306,$D12,H$14:H$306)-H243</f>
        <v>75657827.109999999</v>
      </c>
      <c r="I12" s="643"/>
      <c r="J12" s="643"/>
      <c r="K12" s="643"/>
      <c r="L12" s="643"/>
      <c r="M12" s="643"/>
      <c r="N12" s="643"/>
      <c r="O12" s="386">
        <f ca="1">SUMIF($D$14:O$306,$D12,O$14:O$306)-O243</f>
        <v>26927785</v>
      </c>
      <c r="P12" s="386">
        <f ca="1">SUMIF($D$14:P$306,$D12,P$14:P$306)-P243</f>
        <v>0</v>
      </c>
      <c r="Q12" s="643"/>
      <c r="R12" s="386">
        <f t="shared" ca="1" si="3"/>
        <v>26927785</v>
      </c>
      <c r="S12" s="666">
        <f ca="1">SUMIF($D$14:S$306,$D12,S$14:S$306)-S243</f>
        <v>18990708</v>
      </c>
      <c r="T12" s="386"/>
      <c r="U12" s="386"/>
    </row>
    <row r="13" spans="1:23" ht="15">
      <c r="C13" s="285"/>
      <c r="D13" s="287"/>
      <c r="E13" s="286"/>
      <c r="F13" s="722"/>
      <c r="G13" s="722"/>
      <c r="H13" s="667"/>
      <c r="I13" s="644"/>
      <c r="J13" s="644"/>
      <c r="K13" s="644"/>
      <c r="L13" s="644"/>
      <c r="M13" s="644"/>
      <c r="N13" s="644"/>
      <c r="O13" s="287"/>
      <c r="P13" s="287"/>
      <c r="Q13" s="644"/>
      <c r="R13" s="287">
        <f t="shared" si="3"/>
        <v>0</v>
      </c>
      <c r="S13" s="667"/>
      <c r="T13" s="287"/>
      <c r="U13" s="287"/>
    </row>
    <row r="14" spans="1:23" s="82" customFormat="1">
      <c r="A14" s="229"/>
      <c r="B14" s="229"/>
      <c r="C14" s="218" t="s">
        <v>345</v>
      </c>
      <c r="D14" s="289" t="s">
        <v>113</v>
      </c>
      <c r="E14" s="288"/>
      <c r="F14" s="723"/>
      <c r="G14" s="723"/>
      <c r="H14" s="668">
        <f>H33+H15+H49+H34</f>
        <v>98093249</v>
      </c>
      <c r="I14" s="645"/>
      <c r="J14" s="645"/>
      <c r="K14" s="645"/>
      <c r="L14" s="645"/>
      <c r="M14" s="645"/>
      <c r="N14" s="645"/>
      <c r="O14" s="226">
        <f>O33+O15+O49+O34</f>
        <v>29115786</v>
      </c>
      <c r="P14" s="226">
        <f>P33+P15+P49+P34</f>
        <v>37000</v>
      </c>
      <c r="Q14" s="645"/>
      <c r="R14" s="226">
        <f t="shared" si="3"/>
        <v>29152786</v>
      </c>
      <c r="S14" s="668">
        <f>S33+S15+S49+S34</f>
        <v>36650000</v>
      </c>
      <c r="T14" s="226"/>
      <c r="U14" s="226"/>
    </row>
    <row r="15" spans="1:23" s="82" customFormat="1">
      <c r="A15" s="229"/>
      <c r="B15" s="229"/>
      <c r="C15" s="290" t="s">
        <v>277</v>
      </c>
      <c r="D15" s="292" t="s">
        <v>113</v>
      </c>
      <c r="E15" s="291"/>
      <c r="F15" s="405"/>
      <c r="G15" s="405"/>
      <c r="H15" s="669">
        <f t="shared" ref="H15:S15" si="5">SUM(H25:H30)+H16+H19+H22+H31</f>
        <v>17979680</v>
      </c>
      <c r="I15" s="646"/>
      <c r="J15" s="646"/>
      <c r="K15" s="646"/>
      <c r="L15" s="646"/>
      <c r="M15" s="646"/>
      <c r="N15" s="646"/>
      <c r="O15" s="293">
        <f t="shared" ref="O15" si="6">SUM(O25:O30)+O16+O19+O22+O31</f>
        <v>9765786</v>
      </c>
      <c r="P15" s="646"/>
      <c r="Q15" s="646"/>
      <c r="R15" s="293">
        <f t="shared" si="3"/>
        <v>9765786</v>
      </c>
      <c r="S15" s="669">
        <f t="shared" si="5"/>
        <v>12300000</v>
      </c>
      <c r="T15" s="293"/>
      <c r="U15" s="293"/>
    </row>
    <row r="16" spans="1:23">
      <c r="C16" s="230" t="s">
        <v>249</v>
      </c>
      <c r="D16" s="231" t="s">
        <v>113</v>
      </c>
      <c r="E16" s="294" t="s">
        <v>404</v>
      </c>
      <c r="F16" s="398" t="s">
        <v>880</v>
      </c>
      <c r="G16" s="413"/>
      <c r="H16" s="670">
        <f t="shared" ref="H16:S16" si="7">H17+H18</f>
        <v>3200000</v>
      </c>
      <c r="I16" s="399"/>
      <c r="J16" s="399"/>
      <c r="K16" s="399"/>
      <c r="L16" s="399"/>
      <c r="M16" s="399"/>
      <c r="N16" s="399"/>
      <c r="O16" s="225">
        <f t="shared" ref="O16" si="8">O17+O18</f>
        <v>1000000</v>
      </c>
      <c r="P16" s="399"/>
      <c r="Q16" s="399"/>
      <c r="R16" s="225">
        <f t="shared" si="3"/>
        <v>1000000</v>
      </c>
      <c r="S16" s="670">
        <f t="shared" si="7"/>
        <v>2200000</v>
      </c>
      <c r="T16" s="225"/>
      <c r="U16" s="225"/>
    </row>
    <row r="17" spans="1:21">
      <c r="C17" s="230"/>
      <c r="D17" s="231" t="s">
        <v>25</v>
      </c>
      <c r="E17" s="294"/>
      <c r="F17" s="413"/>
      <c r="G17" s="762"/>
      <c r="H17" s="671">
        <f>390000+600000</f>
        <v>990000</v>
      </c>
      <c r="I17" s="232"/>
      <c r="J17" s="232"/>
      <c r="K17" s="232"/>
      <c r="L17" s="232"/>
      <c r="M17" s="232"/>
      <c r="N17" s="232"/>
      <c r="O17" s="236">
        <v>150000</v>
      </c>
      <c r="P17" s="232"/>
      <c r="Q17" s="232"/>
      <c r="R17" s="236">
        <f t="shared" si="3"/>
        <v>150000</v>
      </c>
      <c r="S17" s="675">
        <f>240000+600000</f>
        <v>840000</v>
      </c>
      <c r="T17" s="236"/>
      <c r="U17" s="236"/>
    </row>
    <row r="18" spans="1:21">
      <c r="C18" s="230"/>
      <c r="D18" s="231" t="s">
        <v>111</v>
      </c>
      <c r="E18" s="294"/>
      <c r="F18" s="413"/>
      <c r="G18" s="413"/>
      <c r="H18" s="670">
        <v>2210000</v>
      </c>
      <c r="I18" s="399"/>
      <c r="J18" s="399"/>
      <c r="K18" s="399"/>
      <c r="L18" s="399"/>
      <c r="M18" s="399"/>
      <c r="N18" s="399"/>
      <c r="O18" s="225">
        <v>850000</v>
      </c>
      <c r="P18" s="399"/>
      <c r="Q18" s="399"/>
      <c r="R18" s="225">
        <f t="shared" si="3"/>
        <v>850000</v>
      </c>
      <c r="S18" s="670">
        <v>1360000</v>
      </c>
      <c r="T18" s="225"/>
      <c r="U18" s="225"/>
    </row>
    <row r="19" spans="1:21">
      <c r="C19" s="230" t="s">
        <v>406</v>
      </c>
      <c r="D19" s="231" t="s">
        <v>113</v>
      </c>
      <c r="E19" s="294" t="s">
        <v>400</v>
      </c>
      <c r="F19" s="398" t="s">
        <v>881</v>
      </c>
      <c r="G19" s="413"/>
      <c r="H19" s="670">
        <f t="shared" ref="H19:S19" si="9">H20+H21</f>
        <v>1320000</v>
      </c>
      <c r="I19" s="399"/>
      <c r="J19" s="399"/>
      <c r="K19" s="399"/>
      <c r="L19" s="399"/>
      <c r="M19" s="399"/>
      <c r="N19" s="399"/>
      <c r="O19" s="225">
        <f t="shared" ref="O19" si="10">O20+O21</f>
        <v>1109175</v>
      </c>
      <c r="P19" s="399"/>
      <c r="Q19" s="399"/>
      <c r="R19" s="225">
        <f t="shared" si="3"/>
        <v>1109175</v>
      </c>
      <c r="S19" s="670">
        <f t="shared" si="9"/>
        <v>0</v>
      </c>
      <c r="T19" s="225"/>
      <c r="U19" s="225"/>
    </row>
    <row r="20" spans="1:21">
      <c r="C20" s="230"/>
      <c r="D20" s="219" t="s">
        <v>25</v>
      </c>
      <c r="E20" s="294"/>
      <c r="F20" s="413"/>
      <c r="G20" s="413"/>
      <c r="H20" s="670">
        <v>885197</v>
      </c>
      <c r="I20" s="399"/>
      <c r="J20" s="399"/>
      <c r="K20" s="399"/>
      <c r="L20" s="399"/>
      <c r="M20" s="399"/>
      <c r="N20" s="399"/>
      <c r="O20" s="225">
        <v>685197</v>
      </c>
      <c r="P20" s="399"/>
      <c r="Q20" s="399"/>
      <c r="R20" s="225">
        <f t="shared" si="3"/>
        <v>685197</v>
      </c>
      <c r="S20" s="670"/>
      <c r="T20" s="225"/>
      <c r="U20" s="225"/>
    </row>
    <row r="21" spans="1:21">
      <c r="C21" s="230"/>
      <c r="D21" s="231" t="s">
        <v>111</v>
      </c>
      <c r="E21" s="294"/>
      <c r="F21" s="413"/>
      <c r="G21" s="413"/>
      <c r="H21" s="670">
        <v>434803</v>
      </c>
      <c r="I21" s="399"/>
      <c r="J21" s="399"/>
      <c r="K21" s="399"/>
      <c r="L21" s="399"/>
      <c r="M21" s="399"/>
      <c r="N21" s="399"/>
      <c r="O21" s="225">
        <v>423978</v>
      </c>
      <c r="P21" s="399"/>
      <c r="Q21" s="399"/>
      <c r="R21" s="225">
        <f t="shared" si="3"/>
        <v>423978</v>
      </c>
      <c r="S21" s="670"/>
      <c r="T21" s="225"/>
      <c r="U21" s="225"/>
    </row>
    <row r="22" spans="1:21">
      <c r="C22" s="230" t="s">
        <v>407</v>
      </c>
      <c r="D22" s="219" t="s">
        <v>113</v>
      </c>
      <c r="E22" s="294" t="s">
        <v>408</v>
      </c>
      <c r="F22" s="398" t="s">
        <v>881</v>
      </c>
      <c r="G22" s="413"/>
      <c r="H22" s="670">
        <f t="shared" ref="H22:S22" si="11">H23+H24</f>
        <v>1000000</v>
      </c>
      <c r="I22" s="399"/>
      <c r="J22" s="399"/>
      <c r="K22" s="399"/>
      <c r="L22" s="399"/>
      <c r="M22" s="399"/>
      <c r="N22" s="399"/>
      <c r="O22" s="225">
        <f t="shared" ref="O22" si="12">O23+O24</f>
        <v>756611</v>
      </c>
      <c r="P22" s="399"/>
      <c r="Q22" s="399"/>
      <c r="R22" s="225">
        <f t="shared" si="3"/>
        <v>756611</v>
      </c>
      <c r="S22" s="670">
        <f t="shared" si="11"/>
        <v>0</v>
      </c>
      <c r="T22" s="225"/>
      <c r="U22" s="225"/>
    </row>
    <row r="23" spans="1:21">
      <c r="C23" s="230"/>
      <c r="D23" s="219" t="s">
        <v>25</v>
      </c>
      <c r="E23" s="294"/>
      <c r="F23" s="413"/>
      <c r="G23" s="413"/>
      <c r="H23" s="670">
        <v>566112</v>
      </c>
      <c r="I23" s="399"/>
      <c r="J23" s="399"/>
      <c r="K23" s="399"/>
      <c r="L23" s="399"/>
      <c r="M23" s="399"/>
      <c r="N23" s="399"/>
      <c r="O23" s="225">
        <v>366112</v>
      </c>
      <c r="P23" s="399"/>
      <c r="Q23" s="399"/>
      <c r="R23" s="225">
        <f t="shared" si="3"/>
        <v>366112</v>
      </c>
      <c r="S23" s="670"/>
      <c r="T23" s="225"/>
      <c r="U23" s="225"/>
    </row>
    <row r="24" spans="1:21">
      <c r="C24" s="230"/>
      <c r="D24" s="231" t="s">
        <v>111</v>
      </c>
      <c r="E24" s="294"/>
      <c r="F24" s="413"/>
      <c r="G24" s="413"/>
      <c r="H24" s="670">
        <v>433888</v>
      </c>
      <c r="I24" s="399"/>
      <c r="J24" s="399"/>
      <c r="K24" s="399"/>
      <c r="L24" s="399"/>
      <c r="M24" s="399"/>
      <c r="N24" s="399"/>
      <c r="O24" s="225">
        <v>390499</v>
      </c>
      <c r="P24" s="399"/>
      <c r="Q24" s="399"/>
      <c r="R24" s="225">
        <f t="shared" si="3"/>
        <v>390499</v>
      </c>
      <c r="S24" s="670"/>
      <c r="T24" s="225"/>
      <c r="U24" s="225"/>
    </row>
    <row r="25" spans="1:21" s="82" customFormat="1">
      <c r="A25" s="229"/>
      <c r="B25" s="229"/>
      <c r="C25" s="230" t="s">
        <v>409</v>
      </c>
      <c r="D25" s="231" t="s">
        <v>25</v>
      </c>
      <c r="E25" s="294" t="s">
        <v>410</v>
      </c>
      <c r="F25" s="398" t="s">
        <v>881</v>
      </c>
      <c r="G25" s="413"/>
      <c r="H25" s="672">
        <v>3559680</v>
      </c>
      <c r="I25" s="403"/>
      <c r="J25" s="403"/>
      <c r="K25" s="403"/>
      <c r="L25" s="403"/>
      <c r="M25" s="403"/>
      <c r="N25" s="403"/>
      <c r="O25" s="236">
        <v>2500000</v>
      </c>
      <c r="P25" s="403"/>
      <c r="Q25" s="403"/>
      <c r="R25" s="236">
        <f t="shared" si="3"/>
        <v>2500000</v>
      </c>
      <c r="S25" s="672"/>
      <c r="T25" s="236"/>
      <c r="U25" s="236"/>
    </row>
    <row r="26" spans="1:21" s="82" customFormat="1">
      <c r="A26" s="229"/>
      <c r="B26" s="229"/>
      <c r="C26" s="230" t="s">
        <v>411</v>
      </c>
      <c r="D26" s="231" t="s">
        <v>25</v>
      </c>
      <c r="E26" s="294" t="s">
        <v>405</v>
      </c>
      <c r="F26" s="398" t="s">
        <v>881</v>
      </c>
      <c r="G26" s="413"/>
      <c r="H26" s="672">
        <v>1200000</v>
      </c>
      <c r="I26" s="403"/>
      <c r="J26" s="403"/>
      <c r="K26" s="403"/>
      <c r="L26" s="403"/>
      <c r="M26" s="403"/>
      <c r="N26" s="403"/>
      <c r="O26" s="236">
        <v>1000000</v>
      </c>
      <c r="P26" s="403"/>
      <c r="Q26" s="403"/>
      <c r="R26" s="236">
        <f t="shared" si="3"/>
        <v>1000000</v>
      </c>
      <c r="S26" s="672"/>
      <c r="T26" s="236"/>
      <c r="U26" s="236"/>
    </row>
    <row r="27" spans="1:21" s="82" customFormat="1" ht="22.5">
      <c r="A27" s="229"/>
      <c r="B27" s="229"/>
      <c r="C27" s="413" t="s">
        <v>566</v>
      </c>
      <c r="D27" s="400" t="s">
        <v>25</v>
      </c>
      <c r="E27" s="419"/>
      <c r="F27" s="398" t="s">
        <v>881</v>
      </c>
      <c r="G27" s="413"/>
      <c r="H27" s="673">
        <v>1600000</v>
      </c>
      <c r="I27" s="420"/>
      <c r="J27" s="420"/>
      <c r="K27" s="420"/>
      <c r="L27" s="420"/>
      <c r="M27" s="420"/>
      <c r="N27" s="420"/>
      <c r="O27" s="420">
        <v>400000</v>
      </c>
      <c r="P27" s="420"/>
      <c r="Q27" s="420"/>
      <c r="R27" s="420">
        <f t="shared" si="3"/>
        <v>400000</v>
      </c>
      <c r="S27" s="686"/>
      <c r="T27" s="420"/>
      <c r="U27" s="420"/>
    </row>
    <row r="28" spans="1:21" s="82" customFormat="1" ht="22.5">
      <c r="A28" s="229"/>
      <c r="B28" s="229"/>
      <c r="C28" s="230" t="s">
        <v>412</v>
      </c>
      <c r="D28" s="236" t="s">
        <v>25</v>
      </c>
      <c r="E28" s="294" t="s">
        <v>410</v>
      </c>
      <c r="F28" s="397" t="s">
        <v>882</v>
      </c>
      <c r="G28" s="762"/>
      <c r="H28" s="671">
        <v>3100000</v>
      </c>
      <c r="I28" s="232"/>
      <c r="J28" s="232"/>
      <c r="K28" s="232"/>
      <c r="L28" s="232"/>
      <c r="M28" s="232"/>
      <c r="N28" s="232"/>
      <c r="O28" s="236"/>
      <c r="P28" s="232"/>
      <c r="Q28" s="232"/>
      <c r="R28" s="236">
        <f t="shared" si="3"/>
        <v>0</v>
      </c>
      <c r="S28" s="672">
        <v>100000</v>
      </c>
      <c r="T28" s="236"/>
      <c r="U28" s="236"/>
    </row>
    <row r="29" spans="1:21" s="82" customFormat="1" ht="22.5">
      <c r="A29" s="229"/>
      <c r="B29" s="229"/>
      <c r="C29" s="230" t="s">
        <v>278</v>
      </c>
      <c r="D29" s="231" t="s">
        <v>25</v>
      </c>
      <c r="E29" s="294" t="s">
        <v>405</v>
      </c>
      <c r="F29" s="398" t="s">
        <v>881</v>
      </c>
      <c r="G29" s="413"/>
      <c r="H29" s="672">
        <v>1000000</v>
      </c>
      <c r="I29" s="403"/>
      <c r="J29" s="403"/>
      <c r="K29" s="403"/>
      <c r="L29" s="403"/>
      <c r="M29" s="403"/>
      <c r="N29" s="403"/>
      <c r="O29" s="236">
        <v>1000000</v>
      </c>
      <c r="P29" s="403"/>
      <c r="Q29" s="403"/>
      <c r="R29" s="236">
        <f t="shared" si="3"/>
        <v>1000000</v>
      </c>
      <c r="S29" s="672"/>
      <c r="T29" s="236"/>
      <c r="U29" s="236"/>
    </row>
    <row r="30" spans="1:21" s="82" customFormat="1" ht="33.75" customHeight="1">
      <c r="A30" s="229"/>
      <c r="B30" s="229"/>
      <c r="C30" s="230" t="s">
        <v>413</v>
      </c>
      <c r="D30" s="231" t="s">
        <v>25</v>
      </c>
      <c r="E30" s="294" t="s">
        <v>405</v>
      </c>
      <c r="F30" s="398" t="s">
        <v>505</v>
      </c>
      <c r="G30" s="413"/>
      <c r="H30" s="672">
        <v>2000000</v>
      </c>
      <c r="I30" s="403"/>
      <c r="J30" s="403"/>
      <c r="K30" s="403"/>
      <c r="L30" s="403"/>
      <c r="M30" s="403"/>
      <c r="N30" s="403"/>
      <c r="O30" s="236">
        <v>2000000</v>
      </c>
      <c r="P30" s="403"/>
      <c r="Q30" s="403"/>
      <c r="R30" s="236">
        <f t="shared" si="3"/>
        <v>2000000</v>
      </c>
      <c r="S30" s="672"/>
      <c r="T30" s="236"/>
      <c r="U30" s="236"/>
    </row>
    <row r="31" spans="1:21" s="82" customFormat="1" ht="51">
      <c r="A31" s="229"/>
      <c r="B31" s="229"/>
      <c r="C31" s="230" t="s">
        <v>578</v>
      </c>
      <c r="D31" s="231" t="s">
        <v>25</v>
      </c>
      <c r="E31" s="294" t="s">
        <v>405</v>
      </c>
      <c r="F31" s="397" t="s">
        <v>883</v>
      </c>
      <c r="G31" s="413"/>
      <c r="H31" s="672"/>
      <c r="I31" s="403"/>
      <c r="J31" s="403"/>
      <c r="K31" s="403"/>
      <c r="L31" s="403"/>
      <c r="M31" s="403"/>
      <c r="N31" s="403"/>
      <c r="O31" s="236"/>
      <c r="P31" s="403"/>
      <c r="Q31" s="403"/>
      <c r="R31" s="236">
        <f t="shared" si="3"/>
        <v>0</v>
      </c>
      <c r="S31" s="672">
        <v>10000000</v>
      </c>
      <c r="T31" s="236"/>
      <c r="U31" s="236"/>
    </row>
    <row r="32" spans="1:21" s="82" customFormat="1">
      <c r="A32" s="229"/>
      <c r="B32" s="229"/>
      <c r="C32" s="290" t="s">
        <v>581</v>
      </c>
      <c r="D32" s="292" t="s">
        <v>113</v>
      </c>
      <c r="E32" s="291"/>
      <c r="F32" s="405"/>
      <c r="G32" s="405"/>
      <c r="H32" s="669">
        <f>H33+H34</f>
        <v>57863569</v>
      </c>
      <c r="I32" s="646"/>
      <c r="J32" s="646"/>
      <c r="K32" s="646"/>
      <c r="L32" s="646"/>
      <c r="M32" s="646"/>
      <c r="N32" s="646"/>
      <c r="O32" s="293">
        <f>O33+O34</f>
        <v>18000000</v>
      </c>
      <c r="P32" s="293">
        <f>P33+P34</f>
        <v>37000</v>
      </c>
      <c r="Q32" s="646"/>
      <c r="R32" s="293">
        <f t="shared" si="3"/>
        <v>18037000</v>
      </c>
      <c r="S32" s="669">
        <f t="shared" ref="S32" si="13">S33+S34</f>
        <v>19600000</v>
      </c>
      <c r="T32" s="293"/>
      <c r="U32" s="293"/>
    </row>
    <row r="33" spans="1:21" s="82" customFormat="1">
      <c r="A33" s="229"/>
      <c r="B33" s="229"/>
      <c r="C33" s="757"/>
      <c r="D33" s="400" t="s">
        <v>25</v>
      </c>
      <c r="E33" s="404"/>
      <c r="F33" s="757"/>
      <c r="G33" s="757"/>
      <c r="H33" s="674">
        <f>SUM(H35:H39)+H41+SUM(H43:H46)+H48</f>
        <v>51863569</v>
      </c>
      <c r="I33" s="399"/>
      <c r="J33" s="399"/>
      <c r="K33" s="399"/>
      <c r="L33" s="399"/>
      <c r="M33" s="399"/>
      <c r="N33" s="399"/>
      <c r="O33" s="399">
        <f>SUM(O35:O39)+O41+SUM(O43:O46)+O48</f>
        <v>18000000</v>
      </c>
      <c r="P33" s="399"/>
      <c r="Q33" s="399"/>
      <c r="R33" s="399">
        <f t="shared" si="3"/>
        <v>18000000</v>
      </c>
      <c r="S33" s="674">
        <f>SUM(S35:S39)+S41+SUM(S43:S46)+S48</f>
        <v>13600000</v>
      </c>
      <c r="T33" s="399"/>
      <c r="U33" s="399"/>
    </row>
    <row r="34" spans="1:21" s="82" customFormat="1">
      <c r="A34" s="229"/>
      <c r="B34" s="229"/>
      <c r="C34" s="405"/>
      <c r="D34" s="400" t="s">
        <v>26</v>
      </c>
      <c r="E34" s="404"/>
      <c r="F34" s="405"/>
      <c r="G34" s="405"/>
      <c r="H34" s="674">
        <f t="shared" ref="H34:S34" si="14">H42</f>
        <v>6000000</v>
      </c>
      <c r="I34" s="399"/>
      <c r="J34" s="399"/>
      <c r="K34" s="399"/>
      <c r="L34" s="399"/>
      <c r="M34" s="399"/>
      <c r="N34" s="399"/>
      <c r="O34" s="399"/>
      <c r="P34" s="399">
        <v>37000</v>
      </c>
      <c r="Q34" s="399"/>
      <c r="R34" s="399">
        <f t="shared" si="3"/>
        <v>37000</v>
      </c>
      <c r="S34" s="674">
        <f t="shared" si="14"/>
        <v>6000000</v>
      </c>
      <c r="T34" s="399"/>
      <c r="U34" s="399"/>
    </row>
    <row r="35" spans="1:21" s="82" customFormat="1">
      <c r="A35" s="229"/>
      <c r="B35" s="229"/>
      <c r="C35" s="234" t="s">
        <v>393</v>
      </c>
      <c r="D35" s="231"/>
      <c r="E35" s="294" t="s">
        <v>394</v>
      </c>
      <c r="F35" s="738" t="s">
        <v>881</v>
      </c>
      <c r="G35" s="706"/>
      <c r="H35" s="672">
        <v>3600000</v>
      </c>
      <c r="I35" s="403"/>
      <c r="J35" s="403"/>
      <c r="K35" s="403"/>
      <c r="L35" s="403"/>
      <c r="M35" s="403"/>
      <c r="N35" s="403"/>
      <c r="O35" s="236">
        <v>3350000</v>
      </c>
      <c r="P35" s="403"/>
      <c r="Q35" s="403"/>
      <c r="R35" s="236">
        <f t="shared" si="3"/>
        <v>3350000</v>
      </c>
      <c r="S35" s="672"/>
      <c r="T35" s="236"/>
      <c r="U35" s="236"/>
    </row>
    <row r="36" spans="1:21" s="82" customFormat="1">
      <c r="A36" s="229"/>
      <c r="B36" s="229"/>
      <c r="C36" s="230" t="s">
        <v>395</v>
      </c>
      <c r="D36" s="231"/>
      <c r="E36" s="294" t="s">
        <v>396</v>
      </c>
      <c r="F36" s="738" t="s">
        <v>881</v>
      </c>
      <c r="G36" s="413"/>
      <c r="H36" s="672">
        <v>9130714</v>
      </c>
      <c r="I36" s="403"/>
      <c r="J36" s="403"/>
      <c r="K36" s="403"/>
      <c r="L36" s="403"/>
      <c r="M36" s="403"/>
      <c r="N36" s="403"/>
      <c r="O36" s="236">
        <v>5500000</v>
      </c>
      <c r="P36" s="403"/>
      <c r="Q36" s="403"/>
      <c r="R36" s="236">
        <f t="shared" si="3"/>
        <v>5500000</v>
      </c>
      <c r="S36" s="672"/>
      <c r="T36" s="236"/>
      <c r="U36" s="236"/>
    </row>
    <row r="37" spans="1:21" s="82" customFormat="1">
      <c r="A37" s="229"/>
      <c r="B37" s="229"/>
      <c r="C37" s="230" t="s">
        <v>397</v>
      </c>
      <c r="D37" s="231"/>
      <c r="E37" s="294" t="s">
        <v>394</v>
      </c>
      <c r="F37" s="738" t="s">
        <v>881</v>
      </c>
      <c r="G37" s="413"/>
      <c r="H37" s="672">
        <v>1400000</v>
      </c>
      <c r="I37" s="403"/>
      <c r="J37" s="403"/>
      <c r="K37" s="403"/>
      <c r="L37" s="403"/>
      <c r="M37" s="403"/>
      <c r="N37" s="403"/>
      <c r="O37" s="236">
        <v>1200000</v>
      </c>
      <c r="P37" s="403"/>
      <c r="Q37" s="403"/>
      <c r="R37" s="236">
        <f t="shared" si="3"/>
        <v>1200000</v>
      </c>
      <c r="S37" s="672"/>
      <c r="T37" s="236"/>
      <c r="U37" s="236"/>
    </row>
    <row r="38" spans="1:21" s="82" customFormat="1">
      <c r="A38" s="229"/>
      <c r="B38" s="229"/>
      <c r="C38" s="230" t="s">
        <v>398</v>
      </c>
      <c r="D38" s="231"/>
      <c r="E38" s="294" t="s">
        <v>399</v>
      </c>
      <c r="F38" s="738" t="s">
        <v>881</v>
      </c>
      <c r="G38" s="413"/>
      <c r="H38" s="672">
        <v>1344160</v>
      </c>
      <c r="I38" s="403"/>
      <c r="J38" s="403"/>
      <c r="K38" s="403"/>
      <c r="L38" s="403"/>
      <c r="M38" s="403"/>
      <c r="N38" s="403"/>
      <c r="O38" s="236">
        <v>1300000</v>
      </c>
      <c r="P38" s="403"/>
      <c r="Q38" s="403"/>
      <c r="R38" s="236">
        <f t="shared" si="3"/>
        <v>1300000</v>
      </c>
      <c r="S38" s="672"/>
      <c r="T38" s="236"/>
      <c r="U38" s="236"/>
    </row>
    <row r="39" spans="1:21" s="82" customFormat="1">
      <c r="A39" s="229"/>
      <c r="B39" s="229"/>
      <c r="C39" s="230" t="s">
        <v>575</v>
      </c>
      <c r="D39" s="231"/>
      <c r="E39" s="294" t="s">
        <v>400</v>
      </c>
      <c r="F39" s="397" t="s">
        <v>880</v>
      </c>
      <c r="G39" s="428"/>
      <c r="H39" s="675">
        <f>6000000+2000000+138695-2750000</f>
        <v>5388695</v>
      </c>
      <c r="I39" s="416"/>
      <c r="J39" s="416"/>
      <c r="K39" s="416"/>
      <c r="L39" s="416"/>
      <c r="M39" s="416"/>
      <c r="N39" s="416"/>
      <c r="O39" s="236">
        <v>1500000</v>
      </c>
      <c r="P39" s="403"/>
      <c r="Q39" s="416"/>
      <c r="R39" s="236">
        <f t="shared" si="3"/>
        <v>1500000</v>
      </c>
      <c r="S39" s="675">
        <f>1700000+4800000-2750000</f>
        <v>3750000</v>
      </c>
      <c r="T39" s="236"/>
      <c r="U39" s="236"/>
    </row>
    <row r="40" spans="1:21" s="82" customFormat="1">
      <c r="A40" s="229"/>
      <c r="B40" s="229"/>
      <c r="C40" s="230" t="s">
        <v>401</v>
      </c>
      <c r="D40" s="231" t="s">
        <v>113</v>
      </c>
      <c r="E40" s="294"/>
      <c r="F40" s="397" t="s">
        <v>880</v>
      </c>
      <c r="G40" s="413"/>
      <c r="H40" s="675">
        <f>5500000+6300000+250000-50000-250000</f>
        <v>11750000</v>
      </c>
      <c r="I40" s="416"/>
      <c r="J40" s="416"/>
      <c r="K40" s="416"/>
      <c r="L40" s="416"/>
      <c r="M40" s="416"/>
      <c r="N40" s="416"/>
      <c r="O40" s="236">
        <v>2500000</v>
      </c>
      <c r="P40" s="403"/>
      <c r="Q40" s="416"/>
      <c r="R40" s="236">
        <f t="shared" si="3"/>
        <v>2500000</v>
      </c>
      <c r="S40" s="675">
        <f>2750000+6300000-50000</f>
        <v>9000000</v>
      </c>
      <c r="T40" s="236"/>
      <c r="U40" s="236"/>
    </row>
    <row r="41" spans="1:21" s="82" customFormat="1">
      <c r="A41" s="229"/>
      <c r="B41" s="229"/>
      <c r="C41" s="413"/>
      <c r="D41" s="400" t="s">
        <v>561</v>
      </c>
      <c r="E41" s="414"/>
      <c r="F41" s="397"/>
      <c r="G41" s="413"/>
      <c r="H41" s="676">
        <v>5750000</v>
      </c>
      <c r="I41" s="416"/>
      <c r="J41" s="416"/>
      <c r="K41" s="416"/>
      <c r="L41" s="416"/>
      <c r="M41" s="416"/>
      <c r="N41" s="416"/>
      <c r="O41" s="403">
        <v>2500000</v>
      </c>
      <c r="P41" s="403"/>
      <c r="Q41" s="416"/>
      <c r="R41" s="403">
        <f t="shared" si="3"/>
        <v>2500000</v>
      </c>
      <c r="S41" s="676">
        <v>3000000</v>
      </c>
      <c r="T41" s="403"/>
      <c r="U41" s="403"/>
    </row>
    <row r="42" spans="1:21" s="82" customFormat="1">
      <c r="A42" s="229"/>
      <c r="B42" s="229"/>
      <c r="C42" s="413"/>
      <c r="D42" s="400" t="s">
        <v>562</v>
      </c>
      <c r="E42" s="414"/>
      <c r="F42" s="397"/>
      <c r="G42" s="413"/>
      <c r="H42" s="676">
        <v>6000000</v>
      </c>
      <c r="I42" s="416"/>
      <c r="J42" s="416"/>
      <c r="K42" s="416"/>
      <c r="L42" s="416"/>
      <c r="M42" s="416"/>
      <c r="N42" s="416"/>
      <c r="O42" s="403"/>
      <c r="P42" s="403"/>
      <c r="Q42" s="416"/>
      <c r="R42" s="403">
        <f t="shared" si="3"/>
        <v>0</v>
      </c>
      <c r="S42" s="676">
        <v>6000000</v>
      </c>
      <c r="T42" s="403"/>
      <c r="U42" s="403"/>
    </row>
    <row r="43" spans="1:21" s="82" customFormat="1">
      <c r="A43" s="229"/>
      <c r="B43" s="229"/>
      <c r="C43" s="230" t="s">
        <v>576</v>
      </c>
      <c r="D43" s="231"/>
      <c r="E43" s="294" t="s">
        <v>396</v>
      </c>
      <c r="F43" s="397" t="s">
        <v>882</v>
      </c>
      <c r="G43" s="413"/>
      <c r="H43" s="672">
        <v>3690000</v>
      </c>
      <c r="I43" s="403"/>
      <c r="J43" s="403"/>
      <c r="K43" s="403"/>
      <c r="L43" s="403"/>
      <c r="M43" s="403"/>
      <c r="N43" s="403"/>
      <c r="O43" s="236">
        <v>40000</v>
      </c>
      <c r="P43" s="403"/>
      <c r="Q43" s="403"/>
      <c r="R43" s="236">
        <f t="shared" si="3"/>
        <v>40000</v>
      </c>
      <c r="S43" s="672">
        <v>150000</v>
      </c>
      <c r="T43" s="236"/>
      <c r="U43" s="236"/>
    </row>
    <row r="44" spans="1:21" s="82" customFormat="1">
      <c r="A44" s="229"/>
      <c r="B44" s="229"/>
      <c r="C44" s="230" t="s">
        <v>403</v>
      </c>
      <c r="D44" s="231"/>
      <c r="E44" s="294" t="s">
        <v>400</v>
      </c>
      <c r="F44" s="398" t="s">
        <v>882</v>
      </c>
      <c r="G44" s="413"/>
      <c r="H44" s="675">
        <f>6000000+1500000+250000-3000000</f>
        <v>4750000</v>
      </c>
      <c r="I44" s="416"/>
      <c r="J44" s="416"/>
      <c r="K44" s="416"/>
      <c r="L44" s="416"/>
      <c r="M44" s="416"/>
      <c r="N44" s="416"/>
      <c r="O44" s="236"/>
      <c r="P44" s="403"/>
      <c r="Q44" s="416"/>
      <c r="R44" s="236">
        <f t="shared" si="3"/>
        <v>0</v>
      </c>
      <c r="S44" s="675">
        <f>2250000+750000-500000</f>
        <v>2500000</v>
      </c>
      <c r="T44" s="236"/>
      <c r="U44" s="236"/>
    </row>
    <row r="45" spans="1:21" s="82" customFormat="1">
      <c r="A45" s="229"/>
      <c r="B45" s="229"/>
      <c r="C45" s="230" t="s">
        <v>616</v>
      </c>
      <c r="D45" s="231"/>
      <c r="E45" s="294" t="s">
        <v>405</v>
      </c>
      <c r="F45" s="398" t="s">
        <v>880</v>
      </c>
      <c r="G45" s="413"/>
      <c r="H45" s="672">
        <v>400000</v>
      </c>
      <c r="I45" s="403"/>
      <c r="J45" s="403"/>
      <c r="K45" s="403"/>
      <c r="L45" s="403"/>
      <c r="M45" s="403"/>
      <c r="N45" s="403"/>
      <c r="O45" s="236">
        <v>200000</v>
      </c>
      <c r="P45" s="403"/>
      <c r="Q45" s="403"/>
      <c r="R45" s="236">
        <f t="shared" si="3"/>
        <v>200000</v>
      </c>
      <c r="S45" s="672">
        <v>200000</v>
      </c>
      <c r="T45" s="236"/>
      <c r="U45" s="236"/>
    </row>
    <row r="46" spans="1:21" s="82" customFormat="1">
      <c r="A46" s="229"/>
      <c r="B46" s="229"/>
      <c r="C46" s="230" t="s">
        <v>279</v>
      </c>
      <c r="D46" s="231"/>
      <c r="E46" s="294" t="s">
        <v>405</v>
      </c>
      <c r="F46" s="398" t="s">
        <v>880</v>
      </c>
      <c r="G46" s="413"/>
      <c r="H46" s="675">
        <f>7800000+810000-2000000</f>
        <v>6610000</v>
      </c>
      <c r="I46" s="416"/>
      <c r="J46" s="416"/>
      <c r="K46" s="416"/>
      <c r="L46" s="416"/>
      <c r="M46" s="416"/>
      <c r="N46" s="416"/>
      <c r="O46" s="236">
        <f>650000-40000</f>
        <v>610000</v>
      </c>
      <c r="P46" s="403"/>
      <c r="Q46" s="416"/>
      <c r="R46" s="236">
        <f t="shared" si="3"/>
        <v>610000</v>
      </c>
      <c r="S46" s="672">
        <v>2000000</v>
      </c>
      <c r="T46" s="236"/>
      <c r="U46" s="236"/>
    </row>
    <row r="47" spans="1:21" s="82" customFormat="1" ht="22.5">
      <c r="A47" s="229"/>
      <c r="B47" s="229"/>
      <c r="C47" s="233" t="s">
        <v>577</v>
      </c>
      <c r="D47" s="231"/>
      <c r="E47" s="294" t="s">
        <v>400</v>
      </c>
      <c r="F47" s="398" t="s">
        <v>880</v>
      </c>
      <c r="G47" s="725"/>
      <c r="H47" s="672"/>
      <c r="I47" s="403"/>
      <c r="J47" s="403"/>
      <c r="K47" s="403"/>
      <c r="L47" s="403"/>
      <c r="M47" s="403"/>
      <c r="N47" s="403"/>
      <c r="O47" s="236">
        <v>10000</v>
      </c>
      <c r="P47" s="403"/>
      <c r="Q47" s="403"/>
      <c r="R47" s="236">
        <f t="shared" si="3"/>
        <v>10000</v>
      </c>
      <c r="S47" s="672">
        <v>1000000</v>
      </c>
      <c r="T47" s="236"/>
      <c r="U47" s="236"/>
    </row>
    <row r="48" spans="1:21" s="82" customFormat="1">
      <c r="A48" s="229"/>
      <c r="B48" s="229"/>
      <c r="C48" s="230" t="s">
        <v>615</v>
      </c>
      <c r="D48" s="231"/>
      <c r="E48" s="294" t="s">
        <v>405</v>
      </c>
      <c r="F48" s="398" t="s">
        <v>880</v>
      </c>
      <c r="G48" s="413"/>
      <c r="H48" s="675">
        <f>1500000+8300000</f>
        <v>9800000</v>
      </c>
      <c r="I48" s="416"/>
      <c r="J48" s="416"/>
      <c r="K48" s="416"/>
      <c r="L48" s="416"/>
      <c r="M48" s="416"/>
      <c r="N48" s="416"/>
      <c r="O48" s="236">
        <f>1500000+300000</f>
        <v>1800000</v>
      </c>
      <c r="P48" s="403"/>
      <c r="Q48" s="416"/>
      <c r="R48" s="236">
        <f t="shared" si="3"/>
        <v>1800000</v>
      </c>
      <c r="S48" s="672">
        <v>2000000</v>
      </c>
      <c r="T48" s="236"/>
      <c r="U48" s="236"/>
    </row>
    <row r="49" spans="1:21" s="82" customFormat="1">
      <c r="A49" s="229"/>
      <c r="B49" s="229"/>
      <c r="C49" s="290" t="s">
        <v>280</v>
      </c>
      <c r="D49" s="293" t="s">
        <v>25</v>
      </c>
      <c r="E49" s="291"/>
      <c r="F49" s="398"/>
      <c r="G49" s="405"/>
      <c r="H49" s="669">
        <f>SUM(H50:H54)</f>
        <v>22250000</v>
      </c>
      <c r="I49" s="646"/>
      <c r="J49" s="646"/>
      <c r="K49" s="646"/>
      <c r="L49" s="646"/>
      <c r="M49" s="646"/>
      <c r="N49" s="646"/>
      <c r="O49" s="293">
        <f>SUM(O50:O54)</f>
        <v>1350000</v>
      </c>
      <c r="P49" s="646"/>
      <c r="Q49" s="646"/>
      <c r="R49" s="293">
        <f t="shared" si="3"/>
        <v>1350000</v>
      </c>
      <c r="S49" s="669">
        <f>SUM(S50:S54)</f>
        <v>4750000</v>
      </c>
      <c r="T49" s="293"/>
      <c r="U49" s="293"/>
    </row>
    <row r="50" spans="1:21" s="82" customFormat="1" ht="22.5">
      <c r="A50" s="229"/>
      <c r="B50" s="229"/>
      <c r="C50" s="234" t="s">
        <v>414</v>
      </c>
      <c r="D50" s="231"/>
      <c r="E50" s="294" t="s">
        <v>402</v>
      </c>
      <c r="F50" s="398" t="s">
        <v>880</v>
      </c>
      <c r="G50" s="706"/>
      <c r="H50" s="672">
        <v>6500000</v>
      </c>
      <c r="I50" s="403"/>
      <c r="J50" s="403"/>
      <c r="K50" s="403"/>
      <c r="L50" s="403"/>
      <c r="M50" s="403"/>
      <c r="N50" s="403"/>
      <c r="O50" s="236">
        <v>500000</v>
      </c>
      <c r="P50" s="403"/>
      <c r="Q50" s="403"/>
      <c r="R50" s="236">
        <f t="shared" si="3"/>
        <v>500000</v>
      </c>
      <c r="S50" s="672">
        <v>1500000</v>
      </c>
      <c r="T50" s="236"/>
      <c r="U50" s="236"/>
    </row>
    <row r="51" spans="1:21" s="82" customFormat="1" ht="22.5">
      <c r="A51" s="229"/>
      <c r="B51" s="229"/>
      <c r="C51" s="230" t="s">
        <v>617</v>
      </c>
      <c r="D51" s="231"/>
      <c r="E51" s="294" t="s">
        <v>394</v>
      </c>
      <c r="F51" s="846" t="s">
        <v>882</v>
      </c>
      <c r="G51" s="413"/>
      <c r="H51" s="677">
        <v>4000000</v>
      </c>
      <c r="I51" s="418"/>
      <c r="J51" s="418"/>
      <c r="K51" s="418"/>
      <c r="L51" s="418"/>
      <c r="M51" s="418"/>
      <c r="N51" s="418"/>
      <c r="O51" s="249">
        <v>300000</v>
      </c>
      <c r="P51" s="418"/>
      <c r="Q51" s="418"/>
      <c r="R51" s="249">
        <f t="shared" si="3"/>
        <v>300000</v>
      </c>
      <c r="S51" s="677"/>
      <c r="T51" s="249"/>
      <c r="U51" s="249"/>
    </row>
    <row r="52" spans="1:21" s="82" customFormat="1" ht="22.5">
      <c r="A52" s="229"/>
      <c r="B52" s="229"/>
      <c r="C52" s="230" t="s">
        <v>618</v>
      </c>
      <c r="D52" s="231"/>
      <c r="E52" s="294" t="s">
        <v>408</v>
      </c>
      <c r="F52" s="398" t="s">
        <v>882</v>
      </c>
      <c r="G52" s="413"/>
      <c r="H52" s="677">
        <v>9000000</v>
      </c>
      <c r="I52" s="418"/>
      <c r="J52" s="418"/>
      <c r="K52" s="418"/>
      <c r="L52" s="418"/>
      <c r="M52" s="418"/>
      <c r="N52" s="418"/>
      <c r="O52" s="249">
        <v>300000</v>
      </c>
      <c r="P52" s="418"/>
      <c r="Q52" s="418"/>
      <c r="R52" s="249">
        <f t="shared" si="3"/>
        <v>300000</v>
      </c>
      <c r="S52" s="677">
        <v>2000000</v>
      </c>
      <c r="T52" s="249"/>
      <c r="U52" s="249"/>
    </row>
    <row r="53" spans="1:21" s="82" customFormat="1">
      <c r="A53" s="229"/>
      <c r="B53" s="229"/>
      <c r="C53" s="230" t="s">
        <v>613</v>
      </c>
      <c r="D53" s="231"/>
      <c r="E53" s="294" t="s">
        <v>400</v>
      </c>
      <c r="F53" s="398" t="s">
        <v>882</v>
      </c>
      <c r="G53" s="762"/>
      <c r="H53" s="671">
        <f>1000000+1500000</f>
        <v>2500000</v>
      </c>
      <c r="I53" s="232"/>
      <c r="J53" s="232"/>
      <c r="K53" s="232"/>
      <c r="L53" s="232"/>
      <c r="M53" s="232"/>
      <c r="N53" s="232"/>
      <c r="O53" s="236"/>
      <c r="P53" s="232"/>
      <c r="Q53" s="232"/>
      <c r="R53" s="236">
        <f t="shared" si="3"/>
        <v>0</v>
      </c>
      <c r="S53" s="672">
        <v>1000000</v>
      </c>
      <c r="T53" s="236"/>
      <c r="U53" s="236"/>
    </row>
    <row r="54" spans="1:21" s="82" customFormat="1">
      <c r="A54" s="229"/>
      <c r="B54" s="229"/>
      <c r="C54" s="230" t="s">
        <v>281</v>
      </c>
      <c r="D54" s="231"/>
      <c r="E54" s="294" t="s">
        <v>405</v>
      </c>
      <c r="F54" s="398" t="s">
        <v>880</v>
      </c>
      <c r="G54" s="413"/>
      <c r="H54" s="672">
        <v>250000</v>
      </c>
      <c r="I54" s="403"/>
      <c r="J54" s="403"/>
      <c r="K54" s="403"/>
      <c r="L54" s="403"/>
      <c r="M54" s="403"/>
      <c r="N54" s="403"/>
      <c r="O54" s="236">
        <v>250000</v>
      </c>
      <c r="P54" s="403"/>
      <c r="Q54" s="403"/>
      <c r="R54" s="236">
        <f t="shared" si="3"/>
        <v>250000</v>
      </c>
      <c r="S54" s="672">
        <f>100000+150000</f>
        <v>250000</v>
      </c>
      <c r="T54" s="236"/>
      <c r="U54" s="236"/>
    </row>
    <row r="55" spans="1:21" s="82" customFormat="1">
      <c r="A55" s="229"/>
      <c r="B55" s="229"/>
      <c r="C55" s="217" t="s">
        <v>415</v>
      </c>
      <c r="D55" s="289" t="s">
        <v>113</v>
      </c>
      <c r="E55" s="288"/>
      <c r="F55" s="723"/>
      <c r="G55" s="723"/>
      <c r="H55" s="668">
        <f>H56+H66+H69+H81+H75+H64+H87+H77+H72+H96+H102+H97+H83+H84+H86+H92+H103+H61+H82+H100+H98+H99+H101+H85+H59</f>
        <v>61459260</v>
      </c>
      <c r="I55" s="645"/>
      <c r="J55" s="645"/>
      <c r="K55" s="645"/>
      <c r="L55" s="645"/>
      <c r="M55" s="645"/>
      <c r="N55" s="645"/>
      <c r="O55" s="226">
        <f>O56+O66+O69+O81+O75+O64+O87+O77+O72+O96+O102+O97+O83+O84+O86+O92+O103+O61+O82+O100+O98+O99+O101+O85+O59</f>
        <v>8636234</v>
      </c>
      <c r="P55" s="226">
        <f>P56+P66+P69+P81+P75+P64+P87+P77+P72+P96+P102+P97+P83+P84+P86+P92+P103+P61+P82+P100+P98+P99+P101+P85+P59</f>
        <v>710000</v>
      </c>
      <c r="Q55" s="645"/>
      <c r="R55" s="226">
        <f t="shared" si="3"/>
        <v>9346234</v>
      </c>
      <c r="S55" s="668">
        <f>S56+S66+S69+S81+S75+S64+S87+S77+S72+S96+S102+S97+S83+S84+S86+S92+S103+S61+S82+S100+S98+S99+S101+S85+S59</f>
        <v>19595231</v>
      </c>
      <c r="T55" s="226"/>
      <c r="U55" s="226"/>
    </row>
    <row r="56" spans="1:21" ht="25.5">
      <c r="C56" s="221" t="s">
        <v>579</v>
      </c>
      <c r="D56" s="231" t="s">
        <v>113</v>
      </c>
      <c r="E56" s="296" t="s">
        <v>404</v>
      </c>
      <c r="F56" s="845" t="s">
        <v>884</v>
      </c>
      <c r="G56" s="397"/>
      <c r="H56" s="670">
        <f t="shared" ref="H56:S56" si="15">H57+H58</f>
        <v>5116396</v>
      </c>
      <c r="I56" s="399"/>
      <c r="J56" s="399"/>
      <c r="K56" s="399"/>
      <c r="L56" s="399"/>
      <c r="M56" s="399"/>
      <c r="N56" s="399"/>
      <c r="O56" s="225">
        <f t="shared" ref="O56" si="16">O57+O58</f>
        <v>125012</v>
      </c>
      <c r="P56" s="399"/>
      <c r="Q56" s="399"/>
      <c r="R56" s="225">
        <f t="shared" si="3"/>
        <v>125012</v>
      </c>
      <c r="S56" s="670">
        <f t="shared" si="15"/>
        <v>2150413</v>
      </c>
      <c r="T56" s="225"/>
      <c r="U56" s="225"/>
    </row>
    <row r="57" spans="1:21">
      <c r="C57" s="297" t="s">
        <v>110</v>
      </c>
      <c r="D57" s="231" t="s">
        <v>25</v>
      </c>
      <c r="E57" s="296"/>
      <c r="F57" s="726"/>
      <c r="G57" s="763"/>
      <c r="H57" s="671">
        <f>2621945+1601</f>
        <v>2623546</v>
      </c>
      <c r="I57" s="232"/>
      <c r="J57" s="232"/>
      <c r="K57" s="232"/>
      <c r="L57" s="232"/>
      <c r="M57" s="232"/>
      <c r="N57" s="232"/>
      <c r="O57" s="225">
        <v>32112</v>
      </c>
      <c r="P57" s="773"/>
      <c r="Q57" s="232"/>
      <c r="R57" s="225">
        <f t="shared" si="3"/>
        <v>32112</v>
      </c>
      <c r="S57" s="672">
        <f>991261+50454</f>
        <v>1041715</v>
      </c>
      <c r="T57" s="225"/>
      <c r="U57" s="225"/>
    </row>
    <row r="58" spans="1:21">
      <c r="C58" s="221"/>
      <c r="D58" s="231" t="s">
        <v>111</v>
      </c>
      <c r="E58" s="296"/>
      <c r="F58" s="397"/>
      <c r="G58" s="764"/>
      <c r="H58" s="671">
        <f>2494451-1601</f>
        <v>2492850</v>
      </c>
      <c r="I58" s="232"/>
      <c r="J58" s="232"/>
      <c r="K58" s="232"/>
      <c r="L58" s="232"/>
      <c r="M58" s="232"/>
      <c r="N58" s="232"/>
      <c r="O58" s="225">
        <v>92900</v>
      </c>
      <c r="P58" s="773"/>
      <c r="Q58" s="232"/>
      <c r="R58" s="225">
        <f t="shared" si="3"/>
        <v>92900</v>
      </c>
      <c r="S58" s="672">
        <f>1155148-46450</f>
        <v>1108698</v>
      </c>
      <c r="T58" s="225"/>
      <c r="U58" s="225"/>
    </row>
    <row r="59" spans="1:21">
      <c r="C59" s="221" t="s">
        <v>580</v>
      </c>
      <c r="D59" s="231" t="s">
        <v>113</v>
      </c>
      <c r="E59" s="296" t="s">
        <v>404</v>
      </c>
      <c r="F59" s="397" t="s">
        <v>882</v>
      </c>
      <c r="G59" s="397"/>
      <c r="H59" s="670"/>
      <c r="I59" s="399"/>
      <c r="J59" s="399"/>
      <c r="K59" s="399"/>
      <c r="L59" s="399"/>
      <c r="M59" s="399"/>
      <c r="N59" s="399"/>
      <c r="O59" s="225">
        <f>SUM(O60:O60)</f>
        <v>0</v>
      </c>
      <c r="P59" s="225">
        <f>SUM(P60:P60)</f>
        <v>10000</v>
      </c>
      <c r="Q59" s="399"/>
      <c r="R59" s="225">
        <f t="shared" si="3"/>
        <v>10000</v>
      </c>
      <c r="S59" s="698"/>
      <c r="T59" s="225"/>
      <c r="U59" s="225"/>
    </row>
    <row r="60" spans="1:21" ht="12" customHeight="1">
      <c r="C60" s="221"/>
      <c r="D60" s="231" t="s">
        <v>26</v>
      </c>
      <c r="E60" s="296"/>
      <c r="F60" s="397"/>
      <c r="G60" s="397"/>
      <c r="H60" s="670"/>
      <c r="I60" s="399"/>
      <c r="J60" s="399"/>
      <c r="K60" s="399"/>
      <c r="L60" s="399"/>
      <c r="M60" s="399"/>
      <c r="N60" s="399"/>
      <c r="O60" s="225"/>
      <c r="P60" s="399">
        <v>10000</v>
      </c>
      <c r="Q60" s="399"/>
      <c r="R60" s="225">
        <f t="shared" si="3"/>
        <v>10000</v>
      </c>
      <c r="S60" s="698"/>
      <c r="T60" s="225"/>
      <c r="U60" s="225"/>
    </row>
    <row r="61" spans="1:21" ht="25.5">
      <c r="C61" s="221" t="s">
        <v>416</v>
      </c>
      <c r="D61" s="219" t="s">
        <v>113</v>
      </c>
      <c r="E61" s="296" t="s">
        <v>404</v>
      </c>
      <c r="F61" s="397" t="s">
        <v>881</v>
      </c>
      <c r="G61" s="397"/>
      <c r="H61" s="670">
        <f>H62+H63</f>
        <v>889082</v>
      </c>
      <c r="I61" s="399"/>
      <c r="J61" s="399"/>
      <c r="K61" s="399"/>
      <c r="L61" s="399"/>
      <c r="M61" s="399"/>
      <c r="N61" s="399"/>
      <c r="O61" s="225">
        <f>O62+O63</f>
        <v>451195</v>
      </c>
      <c r="P61" s="399"/>
      <c r="Q61" s="399"/>
      <c r="R61" s="225">
        <f t="shared" si="3"/>
        <v>451195</v>
      </c>
      <c r="S61" s="698"/>
      <c r="T61" s="225"/>
      <c r="U61" s="225"/>
    </row>
    <row r="62" spans="1:21">
      <c r="C62" s="297" t="s">
        <v>110</v>
      </c>
      <c r="D62" s="231" t="s">
        <v>134</v>
      </c>
      <c r="E62" s="296"/>
      <c r="F62" s="726"/>
      <c r="G62" s="726"/>
      <c r="H62" s="670">
        <f>88362+45000</f>
        <v>133362</v>
      </c>
      <c r="I62" s="399"/>
      <c r="J62" s="399"/>
      <c r="K62" s="399"/>
      <c r="L62" s="399"/>
      <c r="M62" s="399"/>
      <c r="N62" s="399"/>
      <c r="O62" s="225">
        <f>22679+45000</f>
        <v>67679</v>
      </c>
      <c r="P62" s="399"/>
      <c r="Q62" s="399"/>
      <c r="R62" s="225">
        <f t="shared" si="3"/>
        <v>67679</v>
      </c>
      <c r="S62" s="698"/>
      <c r="T62" s="225"/>
      <c r="U62" s="225"/>
    </row>
    <row r="63" spans="1:21">
      <c r="C63" s="221"/>
      <c r="D63" s="231" t="s">
        <v>111</v>
      </c>
      <c r="E63" s="296"/>
      <c r="F63" s="397"/>
      <c r="G63" s="397"/>
      <c r="H63" s="670">
        <f>500720+255000</f>
        <v>755720</v>
      </c>
      <c r="I63" s="399"/>
      <c r="J63" s="399"/>
      <c r="K63" s="399"/>
      <c r="L63" s="399"/>
      <c r="M63" s="399"/>
      <c r="N63" s="399"/>
      <c r="O63" s="225">
        <f>128516+255000</f>
        <v>383516</v>
      </c>
      <c r="P63" s="399"/>
      <c r="Q63" s="399"/>
      <c r="R63" s="225">
        <f t="shared" si="3"/>
        <v>383516</v>
      </c>
      <c r="S63" s="698"/>
      <c r="T63" s="225"/>
      <c r="U63" s="225"/>
    </row>
    <row r="64" spans="1:21" s="82" customFormat="1">
      <c r="A64" s="229"/>
      <c r="B64" s="229"/>
      <c r="C64" s="221" t="s">
        <v>417</v>
      </c>
      <c r="D64" s="231" t="s">
        <v>25</v>
      </c>
      <c r="E64" s="296" t="s">
        <v>404</v>
      </c>
      <c r="F64" s="397" t="s">
        <v>885</v>
      </c>
      <c r="G64" s="397"/>
      <c r="H64" s="670">
        <f>+H65</f>
        <v>270000</v>
      </c>
      <c r="I64" s="399"/>
      <c r="J64" s="399"/>
      <c r="K64" s="399"/>
      <c r="L64" s="399"/>
      <c r="M64" s="399"/>
      <c r="N64" s="399"/>
      <c r="O64" s="225"/>
      <c r="P64" s="399"/>
      <c r="Q64" s="399"/>
      <c r="R64" s="225">
        <f t="shared" si="3"/>
        <v>0</v>
      </c>
      <c r="S64" s="670">
        <f>+S65</f>
        <v>270000</v>
      </c>
      <c r="T64" s="225"/>
      <c r="U64" s="225"/>
    </row>
    <row r="65" spans="1:21" s="82" customFormat="1">
      <c r="A65" s="229"/>
      <c r="B65" s="229"/>
      <c r="C65" s="298" t="s">
        <v>418</v>
      </c>
      <c r="D65" s="231"/>
      <c r="E65" s="299"/>
      <c r="F65" s="727"/>
      <c r="G65" s="727"/>
      <c r="H65" s="672">
        <v>270000</v>
      </c>
      <c r="I65" s="403"/>
      <c r="J65" s="403"/>
      <c r="K65" s="403"/>
      <c r="L65" s="403"/>
      <c r="M65" s="403"/>
      <c r="N65" s="403"/>
      <c r="O65" s="236"/>
      <c r="P65" s="403"/>
      <c r="Q65" s="403"/>
      <c r="R65" s="236">
        <f t="shared" si="3"/>
        <v>0</v>
      </c>
      <c r="S65" s="672">
        <v>270000</v>
      </c>
      <c r="T65" s="236"/>
      <c r="U65" s="236"/>
    </row>
    <row r="66" spans="1:21" s="82" customFormat="1">
      <c r="A66" s="229"/>
      <c r="B66" s="229"/>
      <c r="C66" s="221" t="s">
        <v>419</v>
      </c>
      <c r="D66" s="231" t="s">
        <v>113</v>
      </c>
      <c r="E66" s="296" t="s">
        <v>405</v>
      </c>
      <c r="F66" s="397" t="s">
        <v>885</v>
      </c>
      <c r="G66" s="397"/>
      <c r="H66" s="670">
        <f t="shared" ref="H66:S66" si="17">H67+H68</f>
        <v>640217</v>
      </c>
      <c r="I66" s="399"/>
      <c r="J66" s="399"/>
      <c r="K66" s="399"/>
      <c r="L66" s="399"/>
      <c r="M66" s="399"/>
      <c r="N66" s="399"/>
      <c r="O66" s="225">
        <f t="shared" ref="O66" si="18">O67+O68</f>
        <v>640217</v>
      </c>
      <c r="P66" s="399"/>
      <c r="Q66" s="399"/>
      <c r="R66" s="225">
        <f t="shared" si="3"/>
        <v>640217</v>
      </c>
      <c r="S66" s="670">
        <f t="shared" si="17"/>
        <v>653158</v>
      </c>
      <c r="T66" s="225"/>
      <c r="U66" s="225"/>
    </row>
    <row r="67" spans="1:21" s="82" customFormat="1">
      <c r="A67" s="229"/>
      <c r="B67" s="229"/>
      <c r="C67" s="297" t="s">
        <v>110</v>
      </c>
      <c r="D67" s="231" t="s">
        <v>25</v>
      </c>
      <c r="E67" s="296"/>
      <c r="F67" s="726"/>
      <c r="G67" s="726"/>
      <c r="H67" s="670">
        <v>275600</v>
      </c>
      <c r="I67" s="399"/>
      <c r="J67" s="399"/>
      <c r="K67" s="399"/>
      <c r="L67" s="399"/>
      <c r="M67" s="399"/>
      <c r="N67" s="399"/>
      <c r="O67" s="225">
        <v>275600</v>
      </c>
      <c r="P67" s="399"/>
      <c r="Q67" s="399"/>
      <c r="R67" s="225">
        <f t="shared" si="3"/>
        <v>275600</v>
      </c>
      <c r="S67" s="674">
        <f>200000+80000</f>
        <v>280000</v>
      </c>
      <c r="T67" s="225"/>
      <c r="U67" s="225"/>
    </row>
    <row r="68" spans="1:21" s="82" customFormat="1">
      <c r="A68" s="229"/>
      <c r="B68" s="229"/>
      <c r="C68" s="221"/>
      <c r="D68" s="231" t="s">
        <v>26</v>
      </c>
      <c r="E68" s="296"/>
      <c r="F68" s="397"/>
      <c r="G68" s="397"/>
      <c r="H68" s="670">
        <v>364617</v>
      </c>
      <c r="I68" s="399"/>
      <c r="J68" s="399"/>
      <c r="K68" s="399"/>
      <c r="L68" s="399"/>
      <c r="M68" s="399"/>
      <c r="N68" s="399"/>
      <c r="O68" s="225">
        <v>364617</v>
      </c>
      <c r="P68" s="399"/>
      <c r="Q68" s="399"/>
      <c r="R68" s="225">
        <f t="shared" si="3"/>
        <v>364617</v>
      </c>
      <c r="S68" s="674">
        <f>364617+8541</f>
        <v>373158</v>
      </c>
      <c r="T68" s="225"/>
      <c r="U68" s="225"/>
    </row>
    <row r="69" spans="1:21" s="82" customFormat="1">
      <c r="A69" s="229"/>
      <c r="B69" s="229"/>
      <c r="C69" s="221" t="s">
        <v>420</v>
      </c>
      <c r="D69" s="231" t="s">
        <v>25</v>
      </c>
      <c r="E69" s="296"/>
      <c r="F69" s="397" t="s">
        <v>881</v>
      </c>
      <c r="G69" s="397"/>
      <c r="H69" s="670">
        <f t="shared" ref="H69:S69" si="19">H70+H71</f>
        <v>1144250</v>
      </c>
      <c r="I69" s="399"/>
      <c r="J69" s="399"/>
      <c r="K69" s="399"/>
      <c r="L69" s="399"/>
      <c r="M69" s="399"/>
      <c r="N69" s="399"/>
      <c r="O69" s="225">
        <f t="shared" ref="O69" si="20">O70+O71</f>
        <v>200000</v>
      </c>
      <c r="P69" s="399"/>
      <c r="Q69" s="399"/>
      <c r="R69" s="225">
        <f t="shared" ref="R69:R132" si="21">SUM(O69:Q69)</f>
        <v>200000</v>
      </c>
      <c r="S69" s="670">
        <f t="shared" si="19"/>
        <v>0</v>
      </c>
      <c r="T69" s="225"/>
      <c r="U69" s="225"/>
    </row>
    <row r="70" spans="1:21" s="82" customFormat="1">
      <c r="A70" s="229"/>
      <c r="B70" s="229"/>
      <c r="C70" s="298" t="s">
        <v>421</v>
      </c>
      <c r="D70" s="231"/>
      <c r="E70" s="299" t="s">
        <v>405</v>
      </c>
      <c r="F70" s="847" t="s">
        <v>881</v>
      </c>
      <c r="G70" s="727"/>
      <c r="H70" s="678">
        <v>150000</v>
      </c>
      <c r="I70" s="647"/>
      <c r="J70" s="647"/>
      <c r="K70" s="647"/>
      <c r="L70" s="647"/>
      <c r="M70" s="647"/>
      <c r="N70" s="647"/>
      <c r="O70" s="300">
        <v>150000</v>
      </c>
      <c r="P70" s="647"/>
      <c r="Q70" s="647"/>
      <c r="R70" s="300">
        <f t="shared" si="21"/>
        <v>150000</v>
      </c>
      <c r="S70" s="672"/>
      <c r="T70" s="300"/>
      <c r="U70" s="300"/>
    </row>
    <row r="71" spans="1:21" s="82" customFormat="1">
      <c r="A71" s="229"/>
      <c r="B71" s="229"/>
      <c r="C71" s="298" t="s">
        <v>422</v>
      </c>
      <c r="D71" s="231"/>
      <c r="E71" s="299" t="s">
        <v>399</v>
      </c>
      <c r="F71" s="848" t="s">
        <v>881</v>
      </c>
      <c r="G71" s="727"/>
      <c r="H71" s="678">
        <v>994250</v>
      </c>
      <c r="I71" s="647"/>
      <c r="J71" s="647"/>
      <c r="K71" s="647"/>
      <c r="L71" s="647"/>
      <c r="M71" s="647"/>
      <c r="N71" s="647"/>
      <c r="O71" s="300">
        <v>50000</v>
      </c>
      <c r="P71" s="647"/>
      <c r="Q71" s="647"/>
      <c r="R71" s="300">
        <f t="shared" si="21"/>
        <v>50000</v>
      </c>
      <c r="S71" s="672"/>
      <c r="T71" s="300"/>
      <c r="U71" s="300"/>
    </row>
    <row r="72" spans="1:21" s="82" customFormat="1">
      <c r="A72" s="229"/>
      <c r="B72" s="229"/>
      <c r="C72" s="221" t="s">
        <v>423</v>
      </c>
      <c r="D72" s="231" t="s">
        <v>25</v>
      </c>
      <c r="E72" s="296" t="s">
        <v>394</v>
      </c>
      <c r="F72" s="397" t="s">
        <v>885</v>
      </c>
      <c r="G72" s="397"/>
      <c r="H72" s="674">
        <v>676115</v>
      </c>
      <c r="I72" s="399"/>
      <c r="J72" s="399"/>
      <c r="K72" s="399"/>
      <c r="L72" s="399"/>
      <c r="M72" s="399"/>
      <c r="N72" s="399"/>
      <c r="O72" s="225">
        <f>O73+O74</f>
        <v>152310</v>
      </c>
      <c r="P72" s="399"/>
      <c r="Q72" s="399"/>
      <c r="R72" s="225">
        <f t="shared" si="21"/>
        <v>152310</v>
      </c>
      <c r="S72" s="670">
        <v>225000</v>
      </c>
      <c r="T72" s="225"/>
      <c r="U72" s="225"/>
    </row>
    <row r="73" spans="1:21" s="82" customFormat="1">
      <c r="A73" s="229"/>
      <c r="B73" s="229"/>
      <c r="C73" s="234" t="s">
        <v>282</v>
      </c>
      <c r="D73" s="231"/>
      <c r="E73" s="294"/>
      <c r="F73" s="706"/>
      <c r="G73" s="706"/>
      <c r="H73" s="670"/>
      <c r="I73" s="399"/>
      <c r="J73" s="399"/>
      <c r="K73" s="399"/>
      <c r="L73" s="399"/>
      <c r="M73" s="399"/>
      <c r="N73" s="399"/>
      <c r="O73" s="300">
        <v>92310</v>
      </c>
      <c r="P73" s="647"/>
      <c r="Q73" s="399"/>
      <c r="R73" s="300">
        <f t="shared" si="21"/>
        <v>92310</v>
      </c>
      <c r="S73" s="699"/>
      <c r="T73" s="300"/>
      <c r="U73" s="300"/>
    </row>
    <row r="74" spans="1:21" s="82" customFormat="1">
      <c r="A74" s="229"/>
      <c r="B74" s="229"/>
      <c r="C74" s="230" t="s">
        <v>283</v>
      </c>
      <c r="D74" s="231"/>
      <c r="E74" s="294"/>
      <c r="F74" s="413"/>
      <c r="G74" s="413"/>
      <c r="H74" s="670"/>
      <c r="I74" s="399"/>
      <c r="J74" s="399"/>
      <c r="K74" s="399"/>
      <c r="L74" s="399"/>
      <c r="M74" s="399"/>
      <c r="N74" s="399"/>
      <c r="O74" s="300">
        <v>60000</v>
      </c>
      <c r="P74" s="647"/>
      <c r="Q74" s="399"/>
      <c r="R74" s="300">
        <f t="shared" si="21"/>
        <v>60000</v>
      </c>
      <c r="S74" s="699"/>
      <c r="T74" s="300"/>
      <c r="U74" s="300"/>
    </row>
    <row r="75" spans="1:21" s="82" customFormat="1">
      <c r="A75" s="229"/>
      <c r="B75" s="229"/>
      <c r="C75" s="221" t="s">
        <v>424</v>
      </c>
      <c r="D75" s="231" t="s">
        <v>25</v>
      </c>
      <c r="E75" s="296"/>
      <c r="F75" s="397" t="s">
        <v>885</v>
      </c>
      <c r="G75" s="397"/>
      <c r="H75" s="670">
        <f>H76</f>
        <v>275000</v>
      </c>
      <c r="I75" s="399"/>
      <c r="J75" s="399"/>
      <c r="K75" s="399"/>
      <c r="L75" s="399"/>
      <c r="M75" s="399"/>
      <c r="N75" s="399"/>
      <c r="O75" s="225">
        <f>O76</f>
        <v>200000</v>
      </c>
      <c r="P75" s="399"/>
      <c r="Q75" s="399"/>
      <c r="R75" s="225">
        <f t="shared" si="21"/>
        <v>200000</v>
      </c>
      <c r="S75" s="670">
        <f>S76</f>
        <v>75000</v>
      </c>
      <c r="T75" s="225"/>
      <c r="U75" s="225"/>
    </row>
    <row r="76" spans="1:21" s="82" customFormat="1" ht="22.5">
      <c r="A76" s="229"/>
      <c r="B76" s="229"/>
      <c r="C76" s="298" t="s">
        <v>425</v>
      </c>
      <c r="D76" s="231"/>
      <c r="E76" s="299" t="s">
        <v>394</v>
      </c>
      <c r="F76" s="727"/>
      <c r="G76" s="727"/>
      <c r="H76" s="672">
        <f>200000+75000</f>
        <v>275000</v>
      </c>
      <c r="I76" s="403"/>
      <c r="J76" s="403"/>
      <c r="K76" s="403"/>
      <c r="L76" s="403"/>
      <c r="M76" s="403"/>
      <c r="N76" s="403"/>
      <c r="O76" s="236">
        <v>200000</v>
      </c>
      <c r="P76" s="403"/>
      <c r="Q76" s="403"/>
      <c r="R76" s="236">
        <f t="shared" si="21"/>
        <v>200000</v>
      </c>
      <c r="S76" s="672">
        <v>75000</v>
      </c>
      <c r="T76" s="236"/>
      <c r="U76" s="236"/>
    </row>
    <row r="77" spans="1:21" s="82" customFormat="1">
      <c r="A77" s="229"/>
      <c r="B77" s="229"/>
      <c r="C77" s="221" t="s">
        <v>582</v>
      </c>
      <c r="D77" s="231" t="s">
        <v>113</v>
      </c>
      <c r="E77" s="296" t="s">
        <v>394</v>
      </c>
      <c r="F77" s="397" t="s">
        <v>882</v>
      </c>
      <c r="G77" s="397"/>
      <c r="H77" s="670">
        <f>H78+H79+H80</f>
        <v>27700000</v>
      </c>
      <c r="I77" s="399"/>
      <c r="J77" s="399"/>
      <c r="K77" s="399"/>
      <c r="L77" s="399"/>
      <c r="M77" s="399"/>
      <c r="N77" s="399"/>
      <c r="O77" s="225">
        <f t="shared" ref="O77:P77" si="22">O78+O79+O80</f>
        <v>700000</v>
      </c>
      <c r="P77" s="225">
        <f t="shared" si="22"/>
        <v>700000</v>
      </c>
      <c r="Q77" s="399"/>
      <c r="R77" s="225">
        <f t="shared" si="21"/>
        <v>1400000</v>
      </c>
      <c r="S77" s="670">
        <f t="shared" ref="S77" si="23">S78+S79+S80</f>
        <v>5746060</v>
      </c>
      <c r="T77" s="225"/>
      <c r="U77" s="225"/>
    </row>
    <row r="78" spans="1:21" s="82" customFormat="1">
      <c r="A78" s="229"/>
      <c r="B78" s="229"/>
      <c r="C78" s="317" t="s">
        <v>563</v>
      </c>
      <c r="D78" s="231" t="s">
        <v>26</v>
      </c>
      <c r="E78" s="296" t="s">
        <v>394</v>
      </c>
      <c r="F78" s="398"/>
      <c r="G78" s="728"/>
      <c r="H78" s="670">
        <v>12175000</v>
      </c>
      <c r="I78" s="399"/>
      <c r="J78" s="399"/>
      <c r="K78" s="399"/>
      <c r="L78" s="399"/>
      <c r="M78" s="399"/>
      <c r="N78" s="399"/>
      <c r="O78" s="225"/>
      <c r="P78" s="399">
        <v>700000</v>
      </c>
      <c r="Q78" s="399"/>
      <c r="R78" s="225">
        <f t="shared" si="21"/>
        <v>700000</v>
      </c>
      <c r="S78" s="670">
        <v>2515000</v>
      </c>
      <c r="T78" s="225"/>
      <c r="U78" s="225"/>
    </row>
    <row r="79" spans="1:21" s="82" customFormat="1">
      <c r="A79" s="229"/>
      <c r="B79" s="229"/>
      <c r="C79" s="415" t="s">
        <v>564</v>
      </c>
      <c r="D79" s="231" t="s">
        <v>25</v>
      </c>
      <c r="E79" s="296" t="s">
        <v>394</v>
      </c>
      <c r="F79" s="398"/>
      <c r="G79" s="729"/>
      <c r="H79" s="670">
        <v>12175000</v>
      </c>
      <c r="I79" s="399"/>
      <c r="J79" s="399"/>
      <c r="K79" s="399"/>
      <c r="L79" s="399"/>
      <c r="M79" s="399"/>
      <c r="N79" s="399"/>
      <c r="O79" s="225">
        <v>565000</v>
      </c>
      <c r="P79" s="399"/>
      <c r="Q79" s="399"/>
      <c r="R79" s="225">
        <f t="shared" si="21"/>
        <v>565000</v>
      </c>
      <c r="S79" s="670">
        <v>16060</v>
      </c>
      <c r="T79" s="225"/>
      <c r="U79" s="225"/>
    </row>
    <row r="80" spans="1:21" s="82" customFormat="1" ht="25.5">
      <c r="A80" s="229"/>
      <c r="B80" s="229"/>
      <c r="C80" s="415" t="s">
        <v>791</v>
      </c>
      <c r="D80" s="231" t="s">
        <v>25</v>
      </c>
      <c r="E80" s="296" t="s">
        <v>399</v>
      </c>
      <c r="F80" s="398" t="s">
        <v>882</v>
      </c>
      <c r="G80" s="729"/>
      <c r="H80" s="679">
        <v>3350000</v>
      </c>
      <c r="I80" s="648"/>
      <c r="J80" s="648"/>
      <c r="K80" s="648"/>
      <c r="L80" s="648"/>
      <c r="M80" s="648"/>
      <c r="N80" s="648"/>
      <c r="O80" s="394">
        <v>135000</v>
      </c>
      <c r="P80" s="648"/>
      <c r="Q80" s="648"/>
      <c r="R80" s="394">
        <f t="shared" si="21"/>
        <v>135000</v>
      </c>
      <c r="S80" s="670">
        <v>3215000</v>
      </c>
      <c r="T80" s="394"/>
      <c r="U80" s="394"/>
    </row>
    <row r="81" spans="1:21" s="82" customFormat="1">
      <c r="A81" s="229"/>
      <c r="B81" s="229"/>
      <c r="C81" s="221" t="s">
        <v>284</v>
      </c>
      <c r="D81" s="231" t="s">
        <v>25</v>
      </c>
      <c r="E81" s="296" t="s">
        <v>394</v>
      </c>
      <c r="F81" s="397" t="s">
        <v>882</v>
      </c>
      <c r="G81" s="397"/>
      <c r="H81" s="670">
        <v>4800000</v>
      </c>
      <c r="I81" s="399"/>
      <c r="J81" s="399"/>
      <c r="K81" s="399"/>
      <c r="L81" s="399"/>
      <c r="M81" s="399"/>
      <c r="N81" s="399"/>
      <c r="O81" s="302">
        <v>250000</v>
      </c>
      <c r="P81" s="774"/>
      <c r="Q81" s="399"/>
      <c r="R81" s="302">
        <f t="shared" si="21"/>
        <v>250000</v>
      </c>
      <c r="S81" s="700">
        <v>1000000</v>
      </c>
      <c r="T81" s="302"/>
      <c r="U81" s="302"/>
    </row>
    <row r="82" spans="1:21" s="82" customFormat="1">
      <c r="A82" s="229"/>
      <c r="B82" s="229"/>
      <c r="C82" s="221" t="s">
        <v>285</v>
      </c>
      <c r="D82" s="231" t="s">
        <v>25</v>
      </c>
      <c r="E82" s="296" t="s">
        <v>426</v>
      </c>
      <c r="F82" s="397" t="s">
        <v>885</v>
      </c>
      <c r="G82" s="397"/>
      <c r="H82" s="670">
        <v>25000</v>
      </c>
      <c r="I82" s="399"/>
      <c r="J82" s="399"/>
      <c r="K82" s="399"/>
      <c r="L82" s="399"/>
      <c r="M82" s="399"/>
      <c r="N82" s="399"/>
      <c r="O82" s="302">
        <v>25000</v>
      </c>
      <c r="P82" s="774"/>
      <c r="Q82" s="399"/>
      <c r="R82" s="302">
        <f t="shared" si="21"/>
        <v>25000</v>
      </c>
      <c r="S82" s="701">
        <v>25000</v>
      </c>
      <c r="T82" s="302"/>
      <c r="U82" s="302"/>
    </row>
    <row r="83" spans="1:21" s="82" customFormat="1">
      <c r="A83" s="229"/>
      <c r="B83" s="229"/>
      <c r="C83" s="221" t="s">
        <v>427</v>
      </c>
      <c r="D83" s="219" t="s">
        <v>25</v>
      </c>
      <c r="E83" s="296" t="s">
        <v>402</v>
      </c>
      <c r="F83" s="397" t="s">
        <v>881</v>
      </c>
      <c r="G83" s="397"/>
      <c r="H83" s="670">
        <v>350000</v>
      </c>
      <c r="I83" s="399"/>
      <c r="J83" s="399"/>
      <c r="K83" s="399"/>
      <c r="L83" s="399"/>
      <c r="M83" s="399"/>
      <c r="N83" s="399"/>
      <c r="O83" s="225">
        <v>350000</v>
      </c>
      <c r="P83" s="399"/>
      <c r="Q83" s="399"/>
      <c r="R83" s="225">
        <f t="shared" si="21"/>
        <v>350000</v>
      </c>
      <c r="S83" s="670"/>
      <c r="T83" s="225"/>
      <c r="U83" s="225"/>
    </row>
    <row r="84" spans="1:21" s="82" customFormat="1" ht="25.5">
      <c r="A84" s="229"/>
      <c r="B84" s="229"/>
      <c r="C84" s="221" t="s">
        <v>428</v>
      </c>
      <c r="D84" s="219" t="s">
        <v>25</v>
      </c>
      <c r="E84" s="296" t="s">
        <v>394</v>
      </c>
      <c r="F84" s="397" t="s">
        <v>881</v>
      </c>
      <c r="G84" s="397"/>
      <c r="H84" s="670">
        <v>250000</v>
      </c>
      <c r="I84" s="399"/>
      <c r="J84" s="399"/>
      <c r="K84" s="399"/>
      <c r="L84" s="399"/>
      <c r="M84" s="399"/>
      <c r="N84" s="399"/>
      <c r="O84" s="225">
        <v>250000</v>
      </c>
      <c r="P84" s="399"/>
      <c r="Q84" s="399"/>
      <c r="R84" s="225">
        <f t="shared" si="21"/>
        <v>250000</v>
      </c>
      <c r="S84" s="670"/>
      <c r="T84" s="225"/>
      <c r="U84" s="225"/>
    </row>
    <row r="85" spans="1:21" s="82" customFormat="1">
      <c r="A85" s="229"/>
      <c r="B85" s="229"/>
      <c r="C85" s="221" t="s">
        <v>429</v>
      </c>
      <c r="D85" s="219" t="s">
        <v>25</v>
      </c>
      <c r="E85" s="296" t="s">
        <v>430</v>
      </c>
      <c r="F85" s="397" t="s">
        <v>886</v>
      </c>
      <c r="G85" s="397"/>
      <c r="H85" s="670">
        <v>250000</v>
      </c>
      <c r="I85" s="399"/>
      <c r="J85" s="399"/>
      <c r="K85" s="399"/>
      <c r="L85" s="399"/>
      <c r="M85" s="399"/>
      <c r="N85" s="399"/>
      <c r="O85" s="225"/>
      <c r="P85" s="399"/>
      <c r="Q85" s="399"/>
      <c r="R85" s="225">
        <f t="shared" si="21"/>
        <v>0</v>
      </c>
      <c r="S85" s="674">
        <f>250000</f>
        <v>250000</v>
      </c>
      <c r="T85" s="225"/>
      <c r="U85" s="225"/>
    </row>
    <row r="86" spans="1:21" s="82" customFormat="1">
      <c r="A86" s="229"/>
      <c r="B86" s="229"/>
      <c r="C86" s="221" t="s">
        <v>625</v>
      </c>
      <c r="D86" s="219" t="s">
        <v>25</v>
      </c>
      <c r="E86" s="296" t="s">
        <v>396</v>
      </c>
      <c r="F86" s="397" t="s">
        <v>886</v>
      </c>
      <c r="G86" s="397"/>
      <c r="H86" s="670">
        <v>36000</v>
      </c>
      <c r="I86" s="399"/>
      <c r="J86" s="399"/>
      <c r="K86" s="399"/>
      <c r="L86" s="399"/>
      <c r="M86" s="399"/>
      <c r="N86" s="399"/>
      <c r="O86" s="225"/>
      <c r="P86" s="399"/>
      <c r="Q86" s="399"/>
      <c r="R86" s="225">
        <f t="shared" si="21"/>
        <v>0</v>
      </c>
      <c r="S86" s="670">
        <v>36000</v>
      </c>
      <c r="T86" s="225"/>
      <c r="U86" s="225"/>
    </row>
    <row r="87" spans="1:21" s="82" customFormat="1">
      <c r="A87" s="229"/>
      <c r="B87" s="229"/>
      <c r="C87" s="303" t="s">
        <v>583</v>
      </c>
      <c r="D87" s="235" t="s">
        <v>113</v>
      </c>
      <c r="E87" s="304" t="s">
        <v>410</v>
      </c>
      <c r="F87" s="730"/>
      <c r="G87" s="730"/>
      <c r="H87" s="670">
        <f>SUM(H88,H89,H90,H91)</f>
        <v>4000700</v>
      </c>
      <c r="I87" s="399"/>
      <c r="J87" s="399"/>
      <c r="K87" s="399"/>
      <c r="L87" s="399"/>
      <c r="M87" s="399"/>
      <c r="N87" s="399"/>
      <c r="O87" s="225">
        <f>SUM(O88,O89,O90,O91)</f>
        <v>100000</v>
      </c>
      <c r="P87" s="399"/>
      <c r="Q87" s="399"/>
      <c r="R87" s="225">
        <f t="shared" si="21"/>
        <v>100000</v>
      </c>
      <c r="S87" s="670">
        <f>SUM(S88,S89,S90,S91)</f>
        <v>2904600</v>
      </c>
      <c r="T87" s="225"/>
      <c r="U87" s="225"/>
    </row>
    <row r="88" spans="1:21" s="82" customFormat="1">
      <c r="A88" s="229"/>
      <c r="B88" s="229"/>
      <c r="C88" s="230" t="s">
        <v>286</v>
      </c>
      <c r="D88" s="235" t="s">
        <v>25</v>
      </c>
      <c r="E88" s="294"/>
      <c r="F88" s="398" t="s">
        <v>882</v>
      </c>
      <c r="G88" s="413"/>
      <c r="H88" s="680">
        <v>1083000</v>
      </c>
      <c r="I88" s="649"/>
      <c r="J88" s="649"/>
      <c r="K88" s="649"/>
      <c r="L88" s="649"/>
      <c r="M88" s="649"/>
      <c r="N88" s="649"/>
      <c r="O88" s="305">
        <v>23000</v>
      </c>
      <c r="P88" s="649"/>
      <c r="Q88" s="649"/>
      <c r="R88" s="305">
        <f t="shared" si="21"/>
        <v>23000</v>
      </c>
      <c r="S88" s="680">
        <v>1000000</v>
      </c>
      <c r="T88" s="305"/>
      <c r="U88" s="305"/>
    </row>
    <row r="89" spans="1:21" s="82" customFormat="1">
      <c r="A89" s="229"/>
      <c r="B89" s="229"/>
      <c r="C89" s="230" t="s">
        <v>584</v>
      </c>
      <c r="D89" s="235" t="s">
        <v>25</v>
      </c>
      <c r="E89" s="306"/>
      <c r="F89" s="398" t="s">
        <v>882</v>
      </c>
      <c r="G89" s="413"/>
      <c r="H89" s="681">
        <v>1640000</v>
      </c>
      <c r="I89" s="650"/>
      <c r="J89" s="650"/>
      <c r="K89" s="650"/>
      <c r="L89" s="650"/>
      <c r="M89" s="650"/>
      <c r="N89" s="650"/>
      <c r="O89" s="307"/>
      <c r="P89" s="652"/>
      <c r="Q89" s="650"/>
      <c r="R89" s="307">
        <f t="shared" si="21"/>
        <v>0</v>
      </c>
      <c r="S89" s="694">
        <f>1700000-170000</f>
        <v>1530000</v>
      </c>
      <c r="T89" s="307"/>
      <c r="U89" s="307"/>
    </row>
    <row r="90" spans="1:21" s="82" customFormat="1">
      <c r="A90" s="229"/>
      <c r="B90" s="229"/>
      <c r="C90" s="230" t="s">
        <v>431</v>
      </c>
      <c r="D90" s="235" t="s">
        <v>25</v>
      </c>
      <c r="E90" s="294"/>
      <c r="F90" s="846" t="s">
        <v>887</v>
      </c>
      <c r="G90" s="413"/>
      <c r="H90" s="680">
        <v>510000</v>
      </c>
      <c r="I90" s="649"/>
      <c r="J90" s="649"/>
      <c r="K90" s="649"/>
      <c r="L90" s="649"/>
      <c r="M90" s="649"/>
      <c r="N90" s="649"/>
      <c r="O90" s="305">
        <v>30000</v>
      </c>
      <c r="P90" s="649"/>
      <c r="Q90" s="649"/>
      <c r="R90" s="305">
        <f t="shared" si="21"/>
        <v>30000</v>
      </c>
      <c r="S90" s="680">
        <v>200000</v>
      </c>
      <c r="T90" s="305"/>
      <c r="U90" s="305"/>
    </row>
    <row r="91" spans="1:21" s="82" customFormat="1" ht="22.5">
      <c r="A91" s="229"/>
      <c r="B91" s="229"/>
      <c r="C91" s="230" t="s">
        <v>432</v>
      </c>
      <c r="D91" s="235" t="s">
        <v>25</v>
      </c>
      <c r="E91" s="294"/>
      <c r="F91" s="846" t="s">
        <v>887</v>
      </c>
      <c r="G91" s="413"/>
      <c r="H91" s="680">
        <v>767700</v>
      </c>
      <c r="I91" s="649"/>
      <c r="J91" s="649"/>
      <c r="K91" s="649"/>
      <c r="L91" s="649"/>
      <c r="M91" s="649"/>
      <c r="N91" s="649"/>
      <c r="O91" s="305">
        <v>47000</v>
      </c>
      <c r="P91" s="649"/>
      <c r="Q91" s="649"/>
      <c r="R91" s="305">
        <f t="shared" si="21"/>
        <v>47000</v>
      </c>
      <c r="S91" s="680">
        <v>174600</v>
      </c>
      <c r="T91" s="305"/>
      <c r="U91" s="305"/>
    </row>
    <row r="92" spans="1:21" s="82" customFormat="1">
      <c r="A92" s="229"/>
      <c r="B92" s="229"/>
      <c r="C92" s="221" t="s">
        <v>287</v>
      </c>
      <c r="D92" s="219" t="s">
        <v>25</v>
      </c>
      <c r="E92" s="296"/>
      <c r="F92" s="397"/>
      <c r="G92" s="397"/>
      <c r="H92" s="682">
        <f>SUM(H93:H95)</f>
        <v>800000</v>
      </c>
      <c r="I92" s="651"/>
      <c r="J92" s="651"/>
      <c r="K92" s="651"/>
      <c r="L92" s="651"/>
      <c r="M92" s="651"/>
      <c r="N92" s="651"/>
      <c r="O92" s="224">
        <f t="shared" ref="O92" si="24">SUM(O93:O95)</f>
        <v>160000</v>
      </c>
      <c r="P92" s="651"/>
      <c r="Q92" s="651"/>
      <c r="R92" s="224">
        <f t="shared" si="21"/>
        <v>160000</v>
      </c>
      <c r="S92" s="682">
        <f>SUM(S93:S95)</f>
        <v>160000</v>
      </c>
      <c r="T92" s="224"/>
      <c r="U92" s="224"/>
    </row>
    <row r="93" spans="1:21" s="82" customFormat="1">
      <c r="A93" s="229"/>
      <c r="B93" s="229"/>
      <c r="C93" s="309" t="s">
        <v>614</v>
      </c>
      <c r="D93" s="235"/>
      <c r="E93" s="306" t="s">
        <v>394</v>
      </c>
      <c r="F93" s="732" t="s">
        <v>888</v>
      </c>
      <c r="G93" s="731"/>
      <c r="H93" s="672">
        <v>350000</v>
      </c>
      <c r="I93" s="403"/>
      <c r="J93" s="403"/>
      <c r="K93" s="403"/>
      <c r="L93" s="403"/>
      <c r="M93" s="403"/>
      <c r="N93" s="403"/>
      <c r="O93" s="300">
        <v>70000</v>
      </c>
      <c r="P93" s="647"/>
      <c r="Q93" s="403"/>
      <c r="R93" s="300">
        <f t="shared" si="21"/>
        <v>70000</v>
      </c>
      <c r="S93" s="672">
        <v>70000</v>
      </c>
      <c r="T93" s="300"/>
      <c r="U93" s="300"/>
    </row>
    <row r="94" spans="1:21" s="82" customFormat="1">
      <c r="A94" s="229"/>
      <c r="B94" s="229"/>
      <c r="C94" s="309" t="s">
        <v>288</v>
      </c>
      <c r="D94" s="235"/>
      <c r="E94" s="306" t="s">
        <v>394</v>
      </c>
      <c r="F94" s="732" t="s">
        <v>888</v>
      </c>
      <c r="G94" s="731"/>
      <c r="H94" s="672">
        <v>300000</v>
      </c>
      <c r="I94" s="403"/>
      <c r="J94" s="403"/>
      <c r="K94" s="403"/>
      <c r="L94" s="403"/>
      <c r="M94" s="403"/>
      <c r="N94" s="403"/>
      <c r="O94" s="300">
        <v>60000</v>
      </c>
      <c r="P94" s="647"/>
      <c r="Q94" s="403"/>
      <c r="R94" s="300">
        <f t="shared" si="21"/>
        <v>60000</v>
      </c>
      <c r="S94" s="672">
        <v>60000</v>
      </c>
      <c r="T94" s="300"/>
      <c r="U94" s="300"/>
    </row>
    <row r="95" spans="1:21" s="82" customFormat="1">
      <c r="A95" s="229"/>
      <c r="B95" s="229"/>
      <c r="C95" s="309" t="s">
        <v>289</v>
      </c>
      <c r="D95" s="235"/>
      <c r="E95" s="306" t="s">
        <v>410</v>
      </c>
      <c r="F95" s="732" t="s">
        <v>888</v>
      </c>
      <c r="G95" s="731"/>
      <c r="H95" s="672">
        <v>150000</v>
      </c>
      <c r="I95" s="403"/>
      <c r="J95" s="403"/>
      <c r="K95" s="403"/>
      <c r="L95" s="403"/>
      <c r="M95" s="403"/>
      <c r="N95" s="403"/>
      <c r="O95" s="300">
        <v>30000</v>
      </c>
      <c r="P95" s="647"/>
      <c r="Q95" s="403"/>
      <c r="R95" s="300">
        <f t="shared" si="21"/>
        <v>30000</v>
      </c>
      <c r="S95" s="672">
        <v>30000</v>
      </c>
      <c r="T95" s="300"/>
      <c r="U95" s="300"/>
    </row>
    <row r="96" spans="1:21" s="82" customFormat="1">
      <c r="A96" s="229"/>
      <c r="B96" s="229"/>
      <c r="C96" s="310" t="s">
        <v>626</v>
      </c>
      <c r="D96" s="231" t="s">
        <v>25</v>
      </c>
      <c r="E96" s="311" t="s">
        <v>394</v>
      </c>
      <c r="F96" s="732" t="s">
        <v>882</v>
      </c>
      <c r="G96" s="732"/>
      <c r="H96" s="670">
        <v>920000</v>
      </c>
      <c r="I96" s="399"/>
      <c r="J96" s="399"/>
      <c r="K96" s="399"/>
      <c r="L96" s="399"/>
      <c r="M96" s="399"/>
      <c r="N96" s="399"/>
      <c r="O96" s="225"/>
      <c r="P96" s="399"/>
      <c r="Q96" s="399"/>
      <c r="R96" s="225">
        <f t="shared" si="21"/>
        <v>0</v>
      </c>
      <c r="S96" s="670">
        <v>20000</v>
      </c>
      <c r="T96" s="225"/>
      <c r="U96" s="225"/>
    </row>
    <row r="97" spans="1:21" s="82" customFormat="1" ht="25.5">
      <c r="A97" s="229"/>
      <c r="B97" s="229"/>
      <c r="C97" s="221" t="s">
        <v>433</v>
      </c>
      <c r="D97" s="219" t="s">
        <v>25</v>
      </c>
      <c r="E97" s="296" t="s">
        <v>400</v>
      </c>
      <c r="F97" s="845" t="s">
        <v>882</v>
      </c>
      <c r="G97" s="397"/>
      <c r="H97" s="670">
        <v>7479000</v>
      </c>
      <c r="I97" s="399"/>
      <c r="J97" s="399"/>
      <c r="K97" s="399"/>
      <c r="L97" s="399"/>
      <c r="M97" s="399"/>
      <c r="N97" s="399"/>
      <c r="O97" s="225">
        <v>4000000</v>
      </c>
      <c r="P97" s="399"/>
      <c r="Q97" s="399"/>
      <c r="R97" s="225">
        <f t="shared" si="21"/>
        <v>4000000</v>
      </c>
      <c r="S97" s="670">
        <v>3200000</v>
      </c>
      <c r="T97" s="225"/>
      <c r="U97" s="225"/>
    </row>
    <row r="98" spans="1:21" s="82" customFormat="1" ht="12.75" customHeight="1">
      <c r="A98" s="229"/>
      <c r="B98" s="229"/>
      <c r="C98" s="312" t="s">
        <v>434</v>
      </c>
      <c r="D98" s="219" t="s">
        <v>25</v>
      </c>
      <c r="E98" s="313" t="s">
        <v>396</v>
      </c>
      <c r="F98" s="733" t="s">
        <v>881</v>
      </c>
      <c r="G98" s="733"/>
      <c r="H98" s="670">
        <v>75000</v>
      </c>
      <c r="I98" s="399"/>
      <c r="J98" s="399"/>
      <c r="K98" s="399"/>
      <c r="L98" s="399"/>
      <c r="M98" s="399"/>
      <c r="N98" s="399"/>
      <c r="O98" s="225">
        <v>37500</v>
      </c>
      <c r="P98" s="399"/>
      <c r="Q98" s="399"/>
      <c r="R98" s="225">
        <f t="shared" si="21"/>
        <v>37500</v>
      </c>
      <c r="S98" s="682"/>
      <c r="T98" s="225"/>
      <c r="U98" s="225"/>
    </row>
    <row r="99" spans="1:21" s="82" customFormat="1" ht="12.75" customHeight="1">
      <c r="A99" s="229"/>
      <c r="B99" s="229"/>
      <c r="C99" s="221" t="s">
        <v>290</v>
      </c>
      <c r="D99" s="219" t="s">
        <v>25</v>
      </c>
      <c r="E99" s="296" t="s">
        <v>396</v>
      </c>
      <c r="F99" s="397" t="s">
        <v>881</v>
      </c>
      <c r="G99" s="397"/>
      <c r="H99" s="670">
        <v>99500</v>
      </c>
      <c r="I99" s="399"/>
      <c r="J99" s="399"/>
      <c r="K99" s="399"/>
      <c r="L99" s="399"/>
      <c r="M99" s="399"/>
      <c r="N99" s="399"/>
      <c r="O99" s="225">
        <v>99500</v>
      </c>
      <c r="P99" s="399"/>
      <c r="Q99" s="399"/>
      <c r="R99" s="225">
        <f t="shared" si="21"/>
        <v>99500</v>
      </c>
      <c r="S99" s="670"/>
      <c r="T99" s="225"/>
      <c r="U99" s="225"/>
    </row>
    <row r="100" spans="1:21" s="82" customFormat="1" ht="12.75" customHeight="1">
      <c r="A100" s="229"/>
      <c r="B100" s="229"/>
      <c r="C100" s="312" t="s">
        <v>291</v>
      </c>
      <c r="D100" s="231" t="s">
        <v>25</v>
      </c>
      <c r="E100" s="313" t="s">
        <v>408</v>
      </c>
      <c r="F100" s="733" t="s">
        <v>881</v>
      </c>
      <c r="G100" s="733"/>
      <c r="H100" s="670">
        <v>183000</v>
      </c>
      <c r="I100" s="399"/>
      <c r="J100" s="399"/>
      <c r="K100" s="399"/>
      <c r="L100" s="399"/>
      <c r="M100" s="399"/>
      <c r="N100" s="399"/>
      <c r="O100" s="301">
        <v>158000</v>
      </c>
      <c r="P100" s="775"/>
      <c r="Q100" s="399"/>
      <c r="R100" s="301">
        <f t="shared" si="21"/>
        <v>158000</v>
      </c>
      <c r="S100" s="699"/>
      <c r="T100" s="301"/>
      <c r="U100" s="301"/>
    </row>
    <row r="101" spans="1:21" s="82" customFormat="1">
      <c r="A101" s="229"/>
      <c r="B101" s="229"/>
      <c r="C101" s="314" t="s">
        <v>565</v>
      </c>
      <c r="D101" s="219" t="s">
        <v>25</v>
      </c>
      <c r="E101" s="314" t="s">
        <v>408</v>
      </c>
      <c r="F101" s="734" t="s">
        <v>882</v>
      </c>
      <c r="G101" s="734"/>
      <c r="H101" s="670">
        <v>3360000</v>
      </c>
      <c r="I101" s="399"/>
      <c r="J101" s="399"/>
      <c r="K101" s="399"/>
      <c r="L101" s="399"/>
      <c r="M101" s="399"/>
      <c r="N101" s="399"/>
      <c r="O101" s="225"/>
      <c r="P101" s="399"/>
      <c r="Q101" s="399"/>
      <c r="R101" s="225">
        <f t="shared" si="21"/>
        <v>0</v>
      </c>
      <c r="S101" s="670">
        <f>1380000+1000000</f>
        <v>2380000</v>
      </c>
      <c r="T101" s="225"/>
      <c r="U101" s="225"/>
    </row>
    <row r="102" spans="1:21" s="82" customFormat="1">
      <c r="A102" s="229"/>
      <c r="B102" s="229"/>
      <c r="C102" s="310" t="s">
        <v>435</v>
      </c>
      <c r="D102" s="231" t="s">
        <v>25</v>
      </c>
      <c r="E102" s="311" t="s">
        <v>405</v>
      </c>
      <c r="F102" s="732" t="s">
        <v>885</v>
      </c>
      <c r="G102" s="732"/>
      <c r="H102" s="670">
        <v>250000</v>
      </c>
      <c r="I102" s="399"/>
      <c r="J102" s="399"/>
      <c r="K102" s="399"/>
      <c r="L102" s="399"/>
      <c r="M102" s="399"/>
      <c r="N102" s="399"/>
      <c r="O102" s="225">
        <v>237500</v>
      </c>
      <c r="P102" s="399"/>
      <c r="Q102" s="399"/>
      <c r="R102" s="225">
        <f t="shared" si="21"/>
        <v>237500</v>
      </c>
      <c r="S102" s="670">
        <v>250000</v>
      </c>
      <c r="T102" s="225"/>
      <c r="U102" s="225"/>
    </row>
    <row r="103" spans="1:21" s="82" customFormat="1" ht="25.5">
      <c r="A103" s="395">
        <f>R103</f>
        <v>500000</v>
      </c>
      <c r="B103" s="395">
        <f>S103</f>
        <v>250000</v>
      </c>
      <c r="C103" s="221" t="s">
        <v>633</v>
      </c>
      <c r="D103" s="231" t="s">
        <v>25</v>
      </c>
      <c r="E103" s="296" t="s">
        <v>394</v>
      </c>
      <c r="F103" s="397" t="s">
        <v>885</v>
      </c>
      <c r="G103" s="397"/>
      <c r="H103" s="670">
        <v>1870000</v>
      </c>
      <c r="I103" s="399"/>
      <c r="J103" s="399"/>
      <c r="K103" s="399"/>
      <c r="L103" s="399"/>
      <c r="M103" s="399"/>
      <c r="N103" s="399"/>
      <c r="O103" s="225">
        <v>500000</v>
      </c>
      <c r="P103" s="399"/>
      <c r="Q103" s="399"/>
      <c r="R103" s="225">
        <f t="shared" si="21"/>
        <v>500000</v>
      </c>
      <c r="S103" s="670">
        <v>250000</v>
      </c>
      <c r="T103" s="225"/>
      <c r="U103" s="225"/>
    </row>
    <row r="104" spans="1:21" s="82" customFormat="1">
      <c r="A104" s="229"/>
      <c r="B104" s="229"/>
      <c r="C104" s="221"/>
      <c r="D104" s="219"/>
      <c r="E104" s="296"/>
      <c r="F104" s="397"/>
      <c r="G104" s="397"/>
      <c r="H104" s="682"/>
      <c r="I104" s="651"/>
      <c r="J104" s="651"/>
      <c r="K104" s="651"/>
      <c r="L104" s="651"/>
      <c r="M104" s="651"/>
      <c r="N104" s="651"/>
      <c r="O104" s="224"/>
      <c r="P104" s="651"/>
      <c r="Q104" s="651"/>
      <c r="R104" s="224">
        <f t="shared" si="21"/>
        <v>0</v>
      </c>
      <c r="S104" s="682"/>
      <c r="T104" s="224"/>
      <c r="U104" s="224"/>
    </row>
    <row r="105" spans="1:21" s="82" customFormat="1">
      <c r="A105" s="229"/>
      <c r="B105" s="229"/>
      <c r="C105" s="217" t="s">
        <v>347</v>
      </c>
      <c r="D105" s="289" t="s">
        <v>113</v>
      </c>
      <c r="E105" s="288"/>
      <c r="F105" s="723"/>
      <c r="G105" s="723"/>
      <c r="H105" s="668">
        <f>H106+H107+H111+H113+H114</f>
        <v>10116277</v>
      </c>
      <c r="I105" s="645"/>
      <c r="J105" s="645"/>
      <c r="K105" s="645"/>
      <c r="L105" s="645"/>
      <c r="M105" s="645"/>
      <c r="N105" s="645"/>
      <c r="O105" s="226">
        <f>O106+O107+O111+O113+O114</f>
        <v>3091000</v>
      </c>
      <c r="P105" s="645"/>
      <c r="Q105" s="645"/>
      <c r="R105" s="226">
        <f t="shared" si="21"/>
        <v>3091000</v>
      </c>
      <c r="S105" s="668">
        <f>S106+S107+S111+S113+S114</f>
        <v>1998700</v>
      </c>
      <c r="T105" s="226"/>
      <c r="U105" s="226"/>
    </row>
    <row r="106" spans="1:21" s="82" customFormat="1">
      <c r="A106" s="229"/>
      <c r="B106" s="229"/>
      <c r="C106" s="221" t="s">
        <v>436</v>
      </c>
      <c r="D106" s="315" t="s">
        <v>25</v>
      </c>
      <c r="E106" s="296" t="s">
        <v>399</v>
      </c>
      <c r="F106" s="397" t="s">
        <v>505</v>
      </c>
      <c r="G106" s="397"/>
      <c r="H106" s="670">
        <v>2075000</v>
      </c>
      <c r="I106" s="399"/>
      <c r="J106" s="399"/>
      <c r="K106" s="399"/>
      <c r="L106" s="399"/>
      <c r="M106" s="399"/>
      <c r="N106" s="399"/>
      <c r="O106" s="225">
        <v>400000</v>
      </c>
      <c r="P106" s="399"/>
      <c r="Q106" s="399"/>
      <c r="R106" s="225">
        <f t="shared" si="21"/>
        <v>400000</v>
      </c>
      <c r="S106" s="670"/>
      <c r="T106" s="225"/>
      <c r="U106" s="225"/>
    </row>
    <row r="107" spans="1:21" s="82" customFormat="1">
      <c r="A107" s="229"/>
      <c r="B107" s="229"/>
      <c r="C107" s="221" t="s">
        <v>437</v>
      </c>
      <c r="D107" s="316"/>
      <c r="E107" s="296"/>
      <c r="F107" s="397" t="s">
        <v>889</v>
      </c>
      <c r="G107" s="397"/>
      <c r="H107" s="670">
        <f>SUM(H108:H110)</f>
        <v>1841000</v>
      </c>
      <c r="I107" s="399"/>
      <c r="J107" s="399"/>
      <c r="K107" s="399"/>
      <c r="L107" s="399"/>
      <c r="M107" s="399"/>
      <c r="N107" s="399"/>
      <c r="O107" s="225">
        <f>SUM(O108:O110)</f>
        <v>466000</v>
      </c>
      <c r="P107" s="399"/>
      <c r="Q107" s="399"/>
      <c r="R107" s="225">
        <f t="shared" si="21"/>
        <v>466000</v>
      </c>
      <c r="S107" s="670">
        <f>SUM(S108:S110)</f>
        <v>550000</v>
      </c>
      <c r="T107" s="225"/>
      <c r="U107" s="225"/>
    </row>
    <row r="108" spans="1:21" s="82" customFormat="1" ht="25.5">
      <c r="A108" s="229"/>
      <c r="B108" s="229"/>
      <c r="C108" s="317" t="s">
        <v>586</v>
      </c>
      <c r="D108" s="315" t="s">
        <v>25</v>
      </c>
      <c r="E108" s="296" t="s">
        <v>405</v>
      </c>
      <c r="F108" s="397" t="s">
        <v>889</v>
      </c>
      <c r="G108" s="728"/>
      <c r="H108" s="670">
        <v>1275000</v>
      </c>
      <c r="I108" s="399"/>
      <c r="J108" s="399"/>
      <c r="K108" s="399"/>
      <c r="L108" s="399"/>
      <c r="M108" s="399"/>
      <c r="N108" s="399"/>
      <c r="O108" s="225">
        <v>250000</v>
      </c>
      <c r="P108" s="399"/>
      <c r="Q108" s="399"/>
      <c r="R108" s="225">
        <f t="shared" si="21"/>
        <v>250000</v>
      </c>
      <c r="S108" s="670">
        <v>400000</v>
      </c>
      <c r="T108" s="225"/>
      <c r="U108" s="225"/>
    </row>
    <row r="109" spans="1:21" s="82" customFormat="1">
      <c r="A109" s="229"/>
      <c r="B109" s="229"/>
      <c r="C109" s="317" t="s">
        <v>628</v>
      </c>
      <c r="D109" s="219" t="s">
        <v>25</v>
      </c>
      <c r="E109" s="296" t="s">
        <v>399</v>
      </c>
      <c r="F109" s="397" t="s">
        <v>889</v>
      </c>
      <c r="G109" s="735"/>
      <c r="H109" s="682">
        <v>100000</v>
      </c>
      <c r="I109" s="651"/>
      <c r="J109" s="651"/>
      <c r="K109" s="651"/>
      <c r="L109" s="651"/>
      <c r="M109" s="651"/>
      <c r="N109" s="651"/>
      <c r="O109" s="224"/>
      <c r="P109" s="651"/>
      <c r="Q109" s="651"/>
      <c r="R109" s="224">
        <f t="shared" si="21"/>
        <v>0</v>
      </c>
      <c r="S109" s="682">
        <v>100000</v>
      </c>
      <c r="T109" s="224"/>
      <c r="U109" s="224"/>
    </row>
    <row r="110" spans="1:21" s="82" customFormat="1" ht="25.5">
      <c r="A110" s="229"/>
      <c r="B110" s="229"/>
      <c r="C110" s="317" t="s">
        <v>585</v>
      </c>
      <c r="D110" s="219" t="s">
        <v>25</v>
      </c>
      <c r="E110" s="296"/>
      <c r="F110" s="397" t="s">
        <v>889</v>
      </c>
      <c r="G110" s="728"/>
      <c r="H110" s="682">
        <v>466000</v>
      </c>
      <c r="I110" s="651"/>
      <c r="J110" s="651"/>
      <c r="K110" s="651"/>
      <c r="L110" s="651"/>
      <c r="M110" s="651"/>
      <c r="N110" s="651"/>
      <c r="O110" s="224">
        <v>216000</v>
      </c>
      <c r="P110" s="651"/>
      <c r="Q110" s="651"/>
      <c r="R110" s="224">
        <f t="shared" si="21"/>
        <v>216000</v>
      </c>
      <c r="S110" s="682">
        <v>50000</v>
      </c>
      <c r="T110" s="224"/>
      <c r="U110" s="224"/>
    </row>
    <row r="111" spans="1:21" s="82" customFormat="1">
      <c r="A111" s="229"/>
      <c r="B111" s="229"/>
      <c r="C111" s="221" t="s">
        <v>587</v>
      </c>
      <c r="D111" s="102" t="s">
        <v>25</v>
      </c>
      <c r="E111" s="296" t="s">
        <v>405</v>
      </c>
      <c r="F111" s="397" t="s">
        <v>889</v>
      </c>
      <c r="G111" s="397"/>
      <c r="H111" s="670">
        <v>300000</v>
      </c>
      <c r="I111" s="399"/>
      <c r="J111" s="399"/>
      <c r="K111" s="399"/>
      <c r="L111" s="399"/>
      <c r="M111" s="399"/>
      <c r="N111" s="399"/>
      <c r="O111" s="225">
        <v>225000</v>
      </c>
      <c r="P111" s="399"/>
      <c r="Q111" s="399"/>
      <c r="R111" s="225">
        <f t="shared" si="21"/>
        <v>225000</v>
      </c>
      <c r="S111" s="670">
        <f>165000+135000</f>
        <v>300000</v>
      </c>
      <c r="T111" s="225"/>
      <c r="U111" s="225"/>
    </row>
    <row r="112" spans="1:21" s="82" customFormat="1" ht="25.5">
      <c r="A112" s="229"/>
      <c r="B112" s="229"/>
      <c r="C112" s="221" t="s">
        <v>634</v>
      </c>
      <c r="D112" s="412" t="s">
        <v>113</v>
      </c>
      <c r="E112" s="398"/>
      <c r="F112" s="397" t="s">
        <v>890</v>
      </c>
      <c r="G112" s="397"/>
      <c r="H112" s="674">
        <f>H113+H114</f>
        <v>5900277</v>
      </c>
      <c r="I112" s="399"/>
      <c r="J112" s="399"/>
      <c r="K112" s="399"/>
      <c r="L112" s="399"/>
      <c r="M112" s="399"/>
      <c r="N112" s="399"/>
      <c r="O112" s="399">
        <f t="shared" ref="O112" si="25">O113+O114</f>
        <v>2000000</v>
      </c>
      <c r="P112" s="399"/>
      <c r="Q112" s="399"/>
      <c r="R112" s="399">
        <f t="shared" si="21"/>
        <v>2000000</v>
      </c>
      <c r="S112" s="674">
        <f t="shared" ref="S112" si="26">S113+S114</f>
        <v>1148700</v>
      </c>
      <c r="T112" s="399"/>
      <c r="U112" s="399"/>
    </row>
    <row r="113" spans="1:21" s="82" customFormat="1">
      <c r="A113" s="395">
        <f>R113</f>
        <v>2000000</v>
      </c>
      <c r="B113" s="395">
        <f>S113</f>
        <v>574350</v>
      </c>
      <c r="C113" s="221"/>
      <c r="D113" s="231" t="s">
        <v>25</v>
      </c>
      <c r="E113" s="296" t="s">
        <v>394</v>
      </c>
      <c r="F113" s="397"/>
      <c r="G113" s="397"/>
      <c r="H113" s="670">
        <v>2950000</v>
      </c>
      <c r="I113" s="399"/>
      <c r="J113" s="399"/>
      <c r="K113" s="399"/>
      <c r="L113" s="399"/>
      <c r="M113" s="399"/>
      <c r="N113" s="399"/>
      <c r="O113" s="225">
        <v>2000000</v>
      </c>
      <c r="P113" s="399"/>
      <c r="Q113" s="399"/>
      <c r="R113" s="225">
        <f t="shared" si="21"/>
        <v>2000000</v>
      </c>
      <c r="S113" s="670">
        <v>574350</v>
      </c>
      <c r="T113" s="225"/>
      <c r="U113" s="225"/>
    </row>
    <row r="114" spans="1:21" s="82" customFormat="1">
      <c r="A114" s="395"/>
      <c r="B114" s="395"/>
      <c r="C114" s="397"/>
      <c r="D114" s="400" t="s">
        <v>26</v>
      </c>
      <c r="E114" s="398"/>
      <c r="F114" s="397"/>
      <c r="G114" s="397"/>
      <c r="H114" s="674">
        <v>2950277</v>
      </c>
      <c r="I114" s="399"/>
      <c r="J114" s="399"/>
      <c r="K114" s="399"/>
      <c r="L114" s="399"/>
      <c r="M114" s="399"/>
      <c r="N114" s="399"/>
      <c r="O114" s="225"/>
      <c r="P114" s="399"/>
      <c r="Q114" s="399"/>
      <c r="R114" s="225">
        <f t="shared" si="21"/>
        <v>0</v>
      </c>
      <c r="S114" s="670">
        <v>574350</v>
      </c>
      <c r="T114" s="225"/>
      <c r="U114" s="225"/>
    </row>
    <row r="115" spans="1:21" s="82" customFormat="1">
      <c r="A115" s="229"/>
      <c r="B115" s="229"/>
      <c r="C115" s="221"/>
      <c r="D115" s="102"/>
      <c r="E115" s="296"/>
      <c r="F115" s="397"/>
      <c r="G115" s="397"/>
      <c r="H115" s="670"/>
      <c r="I115" s="399"/>
      <c r="J115" s="399"/>
      <c r="K115" s="399"/>
      <c r="L115" s="399"/>
      <c r="M115" s="399"/>
      <c r="N115" s="399"/>
      <c r="O115" s="225"/>
      <c r="P115" s="399"/>
      <c r="Q115" s="399"/>
      <c r="R115" s="225">
        <f t="shared" si="21"/>
        <v>0</v>
      </c>
      <c r="S115" s="670"/>
      <c r="T115" s="225"/>
      <c r="U115" s="225"/>
    </row>
    <row r="116" spans="1:21" s="82" customFormat="1">
      <c r="A116" s="229"/>
      <c r="B116" s="229"/>
      <c r="C116" s="218" t="s">
        <v>213</v>
      </c>
      <c r="D116" s="289" t="s">
        <v>113</v>
      </c>
      <c r="E116" s="319"/>
      <c r="F116" s="736"/>
      <c r="G116" s="736"/>
      <c r="H116" s="668">
        <f>H120+H123+H127+H128+H129+H131+H117+H126+H132</f>
        <v>16623342</v>
      </c>
      <c r="I116" s="645"/>
      <c r="J116" s="645"/>
      <c r="K116" s="645"/>
      <c r="L116" s="645"/>
      <c r="M116" s="645"/>
      <c r="N116" s="645"/>
      <c r="O116" s="226">
        <f>O120+O123+O127+O128+O129+O131+O117+O126+O132+O130</f>
        <v>3609481</v>
      </c>
      <c r="P116" s="226">
        <f>P120+P123+P127+P128+P129+P131+P117+P126+P132+P130</f>
        <v>5000</v>
      </c>
      <c r="Q116" s="645"/>
      <c r="R116" s="226">
        <f t="shared" si="21"/>
        <v>3614481</v>
      </c>
      <c r="S116" s="668">
        <f>S120+S123+S127+S128+S129+S131+S117+S126+S132</f>
        <v>2439581</v>
      </c>
      <c r="T116" s="226"/>
      <c r="U116" s="226"/>
    </row>
    <row r="117" spans="1:21">
      <c r="C117" s="320" t="s">
        <v>265</v>
      </c>
      <c r="D117" s="231" t="s">
        <v>113</v>
      </c>
      <c r="E117" s="321" t="s">
        <v>408</v>
      </c>
      <c r="F117" s="737" t="s">
        <v>882</v>
      </c>
      <c r="G117" s="737"/>
      <c r="H117" s="670">
        <f t="shared" ref="H117:S117" si="27">H118+H119</f>
        <v>1695361</v>
      </c>
      <c r="I117" s="399"/>
      <c r="J117" s="399"/>
      <c r="K117" s="399"/>
      <c r="L117" s="399"/>
      <c r="M117" s="399"/>
      <c r="N117" s="399"/>
      <c r="O117" s="225">
        <f t="shared" ref="O117" si="28">O118+O119</f>
        <v>1381081</v>
      </c>
      <c r="P117" s="399"/>
      <c r="Q117" s="399"/>
      <c r="R117" s="225">
        <f t="shared" si="21"/>
        <v>1381081</v>
      </c>
      <c r="S117" s="670">
        <f t="shared" si="27"/>
        <v>0</v>
      </c>
      <c r="T117" s="225"/>
      <c r="U117" s="225"/>
    </row>
    <row r="118" spans="1:21">
      <c r="C118" s="297" t="s">
        <v>110</v>
      </c>
      <c r="D118" s="231" t="s">
        <v>25</v>
      </c>
      <c r="E118" s="296"/>
      <c r="F118" s="726"/>
      <c r="G118" s="726"/>
      <c r="H118" s="670">
        <f>453081+222280</f>
        <v>675361</v>
      </c>
      <c r="I118" s="399"/>
      <c r="J118" s="399"/>
      <c r="K118" s="399"/>
      <c r="L118" s="399"/>
      <c r="M118" s="399"/>
      <c r="N118" s="399"/>
      <c r="O118" s="225">
        <v>428940</v>
      </c>
      <c r="P118" s="399"/>
      <c r="Q118" s="399"/>
      <c r="R118" s="225">
        <f t="shared" si="21"/>
        <v>428940</v>
      </c>
      <c r="S118" s="670"/>
      <c r="T118" s="225"/>
      <c r="U118" s="225"/>
    </row>
    <row r="119" spans="1:21">
      <c r="C119" s="221"/>
      <c r="D119" s="231" t="s">
        <v>111</v>
      </c>
      <c r="E119" s="296"/>
      <c r="F119" s="397"/>
      <c r="G119" s="397"/>
      <c r="H119" s="670">
        <v>1020000</v>
      </c>
      <c r="I119" s="399"/>
      <c r="J119" s="399"/>
      <c r="K119" s="399"/>
      <c r="L119" s="399"/>
      <c r="M119" s="399"/>
      <c r="N119" s="399"/>
      <c r="O119" s="225">
        <v>952141</v>
      </c>
      <c r="P119" s="399"/>
      <c r="Q119" s="399"/>
      <c r="R119" s="225">
        <f t="shared" si="21"/>
        <v>952141</v>
      </c>
      <c r="S119" s="670"/>
      <c r="T119" s="225"/>
      <c r="U119" s="225"/>
    </row>
    <row r="120" spans="1:21" s="82" customFormat="1">
      <c r="A120" s="229"/>
      <c r="B120" s="229"/>
      <c r="C120" s="221" t="s">
        <v>623</v>
      </c>
      <c r="D120" s="231" t="s">
        <v>25</v>
      </c>
      <c r="E120" s="296"/>
      <c r="F120" s="397"/>
      <c r="G120" s="397"/>
      <c r="H120" s="670">
        <f t="shared" ref="H120" si="29">H121+H122</f>
        <v>1622981</v>
      </c>
      <c r="I120" s="399"/>
      <c r="J120" s="399"/>
      <c r="K120" s="399"/>
      <c r="L120" s="399"/>
      <c r="M120" s="399"/>
      <c r="N120" s="399"/>
      <c r="O120" s="225">
        <f t="shared" ref="O120" si="30">O121+O122</f>
        <v>983400</v>
      </c>
      <c r="P120" s="399"/>
      <c r="Q120" s="399"/>
      <c r="R120" s="225">
        <f t="shared" si="21"/>
        <v>983400</v>
      </c>
      <c r="S120" s="670">
        <f>S121+S122</f>
        <v>489581</v>
      </c>
      <c r="T120" s="225"/>
      <c r="U120" s="225"/>
    </row>
    <row r="121" spans="1:21" s="82" customFormat="1">
      <c r="A121" s="229"/>
      <c r="B121" s="229"/>
      <c r="C121" s="234" t="s">
        <v>621</v>
      </c>
      <c r="D121" s="231"/>
      <c r="E121" s="294" t="s">
        <v>408</v>
      </c>
      <c r="F121" s="398" t="s">
        <v>882</v>
      </c>
      <c r="G121" s="706"/>
      <c r="H121" s="672">
        <f>993400+S121</f>
        <v>1340000</v>
      </c>
      <c r="I121" s="403"/>
      <c r="J121" s="403"/>
      <c r="K121" s="403"/>
      <c r="L121" s="403"/>
      <c r="M121" s="403"/>
      <c r="N121" s="403"/>
      <c r="O121" s="236">
        <v>943400</v>
      </c>
      <c r="P121" s="403"/>
      <c r="Q121" s="403"/>
      <c r="R121" s="236">
        <f t="shared" si="21"/>
        <v>943400</v>
      </c>
      <c r="S121" s="672">
        <v>346600</v>
      </c>
      <c r="T121" s="236"/>
      <c r="U121" s="236"/>
    </row>
    <row r="122" spans="1:21" s="82" customFormat="1">
      <c r="A122" s="229"/>
      <c r="B122" s="229"/>
      <c r="C122" s="230" t="s">
        <v>622</v>
      </c>
      <c r="D122" s="231"/>
      <c r="E122" s="294" t="s">
        <v>399</v>
      </c>
      <c r="F122" s="398" t="s">
        <v>882</v>
      </c>
      <c r="G122" s="413"/>
      <c r="H122" s="672">
        <v>282981</v>
      </c>
      <c r="I122" s="403"/>
      <c r="J122" s="403"/>
      <c r="K122" s="403"/>
      <c r="L122" s="403"/>
      <c r="M122" s="403"/>
      <c r="N122" s="403"/>
      <c r="O122" s="236">
        <v>40000</v>
      </c>
      <c r="P122" s="403"/>
      <c r="Q122" s="403"/>
      <c r="R122" s="236">
        <f t="shared" si="21"/>
        <v>40000</v>
      </c>
      <c r="S122" s="672">
        <v>142981</v>
      </c>
      <c r="T122" s="236"/>
      <c r="U122" s="236"/>
    </row>
    <row r="123" spans="1:21" s="82" customFormat="1">
      <c r="A123" s="229"/>
      <c r="B123" s="229"/>
      <c r="C123" s="221" t="s">
        <v>624</v>
      </c>
      <c r="D123" s="231" t="s">
        <v>25</v>
      </c>
      <c r="E123" s="296"/>
      <c r="F123" s="398"/>
      <c r="G123" s="397"/>
      <c r="H123" s="670">
        <f t="shared" ref="H123:S123" si="31">H124+H125</f>
        <v>1910000</v>
      </c>
      <c r="I123" s="399"/>
      <c r="J123" s="399"/>
      <c r="K123" s="399"/>
      <c r="L123" s="399"/>
      <c r="M123" s="399"/>
      <c r="N123" s="399"/>
      <c r="O123" s="225">
        <f t="shared" ref="O123" si="32">O124+O125</f>
        <v>150000</v>
      </c>
      <c r="P123" s="399"/>
      <c r="Q123" s="399"/>
      <c r="R123" s="225">
        <f t="shared" si="21"/>
        <v>150000</v>
      </c>
      <c r="S123" s="670">
        <f t="shared" si="31"/>
        <v>1250000</v>
      </c>
      <c r="T123" s="225"/>
      <c r="U123" s="225"/>
    </row>
    <row r="124" spans="1:21" s="82" customFormat="1">
      <c r="A124" s="229"/>
      <c r="B124" s="229"/>
      <c r="C124" s="230" t="s">
        <v>620</v>
      </c>
      <c r="D124" s="231"/>
      <c r="E124" s="294" t="s">
        <v>408</v>
      </c>
      <c r="F124" s="398" t="s">
        <v>882</v>
      </c>
      <c r="G124" s="413"/>
      <c r="H124" s="672">
        <v>1720000</v>
      </c>
      <c r="I124" s="403"/>
      <c r="J124" s="403"/>
      <c r="K124" s="403"/>
      <c r="L124" s="403"/>
      <c r="M124" s="403"/>
      <c r="N124" s="403"/>
      <c r="O124" s="236">
        <v>150000</v>
      </c>
      <c r="P124" s="403"/>
      <c r="Q124" s="403"/>
      <c r="R124" s="236">
        <f t="shared" si="21"/>
        <v>150000</v>
      </c>
      <c r="S124" s="672">
        <v>1200000</v>
      </c>
      <c r="T124" s="236"/>
      <c r="U124" s="236"/>
    </row>
    <row r="125" spans="1:21" s="82" customFormat="1">
      <c r="A125" s="229"/>
      <c r="B125" s="229"/>
      <c r="C125" s="230" t="s">
        <v>619</v>
      </c>
      <c r="D125" s="231"/>
      <c r="E125" s="294" t="s">
        <v>399</v>
      </c>
      <c r="F125" s="398" t="s">
        <v>882</v>
      </c>
      <c r="G125" s="413"/>
      <c r="H125" s="672">
        <v>190000</v>
      </c>
      <c r="I125" s="403"/>
      <c r="J125" s="403"/>
      <c r="K125" s="403"/>
      <c r="L125" s="403"/>
      <c r="M125" s="403"/>
      <c r="N125" s="403"/>
      <c r="O125" s="236"/>
      <c r="P125" s="403"/>
      <c r="Q125" s="403"/>
      <c r="R125" s="236">
        <f t="shared" si="21"/>
        <v>0</v>
      </c>
      <c r="S125" s="672">
        <v>50000</v>
      </c>
      <c r="T125" s="236"/>
      <c r="U125" s="236"/>
    </row>
    <row r="126" spans="1:21" s="82" customFormat="1">
      <c r="A126" s="229"/>
      <c r="B126" s="229"/>
      <c r="C126" s="221" t="s">
        <v>439</v>
      </c>
      <c r="D126" s="231" t="s">
        <v>25</v>
      </c>
      <c r="E126" s="296" t="s">
        <v>408</v>
      </c>
      <c r="F126" s="397" t="s">
        <v>882</v>
      </c>
      <c r="G126" s="397"/>
      <c r="H126" s="670">
        <v>965000</v>
      </c>
      <c r="I126" s="399"/>
      <c r="J126" s="399"/>
      <c r="K126" s="399"/>
      <c r="L126" s="399"/>
      <c r="M126" s="399"/>
      <c r="N126" s="399"/>
      <c r="O126" s="225">
        <v>765000</v>
      </c>
      <c r="P126" s="399"/>
      <c r="Q126" s="399"/>
      <c r="R126" s="225">
        <f t="shared" si="21"/>
        <v>765000</v>
      </c>
      <c r="S126" s="670">
        <v>150000</v>
      </c>
      <c r="T126" s="225"/>
      <c r="U126" s="225"/>
    </row>
    <row r="127" spans="1:21" s="82" customFormat="1" ht="25.5">
      <c r="A127" s="229"/>
      <c r="B127" s="229"/>
      <c r="C127" s="221" t="s">
        <v>588</v>
      </c>
      <c r="D127" s="231" t="s">
        <v>25</v>
      </c>
      <c r="E127" s="296" t="s">
        <v>400</v>
      </c>
      <c r="F127" s="397" t="s">
        <v>882</v>
      </c>
      <c r="G127" s="397"/>
      <c r="H127" s="670">
        <v>420000</v>
      </c>
      <c r="I127" s="399"/>
      <c r="J127" s="399"/>
      <c r="K127" s="399"/>
      <c r="L127" s="399"/>
      <c r="M127" s="399"/>
      <c r="N127" s="399"/>
      <c r="O127" s="225"/>
      <c r="P127" s="399"/>
      <c r="Q127" s="399"/>
      <c r="R127" s="225">
        <f t="shared" si="21"/>
        <v>0</v>
      </c>
      <c r="S127" s="670">
        <v>90000</v>
      </c>
      <c r="T127" s="225"/>
      <c r="U127" s="225"/>
    </row>
    <row r="128" spans="1:21" s="82" customFormat="1" ht="25.5">
      <c r="A128" s="229"/>
      <c r="B128" s="229"/>
      <c r="C128" s="221" t="s">
        <v>440</v>
      </c>
      <c r="D128" s="231" t="s">
        <v>25</v>
      </c>
      <c r="E128" s="296" t="s">
        <v>394</v>
      </c>
      <c r="F128" s="397" t="s">
        <v>882</v>
      </c>
      <c r="G128" s="397"/>
      <c r="H128" s="670">
        <v>210000</v>
      </c>
      <c r="I128" s="399"/>
      <c r="J128" s="399"/>
      <c r="K128" s="399"/>
      <c r="L128" s="399"/>
      <c r="M128" s="399"/>
      <c r="N128" s="399"/>
      <c r="O128" s="225"/>
      <c r="P128" s="399"/>
      <c r="Q128" s="399"/>
      <c r="R128" s="225">
        <f t="shared" si="21"/>
        <v>0</v>
      </c>
      <c r="S128" s="670">
        <v>10000</v>
      </c>
      <c r="T128" s="225"/>
      <c r="U128" s="225"/>
    </row>
    <row r="129" spans="1:21" s="82" customFormat="1">
      <c r="A129" s="229"/>
      <c r="B129" s="229"/>
      <c r="C129" s="221" t="s">
        <v>612</v>
      </c>
      <c r="D129" s="231" t="s">
        <v>25</v>
      </c>
      <c r="E129" s="296" t="s">
        <v>399</v>
      </c>
      <c r="F129" s="397" t="s">
        <v>882</v>
      </c>
      <c r="G129" s="397"/>
      <c r="H129" s="670">
        <v>2100000</v>
      </c>
      <c r="I129" s="399"/>
      <c r="J129" s="399"/>
      <c r="K129" s="399"/>
      <c r="L129" s="399"/>
      <c r="M129" s="399"/>
      <c r="N129" s="399"/>
      <c r="O129" s="225"/>
      <c r="P129" s="399"/>
      <c r="Q129" s="399"/>
      <c r="R129" s="225">
        <f t="shared" si="21"/>
        <v>0</v>
      </c>
      <c r="S129" s="670">
        <v>100000</v>
      </c>
      <c r="T129" s="225"/>
      <c r="U129" s="225"/>
    </row>
    <row r="130" spans="1:21" s="82" customFormat="1">
      <c r="A130" s="229"/>
      <c r="B130" s="229"/>
      <c r="C130" s="221" t="s">
        <v>792</v>
      </c>
      <c r="D130" s="231" t="s">
        <v>26</v>
      </c>
      <c r="E130" s="296" t="s">
        <v>404</v>
      </c>
      <c r="F130" s="397" t="s">
        <v>881</v>
      </c>
      <c r="G130" s="397"/>
      <c r="H130" s="670"/>
      <c r="I130" s="399"/>
      <c r="J130" s="399"/>
      <c r="K130" s="399"/>
      <c r="L130" s="399"/>
      <c r="M130" s="399"/>
      <c r="N130" s="399"/>
      <c r="O130" s="225"/>
      <c r="P130" s="399">
        <v>5000</v>
      </c>
      <c r="Q130" s="399"/>
      <c r="R130" s="225">
        <f t="shared" si="21"/>
        <v>5000</v>
      </c>
      <c r="S130" s="670"/>
      <c r="T130" s="225"/>
      <c r="U130" s="225"/>
    </row>
    <row r="131" spans="1:21" s="82" customFormat="1">
      <c r="A131" s="229"/>
      <c r="B131" s="229"/>
      <c r="C131" s="221" t="s">
        <v>589</v>
      </c>
      <c r="D131" s="231" t="s">
        <v>25</v>
      </c>
      <c r="E131" s="296" t="s">
        <v>399</v>
      </c>
      <c r="F131" s="397" t="s">
        <v>882</v>
      </c>
      <c r="G131" s="397"/>
      <c r="H131" s="670">
        <v>7700000</v>
      </c>
      <c r="I131" s="399"/>
      <c r="J131" s="399"/>
      <c r="K131" s="399"/>
      <c r="L131" s="399"/>
      <c r="M131" s="399"/>
      <c r="N131" s="399"/>
      <c r="O131" s="225">
        <v>100000</v>
      </c>
      <c r="P131" s="399"/>
      <c r="Q131" s="399"/>
      <c r="R131" s="225">
        <f t="shared" si="21"/>
        <v>100000</v>
      </c>
      <c r="S131" s="670">
        <v>100000</v>
      </c>
      <c r="T131" s="225"/>
      <c r="U131" s="225"/>
    </row>
    <row r="132" spans="1:21" s="82" customFormat="1" ht="25.5">
      <c r="A132" s="229"/>
      <c r="B132" s="229"/>
      <c r="C132" s="221" t="s">
        <v>567</v>
      </c>
      <c r="D132" s="231" t="s">
        <v>25</v>
      </c>
      <c r="E132" s="296" t="s">
        <v>405</v>
      </c>
      <c r="F132" s="397" t="s">
        <v>891</v>
      </c>
      <c r="G132" s="397"/>
      <c r="H132" s="672"/>
      <c r="I132" s="403"/>
      <c r="J132" s="403"/>
      <c r="K132" s="403"/>
      <c r="L132" s="403"/>
      <c r="M132" s="403"/>
      <c r="N132" s="403"/>
      <c r="O132" s="225">
        <v>230000</v>
      </c>
      <c r="P132" s="399"/>
      <c r="Q132" s="403"/>
      <c r="R132" s="225">
        <f t="shared" si="21"/>
        <v>230000</v>
      </c>
      <c r="S132" s="670">
        <f>230000+20000</f>
        <v>250000</v>
      </c>
      <c r="T132" s="225"/>
      <c r="U132" s="225"/>
    </row>
    <row r="133" spans="1:21" s="82" customFormat="1">
      <c r="A133" s="229"/>
      <c r="B133" s="229"/>
      <c r="C133" s="217" t="s">
        <v>234</v>
      </c>
      <c r="D133" s="289" t="s">
        <v>113</v>
      </c>
      <c r="E133" s="288"/>
      <c r="F133" s="723"/>
      <c r="G133" s="723"/>
      <c r="H133" s="668">
        <f t="shared" ref="H133:S133" si="33">H134+H135</f>
        <v>22680</v>
      </c>
      <c r="I133" s="645"/>
      <c r="J133" s="645"/>
      <c r="K133" s="645"/>
      <c r="L133" s="645"/>
      <c r="M133" s="645"/>
      <c r="N133" s="645"/>
      <c r="O133" s="226">
        <f>O134+O135</f>
        <v>430220</v>
      </c>
      <c r="P133" s="645"/>
      <c r="Q133" s="645"/>
      <c r="R133" s="226">
        <f t="shared" ref="R133:R196" si="34">SUM(O133:Q133)</f>
        <v>430220</v>
      </c>
      <c r="S133" s="668">
        <f t="shared" si="33"/>
        <v>377710</v>
      </c>
      <c r="T133" s="226"/>
      <c r="U133" s="226"/>
    </row>
    <row r="134" spans="1:21" s="82" customFormat="1" ht="25.5">
      <c r="A134" s="229"/>
      <c r="B134" s="229"/>
      <c r="C134" s="221" t="s">
        <v>441</v>
      </c>
      <c r="D134" s="231" t="s">
        <v>138</v>
      </c>
      <c r="E134" s="296" t="s">
        <v>442</v>
      </c>
      <c r="F134" s="397" t="s">
        <v>891</v>
      </c>
      <c r="G134" s="397"/>
      <c r="H134" s="670">
        <v>22680</v>
      </c>
      <c r="I134" s="399"/>
      <c r="J134" s="399"/>
      <c r="K134" s="399"/>
      <c r="L134" s="399"/>
      <c r="M134" s="399"/>
      <c r="N134" s="399"/>
      <c r="O134" s="225">
        <f>135180+140040</f>
        <v>275220</v>
      </c>
      <c r="P134" s="399"/>
      <c r="Q134" s="399"/>
      <c r="R134" s="225">
        <f t="shared" si="34"/>
        <v>275220</v>
      </c>
      <c r="S134" s="670">
        <v>377710</v>
      </c>
      <c r="T134" s="225"/>
      <c r="U134" s="225"/>
    </row>
    <row r="135" spans="1:21" s="82" customFormat="1">
      <c r="A135" s="229"/>
      <c r="B135" s="229"/>
      <c r="C135" s="221" t="s">
        <v>590</v>
      </c>
      <c r="D135" s="231" t="s">
        <v>25</v>
      </c>
      <c r="E135" s="296" t="s">
        <v>399</v>
      </c>
      <c r="F135" s="397" t="s">
        <v>882</v>
      </c>
      <c r="G135" s="397"/>
      <c r="H135" s="670"/>
      <c r="I135" s="399"/>
      <c r="J135" s="399"/>
      <c r="K135" s="399"/>
      <c r="L135" s="399"/>
      <c r="M135" s="399"/>
      <c r="N135" s="399"/>
      <c r="O135" s="225">
        <v>155000</v>
      </c>
      <c r="P135" s="399"/>
      <c r="Q135" s="399"/>
      <c r="R135" s="225">
        <f t="shared" si="34"/>
        <v>155000</v>
      </c>
      <c r="S135" s="670"/>
      <c r="T135" s="225"/>
      <c r="U135" s="225"/>
    </row>
    <row r="136" spans="1:21" s="82" customFormat="1">
      <c r="A136" s="229"/>
      <c r="B136" s="229"/>
      <c r="C136" s="217" t="s">
        <v>349</v>
      </c>
      <c r="D136" s="289" t="s">
        <v>113</v>
      </c>
      <c r="E136" s="288"/>
      <c r="F136" s="723"/>
      <c r="G136" s="723"/>
      <c r="H136" s="668">
        <f>H137+H142+H144+H147+H148+H150+H151</f>
        <v>111442573</v>
      </c>
      <c r="I136" s="645"/>
      <c r="J136" s="645"/>
      <c r="K136" s="645"/>
      <c r="L136" s="645"/>
      <c r="M136" s="645"/>
      <c r="N136" s="645"/>
      <c r="O136" s="226">
        <f>O137+O142+O144+O147+O148+O150+O151</f>
        <v>5103000</v>
      </c>
      <c r="P136" s="645"/>
      <c r="Q136" s="645"/>
      <c r="R136" s="226">
        <f t="shared" si="34"/>
        <v>5103000</v>
      </c>
      <c r="S136" s="668">
        <f>S137+S142+S144+S147+S148+S150+S151</f>
        <v>9155960</v>
      </c>
      <c r="T136" s="226"/>
      <c r="U136" s="226"/>
    </row>
    <row r="137" spans="1:21" s="82" customFormat="1">
      <c r="A137" s="229"/>
      <c r="B137" s="229"/>
      <c r="C137" s="221" t="s">
        <v>312</v>
      </c>
      <c r="D137" s="235" t="s">
        <v>113</v>
      </c>
      <c r="E137" s="296"/>
      <c r="F137" s="397" t="s">
        <v>882</v>
      </c>
      <c r="G137" s="397"/>
      <c r="H137" s="670">
        <f>H140+H141</f>
        <v>12009367</v>
      </c>
      <c r="I137" s="399"/>
      <c r="J137" s="399"/>
      <c r="K137" s="399"/>
      <c r="L137" s="399"/>
      <c r="M137" s="399"/>
      <c r="N137" s="399"/>
      <c r="O137" s="225">
        <f>O140+O141</f>
        <v>3653000</v>
      </c>
      <c r="P137" s="399"/>
      <c r="Q137" s="399"/>
      <c r="R137" s="225">
        <f t="shared" si="34"/>
        <v>3653000</v>
      </c>
      <c r="S137" s="670">
        <f>S140+S141</f>
        <v>3705960</v>
      </c>
      <c r="T137" s="225"/>
      <c r="U137" s="225"/>
    </row>
    <row r="138" spans="1:21" s="82" customFormat="1">
      <c r="A138" s="229"/>
      <c r="B138" s="229"/>
      <c r="C138" s="221"/>
      <c r="D138" s="231" t="s">
        <v>25</v>
      </c>
      <c r="E138" s="296"/>
      <c r="F138" s="397"/>
      <c r="G138" s="397"/>
      <c r="H138" s="670">
        <f>H137-H139</f>
        <v>10809367</v>
      </c>
      <c r="I138" s="399"/>
      <c r="J138" s="399"/>
      <c r="K138" s="399"/>
      <c r="L138" s="399"/>
      <c r="M138" s="399"/>
      <c r="N138" s="399"/>
      <c r="O138" s="225">
        <v>3293000</v>
      </c>
      <c r="P138" s="399"/>
      <c r="Q138" s="399"/>
      <c r="R138" s="225">
        <f t="shared" si="34"/>
        <v>3293000</v>
      </c>
      <c r="S138" s="670">
        <f>S137-S139</f>
        <v>3302297</v>
      </c>
      <c r="T138" s="225"/>
      <c r="U138" s="225"/>
    </row>
    <row r="139" spans="1:21" s="82" customFormat="1">
      <c r="A139" s="229"/>
      <c r="B139" s="229"/>
      <c r="C139" s="221"/>
      <c r="D139" s="231" t="s">
        <v>111</v>
      </c>
      <c r="E139" s="296"/>
      <c r="F139" s="398"/>
      <c r="G139" s="397"/>
      <c r="H139" s="670">
        <v>1200000</v>
      </c>
      <c r="I139" s="399"/>
      <c r="J139" s="399"/>
      <c r="K139" s="399"/>
      <c r="L139" s="399"/>
      <c r="M139" s="399"/>
      <c r="N139" s="399"/>
      <c r="O139" s="225">
        <v>360000</v>
      </c>
      <c r="P139" s="399"/>
      <c r="Q139" s="399"/>
      <c r="R139" s="225">
        <f t="shared" si="34"/>
        <v>360000</v>
      </c>
      <c r="S139" s="670">
        <v>403663</v>
      </c>
      <c r="T139" s="225"/>
      <c r="U139" s="225"/>
    </row>
    <row r="140" spans="1:21" s="82" customFormat="1">
      <c r="A140" s="229"/>
      <c r="B140" s="229"/>
      <c r="C140" s="309" t="s">
        <v>313</v>
      </c>
      <c r="D140" s="231"/>
      <c r="E140" s="306" t="s">
        <v>408</v>
      </c>
      <c r="F140" s="849" t="s">
        <v>882</v>
      </c>
      <c r="G140" s="731"/>
      <c r="H140" s="672">
        <v>7959367</v>
      </c>
      <c r="I140" s="403"/>
      <c r="J140" s="403"/>
      <c r="K140" s="403"/>
      <c r="L140" s="403"/>
      <c r="M140" s="403"/>
      <c r="N140" s="403"/>
      <c r="O140" s="236">
        <v>2153000</v>
      </c>
      <c r="P140" s="403"/>
      <c r="Q140" s="403"/>
      <c r="R140" s="236">
        <f t="shared" si="34"/>
        <v>2153000</v>
      </c>
      <c r="S140" s="672">
        <v>1455960</v>
      </c>
      <c r="T140" s="236"/>
      <c r="U140" s="236"/>
    </row>
    <row r="141" spans="1:21" s="82" customFormat="1">
      <c r="A141" s="229"/>
      <c r="B141" s="229"/>
      <c r="C141" s="230" t="s">
        <v>591</v>
      </c>
      <c r="D141" s="231"/>
      <c r="E141" s="294" t="s">
        <v>402</v>
      </c>
      <c r="F141" s="398" t="s">
        <v>882</v>
      </c>
      <c r="G141" s="413"/>
      <c r="H141" s="672">
        <f>4137000-87000</f>
        <v>4050000</v>
      </c>
      <c r="I141" s="403"/>
      <c r="J141" s="403"/>
      <c r="K141" s="403"/>
      <c r="L141" s="403"/>
      <c r="M141" s="403"/>
      <c r="N141" s="403"/>
      <c r="O141" s="236">
        <v>1500000</v>
      </c>
      <c r="P141" s="403"/>
      <c r="Q141" s="403"/>
      <c r="R141" s="236">
        <f t="shared" si="34"/>
        <v>1500000</v>
      </c>
      <c r="S141" s="672">
        <f>2250000</f>
        <v>2250000</v>
      </c>
      <c r="T141" s="236"/>
      <c r="U141" s="236"/>
    </row>
    <row r="142" spans="1:21" s="82" customFormat="1" ht="25.5">
      <c r="A142" s="229"/>
      <c r="B142" s="229"/>
      <c r="C142" s="221" t="s">
        <v>445</v>
      </c>
      <c r="D142" s="231" t="s">
        <v>25</v>
      </c>
      <c r="E142" s="296"/>
      <c r="F142" s="398" t="s">
        <v>882</v>
      </c>
      <c r="G142" s="397"/>
      <c r="H142" s="670">
        <f>SUM(H143:H143)</f>
        <v>7500000</v>
      </c>
      <c r="I142" s="399"/>
      <c r="J142" s="399"/>
      <c r="K142" s="399"/>
      <c r="L142" s="399"/>
      <c r="M142" s="399"/>
      <c r="N142" s="399"/>
      <c r="O142" s="225">
        <f>SUM(O143:O143)</f>
        <v>400000</v>
      </c>
      <c r="P142" s="399"/>
      <c r="Q142" s="399"/>
      <c r="R142" s="225">
        <f t="shared" si="34"/>
        <v>400000</v>
      </c>
      <c r="S142" s="670">
        <f>SUM(S143:S143)</f>
        <v>4500000</v>
      </c>
      <c r="T142" s="225"/>
      <c r="U142" s="225"/>
    </row>
    <row r="143" spans="1:21" s="82" customFormat="1">
      <c r="A143" s="229"/>
      <c r="B143" s="229"/>
      <c r="C143" s="322" t="s">
        <v>446</v>
      </c>
      <c r="D143" s="231"/>
      <c r="E143" s="294" t="s">
        <v>408</v>
      </c>
      <c r="F143" s="398" t="s">
        <v>882</v>
      </c>
      <c r="G143" s="738"/>
      <c r="H143" s="672">
        <v>7500000</v>
      </c>
      <c r="I143" s="403"/>
      <c r="J143" s="403"/>
      <c r="K143" s="403"/>
      <c r="L143" s="403"/>
      <c r="M143" s="403"/>
      <c r="N143" s="403"/>
      <c r="O143" s="236">
        <v>400000</v>
      </c>
      <c r="P143" s="403"/>
      <c r="Q143" s="403"/>
      <c r="R143" s="236">
        <f t="shared" si="34"/>
        <v>400000</v>
      </c>
      <c r="S143" s="672">
        <v>4500000</v>
      </c>
      <c r="T143" s="236"/>
      <c r="U143" s="236"/>
    </row>
    <row r="144" spans="1:21" s="82" customFormat="1">
      <c r="A144" s="229"/>
      <c r="B144" s="229"/>
      <c r="C144" s="221" t="s">
        <v>447</v>
      </c>
      <c r="D144" s="231" t="s">
        <v>25</v>
      </c>
      <c r="E144" s="296"/>
      <c r="F144" s="398" t="s">
        <v>882</v>
      </c>
      <c r="G144" s="397"/>
      <c r="H144" s="670">
        <f>S144</f>
        <v>250000</v>
      </c>
      <c r="I144" s="399"/>
      <c r="J144" s="399"/>
      <c r="K144" s="399"/>
      <c r="L144" s="399"/>
      <c r="M144" s="399"/>
      <c r="N144" s="399"/>
      <c r="O144" s="225">
        <v>550000</v>
      </c>
      <c r="P144" s="399"/>
      <c r="Q144" s="399"/>
      <c r="R144" s="225">
        <f t="shared" si="34"/>
        <v>550000</v>
      </c>
      <c r="S144" s="670">
        <v>250000</v>
      </c>
      <c r="T144" s="225"/>
      <c r="U144" s="225"/>
    </row>
    <row r="145" spans="1:21" s="82" customFormat="1" ht="22.5" customHeight="1">
      <c r="A145" s="229"/>
      <c r="B145" s="229"/>
      <c r="C145" s="234" t="s">
        <v>448</v>
      </c>
      <c r="D145" s="231"/>
      <c r="E145" s="294" t="s">
        <v>408</v>
      </c>
      <c r="F145" s="398" t="s">
        <v>882</v>
      </c>
      <c r="G145" s="706"/>
      <c r="H145" s="670"/>
      <c r="I145" s="399"/>
      <c r="J145" s="399"/>
      <c r="K145" s="399"/>
      <c r="L145" s="399"/>
      <c r="M145" s="399"/>
      <c r="N145" s="399"/>
      <c r="O145" s="236">
        <v>245000</v>
      </c>
      <c r="P145" s="403"/>
      <c r="Q145" s="399"/>
      <c r="R145" s="236">
        <f t="shared" si="34"/>
        <v>245000</v>
      </c>
      <c r="S145" s="670"/>
      <c r="T145" s="236"/>
      <c r="U145" s="236"/>
    </row>
    <row r="146" spans="1:21" s="82" customFormat="1" ht="22.5" customHeight="1">
      <c r="A146" s="229"/>
      <c r="B146" s="229"/>
      <c r="C146" s="230" t="s">
        <v>554</v>
      </c>
      <c r="D146" s="231"/>
      <c r="E146" s="294" t="s">
        <v>408</v>
      </c>
      <c r="F146" s="398" t="s">
        <v>882</v>
      </c>
      <c r="G146" s="413"/>
      <c r="H146" s="670"/>
      <c r="I146" s="399"/>
      <c r="J146" s="399"/>
      <c r="K146" s="399"/>
      <c r="L146" s="399"/>
      <c r="M146" s="399"/>
      <c r="N146" s="399"/>
      <c r="O146" s="236">
        <v>200000</v>
      </c>
      <c r="P146" s="403"/>
      <c r="Q146" s="399"/>
      <c r="R146" s="236">
        <f t="shared" si="34"/>
        <v>200000</v>
      </c>
      <c r="S146" s="670"/>
      <c r="T146" s="236"/>
      <c r="U146" s="236"/>
    </row>
    <row r="147" spans="1:21" s="82" customFormat="1">
      <c r="A147" s="229"/>
      <c r="B147" s="229"/>
      <c r="C147" s="303" t="s">
        <v>443</v>
      </c>
      <c r="D147" s="231" t="s">
        <v>25</v>
      </c>
      <c r="E147" s="304" t="s">
        <v>405</v>
      </c>
      <c r="F147" s="849" t="s">
        <v>892</v>
      </c>
      <c r="G147" s="730"/>
      <c r="H147" s="670">
        <v>200000</v>
      </c>
      <c r="I147" s="399"/>
      <c r="J147" s="399"/>
      <c r="K147" s="399"/>
      <c r="L147" s="399"/>
      <c r="M147" s="399"/>
      <c r="N147" s="399"/>
      <c r="O147" s="225">
        <v>0</v>
      </c>
      <c r="P147" s="399"/>
      <c r="Q147" s="399"/>
      <c r="R147" s="225">
        <f t="shared" si="34"/>
        <v>0</v>
      </c>
      <c r="S147" s="670">
        <v>100000</v>
      </c>
      <c r="T147" s="225"/>
      <c r="U147" s="225"/>
    </row>
    <row r="148" spans="1:21" s="82" customFormat="1">
      <c r="A148" s="229"/>
      <c r="B148" s="229"/>
      <c r="C148" s="221" t="s">
        <v>444</v>
      </c>
      <c r="D148" s="231" t="s">
        <v>25</v>
      </c>
      <c r="E148" s="296" t="s">
        <v>405</v>
      </c>
      <c r="F148" s="397" t="s">
        <v>891</v>
      </c>
      <c r="G148" s="397"/>
      <c r="H148" s="670">
        <v>400000</v>
      </c>
      <c r="I148" s="399"/>
      <c r="J148" s="399"/>
      <c r="K148" s="399"/>
      <c r="L148" s="399"/>
      <c r="M148" s="399"/>
      <c r="N148" s="399"/>
      <c r="O148" s="225"/>
      <c r="P148" s="399"/>
      <c r="Q148" s="399"/>
      <c r="R148" s="225">
        <f t="shared" si="34"/>
        <v>0</v>
      </c>
      <c r="S148" s="670">
        <v>100000</v>
      </c>
      <c r="T148" s="225"/>
      <c r="U148" s="225"/>
    </row>
    <row r="149" spans="1:21" s="82" customFormat="1">
      <c r="A149" s="395">
        <f>R149</f>
        <v>500000</v>
      </c>
      <c r="B149" s="395">
        <f>S149</f>
        <v>500000</v>
      </c>
      <c r="C149" s="221" t="s">
        <v>314</v>
      </c>
      <c r="D149" s="400" t="s">
        <v>113</v>
      </c>
      <c r="E149" s="398"/>
      <c r="F149" s="845" t="s">
        <v>882</v>
      </c>
      <c r="G149" s="397"/>
      <c r="H149" s="674">
        <f>H150+H151</f>
        <v>91083206</v>
      </c>
      <c r="I149" s="399"/>
      <c r="J149" s="399"/>
      <c r="K149" s="399"/>
      <c r="L149" s="399"/>
      <c r="M149" s="399"/>
      <c r="N149" s="399"/>
      <c r="O149" s="399">
        <f t="shared" ref="O149" si="35">O150+O151</f>
        <v>500000</v>
      </c>
      <c r="P149" s="399"/>
      <c r="Q149" s="399"/>
      <c r="R149" s="399">
        <f t="shared" si="34"/>
        <v>500000</v>
      </c>
      <c r="S149" s="674">
        <f t="shared" ref="S149" si="36">S150+S151</f>
        <v>500000</v>
      </c>
      <c r="T149" s="399"/>
      <c r="U149" s="399"/>
    </row>
    <row r="150" spans="1:21" s="82" customFormat="1">
      <c r="A150" s="229"/>
      <c r="B150" s="229"/>
      <c r="C150" s="221"/>
      <c r="D150" s="231" t="s">
        <v>25</v>
      </c>
      <c r="E150" s="296" t="s">
        <v>408</v>
      </c>
      <c r="F150" s="397"/>
      <c r="G150" s="397"/>
      <c r="H150" s="670">
        <v>51083206</v>
      </c>
      <c r="I150" s="399"/>
      <c r="J150" s="399"/>
      <c r="K150" s="399"/>
      <c r="L150" s="399"/>
      <c r="M150" s="399"/>
      <c r="N150" s="399"/>
      <c r="O150" s="225">
        <v>500000</v>
      </c>
      <c r="P150" s="399"/>
      <c r="Q150" s="399"/>
      <c r="R150" s="225">
        <f t="shared" si="34"/>
        <v>500000</v>
      </c>
      <c r="S150" s="670">
        <v>500000</v>
      </c>
      <c r="T150" s="225"/>
      <c r="U150" s="225"/>
    </row>
    <row r="151" spans="1:21" s="82" customFormat="1">
      <c r="A151" s="229"/>
      <c r="B151" s="229"/>
      <c r="C151" s="397"/>
      <c r="D151" s="400" t="s">
        <v>26</v>
      </c>
      <c r="E151" s="398"/>
      <c r="F151" s="397"/>
      <c r="G151" s="397"/>
      <c r="H151" s="674">
        <v>40000000</v>
      </c>
      <c r="I151" s="399"/>
      <c r="J151" s="399"/>
      <c r="K151" s="399"/>
      <c r="L151" s="399"/>
      <c r="M151" s="399"/>
      <c r="N151" s="399"/>
      <c r="O151" s="399"/>
      <c r="P151" s="399"/>
      <c r="Q151" s="399"/>
      <c r="R151" s="399">
        <f t="shared" si="34"/>
        <v>0</v>
      </c>
      <c r="S151" s="674"/>
      <c r="T151" s="399"/>
      <c r="U151" s="399"/>
    </row>
    <row r="152" spans="1:21" s="82" customFormat="1">
      <c r="A152" s="229"/>
      <c r="B152" s="229"/>
      <c r="C152" s="217" t="s">
        <v>352</v>
      </c>
      <c r="D152" s="289" t="s">
        <v>113</v>
      </c>
      <c r="E152" s="288"/>
      <c r="F152" s="723"/>
      <c r="G152" s="723"/>
      <c r="H152" s="668">
        <f>H153+H154+H157+H158+H159</f>
        <v>16950000</v>
      </c>
      <c r="I152" s="645"/>
      <c r="J152" s="645"/>
      <c r="K152" s="645"/>
      <c r="L152" s="645"/>
      <c r="M152" s="645"/>
      <c r="N152" s="645"/>
      <c r="O152" s="226">
        <f>O153+O154+O157+O158+O159</f>
        <v>3743200</v>
      </c>
      <c r="P152" s="645"/>
      <c r="Q152" s="645"/>
      <c r="R152" s="226">
        <f t="shared" si="34"/>
        <v>3743200</v>
      </c>
      <c r="S152" s="668">
        <f>S153+S154+S157+S158+S159</f>
        <v>950000</v>
      </c>
      <c r="T152" s="226"/>
      <c r="U152" s="226"/>
    </row>
    <row r="153" spans="1:21" s="82" customFormat="1">
      <c r="A153" s="229"/>
      <c r="B153" s="229"/>
      <c r="C153" s="303" t="s">
        <v>569</v>
      </c>
      <c r="D153" s="231" t="s">
        <v>25</v>
      </c>
      <c r="E153" s="304"/>
      <c r="F153" s="730" t="s">
        <v>881</v>
      </c>
      <c r="G153" s="730"/>
      <c r="H153" s="670"/>
      <c r="I153" s="399"/>
      <c r="J153" s="399"/>
      <c r="K153" s="399"/>
      <c r="L153" s="399"/>
      <c r="M153" s="399"/>
      <c r="N153" s="399"/>
      <c r="O153" s="307">
        <v>700000</v>
      </c>
      <c r="P153" s="652"/>
      <c r="Q153" s="399"/>
      <c r="R153" s="307">
        <f t="shared" si="34"/>
        <v>700000</v>
      </c>
      <c r="S153" s="683"/>
      <c r="T153" s="307"/>
      <c r="U153" s="307"/>
    </row>
    <row r="154" spans="1:21" s="82" customFormat="1">
      <c r="A154" s="229"/>
      <c r="B154" s="229"/>
      <c r="C154" s="303" t="s">
        <v>264</v>
      </c>
      <c r="D154" s="235" t="s">
        <v>113</v>
      </c>
      <c r="E154" s="304" t="s">
        <v>394</v>
      </c>
      <c r="F154" s="730" t="s">
        <v>881</v>
      </c>
      <c r="G154" s="730"/>
      <c r="H154" s="683">
        <f>SUM(H155:H156)</f>
        <v>400000</v>
      </c>
      <c r="I154" s="652"/>
      <c r="J154" s="652"/>
      <c r="K154" s="652"/>
      <c r="L154" s="652"/>
      <c r="M154" s="652"/>
      <c r="N154" s="652"/>
      <c r="O154" s="307">
        <f>SUM(O155:O156)</f>
        <v>400000</v>
      </c>
      <c r="P154" s="652"/>
      <c r="Q154" s="652"/>
      <c r="R154" s="307">
        <f t="shared" si="34"/>
        <v>400000</v>
      </c>
      <c r="S154" s="683"/>
      <c r="T154" s="307"/>
      <c r="U154" s="307"/>
    </row>
    <row r="155" spans="1:21" s="82" customFormat="1">
      <c r="A155" s="229"/>
      <c r="B155" s="229"/>
      <c r="C155" s="323" t="s">
        <v>110</v>
      </c>
      <c r="D155" s="235" t="s">
        <v>25</v>
      </c>
      <c r="E155" s="304"/>
      <c r="F155" s="730" t="s">
        <v>881</v>
      </c>
      <c r="G155" s="739"/>
      <c r="H155" s="683">
        <v>200000</v>
      </c>
      <c r="I155" s="652"/>
      <c r="J155" s="652"/>
      <c r="K155" s="652"/>
      <c r="L155" s="652"/>
      <c r="M155" s="652"/>
      <c r="N155" s="652"/>
      <c r="O155" s="307">
        <v>200000</v>
      </c>
      <c r="P155" s="652"/>
      <c r="Q155" s="652"/>
      <c r="R155" s="307">
        <f t="shared" si="34"/>
        <v>200000</v>
      </c>
      <c r="S155" s="683"/>
      <c r="T155" s="307"/>
      <c r="U155" s="307"/>
    </row>
    <row r="156" spans="1:21" s="82" customFormat="1">
      <c r="A156" s="229"/>
      <c r="B156" s="229"/>
      <c r="C156" s="303"/>
      <c r="D156" s="235" t="s">
        <v>134</v>
      </c>
      <c r="E156" s="304"/>
      <c r="F156" s="730" t="s">
        <v>881</v>
      </c>
      <c r="G156" s="730"/>
      <c r="H156" s="683">
        <v>200000</v>
      </c>
      <c r="I156" s="652"/>
      <c r="J156" s="652"/>
      <c r="K156" s="652"/>
      <c r="L156" s="652"/>
      <c r="M156" s="652"/>
      <c r="N156" s="652"/>
      <c r="O156" s="307">
        <v>200000</v>
      </c>
      <c r="P156" s="652"/>
      <c r="Q156" s="652"/>
      <c r="R156" s="307">
        <f t="shared" si="34"/>
        <v>200000</v>
      </c>
      <c r="S156" s="683"/>
      <c r="T156" s="307"/>
      <c r="U156" s="307"/>
    </row>
    <row r="157" spans="1:21" s="82" customFormat="1" ht="25.5">
      <c r="A157" s="229"/>
      <c r="B157" s="229"/>
      <c r="C157" s="221" t="s">
        <v>627</v>
      </c>
      <c r="D157" s="219" t="s">
        <v>25</v>
      </c>
      <c r="E157" s="296" t="s">
        <v>405</v>
      </c>
      <c r="F157" s="397" t="s">
        <v>893</v>
      </c>
      <c r="G157" s="397"/>
      <c r="H157" s="682">
        <v>800000</v>
      </c>
      <c r="I157" s="651"/>
      <c r="J157" s="651"/>
      <c r="K157" s="651"/>
      <c r="L157" s="651"/>
      <c r="M157" s="651"/>
      <c r="N157" s="651"/>
      <c r="O157" s="224">
        <v>200000</v>
      </c>
      <c r="P157" s="651"/>
      <c r="Q157" s="651"/>
      <c r="R157" s="224">
        <f t="shared" si="34"/>
        <v>200000</v>
      </c>
      <c r="S157" s="682">
        <v>200000</v>
      </c>
      <c r="T157" s="224"/>
      <c r="U157" s="224"/>
    </row>
    <row r="158" spans="1:21" s="82" customFormat="1">
      <c r="A158" s="395">
        <f>R158</f>
        <v>2443200</v>
      </c>
      <c r="B158" s="395">
        <f>S158</f>
        <v>0</v>
      </c>
      <c r="C158" s="324" t="s">
        <v>635</v>
      </c>
      <c r="D158" s="231" t="s">
        <v>25</v>
      </c>
      <c r="E158" s="325" t="s">
        <v>405</v>
      </c>
      <c r="F158" s="740" t="s">
        <v>881</v>
      </c>
      <c r="G158" s="740"/>
      <c r="H158" s="670">
        <v>15000000</v>
      </c>
      <c r="I158" s="399"/>
      <c r="J158" s="399"/>
      <c r="K158" s="399"/>
      <c r="L158" s="399"/>
      <c r="M158" s="399"/>
      <c r="N158" s="399"/>
      <c r="O158" s="225">
        <v>2443200</v>
      </c>
      <c r="P158" s="399"/>
      <c r="Q158" s="399"/>
      <c r="R158" s="225">
        <f t="shared" si="34"/>
        <v>2443200</v>
      </c>
      <c r="S158" s="670"/>
      <c r="T158" s="225"/>
      <c r="U158" s="225"/>
    </row>
    <row r="159" spans="1:21" s="82" customFormat="1" ht="25.5">
      <c r="A159" s="395">
        <f>R159</f>
        <v>0</v>
      </c>
      <c r="B159" s="395">
        <f>S159</f>
        <v>750000</v>
      </c>
      <c r="C159" s="324" t="s">
        <v>636</v>
      </c>
      <c r="D159" s="231" t="s">
        <v>25</v>
      </c>
      <c r="E159" s="325" t="s">
        <v>400</v>
      </c>
      <c r="F159" s="740" t="s">
        <v>893</v>
      </c>
      <c r="G159" s="740"/>
      <c r="H159" s="670">
        <f>SUM(S159:S159)</f>
        <v>750000</v>
      </c>
      <c r="I159" s="399"/>
      <c r="J159" s="399"/>
      <c r="K159" s="399"/>
      <c r="L159" s="399"/>
      <c r="M159" s="399"/>
      <c r="N159" s="399"/>
      <c r="O159" s="225"/>
      <c r="P159" s="399"/>
      <c r="Q159" s="399"/>
      <c r="R159" s="225">
        <f t="shared" si="34"/>
        <v>0</v>
      </c>
      <c r="S159" s="670">
        <v>750000</v>
      </c>
      <c r="T159" s="225"/>
      <c r="U159" s="225"/>
    </row>
    <row r="160" spans="1:21" s="82" customFormat="1">
      <c r="A160" s="229"/>
      <c r="B160" s="229"/>
      <c r="C160" s="217" t="s">
        <v>325</v>
      </c>
      <c r="D160" s="289" t="s">
        <v>113</v>
      </c>
      <c r="E160" s="288"/>
      <c r="F160" s="723"/>
      <c r="G160" s="723"/>
      <c r="H160" s="668">
        <f t="shared" ref="H160:S160" si="37">H161</f>
        <v>500000</v>
      </c>
      <c r="I160" s="645"/>
      <c r="J160" s="645"/>
      <c r="K160" s="645"/>
      <c r="L160" s="645"/>
      <c r="M160" s="645"/>
      <c r="N160" s="645"/>
      <c r="O160" s="226">
        <f t="shared" si="37"/>
        <v>250000</v>
      </c>
      <c r="P160" s="645"/>
      <c r="Q160" s="645"/>
      <c r="R160" s="226">
        <f t="shared" si="34"/>
        <v>250000</v>
      </c>
      <c r="S160" s="668">
        <f t="shared" si="37"/>
        <v>222500</v>
      </c>
      <c r="T160" s="226"/>
      <c r="U160" s="226"/>
    </row>
    <row r="161" spans="1:21" s="82" customFormat="1" ht="25.5">
      <c r="A161" s="229"/>
      <c r="B161" s="229"/>
      <c r="C161" s="221" t="s">
        <v>449</v>
      </c>
      <c r="D161" s="231" t="s">
        <v>113</v>
      </c>
      <c r="E161" s="296" t="s">
        <v>405</v>
      </c>
      <c r="F161" s="397" t="s">
        <v>886</v>
      </c>
      <c r="G161" s="397"/>
      <c r="H161" s="670">
        <f t="shared" ref="H161:S161" si="38">H162+H163</f>
        <v>500000</v>
      </c>
      <c r="I161" s="399"/>
      <c r="J161" s="399"/>
      <c r="K161" s="399"/>
      <c r="L161" s="399"/>
      <c r="M161" s="399"/>
      <c r="N161" s="399"/>
      <c r="O161" s="225">
        <f t="shared" ref="O161" si="39">O162+O163</f>
        <v>250000</v>
      </c>
      <c r="P161" s="399"/>
      <c r="Q161" s="399"/>
      <c r="R161" s="225">
        <f t="shared" si="34"/>
        <v>250000</v>
      </c>
      <c r="S161" s="670">
        <f t="shared" si="38"/>
        <v>222500</v>
      </c>
      <c r="T161" s="225"/>
      <c r="U161" s="225"/>
    </row>
    <row r="162" spans="1:21" s="82" customFormat="1">
      <c r="A162" s="229"/>
      <c r="B162" s="229"/>
      <c r="C162" s="220" t="s">
        <v>110</v>
      </c>
      <c r="D162" s="231" t="s">
        <v>25</v>
      </c>
      <c r="E162" s="294"/>
      <c r="F162" s="220"/>
      <c r="G162" s="220"/>
      <c r="H162" s="670">
        <v>250000</v>
      </c>
      <c r="I162" s="399"/>
      <c r="J162" s="399"/>
      <c r="K162" s="399"/>
      <c r="L162" s="399"/>
      <c r="M162" s="399"/>
      <c r="N162" s="399"/>
      <c r="O162" s="225">
        <v>125000</v>
      </c>
      <c r="P162" s="399"/>
      <c r="Q162" s="399"/>
      <c r="R162" s="225">
        <f t="shared" si="34"/>
        <v>125000</v>
      </c>
      <c r="S162" s="670">
        <v>111250</v>
      </c>
      <c r="T162" s="225"/>
      <c r="U162" s="225"/>
    </row>
    <row r="163" spans="1:21" s="82" customFormat="1">
      <c r="A163" s="229"/>
      <c r="B163" s="229"/>
      <c r="C163" s="223"/>
      <c r="D163" s="231" t="s">
        <v>111</v>
      </c>
      <c r="E163" s="294"/>
      <c r="F163" s="223"/>
      <c r="G163" s="223"/>
      <c r="H163" s="670">
        <v>250000</v>
      </c>
      <c r="I163" s="399"/>
      <c r="J163" s="399"/>
      <c r="K163" s="399"/>
      <c r="L163" s="399"/>
      <c r="M163" s="399"/>
      <c r="N163" s="399"/>
      <c r="O163" s="225">
        <v>125000</v>
      </c>
      <c r="P163" s="399"/>
      <c r="Q163" s="399"/>
      <c r="R163" s="225">
        <f t="shared" si="34"/>
        <v>125000</v>
      </c>
      <c r="S163" s="670">
        <v>111250</v>
      </c>
      <c r="T163" s="225"/>
      <c r="U163" s="225"/>
    </row>
    <row r="164" spans="1:21" s="82" customFormat="1">
      <c r="A164" s="229"/>
      <c r="B164" s="229"/>
      <c r="C164" s="390" t="s">
        <v>107</v>
      </c>
      <c r="D164" s="231"/>
      <c r="E164" s="294"/>
      <c r="F164" s="390"/>
      <c r="G164" s="765"/>
      <c r="H164" s="671">
        <v>30000</v>
      </c>
      <c r="I164" s="232"/>
      <c r="J164" s="232"/>
      <c r="K164" s="232"/>
      <c r="L164" s="232"/>
      <c r="M164" s="232"/>
      <c r="N164" s="232"/>
      <c r="O164" s="236">
        <v>15000</v>
      </c>
      <c r="P164" s="232"/>
      <c r="Q164" s="232"/>
      <c r="R164" s="236">
        <f t="shared" si="34"/>
        <v>15000</v>
      </c>
      <c r="S164" s="672">
        <v>7500</v>
      </c>
      <c r="T164" s="236"/>
      <c r="U164" s="236"/>
    </row>
    <row r="165" spans="1:21" s="82" customFormat="1">
      <c r="A165" s="229"/>
      <c r="B165" s="229"/>
      <c r="C165" s="217" t="s">
        <v>270</v>
      </c>
      <c r="D165" s="289" t="s">
        <v>113</v>
      </c>
      <c r="E165" s="288"/>
      <c r="F165" s="723"/>
      <c r="G165" s="723"/>
      <c r="H165" s="668">
        <f>H170+H174+H190+H194+H200+H201+H203+H166+H217</f>
        <v>20029134</v>
      </c>
      <c r="I165" s="645"/>
      <c r="J165" s="645"/>
      <c r="K165" s="645"/>
      <c r="L165" s="645"/>
      <c r="M165" s="645"/>
      <c r="N165" s="645"/>
      <c r="O165" s="226">
        <f>O170+O174+O190+O194+O200+O201+O203+O166+O217+O175</f>
        <v>5714545</v>
      </c>
      <c r="P165" s="226">
        <f>P170+P174+P190+P194+P200+P201+P203+P166+P217+P175</f>
        <v>30000</v>
      </c>
      <c r="Q165" s="645"/>
      <c r="R165" s="226">
        <f t="shared" si="34"/>
        <v>5744545</v>
      </c>
      <c r="S165" s="668">
        <f>S170+S174+S190+S194+S200+S201+S203+S166+S217</f>
        <v>4856300</v>
      </c>
      <c r="T165" s="226"/>
      <c r="U165" s="226"/>
    </row>
    <row r="166" spans="1:21" s="82" customFormat="1" ht="25.5">
      <c r="A166" s="229"/>
      <c r="B166" s="229"/>
      <c r="C166" s="221" t="s">
        <v>296</v>
      </c>
      <c r="D166" s="231" t="s">
        <v>113</v>
      </c>
      <c r="E166" s="296" t="s">
        <v>405</v>
      </c>
      <c r="F166" s="397" t="s">
        <v>886</v>
      </c>
      <c r="G166" s="397"/>
      <c r="H166" s="670">
        <f t="shared" ref="H166:S166" si="40">H167+H168</f>
        <v>440600</v>
      </c>
      <c r="I166" s="399"/>
      <c r="J166" s="399"/>
      <c r="K166" s="399"/>
      <c r="L166" s="399"/>
      <c r="M166" s="399"/>
      <c r="N166" s="399"/>
      <c r="O166" s="225">
        <f t="shared" ref="O166" si="41">O167+O168</f>
        <v>220000</v>
      </c>
      <c r="P166" s="399"/>
      <c r="Q166" s="399"/>
      <c r="R166" s="225">
        <f t="shared" si="34"/>
        <v>220000</v>
      </c>
      <c r="S166" s="670">
        <f t="shared" si="40"/>
        <v>211800</v>
      </c>
      <c r="T166" s="225"/>
      <c r="U166" s="225"/>
    </row>
    <row r="167" spans="1:21" s="82" customFormat="1">
      <c r="A167" s="229"/>
      <c r="B167" s="229"/>
      <c r="C167" s="220" t="s">
        <v>110</v>
      </c>
      <c r="D167" s="231" t="s">
        <v>25</v>
      </c>
      <c r="E167" s="294"/>
      <c r="F167" s="220"/>
      <c r="G167" s="220"/>
      <c r="H167" s="670">
        <v>66090</v>
      </c>
      <c r="I167" s="399"/>
      <c r="J167" s="399"/>
      <c r="K167" s="399"/>
      <c r="L167" s="399"/>
      <c r="M167" s="399"/>
      <c r="N167" s="399"/>
      <c r="O167" s="225">
        <v>33000</v>
      </c>
      <c r="P167" s="399"/>
      <c r="Q167" s="399"/>
      <c r="R167" s="225">
        <f t="shared" si="34"/>
        <v>33000</v>
      </c>
      <c r="S167" s="670">
        <v>31770</v>
      </c>
      <c r="T167" s="225"/>
      <c r="U167" s="225"/>
    </row>
    <row r="168" spans="1:21" s="82" customFormat="1">
      <c r="A168" s="229"/>
      <c r="B168" s="229"/>
      <c r="C168" s="223"/>
      <c r="D168" s="231" t="s">
        <v>111</v>
      </c>
      <c r="E168" s="294"/>
      <c r="F168" s="223"/>
      <c r="G168" s="223"/>
      <c r="H168" s="670">
        <v>374510</v>
      </c>
      <c r="I168" s="399"/>
      <c r="J168" s="399"/>
      <c r="K168" s="399"/>
      <c r="L168" s="399"/>
      <c r="M168" s="399"/>
      <c r="N168" s="399"/>
      <c r="O168" s="225">
        <v>187000</v>
      </c>
      <c r="P168" s="399"/>
      <c r="Q168" s="399"/>
      <c r="R168" s="225">
        <f t="shared" si="34"/>
        <v>187000</v>
      </c>
      <c r="S168" s="670">
        <v>180030</v>
      </c>
      <c r="T168" s="225"/>
      <c r="U168" s="225"/>
    </row>
    <row r="169" spans="1:21" s="82" customFormat="1">
      <c r="A169" s="229"/>
      <c r="B169" s="229"/>
      <c r="C169" s="390" t="s">
        <v>107</v>
      </c>
      <c r="D169" s="231"/>
      <c r="E169" s="294"/>
      <c r="F169" s="390"/>
      <c r="G169" s="765"/>
      <c r="H169" s="671">
        <v>37000</v>
      </c>
      <c r="I169" s="232"/>
      <c r="J169" s="232"/>
      <c r="K169" s="232"/>
      <c r="L169" s="232"/>
      <c r="M169" s="232"/>
      <c r="N169" s="232"/>
      <c r="O169" s="236">
        <v>18800</v>
      </c>
      <c r="P169" s="232"/>
      <c r="Q169" s="232"/>
      <c r="R169" s="236">
        <f t="shared" si="34"/>
        <v>18800</v>
      </c>
      <c r="S169" s="672">
        <v>18200</v>
      </c>
      <c r="T169" s="236"/>
      <c r="U169" s="236"/>
    </row>
    <row r="170" spans="1:21" s="82" customFormat="1">
      <c r="A170" s="229"/>
      <c r="B170" s="229"/>
      <c r="C170" s="303" t="s">
        <v>300</v>
      </c>
      <c r="D170" s="235" t="s">
        <v>25</v>
      </c>
      <c r="E170" s="304"/>
      <c r="F170" s="730" t="s">
        <v>887</v>
      </c>
      <c r="G170" s="730"/>
      <c r="H170" s="670">
        <f>SUM(H171:H173)</f>
        <v>1004000</v>
      </c>
      <c r="I170" s="399"/>
      <c r="J170" s="399"/>
      <c r="K170" s="399"/>
      <c r="L170" s="399"/>
      <c r="M170" s="399"/>
      <c r="N170" s="399"/>
      <c r="O170" s="225">
        <f>SUM(O171:O173)</f>
        <v>200250</v>
      </c>
      <c r="P170" s="399"/>
      <c r="Q170" s="399"/>
      <c r="R170" s="225">
        <f t="shared" si="34"/>
        <v>200250</v>
      </c>
      <c r="S170" s="670">
        <f>SUM(S171:S173)</f>
        <v>525000</v>
      </c>
      <c r="T170" s="225"/>
      <c r="U170" s="225"/>
    </row>
    <row r="171" spans="1:21" s="82" customFormat="1">
      <c r="A171" s="229"/>
      <c r="B171" s="229"/>
      <c r="C171" s="234" t="s">
        <v>592</v>
      </c>
      <c r="D171" s="231"/>
      <c r="E171" s="294" t="s">
        <v>396</v>
      </c>
      <c r="F171" s="706"/>
      <c r="G171" s="706"/>
      <c r="H171" s="677">
        <v>300000</v>
      </c>
      <c r="I171" s="418"/>
      <c r="J171" s="418"/>
      <c r="K171" s="418"/>
      <c r="L171" s="418"/>
      <c r="M171" s="418"/>
      <c r="N171" s="418"/>
      <c r="O171" s="249"/>
      <c r="P171" s="418"/>
      <c r="Q171" s="418"/>
      <c r="R171" s="249">
        <f t="shared" si="34"/>
        <v>0</v>
      </c>
      <c r="S171" s="677">
        <v>300000</v>
      </c>
      <c r="T171" s="249"/>
      <c r="U171" s="249"/>
    </row>
    <row r="172" spans="1:21" s="82" customFormat="1">
      <c r="A172" s="229"/>
      <c r="B172" s="229"/>
      <c r="C172" s="230" t="s">
        <v>593</v>
      </c>
      <c r="D172" s="231"/>
      <c r="E172" s="294" t="s">
        <v>410</v>
      </c>
      <c r="F172" s="413"/>
      <c r="G172" s="413"/>
      <c r="H172" s="672">
        <v>239000</v>
      </c>
      <c r="I172" s="403"/>
      <c r="J172" s="403"/>
      <c r="K172" s="403"/>
      <c r="L172" s="403"/>
      <c r="M172" s="403"/>
      <c r="N172" s="403"/>
      <c r="O172" s="236">
        <v>185250</v>
      </c>
      <c r="P172" s="403"/>
      <c r="Q172" s="403"/>
      <c r="R172" s="236">
        <f t="shared" si="34"/>
        <v>185250</v>
      </c>
      <c r="S172" s="672"/>
      <c r="T172" s="236"/>
      <c r="U172" s="236"/>
    </row>
    <row r="173" spans="1:21" s="82" customFormat="1">
      <c r="A173" s="229"/>
      <c r="B173" s="229"/>
      <c r="C173" s="326" t="s">
        <v>594</v>
      </c>
      <c r="D173" s="231"/>
      <c r="E173" s="306" t="s">
        <v>400</v>
      </c>
      <c r="F173" s="741"/>
      <c r="G173" s="741"/>
      <c r="H173" s="672">
        <v>465000</v>
      </c>
      <c r="I173" s="403"/>
      <c r="J173" s="403"/>
      <c r="K173" s="403"/>
      <c r="L173" s="403"/>
      <c r="M173" s="403"/>
      <c r="N173" s="403"/>
      <c r="O173" s="236">
        <v>15000</v>
      </c>
      <c r="P173" s="403"/>
      <c r="Q173" s="403"/>
      <c r="R173" s="236">
        <f t="shared" si="34"/>
        <v>15000</v>
      </c>
      <c r="S173" s="672">
        <v>225000</v>
      </c>
      <c r="T173" s="236"/>
      <c r="U173" s="236"/>
    </row>
    <row r="174" spans="1:21" s="82" customFormat="1">
      <c r="A174" s="229"/>
      <c r="B174" s="229"/>
      <c r="C174" s="221" t="s">
        <v>301</v>
      </c>
      <c r="D174" s="235" t="s">
        <v>25</v>
      </c>
      <c r="E174" s="296"/>
      <c r="F174" s="397" t="s">
        <v>887</v>
      </c>
      <c r="G174" s="397"/>
      <c r="H174" s="670">
        <f>SUM(H176:H189)</f>
        <v>862200</v>
      </c>
      <c r="I174" s="399"/>
      <c r="J174" s="399"/>
      <c r="K174" s="399"/>
      <c r="L174" s="399"/>
      <c r="M174" s="399"/>
      <c r="N174" s="399"/>
      <c r="O174" s="225">
        <f>SUM(O176:O184)</f>
        <v>405000</v>
      </c>
      <c r="P174" s="399"/>
      <c r="Q174" s="399"/>
      <c r="R174" s="225">
        <f t="shared" si="34"/>
        <v>405000</v>
      </c>
      <c r="S174" s="670">
        <f>SUM(S176:S189)</f>
        <v>390000</v>
      </c>
      <c r="T174" s="225"/>
      <c r="U174" s="225"/>
    </row>
    <row r="175" spans="1:21" s="82" customFormat="1">
      <c r="A175" s="229"/>
      <c r="B175" s="229"/>
      <c r="C175" s="303"/>
      <c r="D175" s="235" t="s">
        <v>26</v>
      </c>
      <c r="E175" s="304"/>
      <c r="F175" s="730"/>
      <c r="G175" s="730"/>
      <c r="H175" s="670"/>
      <c r="I175" s="399"/>
      <c r="J175" s="399"/>
      <c r="K175" s="399"/>
      <c r="L175" s="399"/>
      <c r="M175" s="399"/>
      <c r="N175" s="399"/>
      <c r="O175" s="225">
        <f>SUM(O185:O187)</f>
        <v>0</v>
      </c>
      <c r="P175" s="225">
        <f>SUM(P185:P187)</f>
        <v>30000</v>
      </c>
      <c r="Q175" s="399"/>
      <c r="R175" s="225">
        <f t="shared" si="34"/>
        <v>30000</v>
      </c>
      <c r="S175" s="670"/>
      <c r="T175" s="225"/>
      <c r="U175" s="225"/>
    </row>
    <row r="176" spans="1:21" s="82" customFormat="1">
      <c r="A176" s="229"/>
      <c r="B176" s="229"/>
      <c r="C176" s="230" t="s">
        <v>595</v>
      </c>
      <c r="D176" s="231"/>
      <c r="E176" s="294" t="s">
        <v>404</v>
      </c>
      <c r="F176" s="413"/>
      <c r="G176" s="413"/>
      <c r="H176" s="672">
        <v>55000</v>
      </c>
      <c r="I176" s="403"/>
      <c r="J176" s="403"/>
      <c r="K176" s="403"/>
      <c r="L176" s="403"/>
      <c r="M176" s="403"/>
      <c r="N176" s="403"/>
      <c r="O176" s="236">
        <v>5000</v>
      </c>
      <c r="P176" s="403"/>
      <c r="Q176" s="403"/>
      <c r="R176" s="236">
        <f t="shared" si="34"/>
        <v>5000</v>
      </c>
      <c r="S176" s="672">
        <v>50000</v>
      </c>
      <c r="T176" s="236"/>
      <c r="U176" s="236"/>
    </row>
    <row r="177" spans="1:21" s="82" customFormat="1">
      <c r="A177" s="229"/>
      <c r="B177" s="229"/>
      <c r="C177" s="230" t="s">
        <v>596</v>
      </c>
      <c r="D177" s="231"/>
      <c r="E177" s="294" t="s">
        <v>404</v>
      </c>
      <c r="F177" s="413"/>
      <c r="G177" s="413"/>
      <c r="H177" s="672">
        <v>50000</v>
      </c>
      <c r="I177" s="403"/>
      <c r="J177" s="403"/>
      <c r="K177" s="403"/>
      <c r="L177" s="403"/>
      <c r="M177" s="403"/>
      <c r="N177" s="403"/>
      <c r="O177" s="236">
        <v>50000</v>
      </c>
      <c r="P177" s="403"/>
      <c r="Q177" s="403"/>
      <c r="R177" s="236">
        <f t="shared" si="34"/>
        <v>50000</v>
      </c>
      <c r="S177" s="672"/>
      <c r="T177" s="236"/>
      <c r="U177" s="236"/>
    </row>
    <row r="178" spans="1:21" s="82" customFormat="1" ht="22.5">
      <c r="A178" s="229"/>
      <c r="B178" s="229"/>
      <c r="C178" s="230" t="s">
        <v>599</v>
      </c>
      <c r="D178" s="231"/>
      <c r="E178" s="294" t="s">
        <v>404</v>
      </c>
      <c r="F178" s="413"/>
      <c r="G178" s="413"/>
      <c r="H178" s="672">
        <v>10000</v>
      </c>
      <c r="I178" s="403"/>
      <c r="J178" s="403"/>
      <c r="K178" s="403"/>
      <c r="L178" s="403"/>
      <c r="M178" s="403"/>
      <c r="N178" s="403"/>
      <c r="O178" s="236">
        <v>10000</v>
      </c>
      <c r="P178" s="403"/>
      <c r="Q178" s="403"/>
      <c r="R178" s="236">
        <f t="shared" si="34"/>
        <v>10000</v>
      </c>
      <c r="S178" s="672"/>
      <c r="T178" s="236"/>
      <c r="U178" s="236"/>
    </row>
    <row r="179" spans="1:21" s="82" customFormat="1">
      <c r="A179" s="229"/>
      <c r="B179" s="229"/>
      <c r="C179" s="230" t="s">
        <v>302</v>
      </c>
      <c r="D179" s="231"/>
      <c r="E179" s="294" t="s">
        <v>404</v>
      </c>
      <c r="F179" s="413"/>
      <c r="G179" s="413"/>
      <c r="H179" s="672">
        <v>20000</v>
      </c>
      <c r="I179" s="403"/>
      <c r="J179" s="403"/>
      <c r="K179" s="403"/>
      <c r="L179" s="403"/>
      <c r="M179" s="403"/>
      <c r="N179" s="403"/>
      <c r="O179" s="236">
        <v>20000</v>
      </c>
      <c r="P179" s="403"/>
      <c r="Q179" s="403"/>
      <c r="R179" s="236">
        <f t="shared" si="34"/>
        <v>20000</v>
      </c>
      <c r="S179" s="672"/>
      <c r="T179" s="236"/>
      <c r="U179" s="236"/>
    </row>
    <row r="180" spans="1:21" s="82" customFormat="1" ht="22.5">
      <c r="A180" s="229"/>
      <c r="B180" s="229"/>
      <c r="C180" s="230" t="s">
        <v>450</v>
      </c>
      <c r="D180" s="231"/>
      <c r="E180" s="294" t="s">
        <v>399</v>
      </c>
      <c r="F180" s="413"/>
      <c r="G180" s="413"/>
      <c r="H180" s="672">
        <v>202200</v>
      </c>
      <c r="I180" s="403"/>
      <c r="J180" s="403"/>
      <c r="K180" s="403"/>
      <c r="L180" s="403"/>
      <c r="M180" s="403"/>
      <c r="N180" s="403"/>
      <c r="O180" s="236">
        <v>135000</v>
      </c>
      <c r="P180" s="403"/>
      <c r="Q180" s="403"/>
      <c r="R180" s="236">
        <f t="shared" si="34"/>
        <v>135000</v>
      </c>
      <c r="S180" s="672"/>
      <c r="T180" s="236"/>
      <c r="U180" s="236"/>
    </row>
    <row r="181" spans="1:21" s="82" customFormat="1">
      <c r="A181" s="229"/>
      <c r="B181" s="229"/>
      <c r="C181" s="230" t="s">
        <v>303</v>
      </c>
      <c r="D181" s="231"/>
      <c r="E181" s="294" t="s">
        <v>400</v>
      </c>
      <c r="F181" s="413"/>
      <c r="G181" s="413"/>
      <c r="H181" s="672">
        <v>25000</v>
      </c>
      <c r="I181" s="403"/>
      <c r="J181" s="403"/>
      <c r="K181" s="403"/>
      <c r="L181" s="403"/>
      <c r="M181" s="403"/>
      <c r="N181" s="403"/>
      <c r="O181" s="236">
        <v>25000</v>
      </c>
      <c r="P181" s="403"/>
      <c r="Q181" s="403"/>
      <c r="R181" s="236">
        <f t="shared" si="34"/>
        <v>25000</v>
      </c>
      <c r="S181" s="672"/>
      <c r="T181" s="236"/>
      <c r="U181" s="236"/>
    </row>
    <row r="182" spans="1:21" s="82" customFormat="1">
      <c r="A182" s="229"/>
      <c r="B182" s="229"/>
      <c r="C182" s="230" t="s">
        <v>304</v>
      </c>
      <c r="D182" s="231"/>
      <c r="E182" s="294" t="s">
        <v>400</v>
      </c>
      <c r="F182" s="413"/>
      <c r="G182" s="413"/>
      <c r="H182" s="672">
        <v>100000</v>
      </c>
      <c r="I182" s="403"/>
      <c r="J182" s="403"/>
      <c r="K182" s="403"/>
      <c r="L182" s="403"/>
      <c r="M182" s="403"/>
      <c r="N182" s="403"/>
      <c r="O182" s="236">
        <v>100000</v>
      </c>
      <c r="P182" s="403"/>
      <c r="Q182" s="403"/>
      <c r="R182" s="236">
        <f t="shared" si="34"/>
        <v>100000</v>
      </c>
      <c r="S182" s="672"/>
      <c r="T182" s="236"/>
      <c r="U182" s="236"/>
    </row>
    <row r="183" spans="1:21" s="82" customFormat="1">
      <c r="A183" s="229"/>
      <c r="B183" s="229"/>
      <c r="C183" s="230" t="s">
        <v>305</v>
      </c>
      <c r="D183" s="231"/>
      <c r="E183" s="294" t="s">
        <v>408</v>
      </c>
      <c r="F183" s="413"/>
      <c r="G183" s="413"/>
      <c r="H183" s="672">
        <v>25000</v>
      </c>
      <c r="I183" s="403"/>
      <c r="J183" s="403"/>
      <c r="K183" s="403"/>
      <c r="L183" s="403"/>
      <c r="M183" s="403"/>
      <c r="N183" s="403"/>
      <c r="O183" s="236">
        <v>25000</v>
      </c>
      <c r="P183" s="403"/>
      <c r="Q183" s="403"/>
      <c r="R183" s="236">
        <f t="shared" si="34"/>
        <v>25000</v>
      </c>
      <c r="S183" s="672"/>
      <c r="T183" s="236"/>
      <c r="U183" s="236"/>
    </row>
    <row r="184" spans="1:21" s="82" customFormat="1">
      <c r="A184" s="229"/>
      <c r="B184" s="229"/>
      <c r="C184" s="230" t="s">
        <v>330</v>
      </c>
      <c r="D184" s="231"/>
      <c r="E184" s="294" t="s">
        <v>408</v>
      </c>
      <c r="F184" s="413"/>
      <c r="G184" s="413"/>
      <c r="H184" s="672">
        <v>35000</v>
      </c>
      <c r="I184" s="403"/>
      <c r="J184" s="403"/>
      <c r="K184" s="403"/>
      <c r="L184" s="403"/>
      <c r="M184" s="403"/>
      <c r="N184" s="403"/>
      <c r="O184" s="236">
        <v>35000</v>
      </c>
      <c r="P184" s="403"/>
      <c r="Q184" s="403"/>
      <c r="R184" s="236">
        <f t="shared" si="34"/>
        <v>35000</v>
      </c>
      <c r="S184" s="672"/>
      <c r="T184" s="236"/>
      <c r="U184" s="236"/>
    </row>
    <row r="185" spans="1:21" s="82" customFormat="1">
      <c r="A185" s="229"/>
      <c r="B185" s="229"/>
      <c r="C185" s="758" t="s">
        <v>795</v>
      </c>
      <c r="D185" s="400"/>
      <c r="E185" s="414"/>
      <c r="F185" s="413"/>
      <c r="G185" s="413"/>
      <c r="H185" s="686"/>
      <c r="I185" s="403"/>
      <c r="J185" s="403"/>
      <c r="K185" s="403"/>
      <c r="L185" s="403"/>
      <c r="M185" s="403"/>
      <c r="N185" s="403"/>
      <c r="O185" s="403"/>
      <c r="P185" s="403">
        <v>13000</v>
      </c>
      <c r="Q185" s="403"/>
      <c r="R185" s="403">
        <f t="shared" si="34"/>
        <v>13000</v>
      </c>
      <c r="S185" s="686"/>
      <c r="T185" s="403"/>
      <c r="U185" s="403"/>
    </row>
    <row r="186" spans="1:21" s="82" customFormat="1">
      <c r="A186" s="229"/>
      <c r="B186" s="229"/>
      <c r="C186" s="413" t="s">
        <v>793</v>
      </c>
      <c r="D186" s="400"/>
      <c r="E186" s="414"/>
      <c r="F186" s="413"/>
      <c r="G186" s="413"/>
      <c r="H186" s="686"/>
      <c r="I186" s="403"/>
      <c r="J186" s="403"/>
      <c r="K186" s="403"/>
      <c r="L186" s="403"/>
      <c r="M186" s="403"/>
      <c r="N186" s="403"/>
      <c r="O186" s="403"/>
      <c r="P186" s="403">
        <v>5000</v>
      </c>
      <c r="Q186" s="403"/>
      <c r="R186" s="403">
        <f t="shared" si="34"/>
        <v>5000</v>
      </c>
      <c r="S186" s="686"/>
      <c r="T186" s="403"/>
      <c r="U186" s="403"/>
    </row>
    <row r="187" spans="1:21" s="82" customFormat="1" ht="22.5">
      <c r="A187" s="229"/>
      <c r="B187" s="229"/>
      <c r="C187" s="413" t="s">
        <v>794</v>
      </c>
      <c r="D187" s="400"/>
      <c r="E187" s="414"/>
      <c r="F187" s="413"/>
      <c r="G187" s="413"/>
      <c r="H187" s="686"/>
      <c r="I187" s="403"/>
      <c r="J187" s="403"/>
      <c r="K187" s="403"/>
      <c r="L187" s="403"/>
      <c r="M187" s="403"/>
      <c r="N187" s="403"/>
      <c r="O187" s="403"/>
      <c r="P187" s="403">
        <v>12000</v>
      </c>
      <c r="Q187" s="403"/>
      <c r="R187" s="403">
        <f t="shared" si="34"/>
        <v>12000</v>
      </c>
      <c r="S187" s="686"/>
      <c r="T187" s="403"/>
      <c r="U187" s="403"/>
    </row>
    <row r="188" spans="1:21" s="82" customFormat="1">
      <c r="A188" s="229"/>
      <c r="B188" s="229"/>
      <c r="C188" s="326" t="s">
        <v>597</v>
      </c>
      <c r="D188" s="231"/>
      <c r="E188" s="306" t="s">
        <v>400</v>
      </c>
      <c r="F188" s="741"/>
      <c r="G188" s="741"/>
      <c r="H188" s="672">
        <v>140000</v>
      </c>
      <c r="I188" s="403"/>
      <c r="J188" s="403"/>
      <c r="K188" s="403"/>
      <c r="L188" s="403"/>
      <c r="M188" s="403"/>
      <c r="N188" s="403"/>
      <c r="O188" s="236"/>
      <c r="P188" s="403"/>
      <c r="Q188" s="403"/>
      <c r="R188" s="236">
        <f t="shared" si="34"/>
        <v>0</v>
      </c>
      <c r="S188" s="672">
        <v>140000</v>
      </c>
      <c r="T188" s="236"/>
      <c r="U188" s="236"/>
    </row>
    <row r="189" spans="1:21" s="82" customFormat="1">
      <c r="A189" s="229"/>
      <c r="B189" s="229"/>
      <c r="C189" s="327" t="s">
        <v>598</v>
      </c>
      <c r="D189" s="231"/>
      <c r="E189" s="328" t="s">
        <v>408</v>
      </c>
      <c r="F189" s="742"/>
      <c r="G189" s="742"/>
      <c r="H189" s="672">
        <v>200000</v>
      </c>
      <c r="I189" s="403"/>
      <c r="J189" s="403"/>
      <c r="K189" s="403"/>
      <c r="L189" s="403"/>
      <c r="M189" s="403"/>
      <c r="N189" s="403"/>
      <c r="O189" s="236"/>
      <c r="P189" s="403"/>
      <c r="Q189" s="403"/>
      <c r="R189" s="236">
        <f t="shared" si="34"/>
        <v>0</v>
      </c>
      <c r="S189" s="672">
        <v>200000</v>
      </c>
      <c r="T189" s="236"/>
      <c r="U189" s="236"/>
    </row>
    <row r="190" spans="1:21" s="82" customFormat="1" ht="25.5">
      <c r="A190" s="229"/>
      <c r="B190" s="229"/>
      <c r="C190" s="221" t="s">
        <v>600</v>
      </c>
      <c r="D190" s="235" t="s">
        <v>25</v>
      </c>
      <c r="E190" s="296"/>
      <c r="F190" s="397" t="s">
        <v>887</v>
      </c>
      <c r="G190" s="397"/>
      <c r="H190" s="670">
        <f>SUM(H191:H193)</f>
        <v>205000</v>
      </c>
      <c r="I190" s="399"/>
      <c r="J190" s="399"/>
      <c r="K190" s="399"/>
      <c r="L190" s="399"/>
      <c r="M190" s="399"/>
      <c r="N190" s="399"/>
      <c r="O190" s="225">
        <f>SUM(O191:O193)</f>
        <v>70000</v>
      </c>
      <c r="P190" s="399"/>
      <c r="Q190" s="399"/>
      <c r="R190" s="225">
        <f t="shared" si="34"/>
        <v>70000</v>
      </c>
      <c r="S190" s="670">
        <f>SUM(S191:S193)</f>
        <v>135000</v>
      </c>
      <c r="T190" s="225"/>
      <c r="U190" s="225"/>
    </row>
    <row r="191" spans="1:21" s="82" customFormat="1">
      <c r="A191" s="229"/>
      <c r="B191" s="229"/>
      <c r="C191" s="329" t="s">
        <v>451</v>
      </c>
      <c r="D191" s="235"/>
      <c r="E191" s="306" t="s">
        <v>394</v>
      </c>
      <c r="F191" s="743"/>
      <c r="G191" s="743"/>
      <c r="H191" s="672">
        <v>70000</v>
      </c>
      <c r="I191" s="403"/>
      <c r="J191" s="403"/>
      <c r="K191" s="403"/>
      <c r="L191" s="403"/>
      <c r="M191" s="403"/>
      <c r="N191" s="403"/>
      <c r="O191" s="236">
        <v>70000</v>
      </c>
      <c r="P191" s="403"/>
      <c r="Q191" s="403"/>
      <c r="R191" s="236">
        <f t="shared" si="34"/>
        <v>70000</v>
      </c>
      <c r="S191" s="672"/>
      <c r="T191" s="236"/>
      <c r="U191" s="236"/>
    </row>
    <row r="192" spans="1:21" s="82" customFormat="1" ht="22.5">
      <c r="A192" s="229"/>
      <c r="B192" s="229"/>
      <c r="C192" s="704" t="s">
        <v>601</v>
      </c>
      <c r="D192" s="235"/>
      <c r="E192" s="328" t="s">
        <v>399</v>
      </c>
      <c r="F192" s="744"/>
      <c r="G192" s="744"/>
      <c r="H192" s="672">
        <v>100000</v>
      </c>
      <c r="I192" s="403"/>
      <c r="J192" s="403"/>
      <c r="K192" s="403"/>
      <c r="L192" s="403"/>
      <c r="M192" s="403"/>
      <c r="N192" s="403"/>
      <c r="O192" s="236"/>
      <c r="P192" s="403"/>
      <c r="Q192" s="403"/>
      <c r="R192" s="236">
        <f t="shared" si="34"/>
        <v>0</v>
      </c>
      <c r="S192" s="672">
        <v>100000</v>
      </c>
      <c r="T192" s="236"/>
      <c r="U192" s="236"/>
    </row>
    <row r="193" spans="1:21" s="82" customFormat="1">
      <c r="A193" s="229"/>
      <c r="B193" s="229"/>
      <c r="C193" s="704" t="s">
        <v>602</v>
      </c>
      <c r="D193" s="235"/>
      <c r="E193" s="328" t="s">
        <v>452</v>
      </c>
      <c r="F193" s="744"/>
      <c r="G193" s="744"/>
      <c r="H193" s="672">
        <v>35000</v>
      </c>
      <c r="I193" s="403"/>
      <c r="J193" s="403"/>
      <c r="K193" s="403"/>
      <c r="L193" s="403"/>
      <c r="M193" s="403"/>
      <c r="N193" s="403"/>
      <c r="O193" s="236"/>
      <c r="P193" s="403"/>
      <c r="Q193" s="403"/>
      <c r="R193" s="236">
        <f t="shared" si="34"/>
        <v>0</v>
      </c>
      <c r="S193" s="672">
        <v>35000</v>
      </c>
      <c r="T193" s="236"/>
      <c r="U193" s="236"/>
    </row>
    <row r="194" spans="1:21" s="82" customFormat="1">
      <c r="A194" s="229"/>
      <c r="B194" s="229"/>
      <c r="C194" s="303" t="s">
        <v>307</v>
      </c>
      <c r="D194" s="219" t="s">
        <v>25</v>
      </c>
      <c r="E194" s="304"/>
      <c r="F194" s="730"/>
      <c r="G194" s="730"/>
      <c r="H194" s="670">
        <f>SUM(H195:H199)</f>
        <v>1777625</v>
      </c>
      <c r="I194" s="399"/>
      <c r="J194" s="399"/>
      <c r="K194" s="399"/>
      <c r="L194" s="399"/>
      <c r="M194" s="399"/>
      <c r="N194" s="399"/>
      <c r="O194" s="225">
        <f>SUM(O195:O199)</f>
        <v>250000</v>
      </c>
      <c r="P194" s="399"/>
      <c r="Q194" s="399"/>
      <c r="R194" s="225">
        <f t="shared" si="34"/>
        <v>250000</v>
      </c>
      <c r="S194" s="670">
        <f>SUM(S195:S199)</f>
        <v>1450000</v>
      </c>
      <c r="T194" s="225"/>
      <c r="U194" s="225"/>
    </row>
    <row r="195" spans="1:21" s="82" customFormat="1">
      <c r="A195" s="229"/>
      <c r="B195" s="229"/>
      <c r="C195" s="234" t="s">
        <v>453</v>
      </c>
      <c r="D195" s="231"/>
      <c r="E195" s="294" t="s">
        <v>410</v>
      </c>
      <c r="F195" s="398" t="s">
        <v>881</v>
      </c>
      <c r="G195" s="706"/>
      <c r="H195" s="672">
        <v>185825</v>
      </c>
      <c r="I195" s="403"/>
      <c r="J195" s="403"/>
      <c r="K195" s="403"/>
      <c r="L195" s="403"/>
      <c r="M195" s="403"/>
      <c r="N195" s="403"/>
      <c r="O195" s="236">
        <v>150000</v>
      </c>
      <c r="P195" s="403"/>
      <c r="Q195" s="403"/>
      <c r="R195" s="236">
        <f t="shared" si="34"/>
        <v>150000</v>
      </c>
      <c r="S195" s="672"/>
      <c r="T195" s="236"/>
      <c r="U195" s="236"/>
    </row>
    <row r="196" spans="1:21" s="82" customFormat="1">
      <c r="A196" s="229"/>
      <c r="B196" s="229"/>
      <c r="C196" s="230" t="s">
        <v>308</v>
      </c>
      <c r="D196" s="231"/>
      <c r="E196" s="294" t="s">
        <v>405</v>
      </c>
      <c r="F196" s="398" t="s">
        <v>881</v>
      </c>
      <c r="G196" s="413"/>
      <c r="H196" s="672">
        <v>100000</v>
      </c>
      <c r="I196" s="403"/>
      <c r="J196" s="403"/>
      <c r="K196" s="403"/>
      <c r="L196" s="403"/>
      <c r="M196" s="403"/>
      <c r="N196" s="403"/>
      <c r="O196" s="236">
        <v>100000</v>
      </c>
      <c r="P196" s="403"/>
      <c r="Q196" s="403"/>
      <c r="R196" s="236">
        <f t="shared" si="34"/>
        <v>100000</v>
      </c>
      <c r="S196" s="672"/>
      <c r="T196" s="236"/>
      <c r="U196" s="236"/>
    </row>
    <row r="197" spans="1:21" s="82" customFormat="1" ht="22.5">
      <c r="A197" s="229"/>
      <c r="B197" s="229"/>
      <c r="C197" s="326" t="s">
        <v>454</v>
      </c>
      <c r="D197" s="231"/>
      <c r="E197" s="306" t="s">
        <v>394</v>
      </c>
      <c r="F197" s="849" t="s">
        <v>882</v>
      </c>
      <c r="G197" s="741"/>
      <c r="H197" s="672">
        <v>1041800</v>
      </c>
      <c r="I197" s="403"/>
      <c r="J197" s="403"/>
      <c r="K197" s="403"/>
      <c r="L197" s="403"/>
      <c r="M197" s="403"/>
      <c r="N197" s="403"/>
      <c r="O197" s="236"/>
      <c r="P197" s="403"/>
      <c r="Q197" s="403"/>
      <c r="R197" s="236">
        <f t="shared" ref="R197:R260" si="42">SUM(O197:Q197)</f>
        <v>0</v>
      </c>
      <c r="S197" s="672">
        <v>1000000</v>
      </c>
      <c r="T197" s="236"/>
      <c r="U197" s="236"/>
    </row>
    <row r="198" spans="1:21" s="82" customFormat="1" ht="13.5" customHeight="1">
      <c r="A198" s="229"/>
      <c r="B198" s="229"/>
      <c r="C198" s="326" t="s">
        <v>456</v>
      </c>
      <c r="D198" s="231"/>
      <c r="E198" s="306" t="s">
        <v>394</v>
      </c>
      <c r="F198" s="849" t="s">
        <v>887</v>
      </c>
      <c r="G198" s="741"/>
      <c r="H198" s="672">
        <v>300000</v>
      </c>
      <c r="I198" s="403"/>
      <c r="J198" s="403"/>
      <c r="K198" s="403"/>
      <c r="L198" s="403"/>
      <c r="M198" s="403"/>
      <c r="N198" s="403"/>
      <c r="O198" s="236"/>
      <c r="P198" s="403"/>
      <c r="Q198" s="403"/>
      <c r="R198" s="236">
        <f t="shared" si="42"/>
        <v>0</v>
      </c>
      <c r="S198" s="672">
        <v>300000</v>
      </c>
      <c r="T198" s="236"/>
      <c r="U198" s="236"/>
    </row>
    <row r="199" spans="1:21" s="82" customFormat="1">
      <c r="A199" s="229"/>
      <c r="B199" s="229"/>
      <c r="C199" s="326" t="s">
        <v>455</v>
      </c>
      <c r="D199" s="231"/>
      <c r="E199" s="306" t="s">
        <v>410</v>
      </c>
      <c r="F199" s="849" t="s">
        <v>887</v>
      </c>
      <c r="G199" s="741"/>
      <c r="H199" s="672">
        <v>150000</v>
      </c>
      <c r="I199" s="403"/>
      <c r="J199" s="403"/>
      <c r="K199" s="403"/>
      <c r="L199" s="403"/>
      <c r="M199" s="403"/>
      <c r="N199" s="403"/>
      <c r="O199" s="236"/>
      <c r="P199" s="403"/>
      <c r="Q199" s="403"/>
      <c r="R199" s="236">
        <f t="shared" si="42"/>
        <v>0</v>
      </c>
      <c r="S199" s="672">
        <v>150000</v>
      </c>
      <c r="T199" s="236"/>
      <c r="U199" s="236"/>
    </row>
    <row r="200" spans="1:21" s="82" customFormat="1">
      <c r="A200" s="229"/>
      <c r="B200" s="229"/>
      <c r="C200" s="221" t="s">
        <v>297</v>
      </c>
      <c r="D200" s="219" t="s">
        <v>25</v>
      </c>
      <c r="E200" s="296" t="s">
        <v>394</v>
      </c>
      <c r="F200" s="397" t="s">
        <v>881</v>
      </c>
      <c r="G200" s="397"/>
      <c r="H200" s="670">
        <v>6832409</v>
      </c>
      <c r="I200" s="399"/>
      <c r="J200" s="399"/>
      <c r="K200" s="399"/>
      <c r="L200" s="399"/>
      <c r="M200" s="399"/>
      <c r="N200" s="399"/>
      <c r="O200" s="225">
        <v>2116595</v>
      </c>
      <c r="P200" s="399"/>
      <c r="Q200" s="399"/>
      <c r="R200" s="225">
        <f t="shared" si="42"/>
        <v>2116595</v>
      </c>
      <c r="S200" s="672"/>
      <c r="T200" s="225"/>
      <c r="U200" s="225"/>
    </row>
    <row r="201" spans="1:21" s="82" customFormat="1">
      <c r="A201" s="229"/>
      <c r="B201" s="229"/>
      <c r="C201" s="221" t="s">
        <v>309</v>
      </c>
      <c r="D201" s="235" t="s">
        <v>25</v>
      </c>
      <c r="E201" s="296" t="s">
        <v>405</v>
      </c>
      <c r="F201" s="397" t="s">
        <v>886</v>
      </c>
      <c r="G201" s="397"/>
      <c r="H201" s="684">
        <f t="shared" ref="H201" si="43">S201</f>
        <v>400000</v>
      </c>
      <c r="I201" s="653"/>
      <c r="J201" s="653"/>
      <c r="K201" s="653"/>
      <c r="L201" s="653"/>
      <c r="M201" s="653"/>
      <c r="N201" s="653"/>
      <c r="O201" s="388">
        <v>450000</v>
      </c>
      <c r="P201" s="653"/>
      <c r="Q201" s="653"/>
      <c r="R201" s="388">
        <f t="shared" si="42"/>
        <v>450000</v>
      </c>
      <c r="S201" s="684">
        <f>250000+150000</f>
        <v>400000</v>
      </c>
      <c r="T201" s="388"/>
      <c r="U201" s="388"/>
    </row>
    <row r="202" spans="1:21" s="82" customFormat="1">
      <c r="A202" s="229"/>
      <c r="B202" s="229"/>
      <c r="C202" s="705" t="s">
        <v>603</v>
      </c>
      <c r="D202" s="231"/>
      <c r="E202" s="294" t="s">
        <v>394</v>
      </c>
      <c r="F202" s="745"/>
      <c r="G202" s="745"/>
      <c r="H202" s="685">
        <v>300000</v>
      </c>
      <c r="I202" s="654"/>
      <c r="J202" s="654"/>
      <c r="K202" s="654"/>
      <c r="L202" s="654"/>
      <c r="M202" s="654"/>
      <c r="N202" s="654"/>
      <c r="O202" s="401">
        <v>150000</v>
      </c>
      <c r="P202" s="654"/>
      <c r="Q202" s="654"/>
      <c r="R202" s="401">
        <f t="shared" si="42"/>
        <v>150000</v>
      </c>
      <c r="S202" s="685">
        <v>150000</v>
      </c>
      <c r="T202" s="401"/>
      <c r="U202" s="401"/>
    </row>
    <row r="203" spans="1:21" s="82" customFormat="1">
      <c r="A203" s="229"/>
      <c r="B203" s="229"/>
      <c r="C203" s="221" t="s">
        <v>298</v>
      </c>
      <c r="D203" s="219" t="s">
        <v>25</v>
      </c>
      <c r="E203" s="296" t="s">
        <v>405</v>
      </c>
      <c r="F203" s="397" t="s">
        <v>886</v>
      </c>
      <c r="G203" s="397"/>
      <c r="H203" s="682">
        <f>SUM(H204:H216)</f>
        <v>5437800</v>
      </c>
      <c r="I203" s="651"/>
      <c r="J203" s="651"/>
      <c r="K203" s="651"/>
      <c r="L203" s="651"/>
      <c r="M203" s="651"/>
      <c r="N203" s="651"/>
      <c r="O203" s="224">
        <f>SUM(O204:O216)</f>
        <v>1602700</v>
      </c>
      <c r="P203" s="651"/>
      <c r="Q203" s="651"/>
      <c r="R203" s="224">
        <f t="shared" si="42"/>
        <v>1602700</v>
      </c>
      <c r="S203" s="682">
        <f>SUM(S204:S216)</f>
        <v>1308000</v>
      </c>
      <c r="T203" s="224"/>
      <c r="U203" s="224"/>
    </row>
    <row r="204" spans="1:21" s="82" customFormat="1">
      <c r="A204" s="229"/>
      <c r="B204" s="229"/>
      <c r="C204" s="413" t="s">
        <v>457</v>
      </c>
      <c r="D204" s="400"/>
      <c r="E204" s="414" t="s">
        <v>404</v>
      </c>
      <c r="F204" s="413"/>
      <c r="G204" s="413"/>
      <c r="H204" s="686">
        <v>20000</v>
      </c>
      <c r="I204" s="403"/>
      <c r="J204" s="403"/>
      <c r="K204" s="403"/>
      <c r="L204" s="403"/>
      <c r="M204" s="403"/>
      <c r="N204" s="403"/>
      <c r="O204" s="403">
        <v>20000</v>
      </c>
      <c r="P204" s="403"/>
      <c r="Q204" s="403"/>
      <c r="R204" s="403">
        <f t="shared" si="42"/>
        <v>20000</v>
      </c>
      <c r="S204" s="686"/>
      <c r="T204" s="403"/>
      <c r="U204" s="403"/>
    </row>
    <row r="205" spans="1:21" s="82" customFormat="1">
      <c r="A205" s="229"/>
      <c r="B205" s="229"/>
      <c r="C205" s="413" t="s">
        <v>458</v>
      </c>
      <c r="D205" s="400"/>
      <c r="E205" s="414" t="s">
        <v>404</v>
      </c>
      <c r="F205" s="413"/>
      <c r="G205" s="413"/>
      <c r="H205" s="686">
        <v>150000</v>
      </c>
      <c r="I205" s="403"/>
      <c r="J205" s="403"/>
      <c r="K205" s="403"/>
      <c r="L205" s="403"/>
      <c r="M205" s="403"/>
      <c r="N205" s="403"/>
      <c r="O205" s="403">
        <v>150000</v>
      </c>
      <c r="P205" s="403"/>
      <c r="Q205" s="403"/>
      <c r="R205" s="403">
        <f t="shared" si="42"/>
        <v>150000</v>
      </c>
      <c r="S205" s="686"/>
      <c r="T205" s="403"/>
      <c r="U205" s="403"/>
    </row>
    <row r="206" spans="1:21" s="82" customFormat="1">
      <c r="A206" s="229"/>
      <c r="B206" s="229"/>
      <c r="C206" s="413" t="s">
        <v>299</v>
      </c>
      <c r="D206" s="400"/>
      <c r="E206" s="414" t="s">
        <v>394</v>
      </c>
      <c r="F206" s="413"/>
      <c r="G206" s="413"/>
      <c r="H206" s="686">
        <v>264100</v>
      </c>
      <c r="I206" s="403"/>
      <c r="J206" s="403"/>
      <c r="K206" s="403"/>
      <c r="L206" s="403"/>
      <c r="M206" s="403"/>
      <c r="N206" s="403"/>
      <c r="O206" s="403">
        <v>150000</v>
      </c>
      <c r="P206" s="403"/>
      <c r="Q206" s="403"/>
      <c r="R206" s="403">
        <f t="shared" si="42"/>
        <v>150000</v>
      </c>
      <c r="S206" s="686"/>
      <c r="T206" s="403"/>
      <c r="U206" s="403"/>
    </row>
    <row r="207" spans="1:21" s="82" customFormat="1">
      <c r="A207" s="229"/>
      <c r="B207" s="229"/>
      <c r="C207" s="413" t="s">
        <v>306</v>
      </c>
      <c r="D207" s="400"/>
      <c r="E207" s="414" t="s">
        <v>394</v>
      </c>
      <c r="F207" s="413"/>
      <c r="G207" s="413"/>
      <c r="H207" s="686">
        <v>80400</v>
      </c>
      <c r="I207" s="403"/>
      <c r="J207" s="403"/>
      <c r="K207" s="403"/>
      <c r="L207" s="403"/>
      <c r="M207" s="403"/>
      <c r="N207" s="403"/>
      <c r="O207" s="403">
        <v>80400</v>
      </c>
      <c r="P207" s="403"/>
      <c r="Q207" s="403"/>
      <c r="R207" s="403">
        <f t="shared" si="42"/>
        <v>80400</v>
      </c>
      <c r="S207" s="686"/>
      <c r="T207" s="403"/>
      <c r="U207" s="403"/>
    </row>
    <row r="208" spans="1:21" s="82" customFormat="1" ht="33.75">
      <c r="A208" s="229"/>
      <c r="B208" s="229"/>
      <c r="C208" s="413" t="s">
        <v>459</v>
      </c>
      <c r="D208" s="400"/>
      <c r="E208" s="414" t="s">
        <v>402</v>
      </c>
      <c r="F208" s="413"/>
      <c r="G208" s="413"/>
      <c r="H208" s="686">
        <v>474000</v>
      </c>
      <c r="I208" s="403"/>
      <c r="J208" s="403"/>
      <c r="K208" s="403"/>
      <c r="L208" s="403"/>
      <c r="M208" s="403"/>
      <c r="N208" s="403"/>
      <c r="O208" s="403">
        <v>474000</v>
      </c>
      <c r="P208" s="403"/>
      <c r="Q208" s="403"/>
      <c r="R208" s="403">
        <f t="shared" si="42"/>
        <v>474000</v>
      </c>
      <c r="S208" s="686"/>
      <c r="T208" s="403"/>
      <c r="U208" s="403"/>
    </row>
    <row r="209" spans="1:21" s="82" customFormat="1">
      <c r="A209" s="229"/>
      <c r="B209" s="229"/>
      <c r="C209" s="413" t="s">
        <v>460</v>
      </c>
      <c r="D209" s="400"/>
      <c r="E209" s="414" t="s">
        <v>404</v>
      </c>
      <c r="F209" s="413"/>
      <c r="G209" s="413"/>
      <c r="H209" s="686">
        <v>20000</v>
      </c>
      <c r="I209" s="403"/>
      <c r="J209" s="403"/>
      <c r="K209" s="403"/>
      <c r="L209" s="403"/>
      <c r="M209" s="403"/>
      <c r="N209" s="403"/>
      <c r="O209" s="403"/>
      <c r="P209" s="403"/>
      <c r="Q209" s="403"/>
      <c r="R209" s="403">
        <f t="shared" si="42"/>
        <v>0</v>
      </c>
      <c r="S209" s="686">
        <v>20000</v>
      </c>
      <c r="T209" s="403"/>
      <c r="U209" s="403"/>
    </row>
    <row r="210" spans="1:21" s="82" customFormat="1">
      <c r="A210" s="229"/>
      <c r="B210" s="229"/>
      <c r="C210" s="413" t="s">
        <v>604</v>
      </c>
      <c r="D210" s="400"/>
      <c r="E210" s="414" t="s">
        <v>404</v>
      </c>
      <c r="F210" s="413"/>
      <c r="G210" s="413"/>
      <c r="H210" s="686">
        <v>5000</v>
      </c>
      <c r="I210" s="403"/>
      <c r="J210" s="403"/>
      <c r="K210" s="403"/>
      <c r="L210" s="403"/>
      <c r="M210" s="403"/>
      <c r="N210" s="403"/>
      <c r="O210" s="403"/>
      <c r="P210" s="403"/>
      <c r="Q210" s="403"/>
      <c r="R210" s="403">
        <f t="shared" si="42"/>
        <v>0</v>
      </c>
      <c r="S210" s="686">
        <v>5000</v>
      </c>
      <c r="T210" s="403"/>
      <c r="U210" s="403"/>
    </row>
    <row r="211" spans="1:21" s="82" customFormat="1">
      <c r="A211" s="229"/>
      <c r="B211" s="229"/>
      <c r="C211" s="413" t="s">
        <v>605</v>
      </c>
      <c r="D211" s="400"/>
      <c r="E211" s="414" t="s">
        <v>399</v>
      </c>
      <c r="F211" s="413"/>
      <c r="G211" s="413"/>
      <c r="H211" s="686">
        <v>933000</v>
      </c>
      <c r="I211" s="403"/>
      <c r="J211" s="403"/>
      <c r="K211" s="403"/>
      <c r="L211" s="403"/>
      <c r="M211" s="403"/>
      <c r="N211" s="403"/>
      <c r="O211" s="403"/>
      <c r="P211" s="403"/>
      <c r="Q211" s="403"/>
      <c r="R211" s="403">
        <f t="shared" si="42"/>
        <v>0</v>
      </c>
      <c r="S211" s="686">
        <v>933000</v>
      </c>
      <c r="T211" s="403"/>
      <c r="U211" s="403"/>
    </row>
    <row r="212" spans="1:21" s="82" customFormat="1" ht="22.5">
      <c r="A212" s="229"/>
      <c r="B212" s="229"/>
      <c r="C212" s="413" t="s">
        <v>606</v>
      </c>
      <c r="D212" s="400"/>
      <c r="E212" s="414" t="s">
        <v>400</v>
      </c>
      <c r="F212" s="413"/>
      <c r="G212" s="413"/>
      <c r="H212" s="686">
        <v>1775000</v>
      </c>
      <c r="I212" s="403"/>
      <c r="J212" s="403"/>
      <c r="K212" s="403"/>
      <c r="L212" s="403"/>
      <c r="M212" s="403"/>
      <c r="N212" s="403"/>
      <c r="O212" s="403">
        <v>375000</v>
      </c>
      <c r="P212" s="403"/>
      <c r="Q212" s="403"/>
      <c r="R212" s="403">
        <f t="shared" si="42"/>
        <v>375000</v>
      </c>
      <c r="S212" s="686">
        <v>350000</v>
      </c>
      <c r="T212" s="403"/>
      <c r="U212" s="403"/>
    </row>
    <row r="213" spans="1:21" s="82" customFormat="1">
      <c r="A213" s="229"/>
      <c r="B213" s="229"/>
      <c r="C213" s="413" t="s">
        <v>461</v>
      </c>
      <c r="D213" s="400"/>
      <c r="E213" s="414" t="s">
        <v>400</v>
      </c>
      <c r="F213" s="413"/>
      <c r="G213" s="413"/>
      <c r="H213" s="686">
        <v>160000</v>
      </c>
      <c r="I213" s="403"/>
      <c r="J213" s="403"/>
      <c r="K213" s="403"/>
      <c r="L213" s="403"/>
      <c r="M213" s="403"/>
      <c r="N213" s="403"/>
      <c r="O213" s="403">
        <v>160000</v>
      </c>
      <c r="P213" s="403"/>
      <c r="Q213" s="403"/>
      <c r="R213" s="403">
        <f t="shared" si="42"/>
        <v>160000</v>
      </c>
      <c r="S213" s="686"/>
      <c r="T213" s="403"/>
      <c r="U213" s="403"/>
    </row>
    <row r="214" spans="1:21" s="82" customFormat="1">
      <c r="A214" s="229"/>
      <c r="B214" s="229"/>
      <c r="C214" s="413" t="s">
        <v>462</v>
      </c>
      <c r="D214" s="400"/>
      <c r="E214" s="414" t="s">
        <v>408</v>
      </c>
      <c r="F214" s="413"/>
      <c r="G214" s="413"/>
      <c r="H214" s="686">
        <v>525000</v>
      </c>
      <c r="I214" s="403"/>
      <c r="J214" s="403"/>
      <c r="K214" s="403"/>
      <c r="L214" s="403"/>
      <c r="M214" s="403"/>
      <c r="N214" s="403"/>
      <c r="O214" s="403">
        <v>90000</v>
      </c>
      <c r="P214" s="403"/>
      <c r="Q214" s="403"/>
      <c r="R214" s="403">
        <f t="shared" si="42"/>
        <v>90000</v>
      </c>
      <c r="S214" s="686"/>
      <c r="T214" s="403"/>
      <c r="U214" s="403"/>
    </row>
    <row r="215" spans="1:21" s="82" customFormat="1">
      <c r="A215" s="229"/>
      <c r="B215" s="229"/>
      <c r="C215" s="413" t="s">
        <v>463</v>
      </c>
      <c r="D215" s="400"/>
      <c r="E215" s="414" t="s">
        <v>408</v>
      </c>
      <c r="F215" s="413"/>
      <c r="G215" s="413"/>
      <c r="H215" s="686">
        <v>831300</v>
      </c>
      <c r="I215" s="403"/>
      <c r="J215" s="403"/>
      <c r="K215" s="403"/>
      <c r="L215" s="403"/>
      <c r="M215" s="403"/>
      <c r="N215" s="403"/>
      <c r="O215" s="403">
        <v>53300</v>
      </c>
      <c r="P215" s="403"/>
      <c r="Q215" s="403"/>
      <c r="R215" s="403">
        <f t="shared" si="42"/>
        <v>53300</v>
      </c>
      <c r="S215" s="686"/>
      <c r="T215" s="403"/>
      <c r="U215" s="403"/>
    </row>
    <row r="216" spans="1:21" s="82" customFormat="1">
      <c r="A216" s="229"/>
      <c r="B216" s="229"/>
      <c r="C216" s="413" t="s">
        <v>464</v>
      </c>
      <c r="D216" s="400"/>
      <c r="E216" s="414" t="s">
        <v>408</v>
      </c>
      <c r="F216" s="413"/>
      <c r="G216" s="413"/>
      <c r="H216" s="686">
        <v>200000</v>
      </c>
      <c r="I216" s="403"/>
      <c r="J216" s="403"/>
      <c r="K216" s="403"/>
      <c r="L216" s="403"/>
      <c r="M216" s="403"/>
      <c r="N216" s="403"/>
      <c r="O216" s="403">
        <v>50000</v>
      </c>
      <c r="P216" s="403"/>
      <c r="Q216" s="403"/>
      <c r="R216" s="403">
        <f t="shared" si="42"/>
        <v>50000</v>
      </c>
      <c r="S216" s="686"/>
      <c r="T216" s="403"/>
      <c r="U216" s="403"/>
    </row>
    <row r="217" spans="1:21" s="82" customFormat="1">
      <c r="A217" s="229"/>
      <c r="B217" s="229"/>
      <c r="C217" s="290" t="s">
        <v>465</v>
      </c>
      <c r="D217" s="330" t="s">
        <v>113</v>
      </c>
      <c r="E217" s="291"/>
      <c r="F217" s="405"/>
      <c r="G217" s="405"/>
      <c r="H217" s="669">
        <f>SUM(H223:H230)</f>
        <v>3069500</v>
      </c>
      <c r="I217" s="646"/>
      <c r="J217" s="646"/>
      <c r="K217" s="646"/>
      <c r="L217" s="646"/>
      <c r="M217" s="646"/>
      <c r="N217" s="646"/>
      <c r="O217" s="293">
        <f>SUM(O223:O230)+O218</f>
        <v>400000</v>
      </c>
      <c r="P217" s="646"/>
      <c r="Q217" s="646"/>
      <c r="R217" s="293">
        <f t="shared" si="42"/>
        <v>400000</v>
      </c>
      <c r="S217" s="669">
        <f>SUM(S223:S230)</f>
        <v>436500</v>
      </c>
      <c r="T217" s="293"/>
      <c r="U217" s="293"/>
    </row>
    <row r="218" spans="1:21" s="82" customFormat="1" ht="25.5">
      <c r="A218" s="395">
        <f>R218</f>
        <v>400000</v>
      </c>
      <c r="B218" s="395">
        <f>S218</f>
        <v>436500</v>
      </c>
      <c r="C218" s="228" t="s">
        <v>632</v>
      </c>
      <c r="D218" s="331" t="s">
        <v>113</v>
      </c>
      <c r="E218" s="228"/>
      <c r="F218" s="746" t="s">
        <v>887</v>
      </c>
      <c r="G218" s="746"/>
      <c r="H218" s="677">
        <f>SUM(H223:H230)</f>
        <v>3069500</v>
      </c>
      <c r="I218" s="418"/>
      <c r="J218" s="418"/>
      <c r="K218" s="418"/>
      <c r="L218" s="418"/>
      <c r="M218" s="418"/>
      <c r="N218" s="418"/>
      <c r="O218" s="332">
        <f>SUM(O219:O220)</f>
        <v>400000</v>
      </c>
      <c r="P218" s="776"/>
      <c r="Q218" s="418"/>
      <c r="R218" s="332">
        <f t="shared" si="42"/>
        <v>400000</v>
      </c>
      <c r="S218" s="677">
        <f>SUM(S223:S230)</f>
        <v>436500</v>
      </c>
      <c r="T218" s="332"/>
      <c r="U218" s="332"/>
    </row>
    <row r="219" spans="1:21" s="82" customFormat="1">
      <c r="A219" s="229"/>
      <c r="B219" s="229"/>
      <c r="C219" s="297" t="s">
        <v>110</v>
      </c>
      <c r="D219" s="231" t="s">
        <v>25</v>
      </c>
      <c r="E219" s="296"/>
      <c r="F219" s="726"/>
      <c r="G219" s="726"/>
      <c r="H219" s="687">
        <v>769500</v>
      </c>
      <c r="I219" s="655"/>
      <c r="J219" s="655"/>
      <c r="K219" s="655"/>
      <c r="L219" s="655"/>
      <c r="M219" s="655"/>
      <c r="N219" s="655"/>
      <c r="O219" s="227">
        <v>100000</v>
      </c>
      <c r="P219" s="655"/>
      <c r="Q219" s="655"/>
      <c r="R219" s="227">
        <f t="shared" si="42"/>
        <v>100000</v>
      </c>
      <c r="S219" s="677">
        <f>S218-S220</f>
        <v>136500</v>
      </c>
      <c r="T219" s="227"/>
      <c r="U219" s="227"/>
    </row>
    <row r="220" spans="1:21" s="82" customFormat="1">
      <c r="A220" s="229"/>
      <c r="B220" s="229"/>
      <c r="C220" s="221"/>
      <c r="D220" s="231" t="s">
        <v>26</v>
      </c>
      <c r="E220" s="296"/>
      <c r="F220" s="397"/>
      <c r="G220" s="397"/>
      <c r="H220" s="687">
        <v>2300000</v>
      </c>
      <c r="I220" s="655"/>
      <c r="J220" s="655"/>
      <c r="K220" s="655"/>
      <c r="L220" s="655"/>
      <c r="M220" s="655"/>
      <c r="N220" s="655"/>
      <c r="O220" s="227">
        <v>300000</v>
      </c>
      <c r="P220" s="655"/>
      <c r="Q220" s="655"/>
      <c r="R220" s="227">
        <f t="shared" si="42"/>
        <v>300000</v>
      </c>
      <c r="S220" s="677">
        <v>300000</v>
      </c>
      <c r="T220" s="227"/>
      <c r="U220" s="227"/>
    </row>
    <row r="221" spans="1:21" s="82" customFormat="1">
      <c r="A221" s="229"/>
      <c r="B221" s="229"/>
      <c r="C221" s="237" t="s">
        <v>310</v>
      </c>
      <c r="D221" s="231"/>
      <c r="E221" s="333" t="s">
        <v>408</v>
      </c>
      <c r="F221" s="747"/>
      <c r="G221" s="747"/>
      <c r="H221" s="688">
        <v>250432</v>
      </c>
      <c r="I221" s="656"/>
      <c r="J221" s="656"/>
      <c r="K221" s="656"/>
      <c r="L221" s="656"/>
      <c r="M221" s="656"/>
      <c r="N221" s="656"/>
      <c r="O221" s="238">
        <v>250000</v>
      </c>
      <c r="P221" s="656"/>
      <c r="Q221" s="656"/>
      <c r="R221" s="238">
        <f t="shared" si="42"/>
        <v>250000</v>
      </c>
      <c r="S221" s="677"/>
      <c r="T221" s="238"/>
      <c r="U221" s="238"/>
    </row>
    <row r="222" spans="1:21" s="82" customFormat="1">
      <c r="A222" s="229"/>
      <c r="B222" s="229"/>
      <c r="C222" s="334" t="s">
        <v>311</v>
      </c>
      <c r="D222" s="231"/>
      <c r="E222" s="335" t="s">
        <v>402</v>
      </c>
      <c r="F222" s="748"/>
      <c r="G222" s="748"/>
      <c r="H222" s="688">
        <v>799161</v>
      </c>
      <c r="I222" s="656"/>
      <c r="J222" s="656"/>
      <c r="K222" s="656"/>
      <c r="L222" s="656"/>
      <c r="M222" s="656"/>
      <c r="N222" s="656"/>
      <c r="O222" s="238">
        <v>150000</v>
      </c>
      <c r="P222" s="656"/>
      <c r="Q222" s="656"/>
      <c r="R222" s="238">
        <f t="shared" si="42"/>
        <v>150000</v>
      </c>
      <c r="S222" s="677"/>
      <c r="T222" s="238"/>
      <c r="U222" s="238"/>
    </row>
    <row r="223" spans="1:21" s="82" customFormat="1">
      <c r="A223" s="229"/>
      <c r="B223" s="229"/>
      <c r="C223" s="326" t="s">
        <v>466</v>
      </c>
      <c r="D223" s="231"/>
      <c r="E223" s="306" t="s">
        <v>405</v>
      </c>
      <c r="F223" s="741"/>
      <c r="G223" s="741"/>
      <c r="H223" s="672">
        <v>189500</v>
      </c>
      <c r="I223" s="403"/>
      <c r="J223" s="403"/>
      <c r="K223" s="403"/>
      <c r="L223" s="403"/>
      <c r="M223" s="403"/>
      <c r="N223" s="403"/>
      <c r="O223" s="236"/>
      <c r="P223" s="403"/>
      <c r="Q223" s="403"/>
      <c r="R223" s="236">
        <f t="shared" si="42"/>
        <v>0</v>
      </c>
      <c r="S223" s="672">
        <v>36500</v>
      </c>
      <c r="T223" s="236"/>
      <c r="U223" s="236"/>
    </row>
    <row r="224" spans="1:21" s="82" customFormat="1">
      <c r="A224" s="229"/>
      <c r="B224" s="229"/>
      <c r="C224" s="326" t="s">
        <v>467</v>
      </c>
      <c r="D224" s="231"/>
      <c r="E224" s="306" t="s">
        <v>399</v>
      </c>
      <c r="F224" s="741"/>
      <c r="G224" s="741"/>
      <c r="H224" s="672">
        <v>890000</v>
      </c>
      <c r="I224" s="403"/>
      <c r="J224" s="403"/>
      <c r="K224" s="403"/>
      <c r="L224" s="403"/>
      <c r="M224" s="403"/>
      <c r="N224" s="403"/>
      <c r="O224" s="236"/>
      <c r="P224" s="403"/>
      <c r="Q224" s="403"/>
      <c r="R224" s="236">
        <f t="shared" si="42"/>
        <v>0</v>
      </c>
      <c r="S224" s="672">
        <v>40000</v>
      </c>
      <c r="T224" s="236"/>
      <c r="U224" s="236"/>
    </row>
    <row r="225" spans="1:21" s="82" customFormat="1">
      <c r="A225" s="229"/>
      <c r="B225" s="229"/>
      <c r="C225" s="326" t="s">
        <v>607</v>
      </c>
      <c r="D225" s="231"/>
      <c r="E225" s="306" t="s">
        <v>404</v>
      </c>
      <c r="F225" s="741"/>
      <c r="G225" s="741"/>
      <c r="H225" s="672">
        <v>950000</v>
      </c>
      <c r="I225" s="403"/>
      <c r="J225" s="403"/>
      <c r="K225" s="403"/>
      <c r="L225" s="403"/>
      <c r="M225" s="403"/>
      <c r="N225" s="403"/>
      <c r="O225" s="236"/>
      <c r="P225" s="403"/>
      <c r="Q225" s="403"/>
      <c r="R225" s="236">
        <f t="shared" si="42"/>
        <v>0</v>
      </c>
      <c r="S225" s="672"/>
      <c r="T225" s="236"/>
      <c r="U225" s="236"/>
    </row>
    <row r="226" spans="1:21" s="82" customFormat="1" ht="22.5">
      <c r="A226" s="229"/>
      <c r="B226" s="229"/>
      <c r="C226" s="326" t="s">
        <v>468</v>
      </c>
      <c r="D226" s="231"/>
      <c r="E226" s="306" t="s">
        <v>405</v>
      </c>
      <c r="F226" s="741"/>
      <c r="G226" s="741"/>
      <c r="H226" s="672">
        <v>120000</v>
      </c>
      <c r="I226" s="403"/>
      <c r="J226" s="403"/>
      <c r="K226" s="403"/>
      <c r="L226" s="403"/>
      <c r="M226" s="403"/>
      <c r="N226" s="403"/>
      <c r="O226" s="236"/>
      <c r="P226" s="403"/>
      <c r="Q226" s="403"/>
      <c r="R226" s="236">
        <f t="shared" si="42"/>
        <v>0</v>
      </c>
      <c r="S226" s="672">
        <v>120000</v>
      </c>
      <c r="T226" s="236"/>
      <c r="U226" s="236"/>
    </row>
    <row r="227" spans="1:21" s="82" customFormat="1" ht="33.75">
      <c r="A227" s="229"/>
      <c r="B227" s="229"/>
      <c r="C227" s="326" t="s">
        <v>469</v>
      </c>
      <c r="D227" s="231"/>
      <c r="E227" s="306" t="s">
        <v>405</v>
      </c>
      <c r="F227" s="741"/>
      <c r="G227" s="741"/>
      <c r="H227" s="672">
        <v>400000</v>
      </c>
      <c r="I227" s="403"/>
      <c r="J227" s="403"/>
      <c r="K227" s="403"/>
      <c r="L227" s="403"/>
      <c r="M227" s="403"/>
      <c r="N227" s="403"/>
      <c r="O227" s="236"/>
      <c r="P227" s="403"/>
      <c r="Q227" s="403"/>
      <c r="R227" s="236">
        <f t="shared" si="42"/>
        <v>0</v>
      </c>
      <c r="S227" s="672">
        <v>100000</v>
      </c>
      <c r="T227" s="236"/>
      <c r="U227" s="236"/>
    </row>
    <row r="228" spans="1:21" s="82" customFormat="1" ht="22.5">
      <c r="A228" s="229"/>
      <c r="B228" s="229"/>
      <c r="C228" s="326" t="s">
        <v>470</v>
      </c>
      <c r="D228" s="231"/>
      <c r="E228" s="306" t="s">
        <v>405</v>
      </c>
      <c r="F228" s="741"/>
      <c r="G228" s="741"/>
      <c r="H228" s="672">
        <v>100000</v>
      </c>
      <c r="I228" s="403"/>
      <c r="J228" s="403"/>
      <c r="K228" s="403"/>
      <c r="L228" s="403"/>
      <c r="M228" s="403"/>
      <c r="N228" s="403"/>
      <c r="O228" s="236"/>
      <c r="P228" s="403"/>
      <c r="Q228" s="403"/>
      <c r="R228" s="236">
        <f t="shared" si="42"/>
        <v>0</v>
      </c>
      <c r="S228" s="672">
        <v>40000</v>
      </c>
      <c r="T228" s="236"/>
      <c r="U228" s="236"/>
    </row>
    <row r="229" spans="1:21" s="82" customFormat="1">
      <c r="A229" s="229"/>
      <c r="B229" s="229"/>
      <c r="C229" s="326" t="s">
        <v>471</v>
      </c>
      <c r="D229" s="231"/>
      <c r="E229" s="306" t="s">
        <v>405</v>
      </c>
      <c r="F229" s="741"/>
      <c r="G229" s="741"/>
      <c r="H229" s="672">
        <v>20000</v>
      </c>
      <c r="I229" s="403"/>
      <c r="J229" s="403"/>
      <c r="K229" s="403"/>
      <c r="L229" s="403"/>
      <c r="M229" s="403"/>
      <c r="N229" s="403"/>
      <c r="O229" s="236"/>
      <c r="P229" s="403"/>
      <c r="Q229" s="403"/>
      <c r="R229" s="236">
        <f t="shared" si="42"/>
        <v>0</v>
      </c>
      <c r="S229" s="672"/>
      <c r="T229" s="236"/>
      <c r="U229" s="236"/>
    </row>
    <row r="230" spans="1:21" s="82" customFormat="1" ht="22.5">
      <c r="A230" s="229"/>
      <c r="B230" s="229"/>
      <c r="C230" s="326" t="s">
        <v>472</v>
      </c>
      <c r="D230" s="231"/>
      <c r="E230" s="306" t="s">
        <v>405</v>
      </c>
      <c r="F230" s="741"/>
      <c r="G230" s="741"/>
      <c r="H230" s="672">
        <v>400000</v>
      </c>
      <c r="I230" s="403"/>
      <c r="J230" s="403"/>
      <c r="K230" s="403"/>
      <c r="L230" s="403"/>
      <c r="M230" s="403"/>
      <c r="N230" s="403"/>
      <c r="O230" s="236"/>
      <c r="P230" s="403"/>
      <c r="Q230" s="403"/>
      <c r="R230" s="236">
        <f t="shared" si="42"/>
        <v>0</v>
      </c>
      <c r="S230" s="672">
        <v>100000</v>
      </c>
      <c r="T230" s="236"/>
      <c r="U230" s="236"/>
    </row>
    <row r="231" spans="1:21" s="82" customFormat="1">
      <c r="A231" s="229"/>
      <c r="B231" s="229"/>
      <c r="C231" s="217" t="s">
        <v>355</v>
      </c>
      <c r="D231" s="218" t="s">
        <v>113</v>
      </c>
      <c r="E231" s="288"/>
      <c r="F231" s="723"/>
      <c r="G231" s="723"/>
      <c r="H231" s="668">
        <f>H232+H235</f>
        <v>296950</v>
      </c>
      <c r="I231" s="645"/>
      <c r="J231" s="645"/>
      <c r="K231" s="645"/>
      <c r="L231" s="645"/>
      <c r="M231" s="645"/>
      <c r="N231" s="645"/>
      <c r="O231" s="226">
        <f t="shared" ref="O231" si="44">O232+O235</f>
        <v>21000</v>
      </c>
      <c r="P231" s="645"/>
      <c r="Q231" s="645"/>
      <c r="R231" s="226">
        <f t="shared" si="42"/>
        <v>21000</v>
      </c>
      <c r="S231" s="668">
        <f t="shared" ref="S231" si="45">S232+S235</f>
        <v>70000</v>
      </c>
      <c r="T231" s="226"/>
      <c r="U231" s="226"/>
    </row>
    <row r="232" spans="1:21" s="82" customFormat="1" ht="38.25">
      <c r="A232" s="229"/>
      <c r="B232" s="229"/>
      <c r="C232" s="320" t="s">
        <v>340</v>
      </c>
      <c r="D232" s="219" t="s">
        <v>113</v>
      </c>
      <c r="E232" s="321" t="s">
        <v>405</v>
      </c>
      <c r="F232" s="737" t="s">
        <v>881</v>
      </c>
      <c r="G232" s="737"/>
      <c r="H232" s="687">
        <f>H233+H234</f>
        <v>126950</v>
      </c>
      <c r="I232" s="655"/>
      <c r="J232" s="655"/>
      <c r="K232" s="655"/>
      <c r="L232" s="655"/>
      <c r="M232" s="655"/>
      <c r="N232" s="655"/>
      <c r="O232" s="227">
        <f>O233+O234</f>
        <v>21000</v>
      </c>
      <c r="P232" s="655"/>
      <c r="Q232" s="655"/>
      <c r="R232" s="227">
        <f t="shared" si="42"/>
        <v>21000</v>
      </c>
      <c r="S232" s="687"/>
      <c r="T232" s="227"/>
      <c r="U232" s="227"/>
    </row>
    <row r="233" spans="1:21" s="82" customFormat="1">
      <c r="A233" s="229"/>
      <c r="B233" s="229"/>
      <c r="C233" s="297" t="s">
        <v>110</v>
      </c>
      <c r="D233" s="219" t="s">
        <v>25</v>
      </c>
      <c r="E233" s="296"/>
      <c r="F233" s="726"/>
      <c r="G233" s="726"/>
      <c r="H233" s="687">
        <v>19043</v>
      </c>
      <c r="I233" s="655"/>
      <c r="J233" s="655"/>
      <c r="K233" s="655"/>
      <c r="L233" s="655"/>
      <c r="M233" s="655"/>
      <c r="N233" s="655"/>
      <c r="O233" s="227">
        <v>3150</v>
      </c>
      <c r="P233" s="655"/>
      <c r="Q233" s="655"/>
      <c r="R233" s="227">
        <f t="shared" si="42"/>
        <v>3150</v>
      </c>
      <c r="S233" s="687"/>
      <c r="T233" s="227"/>
      <c r="U233" s="227"/>
    </row>
    <row r="234" spans="1:21" s="82" customFormat="1">
      <c r="A234" s="229"/>
      <c r="B234" s="229"/>
      <c r="C234" s="221"/>
      <c r="D234" s="219" t="s">
        <v>111</v>
      </c>
      <c r="E234" s="296"/>
      <c r="F234" s="397"/>
      <c r="G234" s="397"/>
      <c r="H234" s="687">
        <v>107907</v>
      </c>
      <c r="I234" s="655"/>
      <c r="J234" s="655"/>
      <c r="K234" s="655"/>
      <c r="L234" s="655"/>
      <c r="M234" s="655"/>
      <c r="N234" s="655"/>
      <c r="O234" s="227">
        <v>17850</v>
      </c>
      <c r="P234" s="655"/>
      <c r="Q234" s="655"/>
      <c r="R234" s="227">
        <f t="shared" si="42"/>
        <v>17850</v>
      </c>
      <c r="S234" s="687"/>
      <c r="T234" s="227"/>
      <c r="U234" s="227"/>
    </row>
    <row r="235" spans="1:21" s="82" customFormat="1" ht="38.25">
      <c r="A235" s="229"/>
      <c r="B235" s="229"/>
      <c r="C235" s="274" t="s">
        <v>552</v>
      </c>
      <c r="D235" s="273" t="s">
        <v>113</v>
      </c>
      <c r="E235" s="296"/>
      <c r="F235" s="749" t="s">
        <v>887</v>
      </c>
      <c r="G235" s="749"/>
      <c r="H235" s="689">
        <f>H236+H237</f>
        <v>170000</v>
      </c>
      <c r="I235" s="657"/>
      <c r="J235" s="657"/>
      <c r="K235" s="657"/>
      <c r="L235" s="657"/>
      <c r="M235" s="657"/>
      <c r="N235" s="657"/>
      <c r="O235" s="392"/>
      <c r="P235" s="657"/>
      <c r="Q235" s="657"/>
      <c r="R235" s="392">
        <f t="shared" si="42"/>
        <v>0</v>
      </c>
      <c r="S235" s="689">
        <v>70000</v>
      </c>
      <c r="T235" s="392"/>
      <c r="U235" s="392"/>
    </row>
    <row r="236" spans="1:21" s="82" customFormat="1">
      <c r="A236" s="229"/>
      <c r="B236" s="229"/>
      <c r="C236" s="275" t="s">
        <v>110</v>
      </c>
      <c r="D236" s="273" t="s">
        <v>25</v>
      </c>
      <c r="E236" s="296"/>
      <c r="F236" s="275"/>
      <c r="G236" s="275"/>
      <c r="H236" s="687">
        <v>26520</v>
      </c>
      <c r="I236" s="655"/>
      <c r="J236" s="655"/>
      <c r="K236" s="655"/>
      <c r="L236" s="655"/>
      <c r="M236" s="655"/>
      <c r="N236" s="655"/>
      <c r="O236" s="227"/>
      <c r="P236" s="655"/>
      <c r="Q236" s="655"/>
      <c r="R236" s="227">
        <f t="shared" si="42"/>
        <v>0</v>
      </c>
      <c r="S236" s="687">
        <f t="shared" ref="S236" si="46">S235*0.156</f>
        <v>10920</v>
      </c>
      <c r="T236" s="227"/>
      <c r="U236" s="227"/>
    </row>
    <row r="237" spans="1:21" s="82" customFormat="1">
      <c r="A237" s="229"/>
      <c r="B237" s="229"/>
      <c r="C237" s="391"/>
      <c r="D237" s="273" t="s">
        <v>111</v>
      </c>
      <c r="E237" s="296"/>
      <c r="F237" s="391"/>
      <c r="G237" s="391"/>
      <c r="H237" s="687">
        <v>143480</v>
      </c>
      <c r="I237" s="655"/>
      <c r="J237" s="655"/>
      <c r="K237" s="655"/>
      <c r="L237" s="655"/>
      <c r="M237" s="655"/>
      <c r="N237" s="655"/>
      <c r="O237" s="227"/>
      <c r="P237" s="655"/>
      <c r="Q237" s="655"/>
      <c r="R237" s="227">
        <f t="shared" si="42"/>
        <v>0</v>
      </c>
      <c r="S237" s="687">
        <f t="shared" ref="S237" si="47">S235-S236</f>
        <v>59080</v>
      </c>
      <c r="T237" s="227"/>
      <c r="U237" s="227"/>
    </row>
    <row r="238" spans="1:21" s="82" customFormat="1" ht="13.5" customHeight="1">
      <c r="A238" s="229"/>
      <c r="B238" s="229"/>
      <c r="C238" s="217" t="s">
        <v>353</v>
      </c>
      <c r="D238" s="289" t="s">
        <v>113</v>
      </c>
      <c r="E238" s="288"/>
      <c r="F238" s="723"/>
      <c r="G238" s="723"/>
      <c r="H238" s="668">
        <f>H240+H258+H270+H278+H281+H290+H291+H292+H262+H275</f>
        <v>182445003.11000001</v>
      </c>
      <c r="I238" s="645"/>
      <c r="J238" s="645"/>
      <c r="K238" s="645"/>
      <c r="L238" s="645"/>
      <c r="M238" s="645"/>
      <c r="N238" s="645"/>
      <c r="O238" s="226">
        <f>O240+O258+O270+O278+O281+O290+O291+O292+O262+O275</f>
        <v>53389608</v>
      </c>
      <c r="P238" s="645"/>
      <c r="Q238" s="645"/>
      <c r="R238" s="226">
        <f t="shared" si="42"/>
        <v>53389608</v>
      </c>
      <c r="S238" s="668">
        <f>S240+S258+S270+S278+S281+S290+S291+S292+S262+S275</f>
        <v>41797764</v>
      </c>
      <c r="T238" s="226"/>
      <c r="U238" s="226"/>
    </row>
    <row r="239" spans="1:21" s="82" customFormat="1">
      <c r="A239" s="229"/>
      <c r="B239" s="229"/>
      <c r="C239" s="336" t="s">
        <v>572</v>
      </c>
      <c r="D239" s="338"/>
      <c r="E239" s="337"/>
      <c r="F239" s="750" t="s">
        <v>886</v>
      </c>
      <c r="G239" s="750"/>
      <c r="H239" s="690">
        <f>H240+H258</f>
        <v>161168497.11000001</v>
      </c>
      <c r="I239" s="658"/>
      <c r="J239" s="658"/>
      <c r="K239" s="658"/>
      <c r="L239" s="658"/>
      <c r="M239" s="658"/>
      <c r="N239" s="658"/>
      <c r="O239" s="339">
        <f>O240+O258</f>
        <v>48613907</v>
      </c>
      <c r="P239" s="658"/>
      <c r="Q239" s="658"/>
      <c r="R239" s="339">
        <f t="shared" si="42"/>
        <v>48613907</v>
      </c>
      <c r="S239" s="690">
        <f>S240+S258</f>
        <v>33610755</v>
      </c>
      <c r="T239" s="339"/>
      <c r="U239" s="339"/>
    </row>
    <row r="240" spans="1:21" s="82" customFormat="1">
      <c r="A240" s="229"/>
      <c r="B240" s="229"/>
      <c r="C240" s="431" t="s">
        <v>571</v>
      </c>
      <c r="D240" s="338" t="s">
        <v>113</v>
      </c>
      <c r="E240" s="337"/>
      <c r="F240" s="751"/>
      <c r="G240" s="751"/>
      <c r="H240" s="690">
        <f>H241+H242+H243</f>
        <v>84642343.109999999</v>
      </c>
      <c r="I240" s="658"/>
      <c r="J240" s="658"/>
      <c r="K240" s="658"/>
      <c r="L240" s="658"/>
      <c r="M240" s="658"/>
      <c r="N240" s="658"/>
      <c r="O240" s="339">
        <f t="shared" ref="O240" si="48">O241+O242+O243</f>
        <v>27353907</v>
      </c>
      <c r="P240" s="658"/>
      <c r="Q240" s="658"/>
      <c r="R240" s="339">
        <f t="shared" si="42"/>
        <v>27353907</v>
      </c>
      <c r="S240" s="690">
        <f t="shared" ref="S240" si="49">S241+S242+S243</f>
        <v>14474941</v>
      </c>
      <c r="T240" s="339"/>
      <c r="U240" s="339"/>
    </row>
    <row r="241" spans="1:21" s="82" customFormat="1">
      <c r="A241" s="229"/>
      <c r="B241" s="229"/>
      <c r="C241" s="317" t="s">
        <v>110</v>
      </c>
      <c r="D241" s="231" t="s">
        <v>25</v>
      </c>
      <c r="E241" s="296"/>
      <c r="F241" s="728"/>
      <c r="G241" s="728"/>
      <c r="H241" s="682">
        <f>H244+H246+H249+H256+H253</f>
        <v>25401577</v>
      </c>
      <c r="I241" s="651"/>
      <c r="J241" s="651"/>
      <c r="K241" s="651"/>
      <c r="L241" s="651"/>
      <c r="M241" s="651"/>
      <c r="N241" s="651"/>
      <c r="O241" s="224">
        <f>O244+O246+O249+O256+O253</f>
        <v>3701455</v>
      </c>
      <c r="P241" s="651"/>
      <c r="Q241" s="651"/>
      <c r="R241" s="224">
        <f t="shared" si="42"/>
        <v>3701455</v>
      </c>
      <c r="S241" s="682">
        <f>S244+S246+S249+S256+S253</f>
        <v>2235026</v>
      </c>
      <c r="T241" s="224"/>
      <c r="U241" s="224"/>
    </row>
    <row r="242" spans="1:21" s="82" customFormat="1">
      <c r="A242" s="229"/>
      <c r="B242" s="229"/>
      <c r="C242" s="317"/>
      <c r="D242" s="231" t="s">
        <v>134</v>
      </c>
      <c r="E242" s="296"/>
      <c r="F242" s="728"/>
      <c r="G242" s="728"/>
      <c r="H242" s="682">
        <f>H250</f>
        <v>2850096</v>
      </c>
      <c r="I242" s="651"/>
      <c r="J242" s="651"/>
      <c r="K242" s="651"/>
      <c r="L242" s="651"/>
      <c r="M242" s="651"/>
      <c r="N242" s="651"/>
      <c r="O242" s="224">
        <f>O250</f>
        <v>1513854</v>
      </c>
      <c r="P242" s="651"/>
      <c r="Q242" s="651"/>
      <c r="R242" s="224">
        <f t="shared" si="42"/>
        <v>1513854</v>
      </c>
      <c r="S242" s="682">
        <f>S250</f>
        <v>819402</v>
      </c>
      <c r="T242" s="224"/>
      <c r="U242" s="224"/>
    </row>
    <row r="243" spans="1:21" s="82" customFormat="1">
      <c r="A243" s="229"/>
      <c r="B243" s="229"/>
      <c r="C243" s="317"/>
      <c r="D243" s="231" t="s">
        <v>111</v>
      </c>
      <c r="E243" s="296"/>
      <c r="F243" s="728"/>
      <c r="G243" s="728"/>
      <c r="H243" s="682">
        <f>H247+H251+H257+H254</f>
        <v>56390670.109999999</v>
      </c>
      <c r="I243" s="651"/>
      <c r="J243" s="651"/>
      <c r="K243" s="651"/>
      <c r="L243" s="651"/>
      <c r="M243" s="651"/>
      <c r="N243" s="651"/>
      <c r="O243" s="224">
        <f>O247+O251+O257+O254</f>
        <v>22138598</v>
      </c>
      <c r="P243" s="651"/>
      <c r="Q243" s="651"/>
      <c r="R243" s="224">
        <f t="shared" si="42"/>
        <v>22138598</v>
      </c>
      <c r="S243" s="682">
        <f>S247+S251+S257+S254</f>
        <v>11420513</v>
      </c>
      <c r="T243" s="224"/>
      <c r="U243" s="224"/>
    </row>
    <row r="244" spans="1:21" s="82" customFormat="1">
      <c r="A244" s="229"/>
      <c r="B244" s="229"/>
      <c r="C244" s="295" t="s">
        <v>473</v>
      </c>
      <c r="D244" s="231" t="s">
        <v>25</v>
      </c>
      <c r="E244" s="294"/>
      <c r="F244" s="724"/>
      <c r="G244" s="724"/>
      <c r="H244" s="677">
        <v>2838253</v>
      </c>
      <c r="I244" s="418"/>
      <c r="J244" s="418"/>
      <c r="K244" s="418"/>
      <c r="L244" s="418"/>
      <c r="M244" s="418"/>
      <c r="N244" s="418"/>
      <c r="O244" s="224"/>
      <c r="P244" s="651"/>
      <c r="Q244" s="418"/>
      <c r="R244" s="224">
        <f t="shared" si="42"/>
        <v>0</v>
      </c>
      <c r="S244" s="682"/>
      <c r="T244" s="224"/>
      <c r="U244" s="224"/>
    </row>
    <row r="245" spans="1:21" s="82" customFormat="1" ht="22.5">
      <c r="A245" s="229"/>
      <c r="B245" s="229"/>
      <c r="C245" s="233" t="s">
        <v>474</v>
      </c>
      <c r="D245" s="231" t="s">
        <v>113</v>
      </c>
      <c r="E245" s="294" t="s">
        <v>404</v>
      </c>
      <c r="F245" s="725"/>
      <c r="G245" s="725"/>
      <c r="H245" s="672">
        <f t="shared" ref="H245:S245" si="50">H246+H247</f>
        <v>21814800</v>
      </c>
      <c r="I245" s="403"/>
      <c r="J245" s="403"/>
      <c r="K245" s="403"/>
      <c r="L245" s="403"/>
      <c r="M245" s="403"/>
      <c r="N245" s="403"/>
      <c r="O245" s="236">
        <f t="shared" ref="O245" si="51">O246+O247</f>
        <v>10134800</v>
      </c>
      <c r="P245" s="403"/>
      <c r="Q245" s="403"/>
      <c r="R245" s="236">
        <f t="shared" si="42"/>
        <v>10134800</v>
      </c>
      <c r="S245" s="672">
        <f t="shared" si="50"/>
        <v>0</v>
      </c>
      <c r="T245" s="236"/>
      <c r="U245" s="236"/>
    </row>
    <row r="246" spans="1:21" s="82" customFormat="1">
      <c r="A246" s="229"/>
      <c r="B246" s="229"/>
      <c r="C246" s="233" t="s">
        <v>110</v>
      </c>
      <c r="D246" s="231" t="s">
        <v>25</v>
      </c>
      <c r="E246" s="294"/>
      <c r="F246" s="725"/>
      <c r="G246" s="725"/>
      <c r="H246" s="672">
        <v>4045380</v>
      </c>
      <c r="I246" s="403"/>
      <c r="J246" s="403"/>
      <c r="K246" s="403"/>
      <c r="L246" s="403"/>
      <c r="M246" s="403"/>
      <c r="N246" s="403"/>
      <c r="O246" s="236">
        <v>1976775</v>
      </c>
      <c r="P246" s="403"/>
      <c r="Q246" s="403"/>
      <c r="R246" s="236">
        <f t="shared" si="42"/>
        <v>1976775</v>
      </c>
      <c r="S246" s="672"/>
      <c r="T246" s="236"/>
      <c r="U246" s="236"/>
    </row>
    <row r="247" spans="1:21" s="82" customFormat="1">
      <c r="A247" s="229"/>
      <c r="B247" s="229"/>
      <c r="C247" s="233"/>
      <c r="D247" s="231" t="s">
        <v>111</v>
      </c>
      <c r="E247" s="294"/>
      <c r="F247" s="725"/>
      <c r="G247" s="725"/>
      <c r="H247" s="672">
        <v>17769420</v>
      </c>
      <c r="I247" s="403"/>
      <c r="J247" s="403"/>
      <c r="K247" s="403"/>
      <c r="L247" s="403"/>
      <c r="M247" s="403"/>
      <c r="N247" s="403"/>
      <c r="O247" s="236">
        <v>8158025</v>
      </c>
      <c r="P247" s="403"/>
      <c r="Q247" s="403"/>
      <c r="R247" s="236">
        <f t="shared" si="42"/>
        <v>8158025</v>
      </c>
      <c r="S247" s="672"/>
      <c r="T247" s="236"/>
      <c r="U247" s="236"/>
    </row>
    <row r="248" spans="1:21" s="82" customFormat="1">
      <c r="A248" s="229"/>
      <c r="B248" s="229"/>
      <c r="C248" s="233" t="s">
        <v>263</v>
      </c>
      <c r="D248" s="231" t="s">
        <v>113</v>
      </c>
      <c r="E248" s="294" t="s">
        <v>394</v>
      </c>
      <c r="F248" s="725"/>
      <c r="G248" s="725"/>
      <c r="H248" s="672">
        <f>H249+H250+H251</f>
        <v>40950172</v>
      </c>
      <c r="I248" s="403"/>
      <c r="J248" s="403"/>
      <c r="K248" s="403"/>
      <c r="L248" s="403"/>
      <c r="M248" s="403"/>
      <c r="N248" s="403"/>
      <c r="O248" s="236">
        <f>SUM(O249:O251)</f>
        <v>14196532</v>
      </c>
      <c r="P248" s="403"/>
      <c r="Q248" s="403"/>
      <c r="R248" s="236">
        <f t="shared" si="42"/>
        <v>14196532</v>
      </c>
      <c r="S248" s="672">
        <f>S249+S250+S251</f>
        <v>9021941</v>
      </c>
      <c r="T248" s="236"/>
      <c r="U248" s="236"/>
    </row>
    <row r="249" spans="1:21" s="82" customFormat="1">
      <c r="A249" s="229"/>
      <c r="B249" s="229"/>
      <c r="C249" s="233" t="s">
        <v>110</v>
      </c>
      <c r="D249" s="231" t="s">
        <v>25</v>
      </c>
      <c r="E249" s="294"/>
      <c r="F249" s="725"/>
      <c r="G249" s="725"/>
      <c r="H249" s="672">
        <v>13874260</v>
      </c>
      <c r="I249" s="403"/>
      <c r="J249" s="403"/>
      <c r="K249" s="403"/>
      <c r="L249" s="403"/>
      <c r="M249" s="403"/>
      <c r="N249" s="403"/>
      <c r="O249" s="236">
        <v>983314</v>
      </c>
      <c r="P249" s="403"/>
      <c r="Q249" s="403"/>
      <c r="R249" s="236">
        <f t="shared" si="42"/>
        <v>983314</v>
      </c>
      <c r="S249" s="672">
        <v>685926</v>
      </c>
      <c r="T249" s="236"/>
      <c r="U249" s="236"/>
    </row>
    <row r="250" spans="1:21" s="82" customFormat="1">
      <c r="A250" s="229"/>
      <c r="B250" s="229"/>
      <c r="C250" s="233"/>
      <c r="D250" s="231" t="s">
        <v>134</v>
      </c>
      <c r="E250" s="294"/>
      <c r="F250" s="725"/>
      <c r="G250" s="725"/>
      <c r="H250" s="672">
        <v>2850096</v>
      </c>
      <c r="I250" s="403"/>
      <c r="J250" s="403"/>
      <c r="K250" s="403"/>
      <c r="L250" s="403"/>
      <c r="M250" s="403"/>
      <c r="N250" s="403"/>
      <c r="O250" s="236">
        <v>1513854</v>
      </c>
      <c r="P250" s="403"/>
      <c r="Q250" s="403"/>
      <c r="R250" s="236">
        <f t="shared" si="42"/>
        <v>1513854</v>
      </c>
      <c r="S250" s="672">
        <v>819402</v>
      </c>
      <c r="T250" s="236"/>
      <c r="U250" s="236"/>
    </row>
    <row r="251" spans="1:21" s="82" customFormat="1" ht="78.75" customHeight="1">
      <c r="A251" s="229"/>
      <c r="B251" s="229"/>
      <c r="C251" s="233"/>
      <c r="D251" s="231" t="s">
        <v>111</v>
      </c>
      <c r="E251" s="294"/>
      <c r="F251" s="725"/>
      <c r="G251" s="725"/>
      <c r="H251" s="672">
        <v>24225816</v>
      </c>
      <c r="I251" s="403"/>
      <c r="J251" s="403"/>
      <c r="K251" s="403"/>
      <c r="L251" s="403"/>
      <c r="M251" s="403"/>
      <c r="N251" s="403"/>
      <c r="O251" s="236">
        <v>11699364</v>
      </c>
      <c r="P251" s="403"/>
      <c r="Q251" s="403"/>
      <c r="R251" s="236">
        <f t="shared" si="42"/>
        <v>11699364</v>
      </c>
      <c r="S251" s="672">
        <v>7516613</v>
      </c>
      <c r="T251" s="236"/>
      <c r="U251" s="236"/>
    </row>
    <row r="252" spans="1:21" s="82" customFormat="1">
      <c r="A252" s="229"/>
      <c r="B252" s="229"/>
      <c r="C252" s="233" t="s">
        <v>266</v>
      </c>
      <c r="D252" s="231" t="s">
        <v>113</v>
      </c>
      <c r="E252" s="294" t="s">
        <v>394</v>
      </c>
      <c r="F252" s="725"/>
      <c r="G252" s="725"/>
      <c r="H252" s="672">
        <f>H253+H254</f>
        <v>7651200</v>
      </c>
      <c r="I252" s="403"/>
      <c r="J252" s="403"/>
      <c r="K252" s="403"/>
      <c r="L252" s="403"/>
      <c r="M252" s="403"/>
      <c r="N252" s="403"/>
      <c r="O252" s="236">
        <f>SUM(O253:O254)</f>
        <v>1722600</v>
      </c>
      <c r="P252" s="403"/>
      <c r="Q252" s="403"/>
      <c r="R252" s="236">
        <f t="shared" si="42"/>
        <v>1722600</v>
      </c>
      <c r="S252" s="672">
        <f>S253+S254</f>
        <v>760800</v>
      </c>
      <c r="T252" s="236"/>
      <c r="U252" s="236"/>
    </row>
    <row r="253" spans="1:21" s="82" customFormat="1">
      <c r="A253" s="229"/>
      <c r="B253" s="229"/>
      <c r="C253" s="233" t="s">
        <v>110</v>
      </c>
      <c r="D253" s="231" t="s">
        <v>25</v>
      </c>
      <c r="E253" s="294"/>
      <c r="F253" s="725"/>
      <c r="G253" s="725"/>
      <c r="H253" s="672">
        <v>1909365</v>
      </c>
      <c r="I253" s="403"/>
      <c r="J253" s="403"/>
      <c r="K253" s="403"/>
      <c r="L253" s="403"/>
      <c r="M253" s="403"/>
      <c r="N253" s="403"/>
      <c r="O253" s="236">
        <v>287141</v>
      </c>
      <c r="P253" s="403"/>
      <c r="Q253" s="403"/>
      <c r="R253" s="236">
        <f t="shared" si="42"/>
        <v>287141</v>
      </c>
      <c r="S253" s="672">
        <v>760800</v>
      </c>
      <c r="T253" s="236"/>
      <c r="U253" s="236"/>
    </row>
    <row r="254" spans="1:21" s="82" customFormat="1" ht="27" customHeight="1">
      <c r="A254" s="229"/>
      <c r="B254" s="229"/>
      <c r="C254" s="233"/>
      <c r="D254" s="231" t="s">
        <v>111</v>
      </c>
      <c r="E254" s="294"/>
      <c r="F254" s="725"/>
      <c r="G254" s="725"/>
      <c r="H254" s="672">
        <v>5741835</v>
      </c>
      <c r="I254" s="403"/>
      <c r="J254" s="403"/>
      <c r="K254" s="403"/>
      <c r="L254" s="403"/>
      <c r="M254" s="403"/>
      <c r="N254" s="403"/>
      <c r="O254" s="236">
        <v>1435459</v>
      </c>
      <c r="P254" s="403"/>
      <c r="Q254" s="403"/>
      <c r="R254" s="236">
        <f t="shared" si="42"/>
        <v>1435459</v>
      </c>
      <c r="S254" s="672"/>
      <c r="T254" s="236"/>
      <c r="U254" s="236"/>
    </row>
    <row r="255" spans="1:21" s="82" customFormat="1" ht="22.5">
      <c r="A255" s="229"/>
      <c r="B255" s="229"/>
      <c r="C255" s="233" t="s">
        <v>475</v>
      </c>
      <c r="D255" s="231" t="s">
        <v>113</v>
      </c>
      <c r="E255" s="294" t="s">
        <v>394</v>
      </c>
      <c r="F255" s="725"/>
      <c r="G255" s="725"/>
      <c r="H255" s="672">
        <f>H256+H257</f>
        <v>11387918.109999999</v>
      </c>
      <c r="I255" s="403"/>
      <c r="J255" s="403"/>
      <c r="K255" s="403"/>
      <c r="L255" s="403"/>
      <c r="M255" s="403"/>
      <c r="N255" s="403"/>
      <c r="O255" s="236">
        <f>O256+O257</f>
        <v>1299975</v>
      </c>
      <c r="P255" s="403"/>
      <c r="Q255" s="403"/>
      <c r="R255" s="236">
        <f t="shared" si="42"/>
        <v>1299975</v>
      </c>
      <c r="S255" s="672">
        <f>S256+S257</f>
        <v>4692200</v>
      </c>
      <c r="T255" s="236"/>
      <c r="U255" s="236"/>
    </row>
    <row r="256" spans="1:21" s="82" customFormat="1">
      <c r="A256" s="229"/>
      <c r="B256" s="229"/>
      <c r="C256" s="233" t="s">
        <v>110</v>
      </c>
      <c r="D256" s="231" t="s">
        <v>25</v>
      </c>
      <c r="E256" s="294"/>
      <c r="F256" s="725"/>
      <c r="G256" s="725"/>
      <c r="H256" s="672">
        <v>2734319</v>
      </c>
      <c r="I256" s="403"/>
      <c r="J256" s="403"/>
      <c r="K256" s="403"/>
      <c r="L256" s="403"/>
      <c r="M256" s="403"/>
      <c r="N256" s="403"/>
      <c r="O256" s="236">
        <v>454225</v>
      </c>
      <c r="P256" s="403"/>
      <c r="Q256" s="403"/>
      <c r="R256" s="236">
        <f t="shared" si="42"/>
        <v>454225</v>
      </c>
      <c r="S256" s="672">
        <v>788300</v>
      </c>
      <c r="T256" s="236"/>
      <c r="U256" s="236"/>
    </row>
    <row r="257" spans="1:21" s="82" customFormat="1">
      <c r="A257" s="229"/>
      <c r="B257" s="229"/>
      <c r="C257" s="233"/>
      <c r="D257" s="231" t="s">
        <v>111</v>
      </c>
      <c r="E257" s="294"/>
      <c r="F257" s="725"/>
      <c r="G257" s="725"/>
      <c r="H257" s="672">
        <v>8653599.1099999994</v>
      </c>
      <c r="I257" s="403"/>
      <c r="J257" s="403"/>
      <c r="K257" s="403"/>
      <c r="L257" s="403"/>
      <c r="M257" s="403"/>
      <c r="N257" s="403"/>
      <c r="O257" s="236">
        <v>845750</v>
      </c>
      <c r="P257" s="403"/>
      <c r="Q257" s="403"/>
      <c r="R257" s="236">
        <f t="shared" si="42"/>
        <v>845750</v>
      </c>
      <c r="S257" s="672">
        <v>3903900</v>
      </c>
      <c r="T257" s="236"/>
      <c r="U257" s="236"/>
    </row>
    <row r="258" spans="1:21" s="82" customFormat="1">
      <c r="A258" s="229"/>
      <c r="B258" s="229"/>
      <c r="C258" s="431" t="s">
        <v>573</v>
      </c>
      <c r="D258" s="338" t="s">
        <v>113</v>
      </c>
      <c r="E258" s="337" t="s">
        <v>405</v>
      </c>
      <c r="F258" s="751"/>
      <c r="G258" s="751"/>
      <c r="H258" s="691">
        <f>H259+H260</f>
        <v>76526154</v>
      </c>
      <c r="I258" s="427"/>
      <c r="J258" s="427"/>
      <c r="K258" s="427"/>
      <c r="L258" s="427"/>
      <c r="M258" s="427"/>
      <c r="N258" s="427"/>
      <c r="O258" s="340">
        <v>21260000</v>
      </c>
      <c r="P258" s="427"/>
      <c r="Q258" s="427"/>
      <c r="R258" s="340">
        <f t="shared" si="42"/>
        <v>21260000</v>
      </c>
      <c r="S258" s="691">
        <f>24458000-13369950+9937009-2500000+64815+170000+200000+192000-16060</f>
        <v>19135814</v>
      </c>
      <c r="T258" s="340"/>
      <c r="U258" s="340"/>
    </row>
    <row r="259" spans="1:21" s="82" customFormat="1">
      <c r="A259" s="229"/>
      <c r="B259" s="229"/>
      <c r="C259" s="317" t="s">
        <v>110</v>
      </c>
      <c r="D259" s="231" t="s">
        <v>25</v>
      </c>
      <c r="E259" s="296"/>
      <c r="F259" s="728"/>
      <c r="G259" s="728"/>
      <c r="H259" s="691">
        <v>62823294</v>
      </c>
      <c r="I259" s="427"/>
      <c r="J259" s="427"/>
      <c r="K259" s="427"/>
      <c r="L259" s="427"/>
      <c r="M259" s="427"/>
      <c r="N259" s="427"/>
      <c r="O259" s="225">
        <f t="shared" ref="O259" si="52">O258-O260</f>
        <v>17834285</v>
      </c>
      <c r="P259" s="399"/>
      <c r="Q259" s="427"/>
      <c r="R259" s="225">
        <f t="shared" si="42"/>
        <v>17834285</v>
      </c>
      <c r="S259" s="670">
        <f t="shared" ref="S259" si="53">S258-S260</f>
        <v>15710099</v>
      </c>
      <c r="T259" s="225"/>
      <c r="U259" s="225"/>
    </row>
    <row r="260" spans="1:21" s="82" customFormat="1">
      <c r="A260" s="229"/>
      <c r="B260" s="229"/>
      <c r="C260" s="318"/>
      <c r="D260" s="231" t="s">
        <v>26</v>
      </c>
      <c r="E260" s="341"/>
      <c r="F260" s="752"/>
      <c r="G260" s="752"/>
      <c r="H260" s="691">
        <v>13702860</v>
      </c>
      <c r="I260" s="427"/>
      <c r="J260" s="427"/>
      <c r="K260" s="427"/>
      <c r="L260" s="427"/>
      <c r="M260" s="427"/>
      <c r="N260" s="427"/>
      <c r="O260" s="225">
        <v>3425715</v>
      </c>
      <c r="P260" s="399"/>
      <c r="Q260" s="427"/>
      <c r="R260" s="225">
        <f t="shared" si="42"/>
        <v>3425715</v>
      </c>
      <c r="S260" s="670">
        <v>3425715</v>
      </c>
      <c r="T260" s="225"/>
      <c r="U260" s="225"/>
    </row>
    <row r="261" spans="1:21" s="82" customFormat="1">
      <c r="A261" s="229"/>
      <c r="B261" s="229"/>
      <c r="C261" s="336" t="s">
        <v>574</v>
      </c>
      <c r="D261" s="400"/>
      <c r="E261" s="426"/>
      <c r="F261" s="750" t="s">
        <v>886</v>
      </c>
      <c r="G261" s="750"/>
      <c r="H261" s="692">
        <f>H262+H270</f>
        <v>12323506</v>
      </c>
      <c r="I261" s="427"/>
      <c r="J261" s="427"/>
      <c r="K261" s="427"/>
      <c r="L261" s="427"/>
      <c r="M261" s="427"/>
      <c r="N261" s="427"/>
      <c r="O261" s="427">
        <f t="shared" ref="O261" si="54">O262+O270</f>
        <v>2145301</v>
      </c>
      <c r="P261" s="427"/>
      <c r="Q261" s="427"/>
      <c r="R261" s="427">
        <f t="shared" ref="R261:R306" si="55">SUM(O261:Q261)</f>
        <v>2145301</v>
      </c>
      <c r="S261" s="692">
        <f t="shared" ref="S261" si="56">S262+S270</f>
        <v>4481209</v>
      </c>
      <c r="T261" s="427"/>
      <c r="U261" s="427"/>
    </row>
    <row r="262" spans="1:21" s="82" customFormat="1">
      <c r="A262" s="229"/>
      <c r="B262" s="229"/>
      <c r="C262" s="431" t="s">
        <v>571</v>
      </c>
      <c r="D262" s="338" t="s">
        <v>113</v>
      </c>
      <c r="E262" s="337"/>
      <c r="F262" s="751"/>
      <c r="G262" s="751"/>
      <c r="H262" s="690">
        <f t="shared" ref="H262" si="57">H263+H264</f>
        <v>8373506</v>
      </c>
      <c r="I262" s="658"/>
      <c r="J262" s="658"/>
      <c r="K262" s="658"/>
      <c r="L262" s="658"/>
      <c r="M262" s="658"/>
      <c r="N262" s="658"/>
      <c r="O262" s="339">
        <f t="shared" ref="O262" si="58">O263+O264</f>
        <v>1195301</v>
      </c>
      <c r="P262" s="658"/>
      <c r="Q262" s="658"/>
      <c r="R262" s="339">
        <f t="shared" si="55"/>
        <v>1195301</v>
      </c>
      <c r="S262" s="690">
        <f>SUM(S265:S269)</f>
        <v>3481209</v>
      </c>
      <c r="T262" s="339"/>
      <c r="U262" s="339"/>
    </row>
    <row r="263" spans="1:21" s="82" customFormat="1">
      <c r="A263" s="229"/>
      <c r="B263" s="229"/>
      <c r="C263" s="317" t="s">
        <v>110</v>
      </c>
      <c r="D263" s="231" t="s">
        <v>25</v>
      </c>
      <c r="E263" s="296"/>
      <c r="F263" s="728"/>
      <c r="G263" s="728"/>
      <c r="H263" s="682">
        <v>1369507</v>
      </c>
      <c r="I263" s="651"/>
      <c r="J263" s="651"/>
      <c r="K263" s="651"/>
      <c r="L263" s="651"/>
      <c r="M263" s="651"/>
      <c r="N263" s="651"/>
      <c r="O263" s="224">
        <v>188998</v>
      </c>
      <c r="P263" s="651"/>
      <c r="Q263" s="651"/>
      <c r="R263" s="224">
        <f t="shared" si="55"/>
        <v>188998</v>
      </c>
      <c r="S263" s="682">
        <v>553735</v>
      </c>
      <c r="T263" s="224"/>
      <c r="U263" s="224"/>
    </row>
    <row r="264" spans="1:21" s="82" customFormat="1">
      <c r="A264" s="229"/>
      <c r="B264" s="229"/>
      <c r="C264" s="317"/>
      <c r="D264" s="231" t="s">
        <v>111</v>
      </c>
      <c r="E264" s="296"/>
      <c r="F264" s="728"/>
      <c r="G264" s="728"/>
      <c r="H264" s="682">
        <v>7003999</v>
      </c>
      <c r="I264" s="651"/>
      <c r="J264" s="651"/>
      <c r="K264" s="651"/>
      <c r="L264" s="651"/>
      <c r="M264" s="651"/>
      <c r="N264" s="651"/>
      <c r="O264" s="224">
        <v>1006303</v>
      </c>
      <c r="P264" s="651"/>
      <c r="Q264" s="651"/>
      <c r="R264" s="224">
        <f t="shared" si="55"/>
        <v>1006303</v>
      </c>
      <c r="S264" s="682">
        <v>2927474</v>
      </c>
      <c r="T264" s="224"/>
      <c r="U264" s="224"/>
    </row>
    <row r="265" spans="1:21" s="82" customFormat="1">
      <c r="A265" s="229"/>
      <c r="B265" s="229"/>
      <c r="C265" s="233" t="s">
        <v>476</v>
      </c>
      <c r="D265" s="231" t="s">
        <v>113</v>
      </c>
      <c r="E265" s="294" t="s">
        <v>396</v>
      </c>
      <c r="F265" s="725"/>
      <c r="G265" s="725"/>
      <c r="H265" s="693">
        <v>783827</v>
      </c>
      <c r="I265" s="659"/>
      <c r="J265" s="659"/>
      <c r="K265" s="659"/>
      <c r="L265" s="659"/>
      <c r="M265" s="659"/>
      <c r="N265" s="659"/>
      <c r="O265" s="250">
        <v>506870</v>
      </c>
      <c r="P265" s="659"/>
      <c r="Q265" s="659"/>
      <c r="R265" s="250">
        <f t="shared" si="55"/>
        <v>506870</v>
      </c>
      <c r="S265" s="693">
        <v>253440</v>
      </c>
      <c r="T265" s="250"/>
      <c r="U265" s="250"/>
    </row>
    <row r="266" spans="1:21" s="82" customFormat="1" ht="22.5">
      <c r="A266" s="229"/>
      <c r="B266" s="229"/>
      <c r="C266" s="233" t="s">
        <v>268</v>
      </c>
      <c r="D266" s="231" t="s">
        <v>113</v>
      </c>
      <c r="E266" s="294" t="s">
        <v>394</v>
      </c>
      <c r="F266" s="725"/>
      <c r="G266" s="725"/>
      <c r="H266" s="693">
        <v>914534</v>
      </c>
      <c r="I266" s="659"/>
      <c r="J266" s="659"/>
      <c r="K266" s="659"/>
      <c r="L266" s="659"/>
      <c r="M266" s="659"/>
      <c r="N266" s="659"/>
      <c r="O266" s="250">
        <v>292376</v>
      </c>
      <c r="P266" s="659"/>
      <c r="Q266" s="659"/>
      <c r="R266" s="250">
        <f t="shared" si="55"/>
        <v>292376</v>
      </c>
      <c r="S266" s="693"/>
      <c r="T266" s="250"/>
      <c r="U266" s="250"/>
    </row>
    <row r="267" spans="1:21" s="82" customFormat="1" ht="22.5">
      <c r="A267" s="229"/>
      <c r="B267" s="229"/>
      <c r="C267" s="233" t="s">
        <v>267</v>
      </c>
      <c r="D267" s="231" t="s">
        <v>113</v>
      </c>
      <c r="E267" s="294" t="s">
        <v>477</v>
      </c>
      <c r="F267" s="725"/>
      <c r="G267" s="725"/>
      <c r="H267" s="693">
        <v>1464927</v>
      </c>
      <c r="I267" s="659"/>
      <c r="J267" s="659"/>
      <c r="K267" s="659"/>
      <c r="L267" s="659"/>
      <c r="M267" s="659"/>
      <c r="N267" s="659"/>
      <c r="O267" s="250">
        <v>146507</v>
      </c>
      <c r="P267" s="659"/>
      <c r="Q267" s="659"/>
      <c r="R267" s="250">
        <f t="shared" si="55"/>
        <v>146507</v>
      </c>
      <c r="S267" s="693">
        <v>732449</v>
      </c>
      <c r="T267" s="250"/>
      <c r="U267" s="250"/>
    </row>
    <row r="268" spans="1:21" s="82" customFormat="1">
      <c r="A268" s="229"/>
      <c r="B268" s="229"/>
      <c r="C268" s="233" t="s">
        <v>478</v>
      </c>
      <c r="D268" s="231" t="s">
        <v>113</v>
      </c>
      <c r="E268" s="294" t="s">
        <v>479</v>
      </c>
      <c r="F268" s="725"/>
      <c r="G268" s="725"/>
      <c r="H268" s="693">
        <v>3014718</v>
      </c>
      <c r="I268" s="659"/>
      <c r="J268" s="659"/>
      <c r="K268" s="659"/>
      <c r="L268" s="659"/>
      <c r="M268" s="659"/>
      <c r="N268" s="659"/>
      <c r="O268" s="250">
        <v>150750</v>
      </c>
      <c r="P268" s="659"/>
      <c r="Q268" s="659"/>
      <c r="R268" s="250">
        <f t="shared" si="55"/>
        <v>150750</v>
      </c>
      <c r="S268" s="693">
        <v>1507345</v>
      </c>
      <c r="T268" s="250"/>
      <c r="U268" s="250"/>
    </row>
    <row r="269" spans="1:21" s="82" customFormat="1">
      <c r="A269" s="229"/>
      <c r="B269" s="229"/>
      <c r="C269" s="233" t="s">
        <v>269</v>
      </c>
      <c r="D269" s="231" t="s">
        <v>113</v>
      </c>
      <c r="E269" s="294" t="s">
        <v>408</v>
      </c>
      <c r="F269" s="725"/>
      <c r="G269" s="725"/>
      <c r="H269" s="672">
        <v>2195500</v>
      </c>
      <c r="I269" s="403"/>
      <c r="J269" s="403"/>
      <c r="K269" s="403"/>
      <c r="L269" s="403"/>
      <c r="M269" s="403"/>
      <c r="N269" s="403"/>
      <c r="O269" s="236">
        <v>98798</v>
      </c>
      <c r="P269" s="403"/>
      <c r="Q269" s="403"/>
      <c r="R269" s="236">
        <f t="shared" si="55"/>
        <v>98798</v>
      </c>
      <c r="S269" s="672">
        <v>987975</v>
      </c>
      <c r="T269" s="236"/>
      <c r="U269" s="236"/>
    </row>
    <row r="270" spans="1:21" s="82" customFormat="1">
      <c r="A270" s="229"/>
      <c r="B270" s="229"/>
      <c r="C270" s="430" t="s">
        <v>573</v>
      </c>
      <c r="D270" s="231" t="s">
        <v>25</v>
      </c>
      <c r="E270" s="296" t="s">
        <v>405</v>
      </c>
      <c r="F270" s="753"/>
      <c r="G270" s="753"/>
      <c r="H270" s="670">
        <v>3950000</v>
      </c>
      <c r="I270" s="399"/>
      <c r="J270" s="399"/>
      <c r="K270" s="399"/>
      <c r="L270" s="399"/>
      <c r="M270" s="399"/>
      <c r="N270" s="399"/>
      <c r="O270" s="225">
        <f>SUM(O271:O274)</f>
        <v>950000</v>
      </c>
      <c r="P270" s="399"/>
      <c r="Q270" s="399"/>
      <c r="R270" s="225">
        <f t="shared" si="55"/>
        <v>950000</v>
      </c>
      <c r="S270" s="672">
        <v>1000000</v>
      </c>
      <c r="T270" s="225"/>
      <c r="U270" s="225"/>
    </row>
    <row r="271" spans="1:21" s="82" customFormat="1" ht="22.5">
      <c r="A271" s="229"/>
      <c r="B271" s="229"/>
      <c r="C271" s="295" t="s">
        <v>629</v>
      </c>
      <c r="D271" s="231"/>
      <c r="E271" s="294" t="s">
        <v>410</v>
      </c>
      <c r="F271" s="724"/>
      <c r="G271" s="724"/>
      <c r="H271" s="672"/>
      <c r="I271" s="403"/>
      <c r="J271" s="403"/>
      <c r="K271" s="403"/>
      <c r="L271" s="403"/>
      <c r="M271" s="403"/>
      <c r="N271" s="403"/>
      <c r="O271" s="236"/>
      <c r="P271" s="403"/>
      <c r="Q271" s="403"/>
      <c r="R271" s="236">
        <f t="shared" si="55"/>
        <v>0</v>
      </c>
      <c r="S271" s="702" t="s">
        <v>505</v>
      </c>
      <c r="T271" s="236"/>
      <c r="U271" s="236"/>
    </row>
    <row r="272" spans="1:21" s="82" customFormat="1" ht="22.5">
      <c r="A272" s="229"/>
      <c r="B272" s="229"/>
      <c r="C272" s="295" t="s">
        <v>480</v>
      </c>
      <c r="D272" s="231"/>
      <c r="E272" s="294" t="s">
        <v>404</v>
      </c>
      <c r="F272" s="724"/>
      <c r="G272" s="724"/>
      <c r="H272" s="672">
        <v>50000</v>
      </c>
      <c r="I272" s="403"/>
      <c r="J272" s="403"/>
      <c r="K272" s="403"/>
      <c r="L272" s="403"/>
      <c r="M272" s="403"/>
      <c r="N272" s="403"/>
      <c r="O272" s="236">
        <v>50000</v>
      </c>
      <c r="P272" s="403"/>
      <c r="Q272" s="403"/>
      <c r="R272" s="236">
        <f t="shared" si="55"/>
        <v>50000</v>
      </c>
      <c r="S272" s="672"/>
      <c r="T272" s="236"/>
      <c r="U272" s="236"/>
    </row>
    <row r="273" spans="1:21" s="82" customFormat="1" ht="22.5">
      <c r="A273" s="229"/>
      <c r="B273" s="229"/>
      <c r="C273" s="295" t="s">
        <v>481</v>
      </c>
      <c r="D273" s="231"/>
      <c r="E273" s="294" t="s">
        <v>410</v>
      </c>
      <c r="F273" s="724"/>
      <c r="G273" s="724"/>
      <c r="H273" s="672">
        <v>350000</v>
      </c>
      <c r="I273" s="403"/>
      <c r="J273" s="403"/>
      <c r="K273" s="403"/>
      <c r="L273" s="403"/>
      <c r="M273" s="403"/>
      <c r="N273" s="403"/>
      <c r="O273" s="236">
        <v>350000</v>
      </c>
      <c r="P273" s="403"/>
      <c r="Q273" s="403"/>
      <c r="R273" s="236">
        <f t="shared" si="55"/>
        <v>350000</v>
      </c>
      <c r="S273" s="672"/>
      <c r="T273" s="236"/>
      <c r="U273" s="236"/>
    </row>
    <row r="274" spans="1:21" s="82" customFormat="1">
      <c r="A274" s="229"/>
      <c r="B274" s="229"/>
      <c r="C274" s="295" t="s">
        <v>482</v>
      </c>
      <c r="D274" s="231"/>
      <c r="E274" s="294" t="s">
        <v>404</v>
      </c>
      <c r="F274" s="724"/>
      <c r="G274" s="724"/>
      <c r="H274" s="672">
        <v>848600</v>
      </c>
      <c r="I274" s="403"/>
      <c r="J274" s="403"/>
      <c r="K274" s="403"/>
      <c r="L274" s="403"/>
      <c r="M274" s="403"/>
      <c r="N274" s="403"/>
      <c r="O274" s="236">
        <v>550000</v>
      </c>
      <c r="P274" s="403"/>
      <c r="Q274" s="403"/>
      <c r="R274" s="236">
        <f t="shared" si="55"/>
        <v>550000</v>
      </c>
      <c r="S274" s="672">
        <v>298600</v>
      </c>
      <c r="T274" s="236"/>
      <c r="U274" s="236"/>
    </row>
    <row r="275" spans="1:21" s="82" customFormat="1" ht="25.5">
      <c r="A275" s="229"/>
      <c r="B275" s="229"/>
      <c r="C275" s="221" t="s">
        <v>553</v>
      </c>
      <c r="D275" s="231" t="s">
        <v>113</v>
      </c>
      <c r="E275" s="296" t="s">
        <v>400</v>
      </c>
      <c r="F275" s="397" t="s">
        <v>886</v>
      </c>
      <c r="G275" s="397"/>
      <c r="H275" s="682">
        <f>H276+H277</f>
        <v>3567600</v>
      </c>
      <c r="I275" s="651"/>
      <c r="J275" s="651"/>
      <c r="K275" s="651"/>
      <c r="L275" s="651"/>
      <c r="M275" s="651"/>
      <c r="N275" s="651"/>
      <c r="O275" s="224"/>
      <c r="P275" s="651"/>
      <c r="Q275" s="651"/>
      <c r="R275" s="224">
        <f t="shared" si="55"/>
        <v>0</v>
      </c>
      <c r="S275" s="682">
        <f>S276+S277</f>
        <v>1783800</v>
      </c>
      <c r="T275" s="224"/>
      <c r="U275" s="224"/>
    </row>
    <row r="276" spans="1:21" s="82" customFormat="1">
      <c r="A276" s="229"/>
      <c r="B276" s="229"/>
      <c r="C276" s="297" t="s">
        <v>110</v>
      </c>
      <c r="D276" s="231" t="s">
        <v>25</v>
      </c>
      <c r="E276" s="296"/>
      <c r="F276" s="726"/>
      <c r="G276" s="726"/>
      <c r="H276" s="682">
        <v>727600</v>
      </c>
      <c r="I276" s="651"/>
      <c r="J276" s="651"/>
      <c r="K276" s="651"/>
      <c r="L276" s="651"/>
      <c r="M276" s="651"/>
      <c r="N276" s="651"/>
      <c r="O276" s="224"/>
      <c r="P276" s="651"/>
      <c r="Q276" s="651"/>
      <c r="R276" s="224">
        <f t="shared" si="55"/>
        <v>0</v>
      </c>
      <c r="S276" s="682">
        <v>363800</v>
      </c>
      <c r="T276" s="224"/>
      <c r="U276" s="224"/>
    </row>
    <row r="277" spans="1:21" s="82" customFormat="1">
      <c r="A277" s="229"/>
      <c r="B277" s="229"/>
      <c r="C277" s="317"/>
      <c r="D277" s="231" t="s">
        <v>111</v>
      </c>
      <c r="E277" s="296"/>
      <c r="F277" s="728"/>
      <c r="G277" s="728"/>
      <c r="H277" s="682">
        <v>2840000</v>
      </c>
      <c r="I277" s="651"/>
      <c r="J277" s="651"/>
      <c r="K277" s="651"/>
      <c r="L277" s="651"/>
      <c r="M277" s="651"/>
      <c r="N277" s="651"/>
      <c r="O277" s="224"/>
      <c r="P277" s="651"/>
      <c r="Q277" s="651"/>
      <c r="R277" s="224">
        <f t="shared" si="55"/>
        <v>0</v>
      </c>
      <c r="S277" s="682">
        <v>1420000</v>
      </c>
      <c r="T277" s="224"/>
      <c r="U277" s="224"/>
    </row>
    <row r="278" spans="1:21" s="82" customFormat="1" ht="25.5">
      <c r="A278" s="229"/>
      <c r="B278" s="229"/>
      <c r="C278" s="221" t="s">
        <v>559</v>
      </c>
      <c r="D278" s="231" t="s">
        <v>25</v>
      </c>
      <c r="E278" s="296" t="s">
        <v>405</v>
      </c>
      <c r="F278" s="397" t="s">
        <v>886</v>
      </c>
      <c r="G278" s="397"/>
      <c r="H278" s="670">
        <v>4000000</v>
      </c>
      <c r="I278" s="399"/>
      <c r="J278" s="399"/>
      <c r="K278" s="399"/>
      <c r="L278" s="399"/>
      <c r="M278" s="399"/>
      <c r="N278" s="399"/>
      <c r="O278" s="225">
        <f>SUM(O279:O280)</f>
        <v>1000000</v>
      </c>
      <c r="P278" s="399"/>
      <c r="Q278" s="399"/>
      <c r="R278" s="225">
        <f t="shared" si="55"/>
        <v>1000000</v>
      </c>
      <c r="S278" s="670">
        <v>1000000</v>
      </c>
      <c r="T278" s="225"/>
      <c r="U278" s="225"/>
    </row>
    <row r="279" spans="1:21" s="82" customFormat="1">
      <c r="A279" s="229"/>
      <c r="B279" s="229"/>
      <c r="C279" s="342" t="s">
        <v>292</v>
      </c>
      <c r="D279" s="231"/>
      <c r="E279" s="343"/>
      <c r="F279" s="754"/>
      <c r="G279" s="754"/>
      <c r="H279" s="672"/>
      <c r="I279" s="403"/>
      <c r="J279" s="403"/>
      <c r="K279" s="403"/>
      <c r="L279" s="403"/>
      <c r="M279" s="403"/>
      <c r="N279" s="403"/>
      <c r="O279" s="236">
        <v>600000</v>
      </c>
      <c r="P279" s="403"/>
      <c r="Q279" s="403"/>
      <c r="R279" s="236">
        <f t="shared" si="55"/>
        <v>600000</v>
      </c>
      <c r="S279" s="672"/>
      <c r="T279" s="236"/>
      <c r="U279" s="236"/>
    </row>
    <row r="280" spans="1:21" s="82" customFormat="1">
      <c r="A280" s="229"/>
      <c r="B280" s="229"/>
      <c r="C280" s="230" t="s">
        <v>483</v>
      </c>
      <c r="D280" s="231"/>
      <c r="E280" s="294"/>
      <c r="F280" s="413"/>
      <c r="G280" s="413"/>
      <c r="H280" s="672"/>
      <c r="I280" s="403"/>
      <c r="J280" s="403"/>
      <c r="K280" s="403"/>
      <c r="L280" s="403"/>
      <c r="M280" s="403"/>
      <c r="N280" s="403"/>
      <c r="O280" s="236">
        <v>400000</v>
      </c>
      <c r="P280" s="403"/>
      <c r="Q280" s="403"/>
      <c r="R280" s="236">
        <f t="shared" si="55"/>
        <v>400000</v>
      </c>
      <c r="S280" s="672"/>
      <c r="T280" s="236"/>
      <c r="U280" s="236"/>
    </row>
    <row r="281" spans="1:21" s="82" customFormat="1">
      <c r="A281" s="229"/>
      <c r="B281" s="229"/>
      <c r="C281" s="221" t="s">
        <v>293</v>
      </c>
      <c r="D281" s="231" t="s">
        <v>25</v>
      </c>
      <c r="E281" s="296"/>
      <c r="F281" s="397" t="s">
        <v>893</v>
      </c>
      <c r="G281" s="397"/>
      <c r="H281" s="670">
        <f>SUM(H282:H289)</f>
        <v>675400</v>
      </c>
      <c r="I281" s="399"/>
      <c r="J281" s="399"/>
      <c r="K281" s="399"/>
      <c r="L281" s="399"/>
      <c r="M281" s="399"/>
      <c r="N281" s="399"/>
      <c r="O281" s="225">
        <f>SUM(O282:O289)</f>
        <v>463400</v>
      </c>
      <c r="P281" s="399"/>
      <c r="Q281" s="399"/>
      <c r="R281" s="225">
        <f t="shared" si="55"/>
        <v>463400</v>
      </c>
      <c r="S281" s="670">
        <f>SUM(S282:S289)</f>
        <v>212000</v>
      </c>
      <c r="T281" s="225"/>
      <c r="U281" s="225"/>
    </row>
    <row r="282" spans="1:21" s="82" customFormat="1">
      <c r="A282" s="229"/>
      <c r="B282" s="229"/>
      <c r="C282" s="234" t="s">
        <v>484</v>
      </c>
      <c r="D282" s="231"/>
      <c r="E282" s="294" t="s">
        <v>404</v>
      </c>
      <c r="F282" s="706"/>
      <c r="G282" s="706"/>
      <c r="H282" s="672">
        <v>85400</v>
      </c>
      <c r="I282" s="403"/>
      <c r="J282" s="403"/>
      <c r="K282" s="403"/>
      <c r="L282" s="403"/>
      <c r="M282" s="403"/>
      <c r="N282" s="403"/>
      <c r="O282" s="236">
        <v>85400</v>
      </c>
      <c r="P282" s="403"/>
      <c r="Q282" s="403"/>
      <c r="R282" s="236">
        <f t="shared" si="55"/>
        <v>85400</v>
      </c>
      <c r="S282" s="672"/>
      <c r="T282" s="236"/>
      <c r="U282" s="236"/>
    </row>
    <row r="283" spans="1:21" s="82" customFormat="1">
      <c r="A283" s="229"/>
      <c r="B283" s="229"/>
      <c r="C283" s="230" t="s">
        <v>485</v>
      </c>
      <c r="D283" s="231"/>
      <c r="E283" s="294" t="s">
        <v>408</v>
      </c>
      <c r="F283" s="413"/>
      <c r="G283" s="413"/>
      <c r="H283" s="672">
        <v>129000</v>
      </c>
      <c r="I283" s="403"/>
      <c r="J283" s="403"/>
      <c r="K283" s="403"/>
      <c r="L283" s="403"/>
      <c r="M283" s="403"/>
      <c r="N283" s="403"/>
      <c r="O283" s="236">
        <v>129000</v>
      </c>
      <c r="P283" s="403"/>
      <c r="Q283" s="403"/>
      <c r="R283" s="236">
        <f t="shared" si="55"/>
        <v>129000</v>
      </c>
      <c r="S283" s="672"/>
      <c r="T283" s="236"/>
      <c r="U283" s="236"/>
    </row>
    <row r="284" spans="1:21" s="82" customFormat="1">
      <c r="A284" s="229"/>
      <c r="B284" s="229"/>
      <c r="C284" s="230" t="s">
        <v>294</v>
      </c>
      <c r="D284" s="231"/>
      <c r="E284" s="294" t="s">
        <v>394</v>
      </c>
      <c r="F284" s="413"/>
      <c r="G284" s="413"/>
      <c r="H284" s="672">
        <v>64000</v>
      </c>
      <c r="I284" s="403"/>
      <c r="J284" s="403"/>
      <c r="K284" s="403"/>
      <c r="L284" s="403"/>
      <c r="M284" s="403"/>
      <c r="N284" s="403"/>
      <c r="O284" s="236">
        <v>64000</v>
      </c>
      <c r="P284" s="403"/>
      <c r="Q284" s="403"/>
      <c r="R284" s="236">
        <f t="shared" si="55"/>
        <v>64000</v>
      </c>
      <c r="S284" s="672"/>
      <c r="T284" s="236"/>
      <c r="U284" s="236"/>
    </row>
    <row r="285" spans="1:21" s="82" customFormat="1">
      <c r="A285" s="229"/>
      <c r="B285" s="229"/>
      <c r="C285" s="234" t="s">
        <v>486</v>
      </c>
      <c r="D285" s="231"/>
      <c r="E285" s="294" t="s">
        <v>400</v>
      </c>
      <c r="F285" s="706"/>
      <c r="G285" s="706"/>
      <c r="H285" s="672">
        <v>120000</v>
      </c>
      <c r="I285" s="403"/>
      <c r="J285" s="403"/>
      <c r="K285" s="403"/>
      <c r="L285" s="403"/>
      <c r="M285" s="403"/>
      <c r="N285" s="403"/>
      <c r="O285" s="236">
        <v>120000</v>
      </c>
      <c r="P285" s="403"/>
      <c r="Q285" s="403"/>
      <c r="R285" s="236">
        <f t="shared" si="55"/>
        <v>120000</v>
      </c>
      <c r="S285" s="672"/>
      <c r="T285" s="236"/>
      <c r="U285" s="236"/>
    </row>
    <row r="286" spans="1:21" s="82" customFormat="1">
      <c r="A286" s="229"/>
      <c r="B286" s="229"/>
      <c r="C286" s="230" t="s">
        <v>487</v>
      </c>
      <c r="D286" s="231"/>
      <c r="E286" s="294" t="s">
        <v>400</v>
      </c>
      <c r="F286" s="413"/>
      <c r="G286" s="413"/>
      <c r="H286" s="672">
        <v>65000</v>
      </c>
      <c r="I286" s="403"/>
      <c r="J286" s="403"/>
      <c r="K286" s="403"/>
      <c r="L286" s="403"/>
      <c r="M286" s="403"/>
      <c r="N286" s="403"/>
      <c r="O286" s="236">
        <v>65000</v>
      </c>
      <c r="P286" s="403"/>
      <c r="Q286" s="403"/>
      <c r="R286" s="236">
        <f t="shared" si="55"/>
        <v>65000</v>
      </c>
      <c r="S286" s="672"/>
      <c r="T286" s="236"/>
      <c r="U286" s="236"/>
    </row>
    <row r="287" spans="1:21" s="82" customFormat="1">
      <c r="A287" s="229"/>
      <c r="B287" s="229"/>
      <c r="C287" s="230" t="s">
        <v>608</v>
      </c>
      <c r="D287" s="231"/>
      <c r="E287" s="294" t="s">
        <v>399</v>
      </c>
      <c r="F287" s="413"/>
      <c r="G287" s="413"/>
      <c r="H287" s="672">
        <v>70000</v>
      </c>
      <c r="I287" s="403"/>
      <c r="J287" s="403"/>
      <c r="K287" s="403"/>
      <c r="L287" s="403"/>
      <c r="M287" s="403"/>
      <c r="N287" s="403"/>
      <c r="O287" s="236"/>
      <c r="P287" s="403"/>
      <c r="Q287" s="403"/>
      <c r="R287" s="236">
        <f t="shared" si="55"/>
        <v>0</v>
      </c>
      <c r="S287" s="672">
        <v>70000</v>
      </c>
      <c r="T287" s="236"/>
      <c r="U287" s="236"/>
    </row>
    <row r="288" spans="1:21" s="82" customFormat="1">
      <c r="A288" s="229"/>
      <c r="B288" s="229"/>
      <c r="C288" s="230" t="s">
        <v>609</v>
      </c>
      <c r="D288" s="231"/>
      <c r="E288" s="294" t="s">
        <v>399</v>
      </c>
      <c r="F288" s="413"/>
      <c r="G288" s="413"/>
      <c r="H288" s="672">
        <v>70000</v>
      </c>
      <c r="I288" s="403"/>
      <c r="J288" s="403"/>
      <c r="K288" s="403"/>
      <c r="L288" s="403"/>
      <c r="M288" s="403"/>
      <c r="N288" s="403"/>
      <c r="O288" s="236"/>
      <c r="P288" s="403"/>
      <c r="Q288" s="403"/>
      <c r="R288" s="236">
        <f t="shared" si="55"/>
        <v>0</v>
      </c>
      <c r="S288" s="672">
        <v>70000</v>
      </c>
      <c r="T288" s="236"/>
      <c r="U288" s="236"/>
    </row>
    <row r="289" spans="1:21" s="82" customFormat="1">
      <c r="A289" s="229"/>
      <c r="B289" s="229"/>
      <c r="C289" s="230" t="s">
        <v>610</v>
      </c>
      <c r="D289" s="231"/>
      <c r="E289" s="294" t="s">
        <v>404</v>
      </c>
      <c r="F289" s="413"/>
      <c r="G289" s="413"/>
      <c r="H289" s="672">
        <v>72000</v>
      </c>
      <c r="I289" s="403"/>
      <c r="J289" s="403"/>
      <c r="K289" s="403"/>
      <c r="L289" s="403"/>
      <c r="M289" s="403"/>
      <c r="N289" s="403"/>
      <c r="O289" s="236"/>
      <c r="P289" s="403"/>
      <c r="Q289" s="403"/>
      <c r="R289" s="236">
        <f t="shared" si="55"/>
        <v>0</v>
      </c>
      <c r="S289" s="672">
        <v>72000</v>
      </c>
      <c r="T289" s="236"/>
      <c r="U289" s="236"/>
    </row>
    <row r="290" spans="1:21" s="82" customFormat="1">
      <c r="A290" s="229"/>
      <c r="B290" s="229"/>
      <c r="C290" s="221" t="s">
        <v>488</v>
      </c>
      <c r="D290" s="231" t="s">
        <v>25</v>
      </c>
      <c r="E290" s="296" t="s">
        <v>405</v>
      </c>
      <c r="F290" s="397" t="s">
        <v>893</v>
      </c>
      <c r="G290" s="397"/>
      <c r="H290" s="684">
        <f t="shared" ref="H290:H291" si="59">S290</f>
        <v>100000</v>
      </c>
      <c r="I290" s="653"/>
      <c r="J290" s="653"/>
      <c r="K290" s="653"/>
      <c r="L290" s="653"/>
      <c r="M290" s="653"/>
      <c r="N290" s="653"/>
      <c r="O290" s="388">
        <v>100000</v>
      </c>
      <c r="P290" s="653"/>
      <c r="Q290" s="653"/>
      <c r="R290" s="388">
        <f t="shared" si="55"/>
        <v>100000</v>
      </c>
      <c r="S290" s="684">
        <v>100000</v>
      </c>
      <c r="T290" s="388"/>
      <c r="U290" s="388"/>
    </row>
    <row r="291" spans="1:21" s="82" customFormat="1" ht="38.25">
      <c r="A291" s="229"/>
      <c r="B291" s="229"/>
      <c r="C291" s="303" t="s">
        <v>630</v>
      </c>
      <c r="D291" s="231" t="s">
        <v>25</v>
      </c>
      <c r="E291" s="304" t="s">
        <v>405</v>
      </c>
      <c r="F291" s="730" t="s">
        <v>893</v>
      </c>
      <c r="G291" s="730"/>
      <c r="H291" s="684">
        <f t="shared" si="59"/>
        <v>400000</v>
      </c>
      <c r="I291" s="653"/>
      <c r="J291" s="653"/>
      <c r="K291" s="653"/>
      <c r="L291" s="653"/>
      <c r="M291" s="653"/>
      <c r="N291" s="653"/>
      <c r="O291" s="402">
        <v>400000</v>
      </c>
      <c r="P291" s="777"/>
      <c r="Q291" s="653"/>
      <c r="R291" s="402">
        <f t="shared" si="55"/>
        <v>400000</v>
      </c>
      <c r="S291" s="703">
        <v>400000</v>
      </c>
      <c r="T291" s="402"/>
      <c r="U291" s="402"/>
    </row>
    <row r="292" spans="1:21" s="82" customFormat="1">
      <c r="A292" s="229"/>
      <c r="B292" s="229"/>
      <c r="C292" s="221" t="s">
        <v>295</v>
      </c>
      <c r="D292" s="231" t="s">
        <v>25</v>
      </c>
      <c r="E292" s="296" t="s">
        <v>405</v>
      </c>
      <c r="F292" s="397" t="s">
        <v>882</v>
      </c>
      <c r="G292" s="397"/>
      <c r="H292" s="684">
        <f>S292</f>
        <v>210000</v>
      </c>
      <c r="I292" s="653"/>
      <c r="J292" s="653"/>
      <c r="K292" s="653"/>
      <c r="L292" s="653"/>
      <c r="M292" s="653"/>
      <c r="N292" s="653"/>
      <c r="O292" s="388">
        <v>667000</v>
      </c>
      <c r="P292" s="653"/>
      <c r="Q292" s="653"/>
      <c r="R292" s="388">
        <f t="shared" si="55"/>
        <v>667000</v>
      </c>
      <c r="S292" s="684">
        <v>210000</v>
      </c>
      <c r="T292" s="388"/>
      <c r="U292" s="388"/>
    </row>
    <row r="293" spans="1:21" s="82" customFormat="1">
      <c r="A293" s="229"/>
      <c r="B293" s="229"/>
      <c r="C293" s="217" t="s">
        <v>356</v>
      </c>
      <c r="D293" s="289" t="s">
        <v>113</v>
      </c>
      <c r="E293" s="288"/>
      <c r="F293" s="723"/>
      <c r="G293" s="723"/>
      <c r="H293" s="668">
        <f>SUM(H294:H294)</f>
        <v>60000</v>
      </c>
      <c r="I293" s="645"/>
      <c r="J293" s="645"/>
      <c r="K293" s="645"/>
      <c r="L293" s="645"/>
      <c r="M293" s="645"/>
      <c r="N293" s="645"/>
      <c r="O293" s="226">
        <f t="shared" ref="O293:S293" si="60">SUM(O294:O294)</f>
        <v>60000</v>
      </c>
      <c r="P293" s="645"/>
      <c r="Q293" s="645"/>
      <c r="R293" s="226">
        <f t="shared" si="55"/>
        <v>60000</v>
      </c>
      <c r="S293" s="668">
        <f t="shared" si="60"/>
        <v>60000</v>
      </c>
      <c r="T293" s="226"/>
      <c r="U293" s="226"/>
    </row>
    <row r="294" spans="1:21" s="82" customFormat="1">
      <c r="A294" s="229"/>
      <c r="B294" s="229"/>
      <c r="C294" s="221" t="s">
        <v>315</v>
      </c>
      <c r="D294" s="231" t="s">
        <v>25</v>
      </c>
      <c r="E294" s="296" t="s">
        <v>405</v>
      </c>
      <c r="F294" s="397" t="s">
        <v>888</v>
      </c>
      <c r="G294" s="397"/>
      <c r="H294" s="670">
        <f>S294</f>
        <v>60000</v>
      </c>
      <c r="I294" s="399"/>
      <c r="J294" s="399"/>
      <c r="K294" s="399"/>
      <c r="L294" s="399"/>
      <c r="M294" s="399"/>
      <c r="N294" s="399"/>
      <c r="O294" s="225">
        <v>60000</v>
      </c>
      <c r="P294" s="399"/>
      <c r="Q294" s="399"/>
      <c r="R294" s="225">
        <f t="shared" si="55"/>
        <v>60000</v>
      </c>
      <c r="S294" s="670">
        <v>60000</v>
      </c>
      <c r="T294" s="225"/>
      <c r="U294" s="225"/>
    </row>
    <row r="295" spans="1:21" s="82" customFormat="1">
      <c r="A295" s="229"/>
      <c r="B295" s="229"/>
      <c r="C295" s="217" t="s">
        <v>344</v>
      </c>
      <c r="D295" s="289" t="s">
        <v>113</v>
      </c>
      <c r="E295" s="288"/>
      <c r="F295" s="723"/>
      <c r="G295" s="723"/>
      <c r="H295" s="668">
        <f>H296+H300+H301+H305+H299</f>
        <v>66132700</v>
      </c>
      <c r="I295" s="645"/>
      <c r="J295" s="645"/>
      <c r="K295" s="645"/>
      <c r="L295" s="645"/>
      <c r="M295" s="645"/>
      <c r="N295" s="645"/>
      <c r="O295" s="226">
        <f t="shared" ref="O295" si="61">O296+O300+O301+O305+O299</f>
        <v>1743994</v>
      </c>
      <c r="P295" s="645"/>
      <c r="Q295" s="645"/>
      <c r="R295" s="226">
        <f t="shared" si="55"/>
        <v>1743994</v>
      </c>
      <c r="S295" s="668">
        <f t="shared" ref="S295" si="62">S296+S300+S301+S305+S299</f>
        <v>680000</v>
      </c>
      <c r="T295" s="226"/>
      <c r="U295" s="226"/>
    </row>
    <row r="296" spans="1:21" s="82" customFormat="1" ht="38.25">
      <c r="A296" s="229"/>
      <c r="B296" s="229"/>
      <c r="C296" s="221" t="s">
        <v>611</v>
      </c>
      <c r="D296" s="231" t="s">
        <v>25</v>
      </c>
      <c r="E296" s="296" t="s">
        <v>405</v>
      </c>
      <c r="F296" s="397" t="s">
        <v>894</v>
      </c>
      <c r="G296" s="397"/>
      <c r="H296" s="670">
        <v>155000</v>
      </c>
      <c r="I296" s="399"/>
      <c r="J296" s="399"/>
      <c r="K296" s="399"/>
      <c r="L296" s="399"/>
      <c r="M296" s="399"/>
      <c r="N296" s="399"/>
      <c r="O296" s="225">
        <v>230000</v>
      </c>
      <c r="P296" s="399"/>
      <c r="Q296" s="399"/>
      <c r="R296" s="225">
        <f t="shared" si="55"/>
        <v>230000</v>
      </c>
      <c r="S296" s="670">
        <v>155000</v>
      </c>
      <c r="T296" s="225"/>
      <c r="U296" s="225"/>
    </row>
    <row r="297" spans="1:21" s="82" customFormat="1">
      <c r="A297" s="229"/>
      <c r="B297" s="229"/>
      <c r="C297" s="251" t="s">
        <v>338</v>
      </c>
      <c r="D297" s="231"/>
      <c r="E297" s="296" t="s">
        <v>394</v>
      </c>
      <c r="F297" s="397" t="s">
        <v>505</v>
      </c>
      <c r="G297" s="755"/>
      <c r="H297" s="670"/>
      <c r="I297" s="399"/>
      <c r="J297" s="399"/>
      <c r="K297" s="399"/>
      <c r="L297" s="399"/>
      <c r="M297" s="399"/>
      <c r="N297" s="399"/>
      <c r="O297" s="236">
        <v>50000</v>
      </c>
      <c r="P297" s="403"/>
      <c r="Q297" s="399"/>
      <c r="R297" s="236">
        <f t="shared" si="55"/>
        <v>50000</v>
      </c>
      <c r="S297" s="670"/>
      <c r="T297" s="236"/>
      <c r="U297" s="236"/>
    </row>
    <row r="298" spans="1:21" s="82" customFormat="1">
      <c r="A298" s="229"/>
      <c r="B298" s="229"/>
      <c r="C298" s="230" t="s">
        <v>316</v>
      </c>
      <c r="D298" s="231"/>
      <c r="E298" s="296" t="s">
        <v>394</v>
      </c>
      <c r="F298" s="397" t="s">
        <v>505</v>
      </c>
      <c r="G298" s="413"/>
      <c r="H298" s="670"/>
      <c r="I298" s="399"/>
      <c r="J298" s="399"/>
      <c r="K298" s="399"/>
      <c r="L298" s="399"/>
      <c r="M298" s="399"/>
      <c r="N298" s="399"/>
      <c r="O298" s="236">
        <v>80000</v>
      </c>
      <c r="P298" s="403"/>
      <c r="Q298" s="399"/>
      <c r="R298" s="236">
        <f t="shared" si="55"/>
        <v>80000</v>
      </c>
      <c r="S298" s="670"/>
      <c r="T298" s="236"/>
      <c r="U298" s="236"/>
    </row>
    <row r="299" spans="1:21" s="82" customFormat="1" ht="25.5">
      <c r="A299" s="229"/>
      <c r="B299" s="229"/>
      <c r="C299" s="221" t="s">
        <v>560</v>
      </c>
      <c r="D299" s="231" t="s">
        <v>25</v>
      </c>
      <c r="E299" s="296" t="s">
        <v>489</v>
      </c>
      <c r="F299" s="397" t="s">
        <v>895</v>
      </c>
      <c r="G299" s="397"/>
      <c r="H299" s="670">
        <v>64000000</v>
      </c>
      <c r="I299" s="399"/>
      <c r="J299" s="399"/>
      <c r="K299" s="399"/>
      <c r="L299" s="399"/>
      <c r="M299" s="399"/>
      <c r="N299" s="399"/>
      <c r="O299" s="225"/>
      <c r="P299" s="399"/>
      <c r="Q299" s="399"/>
      <c r="R299" s="225">
        <f t="shared" si="55"/>
        <v>0</v>
      </c>
      <c r="S299" s="670">
        <v>500000</v>
      </c>
      <c r="T299" s="225"/>
      <c r="U299" s="225"/>
    </row>
    <row r="300" spans="1:21" s="82" customFormat="1" ht="25.5">
      <c r="A300" s="229"/>
      <c r="B300" s="229"/>
      <c r="C300" s="221" t="s">
        <v>490</v>
      </c>
      <c r="D300" s="231" t="s">
        <v>25</v>
      </c>
      <c r="E300" s="296" t="s">
        <v>394</v>
      </c>
      <c r="F300" s="397" t="s">
        <v>505</v>
      </c>
      <c r="G300" s="397"/>
      <c r="H300" s="670">
        <v>586400</v>
      </c>
      <c r="I300" s="399"/>
      <c r="J300" s="399"/>
      <c r="K300" s="399"/>
      <c r="L300" s="399"/>
      <c r="M300" s="399"/>
      <c r="N300" s="399"/>
      <c r="O300" s="225">
        <v>538600</v>
      </c>
      <c r="P300" s="399"/>
      <c r="Q300" s="399"/>
      <c r="R300" s="225">
        <f t="shared" si="55"/>
        <v>538600</v>
      </c>
      <c r="S300" s="670"/>
      <c r="T300" s="225"/>
      <c r="U300" s="225"/>
    </row>
    <row r="301" spans="1:21" s="82" customFormat="1" ht="25.5">
      <c r="A301" s="229"/>
      <c r="B301" s="229"/>
      <c r="C301" s="303" t="s">
        <v>491</v>
      </c>
      <c r="D301" s="231" t="s">
        <v>25</v>
      </c>
      <c r="E301" s="304" t="s">
        <v>394</v>
      </c>
      <c r="F301" s="397" t="s">
        <v>505</v>
      </c>
      <c r="G301" s="730"/>
      <c r="H301" s="670">
        <v>970896</v>
      </c>
      <c r="I301" s="399"/>
      <c r="J301" s="399"/>
      <c r="K301" s="399"/>
      <c r="L301" s="399"/>
      <c r="M301" s="399"/>
      <c r="N301" s="399"/>
      <c r="O301" s="225">
        <v>937594</v>
      </c>
      <c r="P301" s="399"/>
      <c r="Q301" s="399"/>
      <c r="R301" s="225">
        <f t="shared" si="55"/>
        <v>937594</v>
      </c>
      <c r="S301" s="670"/>
      <c r="T301" s="225"/>
      <c r="U301" s="225"/>
    </row>
    <row r="302" spans="1:21" s="82" customFormat="1" ht="22.5">
      <c r="A302" s="229"/>
      <c r="B302" s="229"/>
      <c r="C302" s="309" t="s">
        <v>492</v>
      </c>
      <c r="D302" s="231"/>
      <c r="E302" s="306"/>
      <c r="F302" s="397" t="s">
        <v>505</v>
      </c>
      <c r="G302" s="731"/>
      <c r="H302" s="694">
        <v>459675</v>
      </c>
      <c r="I302" s="660"/>
      <c r="J302" s="660"/>
      <c r="K302" s="660"/>
      <c r="L302" s="660"/>
      <c r="M302" s="660"/>
      <c r="N302" s="660"/>
      <c r="O302" s="308">
        <v>839563</v>
      </c>
      <c r="P302" s="660"/>
      <c r="Q302" s="660"/>
      <c r="R302" s="308">
        <f t="shared" si="55"/>
        <v>839563</v>
      </c>
      <c r="S302" s="672"/>
      <c r="T302" s="308"/>
      <c r="U302" s="308"/>
    </row>
    <row r="303" spans="1:21" s="82" customFormat="1">
      <c r="A303" s="229"/>
      <c r="B303" s="229"/>
      <c r="C303" s="344" t="s">
        <v>493</v>
      </c>
      <c r="D303" s="231"/>
      <c r="E303" s="345"/>
      <c r="F303" s="397" t="s">
        <v>505</v>
      </c>
      <c r="G303" s="756"/>
      <c r="H303" s="694">
        <v>76910</v>
      </c>
      <c r="I303" s="660"/>
      <c r="J303" s="660"/>
      <c r="K303" s="660"/>
      <c r="L303" s="660"/>
      <c r="M303" s="660"/>
      <c r="N303" s="660"/>
      <c r="O303" s="308">
        <v>89261</v>
      </c>
      <c r="P303" s="660"/>
      <c r="Q303" s="660"/>
      <c r="R303" s="308">
        <f t="shared" si="55"/>
        <v>89261</v>
      </c>
      <c r="S303" s="672"/>
      <c r="T303" s="308"/>
      <c r="U303" s="308"/>
    </row>
    <row r="304" spans="1:21" s="82" customFormat="1">
      <c r="A304" s="229"/>
      <c r="B304" s="229"/>
      <c r="C304" s="309" t="s">
        <v>494</v>
      </c>
      <c r="D304" s="231"/>
      <c r="E304" s="306"/>
      <c r="F304" s="397" t="s">
        <v>505</v>
      </c>
      <c r="G304" s="731"/>
      <c r="H304" s="694"/>
      <c r="I304" s="660"/>
      <c r="J304" s="660"/>
      <c r="K304" s="660"/>
      <c r="L304" s="660"/>
      <c r="M304" s="660"/>
      <c r="N304" s="660"/>
      <c r="O304" s="308">
        <v>8770</v>
      </c>
      <c r="P304" s="660"/>
      <c r="Q304" s="660"/>
      <c r="R304" s="308">
        <f t="shared" si="55"/>
        <v>8770</v>
      </c>
      <c r="S304" s="672"/>
      <c r="T304" s="308"/>
      <c r="U304" s="308"/>
    </row>
    <row r="305" spans="1:21" s="82" customFormat="1">
      <c r="A305" s="229"/>
      <c r="B305" s="229"/>
      <c r="C305" s="221" t="s">
        <v>631</v>
      </c>
      <c r="D305" s="231" t="s">
        <v>25</v>
      </c>
      <c r="E305" s="296" t="s">
        <v>405</v>
      </c>
      <c r="F305" s="397" t="s">
        <v>882</v>
      </c>
      <c r="G305" s="397"/>
      <c r="H305" s="670">
        <v>420404</v>
      </c>
      <c r="I305" s="399"/>
      <c r="J305" s="399"/>
      <c r="K305" s="399"/>
      <c r="L305" s="399"/>
      <c r="M305" s="399"/>
      <c r="N305" s="399"/>
      <c r="O305" s="225">
        <v>37800</v>
      </c>
      <c r="P305" s="399"/>
      <c r="Q305" s="399"/>
      <c r="R305" s="225">
        <f t="shared" si="55"/>
        <v>37800</v>
      </c>
      <c r="S305" s="670">
        <v>25000</v>
      </c>
      <c r="T305" s="225"/>
      <c r="U305" s="225"/>
    </row>
    <row r="306" spans="1:21" s="82" customFormat="1">
      <c r="A306" s="229"/>
      <c r="B306" s="229"/>
      <c r="C306" s="221"/>
      <c r="D306" s="231"/>
      <c r="E306" s="296"/>
      <c r="F306" s="397"/>
      <c r="G306" s="397"/>
      <c r="H306" s="670"/>
      <c r="I306" s="399"/>
      <c r="J306" s="399"/>
      <c r="K306" s="399"/>
      <c r="L306" s="399"/>
      <c r="M306" s="399"/>
      <c r="N306" s="399"/>
      <c r="O306" s="225"/>
      <c r="P306" s="399"/>
      <c r="Q306" s="399"/>
      <c r="R306" s="225">
        <f t="shared" si="55"/>
        <v>0</v>
      </c>
      <c r="S306" s="670"/>
      <c r="T306" s="225">
        <f t="shared" ref="T306" si="63">R306+S306</f>
        <v>0</v>
      </c>
      <c r="U306" s="225"/>
    </row>
    <row r="308" spans="1:21">
      <c r="C308" s="83" t="s">
        <v>897</v>
      </c>
    </row>
    <row r="309" spans="1:21">
      <c r="C309" s="83" t="s">
        <v>898</v>
      </c>
    </row>
    <row r="310" spans="1:21">
      <c r="C310" s="82" t="s">
        <v>899</v>
      </c>
    </row>
    <row r="311" spans="1:21">
      <c r="C311" s="82" t="s">
        <v>900</v>
      </c>
    </row>
    <row r="312" spans="1:21">
      <c r="C312" s="82" t="s">
        <v>901</v>
      </c>
    </row>
    <row r="313" spans="1:21">
      <c r="C313" s="82" t="s">
        <v>902</v>
      </c>
    </row>
    <row r="314" spans="1:21">
      <c r="C314" s="82" t="s">
        <v>903</v>
      </c>
    </row>
    <row r="315" spans="1:21">
      <c r="C315" s="82" t="s">
        <v>904</v>
      </c>
    </row>
    <row r="316" spans="1:21">
      <c r="C316" s="82" t="s">
        <v>905</v>
      </c>
    </row>
    <row r="317" spans="1:21">
      <c r="C317" s="82" t="s">
        <v>906</v>
      </c>
    </row>
    <row r="318" spans="1:21">
      <c r="C318" s="82" t="s">
        <v>907</v>
      </c>
    </row>
    <row r="324" spans="3:21" ht="12.75" customHeight="1">
      <c r="E324" s="83"/>
      <c r="O324" s="759">
        <v>2018</v>
      </c>
      <c r="P324" s="778"/>
      <c r="R324" s="425">
        <v>2018</v>
      </c>
      <c r="S324" s="1098" t="s">
        <v>392</v>
      </c>
      <c r="T324" s="533"/>
      <c r="U324" s="759"/>
    </row>
    <row r="325" spans="3:21" ht="12.75" customHeight="1">
      <c r="E325" s="83"/>
      <c r="O325" s="284" t="s">
        <v>568</v>
      </c>
      <c r="P325" s="778"/>
      <c r="R325" s="284" t="s">
        <v>568</v>
      </c>
      <c r="S325" s="1098"/>
      <c r="T325" s="284"/>
      <c r="U325" s="284"/>
    </row>
    <row r="326" spans="3:21" ht="12.75" customHeight="1">
      <c r="C326" s="62" t="s">
        <v>46</v>
      </c>
      <c r="E326" s="83"/>
      <c r="F326" s="62"/>
      <c r="G326" s="62"/>
      <c r="H326" s="696">
        <f>SUM(H327:H339)</f>
        <v>584171168.11000001</v>
      </c>
      <c r="I326" s="57"/>
      <c r="J326" s="57"/>
      <c r="K326" s="57"/>
      <c r="L326" s="57"/>
      <c r="M326" s="57"/>
      <c r="N326" s="57"/>
      <c r="O326" s="57">
        <f t="shared" ref="O326:R326" si="64">SUM(O327:O339)</f>
        <v>114908068</v>
      </c>
      <c r="P326" s="57"/>
      <c r="Q326" s="57"/>
      <c r="R326" s="57">
        <f t="shared" si="64"/>
        <v>115690068</v>
      </c>
      <c r="S326" s="696">
        <f t="shared" ref="S326" si="65">SUM(S327:S339)</f>
        <v>118853746</v>
      </c>
      <c r="T326" s="57"/>
      <c r="U326" s="57"/>
    </row>
    <row r="327" spans="3:21" ht="12.75" customHeight="1">
      <c r="C327" s="33" t="s">
        <v>345</v>
      </c>
      <c r="E327" s="83"/>
      <c r="F327" s="33"/>
      <c r="G327" s="33"/>
      <c r="H327" s="697">
        <f>H14</f>
        <v>98093249</v>
      </c>
      <c r="I327" s="81"/>
      <c r="J327" s="81"/>
      <c r="K327" s="81"/>
      <c r="L327" s="81"/>
      <c r="M327" s="81"/>
      <c r="N327" s="81"/>
      <c r="O327" s="81">
        <f>O14</f>
        <v>29115786</v>
      </c>
      <c r="P327" s="81"/>
      <c r="Q327" s="81"/>
      <c r="R327" s="81">
        <f>R14</f>
        <v>29152786</v>
      </c>
      <c r="S327" s="697">
        <f>S14</f>
        <v>36650000</v>
      </c>
      <c r="T327" s="81"/>
      <c r="U327" s="81"/>
    </row>
    <row r="328" spans="3:21" ht="12.75" customHeight="1">
      <c r="C328" s="33" t="s">
        <v>415</v>
      </c>
      <c r="E328" s="83"/>
      <c r="F328" s="33"/>
      <c r="G328" s="33"/>
      <c r="H328" s="697">
        <f>H55</f>
        <v>61459260</v>
      </c>
      <c r="I328" s="81"/>
      <c r="J328" s="81"/>
      <c r="K328" s="81"/>
      <c r="L328" s="81"/>
      <c r="M328" s="81"/>
      <c r="N328" s="81"/>
      <c r="O328" s="81">
        <f>O55</f>
        <v>8636234</v>
      </c>
      <c r="P328" s="81"/>
      <c r="Q328" s="81"/>
      <c r="R328" s="81">
        <f>R55</f>
        <v>9346234</v>
      </c>
      <c r="S328" s="697">
        <f>S55</f>
        <v>19595231</v>
      </c>
      <c r="T328" s="81"/>
      <c r="U328" s="81"/>
    </row>
    <row r="329" spans="3:21" ht="12.75" customHeight="1">
      <c r="C329" s="33" t="s">
        <v>347</v>
      </c>
      <c r="E329" s="83"/>
      <c r="F329" s="33"/>
      <c r="G329" s="33"/>
      <c r="H329" s="697">
        <f>H105</f>
        <v>10116277</v>
      </c>
      <c r="I329" s="81"/>
      <c r="J329" s="81"/>
      <c r="K329" s="81"/>
      <c r="L329" s="81"/>
      <c r="M329" s="81"/>
      <c r="N329" s="81"/>
      <c r="O329" s="81">
        <f>O105</f>
        <v>3091000</v>
      </c>
      <c r="P329" s="81"/>
      <c r="Q329" s="81"/>
      <c r="R329" s="81">
        <f>R105</f>
        <v>3091000</v>
      </c>
      <c r="S329" s="697">
        <f>S105</f>
        <v>1998700</v>
      </c>
      <c r="T329" s="81"/>
      <c r="U329" s="81"/>
    </row>
    <row r="330" spans="3:21" ht="12.75" customHeight="1">
      <c r="C330" s="33" t="s">
        <v>213</v>
      </c>
      <c r="E330" s="83"/>
      <c r="F330" s="33"/>
      <c r="G330" s="33"/>
      <c r="H330" s="697">
        <f>H116</f>
        <v>16623342</v>
      </c>
      <c r="I330" s="81"/>
      <c r="J330" s="81"/>
      <c r="K330" s="81"/>
      <c r="L330" s="81"/>
      <c r="M330" s="81"/>
      <c r="N330" s="81"/>
      <c r="O330" s="81">
        <f>O116</f>
        <v>3609481</v>
      </c>
      <c r="P330" s="81"/>
      <c r="Q330" s="81"/>
      <c r="R330" s="81">
        <f>R116</f>
        <v>3614481</v>
      </c>
      <c r="S330" s="697">
        <f>S116</f>
        <v>2439581</v>
      </c>
      <c r="T330" s="81"/>
      <c r="U330" s="81"/>
    </row>
    <row r="331" spans="3:21" ht="12.75" customHeight="1">
      <c r="C331" s="33" t="s">
        <v>234</v>
      </c>
      <c r="E331" s="83"/>
      <c r="F331" s="33"/>
      <c r="G331" s="33"/>
      <c r="H331" s="697">
        <f>H133</f>
        <v>22680</v>
      </c>
      <c r="I331" s="81"/>
      <c r="J331" s="81"/>
      <c r="K331" s="81"/>
      <c r="L331" s="81"/>
      <c r="M331" s="81"/>
      <c r="N331" s="81"/>
      <c r="O331" s="81">
        <f>O133</f>
        <v>430220</v>
      </c>
      <c r="P331" s="81"/>
      <c r="Q331" s="81"/>
      <c r="R331" s="81">
        <f>R133</f>
        <v>430220</v>
      </c>
      <c r="S331" s="697">
        <f>S133</f>
        <v>377710</v>
      </c>
      <c r="T331" s="81"/>
      <c r="U331" s="81"/>
    </row>
    <row r="332" spans="3:21" ht="12.75" customHeight="1">
      <c r="C332" s="33" t="s">
        <v>349</v>
      </c>
      <c r="E332" s="83"/>
      <c r="F332" s="33"/>
      <c r="G332" s="33"/>
      <c r="H332" s="697">
        <f>H136</f>
        <v>111442573</v>
      </c>
      <c r="I332" s="81"/>
      <c r="J332" s="81"/>
      <c r="K332" s="81"/>
      <c r="L332" s="81"/>
      <c r="M332" s="81"/>
      <c r="N332" s="81"/>
      <c r="O332" s="81">
        <f>O136</f>
        <v>5103000</v>
      </c>
      <c r="P332" s="81"/>
      <c r="Q332" s="81"/>
      <c r="R332" s="81">
        <f>R136</f>
        <v>5103000</v>
      </c>
      <c r="S332" s="697">
        <f>S136</f>
        <v>9155960</v>
      </c>
      <c r="T332" s="81"/>
      <c r="U332" s="81"/>
    </row>
    <row r="333" spans="3:21" ht="12.75" customHeight="1">
      <c r="C333" s="33" t="s">
        <v>352</v>
      </c>
      <c r="E333" s="83"/>
      <c r="F333" s="33"/>
      <c r="G333" s="33"/>
      <c r="H333" s="697">
        <f>H152</f>
        <v>16950000</v>
      </c>
      <c r="I333" s="81"/>
      <c r="J333" s="81"/>
      <c r="K333" s="81"/>
      <c r="L333" s="81"/>
      <c r="M333" s="81"/>
      <c r="N333" s="81"/>
      <c r="O333" s="81">
        <f>O152</f>
        <v>3743200</v>
      </c>
      <c r="P333" s="81"/>
      <c r="Q333" s="81"/>
      <c r="R333" s="81">
        <f>R152</f>
        <v>3743200</v>
      </c>
      <c r="S333" s="697">
        <f>S152</f>
        <v>950000</v>
      </c>
      <c r="T333" s="81"/>
      <c r="U333" s="81"/>
    </row>
    <row r="334" spans="3:21" ht="12.75" customHeight="1">
      <c r="C334" s="33" t="s">
        <v>325</v>
      </c>
      <c r="E334" s="83"/>
      <c r="F334" s="33"/>
      <c r="G334" s="33"/>
      <c r="H334" s="697">
        <f>H160</f>
        <v>500000</v>
      </c>
      <c r="I334" s="81"/>
      <c r="J334" s="81"/>
      <c r="K334" s="81"/>
      <c r="L334" s="81"/>
      <c r="M334" s="81"/>
      <c r="N334" s="81"/>
      <c r="O334" s="81">
        <f>O160</f>
        <v>250000</v>
      </c>
      <c r="P334" s="81"/>
      <c r="Q334" s="81"/>
      <c r="R334" s="81">
        <f>R160</f>
        <v>250000</v>
      </c>
      <c r="S334" s="697">
        <f>S160</f>
        <v>222500</v>
      </c>
      <c r="T334" s="81"/>
      <c r="U334" s="81"/>
    </row>
    <row r="335" spans="3:21" ht="12.75" customHeight="1">
      <c r="C335" s="33" t="s">
        <v>270</v>
      </c>
      <c r="E335" s="83"/>
      <c r="F335" s="33"/>
      <c r="G335" s="33"/>
      <c r="H335" s="697">
        <f>H165</f>
        <v>20029134</v>
      </c>
      <c r="I335" s="81"/>
      <c r="J335" s="81"/>
      <c r="K335" s="81"/>
      <c r="L335" s="81"/>
      <c r="M335" s="81"/>
      <c r="N335" s="81"/>
      <c r="O335" s="81">
        <f>O165</f>
        <v>5714545</v>
      </c>
      <c r="P335" s="81"/>
      <c r="Q335" s="81"/>
      <c r="R335" s="81">
        <f>R165</f>
        <v>5744545</v>
      </c>
      <c r="S335" s="697">
        <f>S165</f>
        <v>4856300</v>
      </c>
      <c r="T335" s="81"/>
      <c r="U335" s="81"/>
    </row>
    <row r="336" spans="3:21" ht="12.75" customHeight="1">
      <c r="C336" s="33" t="s">
        <v>355</v>
      </c>
      <c r="E336" s="83"/>
      <c r="F336" s="33"/>
      <c r="G336" s="33"/>
      <c r="H336" s="697">
        <f>H231</f>
        <v>296950</v>
      </c>
      <c r="I336" s="81"/>
      <c r="J336" s="81"/>
      <c r="K336" s="81"/>
      <c r="L336" s="81"/>
      <c r="M336" s="81"/>
      <c r="N336" s="81"/>
      <c r="O336" s="81">
        <f>O231</f>
        <v>21000</v>
      </c>
      <c r="P336" s="81"/>
      <c r="Q336" s="81"/>
      <c r="R336" s="81">
        <f>R231</f>
        <v>21000</v>
      </c>
      <c r="S336" s="697">
        <f>S231</f>
        <v>70000</v>
      </c>
      <c r="T336" s="81"/>
      <c r="U336" s="81"/>
    </row>
    <row r="337" spans="3:21" ht="12.75" customHeight="1">
      <c r="C337" s="33" t="s">
        <v>353</v>
      </c>
      <c r="E337" s="83"/>
      <c r="F337" s="33"/>
      <c r="G337" s="33"/>
      <c r="H337" s="697">
        <f>H238</f>
        <v>182445003.11000001</v>
      </c>
      <c r="I337" s="81"/>
      <c r="J337" s="81"/>
      <c r="K337" s="81"/>
      <c r="L337" s="81"/>
      <c r="M337" s="81"/>
      <c r="N337" s="81"/>
      <c r="O337" s="81">
        <f>O238</f>
        <v>53389608</v>
      </c>
      <c r="P337" s="81"/>
      <c r="Q337" s="81"/>
      <c r="R337" s="81">
        <f>R238</f>
        <v>53389608</v>
      </c>
      <c r="S337" s="697">
        <f>S238</f>
        <v>41797764</v>
      </c>
      <c r="T337" s="81"/>
      <c r="U337" s="81"/>
    </row>
    <row r="338" spans="3:21" ht="12.75" customHeight="1">
      <c r="C338" s="33" t="s">
        <v>356</v>
      </c>
      <c r="E338" s="83"/>
      <c r="F338" s="33"/>
      <c r="G338" s="33"/>
      <c r="H338" s="697">
        <f>H293</f>
        <v>60000</v>
      </c>
      <c r="I338" s="81"/>
      <c r="J338" s="81"/>
      <c r="K338" s="81"/>
      <c r="L338" s="81"/>
      <c r="M338" s="81"/>
      <c r="N338" s="81"/>
      <c r="O338" s="81">
        <f>O293</f>
        <v>60000</v>
      </c>
      <c r="P338" s="81"/>
      <c r="Q338" s="81"/>
      <c r="R338" s="81">
        <f>R293</f>
        <v>60000</v>
      </c>
      <c r="S338" s="697">
        <f>S293</f>
        <v>60000</v>
      </c>
      <c r="T338" s="81"/>
      <c r="U338" s="81"/>
    </row>
    <row r="339" spans="3:21" ht="12.75" customHeight="1">
      <c r="C339" s="33" t="s">
        <v>344</v>
      </c>
      <c r="E339" s="83"/>
      <c r="F339" s="33"/>
      <c r="G339" s="33"/>
      <c r="H339" s="697">
        <f>H295</f>
        <v>66132700</v>
      </c>
      <c r="I339" s="81"/>
      <c r="J339" s="81"/>
      <c r="K339" s="81"/>
      <c r="L339" s="81"/>
      <c r="M339" s="81"/>
      <c r="N339" s="81"/>
      <c r="O339" s="81">
        <f>O295</f>
        <v>1743994</v>
      </c>
      <c r="P339" s="81"/>
      <c r="Q339" s="81"/>
      <c r="R339" s="81">
        <f>R295</f>
        <v>1743994</v>
      </c>
      <c r="S339" s="697">
        <f>S295</f>
        <v>680000</v>
      </c>
      <c r="T339" s="81"/>
      <c r="U339" s="81"/>
    </row>
    <row r="340" spans="3:21" ht="12.75" customHeight="1">
      <c r="E340" s="83"/>
    </row>
    <row r="341" spans="3:21" ht="12.75" customHeight="1">
      <c r="C341" s="83" t="s">
        <v>356</v>
      </c>
      <c r="E341" s="83"/>
    </row>
    <row r="342" spans="3:21" ht="12.75" customHeight="1">
      <c r="C342" s="83" t="s">
        <v>358</v>
      </c>
      <c r="E342" s="83"/>
    </row>
    <row r="343" spans="3:21" ht="12.75" customHeight="1">
      <c r="E343" s="83"/>
    </row>
    <row r="344" spans="3:21" ht="12.75" customHeight="1">
      <c r="E344" s="83"/>
    </row>
    <row r="345" spans="3:21" ht="12.75" customHeight="1">
      <c r="E345" s="83"/>
      <c r="H345" s="695">
        <v>2017</v>
      </c>
      <c r="O345" s="81">
        <f ca="1">O346-O8</f>
        <v>0</v>
      </c>
      <c r="P345" s="81"/>
      <c r="R345" s="81">
        <f ca="1">R346-R8</f>
        <v>0</v>
      </c>
      <c r="S345" s="697">
        <f ca="1">S346-S8</f>
        <v>0</v>
      </c>
      <c r="T345" s="81"/>
      <c r="U345" s="81"/>
    </row>
    <row r="346" spans="3:21" ht="12.75" customHeight="1">
      <c r="C346" s="62" t="s">
        <v>637</v>
      </c>
      <c r="E346" s="83"/>
      <c r="F346" s="62"/>
      <c r="G346" s="62"/>
      <c r="H346" s="696">
        <f>SUM(H347:H362)</f>
        <v>109288441.48</v>
      </c>
      <c r="I346" s="57"/>
      <c r="J346" s="57"/>
      <c r="K346" s="57"/>
      <c r="L346" s="57"/>
      <c r="M346" s="57"/>
      <c r="N346" s="57"/>
      <c r="O346" s="57">
        <f ca="1">SUM(O347:O362)</f>
        <v>81833198</v>
      </c>
      <c r="P346" s="57"/>
      <c r="Q346" s="57"/>
      <c r="R346" s="57">
        <f ca="1">SUM(R347:R362)</f>
        <v>81833198</v>
      </c>
      <c r="S346" s="696">
        <f t="shared" ref="S346" ca="1" si="66">SUM(S347:S362)</f>
        <v>85477703</v>
      </c>
      <c r="T346" s="57"/>
      <c r="U346" s="57"/>
    </row>
    <row r="347" spans="3:21" ht="12.75" customHeight="1">
      <c r="C347" s="33" t="s">
        <v>345</v>
      </c>
      <c r="E347" s="83"/>
      <c r="F347" s="33"/>
      <c r="G347" s="33"/>
      <c r="H347" s="697">
        <v>30281770.379999999</v>
      </c>
      <c r="I347" s="81"/>
      <c r="J347" s="81"/>
      <c r="K347" s="81"/>
      <c r="L347" s="81"/>
      <c r="M347" s="81"/>
      <c r="N347" s="81"/>
      <c r="O347" s="81">
        <f ca="1">SUMIF($D$15:O$54,$D$49,O$15:O54)</f>
        <v>27451309</v>
      </c>
      <c r="P347" s="81"/>
      <c r="Q347" s="81"/>
      <c r="R347" s="81">
        <f ca="1">SUMIF($D$15:R$54,$D$49,R$15:R54)</f>
        <v>27451309</v>
      </c>
      <c r="S347" s="697">
        <f ca="1">SUMIF($D$15:S$54,$D$49,S$15:S54)</f>
        <v>29290000</v>
      </c>
      <c r="T347" s="81"/>
      <c r="U347" s="81"/>
    </row>
    <row r="348" spans="3:21" ht="12.75" customHeight="1">
      <c r="C348" s="33" t="s">
        <v>415</v>
      </c>
      <c r="E348" s="83"/>
      <c r="F348" s="33"/>
      <c r="G348" s="33"/>
      <c r="H348" s="697">
        <v>8436926.370000001</v>
      </c>
      <c r="I348" s="81"/>
      <c r="J348" s="81"/>
      <c r="K348" s="81"/>
      <c r="L348" s="81"/>
      <c r="M348" s="81"/>
      <c r="N348" s="81"/>
      <c r="O348" s="81">
        <f ca="1">SUMIF($D$55:O$103,$D$49,O$55:O103)</f>
        <v>7727522</v>
      </c>
      <c r="P348" s="81"/>
      <c r="Q348" s="81"/>
      <c r="R348" s="81">
        <f ca="1">SUMIF($D$55:R$103,$D$49,R$55:R103)</f>
        <v>7727522</v>
      </c>
      <c r="S348" s="697">
        <f ca="1">SUMIF($D$55:S$103,$D$49,S$55:S103)</f>
        <v>15598375</v>
      </c>
      <c r="T348" s="81"/>
      <c r="U348" s="81"/>
    </row>
    <row r="349" spans="3:21" ht="12.75" customHeight="1">
      <c r="C349" s="33" t="s">
        <v>347</v>
      </c>
      <c r="E349" s="83"/>
      <c r="F349" s="33"/>
      <c r="G349" s="33"/>
      <c r="H349" s="697">
        <v>10967588.630000001</v>
      </c>
      <c r="I349" s="81"/>
      <c r="J349" s="81"/>
      <c r="K349" s="81"/>
      <c r="L349" s="81"/>
      <c r="M349" s="81"/>
      <c r="N349" s="81"/>
      <c r="O349" s="81">
        <f ca="1">SUMIF($D$105:O$114,$D$49,O$105:O114)</f>
        <v>3091000</v>
      </c>
      <c r="P349" s="81"/>
      <c r="Q349" s="81"/>
      <c r="R349" s="81">
        <f ca="1">SUMIF($D$105:R$114,$D$49,R$105:R114)</f>
        <v>3091000</v>
      </c>
      <c r="S349" s="697">
        <f ca="1">SUMIF($D$105:S$114,$D$49,S$105:S114)</f>
        <v>1424350</v>
      </c>
      <c r="T349" s="81"/>
      <c r="U349" s="81"/>
    </row>
    <row r="350" spans="3:21" ht="12.75" customHeight="1">
      <c r="C350" s="33" t="s">
        <v>213</v>
      </c>
      <c r="E350" s="83"/>
      <c r="F350" s="33"/>
      <c r="G350" s="33"/>
      <c r="H350" s="697">
        <v>1995843.77</v>
      </c>
      <c r="I350" s="81"/>
      <c r="J350" s="81"/>
      <c r="K350" s="81"/>
      <c r="L350" s="81"/>
      <c r="M350" s="81"/>
      <c r="N350" s="81"/>
      <c r="O350" s="81">
        <f ca="1">SUMIF($D$116:O$132,$D$49,O$116:O132)</f>
        <v>2657340</v>
      </c>
      <c r="P350" s="81"/>
      <c r="Q350" s="81"/>
      <c r="R350" s="81">
        <f ca="1">SUMIF($D$116:R$132,$D$49,R$116:R132)</f>
        <v>2657340</v>
      </c>
      <c r="S350" s="697">
        <f ca="1">SUMIF($D$116:S$132,$D$49,S$116:S132)</f>
        <v>2439581</v>
      </c>
      <c r="T350" s="81"/>
      <c r="U350" s="81"/>
    </row>
    <row r="351" spans="3:21" ht="12.75" customHeight="1">
      <c r="C351" s="33" t="s">
        <v>234</v>
      </c>
      <c r="E351" s="83"/>
      <c r="F351" s="33"/>
      <c r="G351" s="33"/>
      <c r="H351" s="697">
        <v>242964</v>
      </c>
      <c r="I351" s="81"/>
      <c r="J351" s="81"/>
      <c r="K351" s="81"/>
      <c r="L351" s="81"/>
      <c r="M351" s="81"/>
      <c r="N351" s="81"/>
      <c r="O351" s="81">
        <f>O135</f>
        <v>155000</v>
      </c>
      <c r="P351" s="81"/>
      <c r="Q351" s="81"/>
      <c r="R351" s="81">
        <f>R135</f>
        <v>155000</v>
      </c>
      <c r="S351" s="697">
        <f>S135</f>
        <v>0</v>
      </c>
      <c r="T351" s="81"/>
      <c r="U351" s="81"/>
    </row>
    <row r="352" spans="3:21" ht="12.75" customHeight="1">
      <c r="C352" s="33" t="s">
        <v>349</v>
      </c>
      <c r="F352" s="33"/>
      <c r="G352" s="33"/>
      <c r="H352" s="697">
        <v>8122471.3699999992</v>
      </c>
      <c r="I352" s="81"/>
      <c r="J352" s="81"/>
      <c r="K352" s="81"/>
      <c r="L352" s="81"/>
      <c r="M352" s="81"/>
      <c r="N352" s="81"/>
      <c r="O352" s="81">
        <f ca="1">SUMIF($D$137:O$151,$D$49,O$137:O151)</f>
        <v>4743000</v>
      </c>
      <c r="P352" s="81"/>
      <c r="Q352" s="81"/>
      <c r="R352" s="81">
        <f ca="1">SUMIF($D$137:R$151,$D$49,R$137:R151)</f>
        <v>4743000</v>
      </c>
      <c r="S352" s="697">
        <f ca="1">SUMIF($D$137:S$151,$D$49,S$137:S151)</f>
        <v>8752297</v>
      </c>
      <c r="T352" s="81"/>
      <c r="U352" s="81"/>
    </row>
    <row r="353" spans="3:21" ht="12.75" customHeight="1">
      <c r="C353" s="33" t="s">
        <v>352</v>
      </c>
      <c r="F353" s="33"/>
      <c r="G353" s="33"/>
      <c r="H353" s="697">
        <v>21956425.600000001</v>
      </c>
      <c r="I353" s="81"/>
      <c r="J353" s="81"/>
      <c r="K353" s="81"/>
      <c r="L353" s="81"/>
      <c r="M353" s="81"/>
      <c r="N353" s="81"/>
      <c r="O353" s="81">
        <f ca="1">SUMIF($D$152:O$159,$D$49,O$152:O159)</f>
        <v>3543200</v>
      </c>
      <c r="P353" s="81"/>
      <c r="Q353" s="81"/>
      <c r="R353" s="81">
        <f ca="1">SUMIF($D$152:R$159,$D$49,R$152:R159)</f>
        <v>3543200</v>
      </c>
      <c r="S353" s="697">
        <f ca="1">SUMIF($D$152:S$159,$D$49,S$152:S159)</f>
        <v>950000</v>
      </c>
      <c r="T353" s="81"/>
      <c r="U353" s="81"/>
    </row>
    <row r="354" spans="3:21" ht="12.75" customHeight="1">
      <c r="C354" s="33" t="s">
        <v>325</v>
      </c>
      <c r="F354" s="33"/>
      <c r="G354" s="33"/>
      <c r="H354" s="697">
        <v>259211.91</v>
      </c>
      <c r="I354" s="81"/>
      <c r="J354" s="81"/>
      <c r="K354" s="81"/>
      <c r="L354" s="81"/>
      <c r="M354" s="81"/>
      <c r="N354" s="81"/>
      <c r="O354" s="81">
        <f>O162</f>
        <v>125000</v>
      </c>
      <c r="P354" s="81"/>
      <c r="Q354" s="81"/>
      <c r="R354" s="81">
        <f>R162</f>
        <v>125000</v>
      </c>
      <c r="S354" s="697">
        <f>S162</f>
        <v>111250</v>
      </c>
      <c r="T354" s="81"/>
      <c r="U354" s="81"/>
    </row>
    <row r="355" spans="3:21" ht="12.75" customHeight="1">
      <c r="C355" s="33" t="s">
        <v>270</v>
      </c>
      <c r="F355" s="33"/>
      <c r="G355" s="33"/>
      <c r="H355" s="697">
        <v>4222672.63</v>
      </c>
      <c r="I355" s="81"/>
      <c r="J355" s="81"/>
      <c r="K355" s="81"/>
      <c r="L355" s="81"/>
      <c r="M355" s="81"/>
      <c r="N355" s="81"/>
      <c r="O355" s="81">
        <f ca="1">SUMIF($D$165:O$230,$D$49,O$165:O230)</f>
        <v>5227545</v>
      </c>
      <c r="P355" s="81"/>
      <c r="Q355" s="81"/>
      <c r="R355" s="81">
        <f ca="1">SUMIF($D$165:R$230,$D$49,R$165:R230)</f>
        <v>5227545</v>
      </c>
      <c r="S355" s="697">
        <f ca="1">SUMIF($D$165:S$230,$D$49,S$165:S230)</f>
        <v>4376270</v>
      </c>
      <c r="T355" s="81"/>
      <c r="U355" s="81"/>
    </row>
    <row r="356" spans="3:21" ht="12.75" customHeight="1">
      <c r="C356" s="33" t="s">
        <v>355</v>
      </c>
      <c r="F356" s="33"/>
      <c r="G356" s="33"/>
      <c r="H356" s="697">
        <v>7429.5899999999965</v>
      </c>
      <c r="I356" s="81"/>
      <c r="J356" s="81"/>
      <c r="K356" s="81"/>
      <c r="L356" s="81"/>
      <c r="M356" s="81"/>
      <c r="N356" s="81"/>
      <c r="O356" s="81">
        <f ca="1">SUMIF($D$232:O$237,$D$49,O$232:O237)</f>
        <v>3150</v>
      </c>
      <c r="P356" s="81"/>
      <c r="Q356" s="81"/>
      <c r="R356" s="81">
        <f ca="1">SUMIF($D$232:R$237,$D$49,R$232:R237)</f>
        <v>3150</v>
      </c>
      <c r="S356" s="697">
        <f ca="1">SUMIF($D$232:S$237,$D$49,S$232:S237)</f>
        <v>10920</v>
      </c>
      <c r="T356" s="81"/>
      <c r="U356" s="81"/>
    </row>
    <row r="357" spans="3:21" ht="12.75" customHeight="1">
      <c r="C357" s="33" t="s">
        <v>353</v>
      </c>
      <c r="F357" s="33"/>
      <c r="G357" s="33"/>
      <c r="H357" s="697">
        <v>22567668.18</v>
      </c>
      <c r="I357" s="81"/>
      <c r="J357" s="81"/>
      <c r="K357" s="81"/>
      <c r="L357" s="81"/>
      <c r="M357" s="81"/>
      <c r="N357" s="81"/>
      <c r="O357" s="81">
        <f ca="1">SUMIF($D$238:O$292,$D$49,O$238:O292)-O241</f>
        <v>25305138</v>
      </c>
      <c r="P357" s="81"/>
      <c r="Q357" s="81"/>
      <c r="R357" s="81">
        <f ca="1">SUMIF($D$238:R$292,$D$49,R$238:R292)-R241</f>
        <v>25305138</v>
      </c>
      <c r="S357" s="697">
        <f ca="1">SUMIF($D$238:S$292,$D$49,S$238:S292)-S241</f>
        <v>21784660</v>
      </c>
      <c r="T357" s="81"/>
      <c r="U357" s="81"/>
    </row>
    <row r="358" spans="3:21" ht="12.75" customHeight="1">
      <c r="C358" s="33" t="s">
        <v>356</v>
      </c>
      <c r="F358" s="33"/>
      <c r="G358" s="33"/>
      <c r="H358" s="697"/>
      <c r="I358" s="81"/>
      <c r="J358" s="81"/>
      <c r="K358" s="81"/>
      <c r="L358" s="81"/>
      <c r="M358" s="81"/>
      <c r="N358" s="81"/>
      <c r="O358" s="81">
        <f>O294</f>
        <v>60000</v>
      </c>
      <c r="P358" s="81"/>
      <c r="Q358" s="81"/>
      <c r="R358" s="81">
        <f>R294</f>
        <v>60000</v>
      </c>
      <c r="S358" s="697">
        <f t="shared" ref="S358" si="67">S294</f>
        <v>60000</v>
      </c>
      <c r="T358" s="81"/>
      <c r="U358" s="81"/>
    </row>
    <row r="359" spans="3:21" ht="12.75" customHeight="1">
      <c r="C359" s="33" t="s">
        <v>344</v>
      </c>
      <c r="F359" s="33"/>
      <c r="G359" s="33"/>
      <c r="H359" s="697">
        <v>155398.96</v>
      </c>
      <c r="I359" s="81"/>
      <c r="J359" s="81"/>
      <c r="K359" s="81"/>
      <c r="L359" s="81"/>
      <c r="M359" s="81"/>
      <c r="N359" s="81"/>
      <c r="O359" s="81">
        <f>O295</f>
        <v>1743994</v>
      </c>
      <c r="P359" s="81"/>
      <c r="Q359" s="81"/>
      <c r="R359" s="81">
        <f>R295</f>
        <v>1743994</v>
      </c>
      <c r="S359" s="697">
        <f t="shared" ref="S359" si="68">S295</f>
        <v>680000</v>
      </c>
      <c r="T359" s="81"/>
      <c r="U359" s="81"/>
    </row>
    <row r="360" spans="3:21" ht="12.75" customHeight="1"/>
    <row r="361" spans="3:21" ht="12.75" customHeight="1">
      <c r="C361" s="83" t="s">
        <v>356</v>
      </c>
      <c r="H361" s="697">
        <v>33408</v>
      </c>
      <c r="I361" s="81"/>
      <c r="J361" s="81"/>
      <c r="K361" s="81"/>
      <c r="L361" s="81"/>
      <c r="M361" s="81"/>
      <c r="N361" s="81"/>
      <c r="Q361" s="81"/>
    </row>
    <row r="362" spans="3:21" ht="12.75" customHeight="1">
      <c r="C362" s="83" t="s">
        <v>358</v>
      </c>
      <c r="H362" s="697">
        <v>38662.089999999997</v>
      </c>
      <c r="I362" s="81"/>
      <c r="J362" s="81"/>
      <c r="K362" s="81"/>
      <c r="L362" s="81"/>
      <c r="M362" s="81"/>
      <c r="N362" s="81"/>
      <c r="Q362" s="81"/>
    </row>
    <row r="363" spans="3:21" ht="12.75" customHeight="1"/>
    <row r="364" spans="3:21" ht="12.75" customHeight="1"/>
    <row r="365" spans="3:21" ht="12.75" customHeight="1"/>
    <row r="366" spans="3:21" ht="12.75" customHeight="1">
      <c r="H366" s="697"/>
      <c r="I366" s="81"/>
      <c r="J366" s="81"/>
      <c r="K366" s="81"/>
      <c r="L366" s="81"/>
      <c r="M366" s="81"/>
      <c r="N366" s="81"/>
      <c r="Q366" s="81"/>
    </row>
    <row r="367" spans="3:21" ht="12.75" customHeight="1"/>
    <row r="368" spans="3:21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437" spans="5:5">
      <c r="E437" s="83"/>
    </row>
  </sheetData>
  <autoFilter ref="C4:T306"/>
  <mergeCells count="13">
    <mergeCell ref="J3:N3"/>
    <mergeCell ref="J4:N4"/>
    <mergeCell ref="S324:S325"/>
    <mergeCell ref="T4:T5"/>
    <mergeCell ref="I4:I5"/>
    <mergeCell ref="U4:U5"/>
    <mergeCell ref="C4:C5"/>
    <mergeCell ref="E4:E5"/>
    <mergeCell ref="D4:D5"/>
    <mergeCell ref="H4:H5"/>
    <mergeCell ref="S4:S5"/>
    <mergeCell ref="F4:F5"/>
    <mergeCell ref="G4:G5"/>
  </mergeCells>
  <printOptions gridLines="1"/>
  <pageMargins left="0.19685039370078741" right="0.19685039370078741" top="0.47244094488188981" bottom="0.98425196850393704" header="0.23622047244094491" footer="0.19685039370078741"/>
  <pageSetup paperSize="9" scale="73" orientation="portrait" r:id="rId1"/>
  <headerFooter alignWithMargins="0">
    <oddFooter>&amp;C&amp;P/&amp;N&amp;R&amp;D&amp;T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32"/>
  <sheetViews>
    <sheetView showZeros="0" zoomScaleNormal="100" workbookViewId="0">
      <pane ySplit="5" topLeftCell="A6" activePane="bottomLeft" state="frozen"/>
      <selection activeCell="J31" sqref="J31"/>
      <selection pane="bottomLeft"/>
    </sheetView>
  </sheetViews>
  <sheetFormatPr defaultColWidth="9.140625" defaultRowHeight="12.75"/>
  <cols>
    <col min="1" max="1" width="50" style="83" customWidth="1"/>
    <col min="2" max="2" width="4.5703125" style="83" customWidth="1"/>
    <col min="3" max="3" width="11.5703125" style="346" bestFit="1" customWidth="1"/>
    <col min="4" max="4" width="15.28515625" style="83" customWidth="1"/>
    <col min="5" max="5" width="14.85546875" style="83" customWidth="1"/>
    <col min="6" max="6" width="15.28515625" style="83" customWidth="1"/>
    <col min="7" max="7" width="15.85546875" style="83" customWidth="1"/>
    <col min="8" max="8" width="12.7109375" style="83" bestFit="1" customWidth="1"/>
    <col min="9" max="9" width="6" style="83" bestFit="1" customWidth="1"/>
    <col min="10" max="10" width="7.7109375" style="83" bestFit="1" customWidth="1"/>
    <col min="11" max="11" width="15.7109375" style="83" bestFit="1" customWidth="1"/>
    <col min="12" max="12" width="5.42578125" style="83" bestFit="1" customWidth="1"/>
    <col min="13" max="13" width="12.42578125" style="83" bestFit="1" customWidth="1"/>
    <col min="14" max="14" width="10.7109375" style="83" bestFit="1" customWidth="1"/>
    <col min="15" max="16384" width="9.140625" style="83"/>
  </cols>
  <sheetData>
    <row r="1" spans="1:16" ht="15">
      <c r="A1" s="279" t="s">
        <v>876</v>
      </c>
      <c r="B1" s="281"/>
      <c r="C1" s="280"/>
      <c r="D1" s="279"/>
      <c r="E1" s="279"/>
      <c r="F1" s="279"/>
      <c r="G1" s="421"/>
      <c r="H1" s="421"/>
      <c r="I1" s="421"/>
      <c r="J1" s="421"/>
      <c r="K1" s="421"/>
      <c r="L1" s="421"/>
      <c r="M1" s="594" t="s">
        <v>908</v>
      </c>
      <c r="P1" s="33"/>
    </row>
    <row r="2" spans="1:16">
      <c r="A2" s="417"/>
      <c r="C2" s="282"/>
      <c r="D2" s="417"/>
      <c r="E2" s="417"/>
      <c r="F2" s="417"/>
      <c r="G2" s="282"/>
      <c r="H2" s="282"/>
      <c r="I2" s="282"/>
      <c r="J2" s="282"/>
      <c r="K2" s="282"/>
      <c r="L2" s="282"/>
      <c r="M2" s="282"/>
      <c r="P2" s="33"/>
    </row>
    <row r="3" spans="1:16">
      <c r="A3" s="417"/>
      <c r="C3" s="282"/>
      <c r="D3" s="417"/>
      <c r="E3" s="417"/>
      <c r="F3" s="417"/>
      <c r="G3" s="283"/>
      <c r="H3" s="1094"/>
      <c r="I3" s="1094"/>
      <c r="J3" s="1094"/>
      <c r="K3" s="1094"/>
      <c r="L3" s="1094"/>
      <c r="M3" s="283"/>
      <c r="P3" s="33"/>
    </row>
    <row r="4" spans="1:16" ht="12.75" customHeight="1">
      <c r="A4" s="1088" t="s">
        <v>389</v>
      </c>
      <c r="B4" s="1090" t="s">
        <v>391</v>
      </c>
      <c r="C4" s="1086" t="s">
        <v>879</v>
      </c>
      <c r="D4" s="1086" t="s">
        <v>874</v>
      </c>
      <c r="E4" s="1086" t="s">
        <v>839</v>
      </c>
      <c r="F4" s="1086" t="s">
        <v>803</v>
      </c>
      <c r="G4" s="1086" t="s">
        <v>838</v>
      </c>
      <c r="H4" s="1095" t="s">
        <v>777</v>
      </c>
      <c r="I4" s="1096"/>
      <c r="J4" s="1096"/>
      <c r="K4" s="1096"/>
      <c r="L4" s="1097"/>
      <c r="M4" s="1086" t="s">
        <v>843</v>
      </c>
      <c r="N4" s="1086" t="s">
        <v>877</v>
      </c>
    </row>
    <row r="5" spans="1:16" ht="30" customHeight="1">
      <c r="A5" s="1088"/>
      <c r="B5" s="1090"/>
      <c r="C5" s="1087"/>
      <c r="D5" s="1087"/>
      <c r="E5" s="1087"/>
      <c r="F5" s="1087"/>
      <c r="G5" s="1087"/>
      <c r="H5" s="767" t="s">
        <v>799</v>
      </c>
      <c r="I5" s="767" t="s">
        <v>801</v>
      </c>
      <c r="J5" s="767" t="s">
        <v>800</v>
      </c>
      <c r="K5" s="767" t="s">
        <v>802</v>
      </c>
      <c r="L5" s="767" t="s">
        <v>438</v>
      </c>
      <c r="M5" s="1087"/>
      <c r="N5" s="1087"/>
    </row>
    <row r="6" spans="1:16" ht="24" customHeight="1">
      <c r="A6" s="378" t="s">
        <v>320</v>
      </c>
      <c r="B6" s="380"/>
      <c r="C6" s="379"/>
      <c r="D6" s="719"/>
      <c r="E6" s="719"/>
      <c r="F6" s="719"/>
      <c r="G6" s="641"/>
      <c r="H6" s="641"/>
      <c r="I6" s="641"/>
      <c r="J6" s="641"/>
      <c r="K6" s="641"/>
      <c r="L6" s="641"/>
      <c r="M6" s="380"/>
      <c r="N6" s="380"/>
    </row>
    <row r="7" spans="1:16" ht="15">
      <c r="A7" s="382" t="s">
        <v>551</v>
      </c>
      <c r="B7" s="389" t="s">
        <v>46</v>
      </c>
      <c r="C7" s="381"/>
      <c r="D7" s="642"/>
      <c r="E7" s="642"/>
      <c r="F7" s="642"/>
      <c r="G7" s="642"/>
      <c r="H7" s="642"/>
      <c r="I7" s="642"/>
      <c r="J7" s="642"/>
      <c r="K7" s="642"/>
      <c r="L7" s="642"/>
      <c r="M7" s="382"/>
      <c r="N7" s="382"/>
    </row>
    <row r="8" spans="1:16" ht="14.25">
      <c r="A8" s="383" t="s">
        <v>110</v>
      </c>
      <c r="B8" s="385" t="s">
        <v>25</v>
      </c>
      <c r="C8" s="384"/>
      <c r="D8" s="720"/>
      <c r="E8" s="720"/>
      <c r="F8" s="720"/>
      <c r="G8" s="643"/>
      <c r="H8" s="643"/>
      <c r="I8" s="643"/>
      <c r="J8" s="643"/>
      <c r="K8" s="643"/>
      <c r="L8" s="643"/>
      <c r="M8" s="386"/>
      <c r="N8" s="386"/>
    </row>
    <row r="9" spans="1:16" ht="14.25">
      <c r="A9" s="383"/>
      <c r="B9" s="385" t="s">
        <v>26</v>
      </c>
      <c r="C9" s="384"/>
      <c r="D9" s="720"/>
      <c r="E9" s="720"/>
      <c r="F9" s="720"/>
      <c r="G9" s="643"/>
      <c r="H9" s="643"/>
      <c r="I9" s="643"/>
      <c r="J9" s="643"/>
      <c r="K9" s="643"/>
      <c r="L9" s="643"/>
      <c r="M9" s="386"/>
      <c r="N9" s="386"/>
    </row>
    <row r="10" spans="1:16" ht="14.25">
      <c r="A10" s="383"/>
      <c r="B10" s="385" t="s">
        <v>138</v>
      </c>
      <c r="C10" s="384"/>
      <c r="D10" s="720"/>
      <c r="E10" s="720"/>
      <c r="F10" s="720"/>
      <c r="G10" s="643"/>
      <c r="H10" s="643"/>
      <c r="I10" s="643"/>
      <c r="J10" s="643"/>
      <c r="K10" s="643"/>
      <c r="L10" s="643"/>
      <c r="M10" s="386"/>
      <c r="N10" s="386"/>
    </row>
    <row r="11" spans="1:16" ht="14.25">
      <c r="A11" s="383"/>
      <c r="B11" s="385" t="s">
        <v>134</v>
      </c>
      <c r="C11" s="384"/>
      <c r="D11" s="720"/>
      <c r="E11" s="720"/>
      <c r="F11" s="720"/>
      <c r="G11" s="643"/>
      <c r="H11" s="643"/>
      <c r="I11" s="643"/>
      <c r="J11" s="643"/>
      <c r="K11" s="643"/>
      <c r="L11" s="643"/>
      <c r="M11" s="386"/>
      <c r="N11" s="386"/>
    </row>
    <row r="12" spans="1:16" ht="14.25">
      <c r="A12" s="387"/>
      <c r="B12" s="385" t="s">
        <v>111</v>
      </c>
      <c r="C12" s="384"/>
      <c r="D12" s="721"/>
      <c r="E12" s="721"/>
      <c r="F12" s="721"/>
      <c r="G12" s="643"/>
      <c r="H12" s="643"/>
      <c r="I12" s="643"/>
      <c r="J12" s="643"/>
      <c r="K12" s="643"/>
      <c r="L12" s="643"/>
      <c r="M12" s="386"/>
      <c r="N12" s="386"/>
    </row>
    <row r="13" spans="1:16" ht="15">
      <c r="A13" s="285"/>
      <c r="B13" s="287"/>
      <c r="C13" s="286"/>
      <c r="D13" s="722"/>
      <c r="E13" s="722"/>
      <c r="F13" s="722"/>
      <c r="G13" s="644"/>
      <c r="H13" s="644"/>
      <c r="I13" s="644"/>
      <c r="J13" s="644"/>
      <c r="K13" s="644"/>
      <c r="L13" s="644"/>
      <c r="M13" s="287"/>
      <c r="N13" s="287"/>
    </row>
    <row r="14" spans="1:16" s="82" customFormat="1">
      <c r="A14" s="218" t="s">
        <v>388</v>
      </c>
      <c r="B14" s="289" t="s">
        <v>113</v>
      </c>
      <c r="C14" s="288"/>
      <c r="D14" s="723"/>
      <c r="E14" s="723"/>
      <c r="F14" s="723"/>
      <c r="G14" s="645"/>
      <c r="H14" s="645"/>
      <c r="I14" s="645"/>
      <c r="J14" s="645"/>
      <c r="K14" s="645"/>
      <c r="L14" s="645"/>
      <c r="M14" s="226"/>
      <c r="N14" s="226"/>
    </row>
    <row r="15" spans="1:16" ht="14.25">
      <c r="A15" s="221" t="s">
        <v>840</v>
      </c>
      <c r="B15" s="385" t="s">
        <v>113</v>
      </c>
      <c r="C15" s="798"/>
      <c r="D15" s="397"/>
      <c r="E15" s="397"/>
      <c r="F15" s="397"/>
      <c r="G15" s="399"/>
      <c r="H15" s="399"/>
      <c r="I15" s="399"/>
      <c r="J15" s="399"/>
      <c r="K15" s="399"/>
      <c r="L15" s="399"/>
      <c r="M15" s="225"/>
      <c r="N15" s="225"/>
    </row>
    <row r="16" spans="1:16" ht="14.25">
      <c r="A16" s="383" t="s">
        <v>110</v>
      </c>
      <c r="B16" s="385" t="s">
        <v>25</v>
      </c>
      <c r="C16" s="296"/>
      <c r="D16" s="726"/>
      <c r="E16" s="763"/>
      <c r="F16" s="763"/>
      <c r="G16" s="232"/>
      <c r="H16" s="232"/>
      <c r="I16" s="232"/>
      <c r="J16" s="232"/>
      <c r="K16" s="232"/>
      <c r="L16" s="232"/>
      <c r="M16" s="225"/>
      <c r="N16" s="225"/>
    </row>
    <row r="17" spans="1:14" ht="14.25">
      <c r="A17" s="383"/>
      <c r="B17" s="385" t="s">
        <v>26</v>
      </c>
      <c r="C17" s="296"/>
      <c r="D17" s="397"/>
      <c r="E17" s="764"/>
      <c r="F17" s="764"/>
      <c r="G17" s="232"/>
      <c r="H17" s="232"/>
      <c r="I17" s="232"/>
      <c r="J17" s="232"/>
      <c r="K17" s="232"/>
      <c r="L17" s="232"/>
      <c r="M17" s="225"/>
      <c r="N17" s="225"/>
    </row>
    <row r="18" spans="1:14" ht="14.25">
      <c r="A18" s="383"/>
      <c r="B18" s="385" t="s">
        <v>138</v>
      </c>
      <c r="C18" s="398"/>
      <c r="D18" s="397"/>
      <c r="E18" s="764"/>
      <c r="F18" s="764"/>
      <c r="G18" s="232"/>
      <c r="H18" s="232"/>
      <c r="I18" s="232"/>
      <c r="J18" s="232"/>
      <c r="K18" s="232"/>
      <c r="L18" s="232"/>
      <c r="M18" s="399"/>
      <c r="N18" s="399"/>
    </row>
    <row r="19" spans="1:14" ht="14.25">
      <c r="A19" s="383"/>
      <c r="B19" s="385" t="s">
        <v>134</v>
      </c>
      <c r="C19" s="398"/>
      <c r="D19" s="397"/>
      <c r="E19" s="764"/>
      <c r="F19" s="764"/>
      <c r="G19" s="232"/>
      <c r="H19" s="232"/>
      <c r="I19" s="232"/>
      <c r="J19" s="232"/>
      <c r="K19" s="232"/>
      <c r="L19" s="232"/>
      <c r="M19" s="399"/>
      <c r="N19" s="399"/>
    </row>
    <row r="20" spans="1:14" ht="14.25">
      <c r="A20" s="387"/>
      <c r="B20" s="385" t="s">
        <v>111</v>
      </c>
      <c r="C20" s="398"/>
      <c r="D20" s="397"/>
      <c r="E20" s="764"/>
      <c r="F20" s="764"/>
      <c r="G20" s="232"/>
      <c r="H20" s="232"/>
      <c r="I20" s="232"/>
      <c r="J20" s="232"/>
      <c r="K20" s="232"/>
      <c r="L20" s="232"/>
      <c r="M20" s="399"/>
      <c r="N20" s="399"/>
    </row>
    <row r="21" spans="1:14" ht="14.25">
      <c r="A21" s="221" t="s">
        <v>841</v>
      </c>
      <c r="B21" s="385" t="s">
        <v>113</v>
      </c>
      <c r="C21" s="798"/>
      <c r="D21" s="397"/>
      <c r="E21" s="397"/>
      <c r="F21" s="397"/>
      <c r="G21" s="399"/>
      <c r="H21" s="399"/>
      <c r="I21" s="399"/>
      <c r="J21" s="399"/>
      <c r="K21" s="399"/>
      <c r="L21" s="399"/>
      <c r="M21" s="225"/>
      <c r="N21" s="225"/>
    </row>
    <row r="22" spans="1:14" ht="14.25">
      <c r="A22" s="383" t="s">
        <v>110</v>
      </c>
      <c r="B22" s="385" t="s">
        <v>25</v>
      </c>
      <c r="C22" s="296"/>
      <c r="D22" s="726"/>
      <c r="E22" s="763"/>
      <c r="F22" s="763"/>
      <c r="G22" s="232"/>
      <c r="H22" s="232"/>
      <c r="I22" s="232"/>
      <c r="J22" s="232"/>
      <c r="K22" s="232"/>
      <c r="L22" s="232"/>
      <c r="M22" s="225"/>
      <c r="N22" s="225"/>
    </row>
    <row r="23" spans="1:14" ht="14.25">
      <c r="A23" s="383"/>
      <c r="B23" s="385" t="s">
        <v>26</v>
      </c>
      <c r="C23" s="296"/>
      <c r="D23" s="397"/>
      <c r="E23" s="764"/>
      <c r="F23" s="764"/>
      <c r="G23" s="232"/>
      <c r="H23" s="232"/>
      <c r="I23" s="232"/>
      <c r="J23" s="232"/>
      <c r="K23" s="232"/>
      <c r="L23" s="232"/>
      <c r="M23" s="225"/>
      <c r="N23" s="225"/>
    </row>
    <row r="24" spans="1:14" ht="14.25">
      <c r="A24" s="383"/>
      <c r="B24" s="385" t="s">
        <v>138</v>
      </c>
      <c r="C24" s="398"/>
      <c r="D24" s="397"/>
      <c r="E24" s="764"/>
      <c r="F24" s="764"/>
      <c r="G24" s="232"/>
      <c r="H24" s="232"/>
      <c r="I24" s="232"/>
      <c r="J24" s="232"/>
      <c r="K24" s="232"/>
      <c r="L24" s="232"/>
      <c r="M24" s="399"/>
      <c r="N24" s="399"/>
    </row>
    <row r="25" spans="1:14" ht="14.25">
      <c r="A25" s="383"/>
      <c r="B25" s="385" t="s">
        <v>134</v>
      </c>
      <c r="C25" s="398"/>
      <c r="D25" s="397"/>
      <c r="E25" s="764"/>
      <c r="F25" s="764"/>
      <c r="G25" s="232"/>
      <c r="H25" s="232"/>
      <c r="I25" s="232"/>
      <c r="J25" s="232"/>
      <c r="K25" s="232"/>
      <c r="L25" s="232"/>
      <c r="M25" s="399"/>
      <c r="N25" s="399"/>
    </row>
    <row r="26" spans="1:14" ht="14.25">
      <c r="A26" s="387"/>
      <c r="B26" s="385" t="s">
        <v>111</v>
      </c>
      <c r="C26" s="398"/>
      <c r="D26" s="397"/>
      <c r="E26" s="764"/>
      <c r="F26" s="764"/>
      <c r="G26" s="232"/>
      <c r="H26" s="232"/>
      <c r="I26" s="232"/>
      <c r="J26" s="232"/>
      <c r="K26" s="232"/>
      <c r="L26" s="232"/>
      <c r="M26" s="399"/>
      <c r="N26" s="399"/>
    </row>
    <row r="27" spans="1:14" ht="14.25">
      <c r="A27" s="221" t="s">
        <v>842</v>
      </c>
      <c r="B27" s="385" t="s">
        <v>113</v>
      </c>
      <c r="C27" s="798"/>
      <c r="D27" s="397"/>
      <c r="E27" s="397"/>
      <c r="F27" s="397"/>
      <c r="G27" s="399"/>
      <c r="H27" s="399"/>
      <c r="I27" s="399"/>
      <c r="J27" s="399"/>
      <c r="K27" s="399"/>
      <c r="L27" s="399"/>
      <c r="M27" s="225"/>
      <c r="N27" s="225"/>
    </row>
    <row r="28" spans="1:14" ht="14.25">
      <c r="A28" s="383" t="s">
        <v>110</v>
      </c>
      <c r="B28" s="385" t="s">
        <v>25</v>
      </c>
      <c r="C28" s="296"/>
      <c r="D28" s="726"/>
      <c r="E28" s="763"/>
      <c r="F28" s="763"/>
      <c r="G28" s="232"/>
      <c r="H28" s="232"/>
      <c r="I28" s="232"/>
      <c r="J28" s="232"/>
      <c r="K28" s="232"/>
      <c r="L28" s="232"/>
      <c r="M28" s="225"/>
      <c r="N28" s="225"/>
    </row>
    <row r="29" spans="1:14" ht="14.25">
      <c r="A29" s="383"/>
      <c r="B29" s="385" t="s">
        <v>26</v>
      </c>
      <c r="C29" s="296"/>
      <c r="D29" s="397"/>
      <c r="E29" s="764"/>
      <c r="F29" s="764"/>
      <c r="G29" s="232"/>
      <c r="H29" s="232"/>
      <c r="I29" s="232"/>
      <c r="J29" s="232"/>
      <c r="K29" s="232"/>
      <c r="L29" s="232"/>
      <c r="M29" s="225"/>
      <c r="N29" s="225"/>
    </row>
    <row r="30" spans="1:14" ht="14.25">
      <c r="A30" s="383"/>
      <c r="B30" s="385" t="s">
        <v>138</v>
      </c>
      <c r="C30" s="398"/>
      <c r="D30" s="397"/>
      <c r="E30" s="764"/>
      <c r="F30" s="764"/>
      <c r="G30" s="232"/>
      <c r="H30" s="232"/>
      <c r="I30" s="232"/>
      <c r="J30" s="232"/>
      <c r="K30" s="232"/>
      <c r="L30" s="232"/>
      <c r="M30" s="399"/>
      <c r="N30" s="399"/>
    </row>
    <row r="31" spans="1:14" ht="14.25">
      <c r="A31" s="383"/>
      <c r="B31" s="385" t="s">
        <v>134</v>
      </c>
      <c r="C31" s="398"/>
      <c r="D31" s="397"/>
      <c r="E31" s="764"/>
      <c r="F31" s="764"/>
      <c r="G31" s="232"/>
      <c r="H31" s="232"/>
      <c r="I31" s="232"/>
      <c r="J31" s="232"/>
      <c r="K31" s="232"/>
      <c r="L31" s="232"/>
      <c r="M31" s="399"/>
      <c r="N31" s="399"/>
    </row>
    <row r="32" spans="1:14" ht="14.25">
      <c r="A32" s="387"/>
      <c r="B32" s="385" t="s">
        <v>111</v>
      </c>
      <c r="C32" s="398"/>
      <c r="D32" s="397"/>
      <c r="E32" s="397"/>
      <c r="F32" s="397"/>
      <c r="G32" s="403"/>
      <c r="H32" s="403"/>
      <c r="I32" s="403"/>
      <c r="J32" s="403"/>
      <c r="K32" s="403"/>
      <c r="L32" s="403"/>
      <c r="M32" s="399"/>
      <c r="N32" s="399"/>
    </row>
  </sheetData>
  <autoFilter ref="A4:M32"/>
  <mergeCells count="11">
    <mergeCell ref="N4:N5"/>
    <mergeCell ref="M4:M5"/>
    <mergeCell ref="E4:E5"/>
    <mergeCell ref="H3:L3"/>
    <mergeCell ref="A4:A5"/>
    <mergeCell ref="B4:B5"/>
    <mergeCell ref="C4:C5"/>
    <mergeCell ref="D4:D5"/>
    <mergeCell ref="F4:F5"/>
    <mergeCell ref="G4:G5"/>
    <mergeCell ref="H4:L4"/>
  </mergeCells>
  <printOptions gridLines="1"/>
  <pageMargins left="0.19685039370078741" right="0.19685039370078741" top="0.47244094488188981" bottom="0.98425196850393704" header="0.23622047244094491" footer="0.19685039370078741"/>
  <pageSetup paperSize="9" scale="73" orientation="portrait" r:id="rId1"/>
  <headerFooter alignWithMargins="0">
    <oddFooter>&amp;C&amp;P/&amp;N&amp;R&amp;D&amp;T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30"/>
  <sheetViews>
    <sheetView showZeros="0" zoomScaleNormal="100" workbookViewId="0"/>
  </sheetViews>
  <sheetFormatPr defaultRowHeight="12.75"/>
  <cols>
    <col min="1" max="1" width="59.28515625" bestFit="1" customWidth="1"/>
    <col min="2" max="2" width="10.140625" style="83" customWidth="1"/>
    <col min="3" max="3" width="10.140625" style="63" bestFit="1" customWidth="1"/>
    <col min="4" max="4" width="10.140625" bestFit="1" customWidth="1"/>
  </cols>
  <sheetData>
    <row r="1" spans="1:4" ht="15">
      <c r="A1" s="35" t="s">
        <v>41</v>
      </c>
      <c r="B1" s="35"/>
    </row>
    <row r="2" spans="1:4" s="83" customFormat="1" ht="12.75" customHeight="1">
      <c r="A2" s="35"/>
      <c r="B2" s="35"/>
      <c r="C2" s="63"/>
    </row>
    <row r="3" spans="1:4">
      <c r="C3" s="266"/>
      <c r="D3" s="265"/>
    </row>
    <row r="4" spans="1:4" ht="25.5">
      <c r="A4" s="33"/>
      <c r="B4" s="268" t="s">
        <v>375</v>
      </c>
      <c r="C4" s="267">
        <v>2018</v>
      </c>
      <c r="D4" s="268" t="s">
        <v>374</v>
      </c>
    </row>
    <row r="5" spans="1:4">
      <c r="A5" s="64" t="s">
        <v>42</v>
      </c>
      <c r="B5" s="132">
        <v>30000000</v>
      </c>
      <c r="C5" s="132">
        <f>C6</f>
        <v>30000000</v>
      </c>
      <c r="D5" s="132">
        <f t="shared" ref="D5" si="0">D6</f>
        <v>35000000</v>
      </c>
    </row>
    <row r="6" spans="1:4">
      <c r="A6" s="65" t="s">
        <v>87</v>
      </c>
      <c r="B6" s="133">
        <v>30000000</v>
      </c>
      <c r="C6" s="133">
        <v>30000000</v>
      </c>
      <c r="D6" s="133">
        <v>35000000</v>
      </c>
    </row>
    <row r="7" spans="1:4">
      <c r="A7" s="33"/>
      <c r="B7" s="133"/>
      <c r="C7" s="133"/>
      <c r="D7" s="133"/>
    </row>
    <row r="8" spans="1:4">
      <c r="A8" s="64" t="s">
        <v>43</v>
      </c>
      <c r="B8" s="132">
        <v>9913194.6899999995</v>
      </c>
      <c r="C8" s="132">
        <f>C9</f>
        <v>18489583</v>
      </c>
      <c r="D8" s="132">
        <f>D9</f>
        <v>18489583</v>
      </c>
    </row>
    <row r="9" spans="1:4">
      <c r="A9" s="65" t="s">
        <v>87</v>
      </c>
      <c r="B9" s="133">
        <v>9913194.6899999995</v>
      </c>
      <c r="C9" s="133">
        <v>18489583</v>
      </c>
      <c r="D9" s="133">
        <v>18489583</v>
      </c>
    </row>
    <row r="10" spans="1:4">
      <c r="A10" s="65"/>
      <c r="B10" s="133"/>
      <c r="C10" s="133"/>
      <c r="D10" s="133"/>
    </row>
    <row r="11" spans="1:4">
      <c r="A11" s="64" t="s">
        <v>81</v>
      </c>
      <c r="B11" s="132">
        <v>15054414.16</v>
      </c>
      <c r="C11" s="132">
        <f>C13</f>
        <v>642637</v>
      </c>
      <c r="D11" s="132">
        <f t="shared" ref="D11" si="1">D13</f>
        <v>700103</v>
      </c>
    </row>
    <row r="12" spans="1:4">
      <c r="A12" s="67"/>
      <c r="B12" s="133"/>
      <c r="C12" s="133"/>
      <c r="D12" s="133"/>
    </row>
    <row r="13" spans="1:4">
      <c r="A13" s="68" t="s">
        <v>108</v>
      </c>
      <c r="B13" s="133">
        <v>15054414.16</v>
      </c>
      <c r="C13" s="133">
        <f>C14</f>
        <v>642637</v>
      </c>
      <c r="D13" s="133">
        <f t="shared" ref="D13" si="2">D14</f>
        <v>700103</v>
      </c>
    </row>
    <row r="14" spans="1:4">
      <c r="A14" s="67" t="s">
        <v>136</v>
      </c>
      <c r="B14" s="133">
        <v>15054414.16</v>
      </c>
      <c r="C14" s="133">
        <v>642637</v>
      </c>
      <c r="D14" s="133">
        <v>700103</v>
      </c>
    </row>
    <row r="15" spans="1:4">
      <c r="A15" s="58"/>
      <c r="B15" s="58"/>
      <c r="C15" s="69"/>
    </row>
    <row r="16" spans="1:4">
      <c r="A16" s="58"/>
      <c r="B16" s="58"/>
      <c r="C16" s="69"/>
    </row>
    <row r="17" spans="1:4">
      <c r="A17" s="58"/>
      <c r="B17" s="58"/>
      <c r="C17" s="69"/>
    </row>
    <row r="18" spans="1:4">
      <c r="A18" s="58"/>
      <c r="B18" s="58"/>
      <c r="C18" s="69"/>
    </row>
    <row r="19" spans="1:4" ht="15">
      <c r="A19" s="33"/>
      <c r="B19" s="33"/>
      <c r="C19" s="432"/>
      <c r="D19" s="432"/>
    </row>
    <row r="20" spans="1:4">
      <c r="A20" s="16"/>
      <c r="B20" s="16"/>
    </row>
    <row r="30" spans="1:4" ht="15" customHeight="1"/>
  </sheetData>
  <phoneticPr fontId="30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D49"/>
  <sheetViews>
    <sheetView showZeros="0" zoomScaleNormal="100" workbookViewId="0">
      <selection activeCell="D15" sqref="D15"/>
    </sheetView>
  </sheetViews>
  <sheetFormatPr defaultRowHeight="12.75"/>
  <cols>
    <col min="1" max="1" width="49.7109375" customWidth="1"/>
    <col min="2" max="2" width="11.7109375" style="83" bestFit="1" customWidth="1"/>
    <col min="3" max="3" width="11.140625" style="33" bestFit="1" customWidth="1"/>
    <col min="4" max="4" width="11.7109375" bestFit="1" customWidth="1"/>
  </cols>
  <sheetData>
    <row r="1" spans="1:4" ht="30" customHeight="1">
      <c r="A1" s="79" t="s">
        <v>131</v>
      </c>
      <c r="B1" s="79"/>
    </row>
    <row r="2" spans="1:4" s="83" customFormat="1" ht="12.75" customHeight="1">
      <c r="A2" s="376" t="s">
        <v>525</v>
      </c>
      <c r="B2" s="79"/>
      <c r="C2" s="33"/>
    </row>
    <row r="3" spans="1:4" ht="12.75" customHeight="1">
      <c r="A3" s="59"/>
      <c r="B3" s="81"/>
      <c r="C3" s="81"/>
      <c r="D3" s="81"/>
    </row>
    <row r="4" spans="1:4" s="83" customFormat="1" ht="34.5" customHeight="1">
      <c r="A4" s="59"/>
      <c r="B4" s="268" t="s">
        <v>375</v>
      </c>
      <c r="C4" s="267">
        <v>2018</v>
      </c>
      <c r="D4" s="268" t="s">
        <v>374</v>
      </c>
    </row>
    <row r="5" spans="1:4">
      <c r="A5" s="215" t="s">
        <v>2</v>
      </c>
      <c r="B5" s="433">
        <f>SUM(B7:B10)</f>
        <v>600341365.96999991</v>
      </c>
      <c r="C5" s="433" t="e">
        <f>SUM(C7:C10)</f>
        <v>#REF!</v>
      </c>
      <c r="D5" s="433" t="e">
        <f t="shared" ref="D5" si="0">SUM(D7:D10)</f>
        <v>#REF!</v>
      </c>
    </row>
    <row r="6" spans="1:4">
      <c r="A6" s="85"/>
      <c r="B6" s="434"/>
      <c r="C6" s="435"/>
      <c r="D6" s="434"/>
    </row>
    <row r="7" spans="1:4">
      <c r="A7" s="85" t="s">
        <v>3</v>
      </c>
      <c r="B7" s="435">
        <v>413150588.56</v>
      </c>
      <c r="C7" s="435" t="e">
        <f>'1 KOONDEELARVE'!C8+'1 KOONDEELARVE'!C9</f>
        <v>#REF!</v>
      </c>
      <c r="D7" s="436" t="e">
        <f>'1 KOONDEELARVE'!D8+'1 KOONDEELARVE'!D9</f>
        <v>#REF!</v>
      </c>
    </row>
    <row r="8" spans="1:4">
      <c r="A8" s="85" t="s">
        <v>4</v>
      </c>
      <c r="B8" s="435">
        <v>79982610.939999893</v>
      </c>
      <c r="C8" s="435" t="e">
        <f ca="1">'1 KOONDEELARVE'!C10+'1 KOONDEELARVE'!C11</f>
        <v>#REF!</v>
      </c>
      <c r="D8" s="436" t="e">
        <f ca="1">'1 KOONDEELARVE'!D10+'1 KOONDEELARVE'!D11</f>
        <v>#REF!</v>
      </c>
    </row>
    <row r="9" spans="1:4">
      <c r="A9" s="85" t="s">
        <v>5</v>
      </c>
      <c r="B9" s="435">
        <v>103851699.47</v>
      </c>
      <c r="C9" s="435">
        <v>112612471</v>
      </c>
      <c r="D9" s="436" t="e">
        <f>'Toetused (4)'!#REF!+'Toetused (4)'!#REF!+'Toetused (4)'!#REF!+'Toetused (4)'!#REF!+'Toetused (4)'!#REF!+'Toetused (4)'!#REF!</f>
        <v>#REF!</v>
      </c>
    </row>
    <row r="10" spans="1:4">
      <c r="A10" s="85" t="s">
        <v>6</v>
      </c>
      <c r="B10" s="435">
        <v>3356467</v>
      </c>
      <c r="C10" s="435" t="e">
        <f ca="1">'1 KOONDEELARVE'!C12+'1 KOONDEELARVE'!C17+#REF!</f>
        <v>#REF!</v>
      </c>
      <c r="D10" s="436" t="e">
        <f ca="1">'1 KOONDEELARVE'!D12+'1 KOONDEELARVE'!D17+#REF!</f>
        <v>#REF!</v>
      </c>
    </row>
    <row r="11" spans="1:4">
      <c r="A11" s="87"/>
      <c r="B11" s="435"/>
      <c r="C11" s="435"/>
      <c r="D11" s="374"/>
    </row>
    <row r="12" spans="1:4">
      <c r="A12" s="98" t="s">
        <v>7</v>
      </c>
      <c r="B12" s="433">
        <f t="shared" ref="B12" si="1">B14+B15+B16</f>
        <v>508369703.73000377</v>
      </c>
      <c r="C12" s="433">
        <f>C14+C15+C16</f>
        <v>563242635</v>
      </c>
      <c r="D12" s="433" t="e">
        <f>'1 KOONDEELARVE'!D25-'1 KOONDEELARVE'!D93</f>
        <v>#REF!</v>
      </c>
    </row>
    <row r="13" spans="1:4">
      <c r="A13" s="87"/>
      <c r="B13" s="434"/>
      <c r="C13" s="435"/>
      <c r="D13" s="435"/>
    </row>
    <row r="14" spans="1:4">
      <c r="A14" s="87" t="s">
        <v>8</v>
      </c>
      <c r="B14" s="437">
        <v>97797163.680000052</v>
      </c>
      <c r="C14" s="438">
        <v>104692931</v>
      </c>
      <c r="D14" s="438">
        <v>105000000</v>
      </c>
    </row>
    <row r="15" spans="1:4">
      <c r="A15" s="87" t="s">
        <v>9</v>
      </c>
      <c r="B15" s="435">
        <v>410572540.05000371</v>
      </c>
      <c r="C15" s="435">
        <v>454789967</v>
      </c>
      <c r="D15" s="437" t="e">
        <f>D12-D14-D16</f>
        <v>#REF!</v>
      </c>
    </row>
    <row r="16" spans="1:4">
      <c r="A16" s="87" t="s">
        <v>109</v>
      </c>
      <c r="B16" s="435">
        <v>0</v>
      </c>
      <c r="C16" s="435">
        <v>3759737</v>
      </c>
      <c r="D16" s="437" t="e">
        <f>#REF!+#REF!+#REF!+#REF!</f>
        <v>#REF!</v>
      </c>
    </row>
    <row r="17" spans="1:4">
      <c r="A17" s="87"/>
      <c r="B17" s="434"/>
      <c r="C17" s="434"/>
      <c r="D17" s="374"/>
    </row>
    <row r="18" spans="1:4">
      <c r="A18" s="87" t="s">
        <v>10</v>
      </c>
      <c r="B18" s="435">
        <f t="shared" ref="B18" si="2">B5-B12</f>
        <v>91971662.239996135</v>
      </c>
      <c r="C18" s="435" t="e">
        <f>C5-C12</f>
        <v>#REF!</v>
      </c>
      <c r="D18" s="435" t="e">
        <f t="shared" ref="D18" si="3">D5-D12</f>
        <v>#REF!</v>
      </c>
    </row>
    <row r="19" spans="1:4">
      <c r="A19" s="87"/>
      <c r="B19" s="434"/>
      <c r="C19" s="434"/>
      <c r="D19" s="374"/>
    </row>
    <row r="20" spans="1:4">
      <c r="A20" s="215" t="s">
        <v>11</v>
      </c>
      <c r="B20" s="433">
        <f t="shared" ref="B20" si="4">B22-B23+B24-B25+B28-B29-B27</f>
        <v>-101577479.4199999</v>
      </c>
      <c r="C20" s="433">
        <f>C22-C23+C24-C25+C28-C29-C27</f>
        <v>-81050397</v>
      </c>
      <c r="D20" s="433" t="e">
        <f t="shared" ref="D20" si="5">D22-D23+D24-D25+D28-D29-D27</f>
        <v>#REF!</v>
      </c>
    </row>
    <row r="21" spans="1:4">
      <c r="A21" s="85"/>
      <c r="B21" s="434"/>
      <c r="C21" s="434"/>
      <c r="D21" s="374"/>
    </row>
    <row r="22" spans="1:4">
      <c r="A22" s="85" t="s">
        <v>12</v>
      </c>
      <c r="B22" s="435">
        <v>3325266.21</v>
      </c>
      <c r="C22" s="435">
        <v>2800616</v>
      </c>
      <c r="D22" s="436" t="e">
        <f>'1 KOONDEELARVE'!D14+'1 KOONDEELARVE'!D16-#REF!</f>
        <v>#REF!</v>
      </c>
    </row>
    <row r="23" spans="1:4">
      <c r="A23" s="85" t="s">
        <v>13</v>
      </c>
      <c r="B23" s="435">
        <v>89418569.559999898</v>
      </c>
      <c r="C23" s="435">
        <v>107242863</v>
      </c>
      <c r="D23" s="437">
        <f>'1 KOONDEELARVE'!D31+'1 KOONDEELARVE'!D45-D25</f>
        <v>116342896</v>
      </c>
    </row>
    <row r="24" spans="1:4">
      <c r="A24" s="85" t="s">
        <v>14</v>
      </c>
      <c r="B24" s="435">
        <v>15730073.449999999</v>
      </c>
      <c r="C24" s="435">
        <v>29409318</v>
      </c>
      <c r="D24" s="436" t="e">
        <f>'Toetused (4)'!G6-D9</f>
        <v>#REF!</v>
      </c>
    </row>
    <row r="25" spans="1:4">
      <c r="A25" s="85" t="s">
        <v>15</v>
      </c>
      <c r="B25" s="435">
        <v>32992245.5</v>
      </c>
      <c r="C25" s="439">
        <v>5943200</v>
      </c>
      <c r="D25" s="437">
        <f>'Inv koond - põhitaotlus (6a)'!B6</f>
        <v>2510850</v>
      </c>
    </row>
    <row r="26" spans="1:4" s="83" customFormat="1">
      <c r="A26" s="85"/>
      <c r="B26" s="435"/>
      <c r="C26" s="435"/>
      <c r="D26" s="374"/>
    </row>
    <row r="27" spans="1:4">
      <c r="A27" s="87" t="s">
        <v>499</v>
      </c>
      <c r="B27" s="435">
        <v>880000</v>
      </c>
      <c r="C27" s="435"/>
      <c r="D27" s="374"/>
    </row>
    <row r="28" spans="1:4">
      <c r="A28" s="85" t="s">
        <v>16</v>
      </c>
      <c r="B28" s="435">
        <v>7352545.6500000004</v>
      </c>
      <c r="C28" s="435">
        <v>7270000</v>
      </c>
      <c r="D28" s="436" t="e">
        <f>'1 KOONDEELARVE'!D13+'1 KOONDEELARVE'!D18</f>
        <v>#REF!</v>
      </c>
    </row>
    <row r="29" spans="1:4">
      <c r="A29" s="85" t="s">
        <v>17</v>
      </c>
      <c r="B29" s="435">
        <v>4694549.67</v>
      </c>
      <c r="C29" s="435">
        <v>7344268</v>
      </c>
      <c r="D29" s="437">
        <f>'1 KOONDEELARVE'!D93</f>
        <v>7455968</v>
      </c>
    </row>
    <row r="30" spans="1:4">
      <c r="A30" s="85"/>
      <c r="B30" s="434"/>
      <c r="C30" s="434"/>
      <c r="D30" s="374"/>
    </row>
    <row r="31" spans="1:4">
      <c r="A31" s="85" t="s">
        <v>18</v>
      </c>
      <c r="B31" s="435">
        <f t="shared" ref="B31" si="6">B18+B20</f>
        <v>-9605817.1800037622</v>
      </c>
      <c r="C31" s="435" t="e">
        <f>C18+C20</f>
        <v>#REF!</v>
      </c>
      <c r="D31" s="435" t="e">
        <f t="shared" ref="D31" si="7">D18+D20</f>
        <v>#REF!</v>
      </c>
    </row>
    <row r="32" spans="1:4">
      <c r="A32" s="85"/>
      <c r="B32" s="434"/>
      <c r="C32" s="434"/>
      <c r="D32" s="374"/>
    </row>
    <row r="33" spans="1:4">
      <c r="A33" s="215" t="s">
        <v>19</v>
      </c>
      <c r="B33" s="433">
        <f t="shared" ref="B33" si="8">B35-B36</f>
        <v>5255055.1499999985</v>
      </c>
      <c r="C33" s="433">
        <f>C35-C36</f>
        <v>10832980</v>
      </c>
      <c r="D33" s="433">
        <f t="shared" ref="D33" si="9">D35-D36</f>
        <v>15810314</v>
      </c>
    </row>
    <row r="34" spans="1:4">
      <c r="A34" s="85"/>
      <c r="B34" s="434"/>
      <c r="C34" s="434"/>
      <c r="D34" s="374"/>
    </row>
    <row r="35" spans="1:4">
      <c r="A35" s="85" t="s">
        <v>20</v>
      </c>
      <c r="B35" s="435">
        <v>30242964</v>
      </c>
      <c r="C35" s="435">
        <f>'1 KOONDEELARVE'!C63</f>
        <v>30000000</v>
      </c>
      <c r="D35" s="437">
        <f>'1 KOONDEELARVE'!D63</f>
        <v>35000000</v>
      </c>
    </row>
    <row r="36" spans="1:4">
      <c r="A36" s="85" t="s">
        <v>21</v>
      </c>
      <c r="B36" s="435">
        <v>24987908.850000001</v>
      </c>
      <c r="C36" s="435">
        <f>'5 FIN.TEH'!C8+'5 FIN.TEH'!C11-'1 KOONDEELARVE'!C67</f>
        <v>19167020</v>
      </c>
      <c r="D36" s="437">
        <f>'1 KOONDEELARVE'!D64+'1 KOONDEELARVE'!D65</f>
        <v>19189686</v>
      </c>
    </row>
    <row r="37" spans="1:4">
      <c r="A37" s="87"/>
      <c r="B37" s="434"/>
      <c r="C37" s="434"/>
      <c r="D37" s="374"/>
    </row>
    <row r="38" spans="1:4">
      <c r="A38" s="98" t="s">
        <v>22</v>
      </c>
      <c r="B38" s="433">
        <f t="shared" ref="B38" si="10">B39+B33+B31</f>
        <v>1319223.3499962352</v>
      </c>
      <c r="C38" s="433" t="e">
        <f>C39+C33+C31</f>
        <v>#REF!</v>
      </c>
      <c r="D38" s="433" t="e">
        <f t="shared" ref="D38" si="11">D39+D33+D31</f>
        <v>#REF!</v>
      </c>
    </row>
    <row r="39" spans="1:4" s="83" customFormat="1">
      <c r="A39" s="215" t="s">
        <v>23</v>
      </c>
      <c r="B39" s="433">
        <v>5669985.3799999999</v>
      </c>
      <c r="C39" s="433">
        <v>34800</v>
      </c>
      <c r="D39" s="374"/>
    </row>
    <row r="40" spans="1:4" s="83" customFormat="1">
      <c r="A40" s="215"/>
      <c r="B40" s="440"/>
      <c r="C40" s="433"/>
      <c r="D40" s="374"/>
    </row>
    <row r="41" spans="1:4">
      <c r="A41" s="369" t="s">
        <v>517</v>
      </c>
      <c r="B41" s="441">
        <v>254287409.94999999</v>
      </c>
      <c r="C41" s="442">
        <f>B41+C33</f>
        <v>265120389.94999999</v>
      </c>
      <c r="D41" s="442">
        <f t="shared" ref="D41" si="12">C41+D33</f>
        <v>280930703.94999999</v>
      </c>
    </row>
    <row r="42" spans="1:4" s="83" customFormat="1">
      <c r="A42" s="370" t="s">
        <v>518</v>
      </c>
      <c r="B42" s="443">
        <v>248865627.93000001</v>
      </c>
      <c r="C42" s="443">
        <f>B42+C33</f>
        <v>259698607.93000001</v>
      </c>
      <c r="D42" s="443">
        <f t="shared" ref="D42" si="13">C42+D33</f>
        <v>275508921.93000001</v>
      </c>
    </row>
    <row r="43" spans="1:4">
      <c r="A43" s="371" t="s">
        <v>519</v>
      </c>
      <c r="B43" s="443">
        <f>B38</f>
        <v>1319223.3499962352</v>
      </c>
      <c r="C43" s="443" t="e">
        <f>C38</f>
        <v>#REF!</v>
      </c>
      <c r="D43" s="443" t="e">
        <f t="shared" ref="D43" si="14">D38</f>
        <v>#REF!</v>
      </c>
    </row>
    <row r="44" spans="1:4">
      <c r="A44" s="369" t="s">
        <v>520</v>
      </c>
      <c r="B44" s="442">
        <v>62570318.189999998</v>
      </c>
      <c r="C44" s="442" t="e">
        <f>B44+C43</f>
        <v>#REF!</v>
      </c>
      <c r="D44" s="442" t="e">
        <f t="shared" ref="D44" si="15">C44+D43</f>
        <v>#REF!</v>
      </c>
    </row>
    <row r="45" spans="1:4">
      <c r="A45" s="369" t="s">
        <v>521</v>
      </c>
      <c r="B45" s="442">
        <f>B41-B44</f>
        <v>191717091.75999999</v>
      </c>
      <c r="C45" s="442" t="e">
        <f>C41-C44</f>
        <v>#REF!</v>
      </c>
      <c r="D45" s="442" t="e">
        <f t="shared" ref="D45" si="16">D41-D44</f>
        <v>#REF!</v>
      </c>
    </row>
    <row r="46" spans="1:4">
      <c r="A46" s="369" t="s">
        <v>522</v>
      </c>
      <c r="B46" s="444">
        <f>B45/B5%</f>
        <v>31.934679605199889</v>
      </c>
      <c r="C46" s="444" t="e">
        <f>C45/C5%</f>
        <v>#REF!</v>
      </c>
      <c r="D46" s="444" t="e">
        <f t="shared" ref="D46" si="17">D45/D5%</f>
        <v>#REF!</v>
      </c>
    </row>
    <row r="48" spans="1:4">
      <c r="A48" s="372" t="s">
        <v>523</v>
      </c>
      <c r="B48" s="373">
        <v>8.8072945475145784E-2</v>
      </c>
      <c r="C48" s="373" t="e">
        <f>(C5-B5)/B5</f>
        <v>#REF!</v>
      </c>
      <c r="D48" s="373" t="e">
        <f t="shared" ref="D48" si="18">(D5-C5)/C5</f>
        <v>#REF!</v>
      </c>
    </row>
    <row r="49" spans="1:4">
      <c r="A49" s="372" t="s">
        <v>524</v>
      </c>
      <c r="B49" s="373">
        <v>5.9812663466804354E-2</v>
      </c>
      <c r="C49" s="373">
        <f>(C12-B12)/B12</f>
        <v>0.1079390271831371</v>
      </c>
      <c r="D49" s="373" t="e">
        <f t="shared" ref="D49" si="19">(D12-C12)/C12</f>
        <v>#REF!</v>
      </c>
    </row>
  </sheetData>
  <phoneticPr fontId="30" type="noConversion"/>
  <pageMargins left="1.1811023622047245" right="0.47244094488188981" top="0.47244094488188981" bottom="0.98425196850393704" header="0.51181102362204722" footer="0.51181102362204722"/>
  <pageSetup paperSize="9" scale="21" orientation="landscape" r:id="rId1"/>
  <headerFooter alignWithMargins="0">
    <oddFooter>&amp;C&amp;P/&amp;N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2:G65"/>
  <sheetViews>
    <sheetView zoomScaleNormal="100" workbookViewId="0"/>
  </sheetViews>
  <sheetFormatPr defaultColWidth="9.140625" defaultRowHeight="12.75"/>
  <cols>
    <col min="1" max="1" width="63.5703125" style="278" customWidth="1"/>
    <col min="2" max="7" width="11.7109375" style="278" customWidth="1"/>
    <col min="8" max="16384" width="9.140625" style="278"/>
  </cols>
  <sheetData>
    <row r="2" spans="1:7">
      <c r="A2" s="556" t="s">
        <v>685</v>
      </c>
      <c r="B2" s="556"/>
      <c r="C2" s="556"/>
      <c r="D2" s="556"/>
      <c r="E2" s="556"/>
      <c r="F2" s="556"/>
      <c r="G2" s="557" t="s">
        <v>686</v>
      </c>
    </row>
    <row r="3" spans="1:7">
      <c r="A3" s="556"/>
      <c r="B3" s="556"/>
      <c r="C3" s="556"/>
      <c r="D3" s="556"/>
      <c r="E3" s="556"/>
      <c r="F3" s="556"/>
      <c r="G3" s="556"/>
    </row>
    <row r="4" spans="1:7">
      <c r="A4" s="556" t="s">
        <v>687</v>
      </c>
      <c r="B4" s="556"/>
      <c r="C4" s="556"/>
      <c r="D4" s="556"/>
      <c r="E4" s="556"/>
      <c r="F4" s="556"/>
      <c r="G4" s="556"/>
    </row>
    <row r="5" spans="1:7">
      <c r="A5" s="1129"/>
      <c r="B5" s="1129"/>
      <c r="C5" s="1129"/>
      <c r="D5" s="1129"/>
      <c r="E5" s="1129"/>
      <c r="F5" s="1129"/>
      <c r="G5" s="1129"/>
    </row>
    <row r="6" spans="1:7">
      <c r="A6" s="1130" t="s">
        <v>688</v>
      </c>
      <c r="B6" s="1131"/>
      <c r="C6" s="1131"/>
      <c r="D6" s="1131"/>
      <c r="E6" s="1131"/>
      <c r="F6" s="1131"/>
      <c r="G6" s="1132"/>
    </row>
    <row r="7" spans="1:7">
      <c r="A7" s="1133" t="s">
        <v>689</v>
      </c>
      <c r="B7" s="1134"/>
      <c r="C7" s="1134"/>
      <c r="D7" s="1134"/>
      <c r="E7" s="1134"/>
      <c r="F7" s="1134"/>
      <c r="G7" s="1135"/>
    </row>
    <row r="8" spans="1:7" ht="26.25" customHeight="1">
      <c r="A8" s="1126" t="s">
        <v>690</v>
      </c>
      <c r="B8" s="1127"/>
      <c r="C8" s="1127"/>
      <c r="D8" s="1127"/>
      <c r="E8" s="1127"/>
      <c r="F8" s="1127"/>
      <c r="G8" s="1128"/>
    </row>
    <row r="9" spans="1:7">
      <c r="A9" s="1136" t="s">
        <v>691</v>
      </c>
      <c r="B9" s="1137"/>
      <c r="C9" s="1137"/>
      <c r="D9" s="1137"/>
      <c r="E9" s="1137"/>
      <c r="F9" s="1137"/>
      <c r="G9" s="1138"/>
    </row>
    <row r="10" spans="1:7" ht="24.75" customHeight="1">
      <c r="A10" s="1136" t="s">
        <v>692</v>
      </c>
      <c r="B10" s="1137"/>
      <c r="C10" s="1137"/>
      <c r="D10" s="1137"/>
      <c r="E10" s="1137"/>
      <c r="F10" s="1137"/>
      <c r="G10" s="1138"/>
    </row>
    <row r="11" spans="1:7">
      <c r="A11" s="1136" t="s">
        <v>693</v>
      </c>
      <c r="B11" s="1137"/>
      <c r="C11" s="1137"/>
      <c r="D11" s="1137"/>
      <c r="E11" s="1137"/>
      <c r="F11" s="1137"/>
      <c r="G11" s="1138"/>
    </row>
    <row r="12" spans="1:7" ht="34.5" customHeight="1">
      <c r="A12" s="1126" t="s">
        <v>694</v>
      </c>
      <c r="B12" s="1127"/>
      <c r="C12" s="1127"/>
      <c r="D12" s="1127"/>
      <c r="E12" s="1127"/>
      <c r="F12" s="1127"/>
      <c r="G12" s="1128"/>
    </row>
    <row r="13" spans="1:7" ht="34.5" customHeight="1">
      <c r="A13" s="1139" t="s">
        <v>695</v>
      </c>
      <c r="B13" s="1140"/>
      <c r="C13" s="1140"/>
      <c r="D13" s="1140"/>
      <c r="E13" s="1140"/>
      <c r="F13" s="1140"/>
      <c r="G13" s="1141"/>
    </row>
    <row r="14" spans="1:7">
      <c r="A14" s="1136" t="s">
        <v>696</v>
      </c>
      <c r="B14" s="1137"/>
      <c r="C14" s="1137"/>
      <c r="D14" s="1137"/>
      <c r="E14" s="1137"/>
      <c r="F14" s="1137"/>
      <c r="G14" s="1138"/>
    </row>
    <row r="15" spans="1:7">
      <c r="A15" s="1136" t="s">
        <v>697</v>
      </c>
      <c r="B15" s="1137"/>
      <c r="C15" s="1137"/>
      <c r="D15" s="1137"/>
      <c r="E15" s="1137"/>
      <c r="F15" s="1137"/>
      <c r="G15" s="1138"/>
    </row>
    <row r="16" spans="1:7" ht="30" customHeight="1">
      <c r="A16" s="1126" t="s">
        <v>698</v>
      </c>
      <c r="B16" s="1127"/>
      <c r="C16" s="1127"/>
      <c r="D16" s="1127"/>
      <c r="E16" s="1127"/>
      <c r="F16" s="1127"/>
      <c r="G16" s="1128"/>
    </row>
    <row r="17" spans="1:7" ht="27.75" customHeight="1">
      <c r="A17" s="1117" t="s">
        <v>699</v>
      </c>
      <c r="B17" s="1118"/>
      <c r="C17" s="1118"/>
      <c r="D17" s="1118"/>
      <c r="E17" s="1118"/>
      <c r="F17" s="1118"/>
      <c r="G17" s="1119"/>
    </row>
    <row r="18" spans="1:7" ht="24.75" customHeight="1">
      <c r="A18" s="1120" t="s">
        <v>804</v>
      </c>
      <c r="B18" s="1121"/>
      <c r="C18" s="1121"/>
      <c r="D18" s="1121"/>
      <c r="E18" s="1121"/>
      <c r="F18" s="1121"/>
      <c r="G18" s="1122"/>
    </row>
    <row r="19" spans="1:7" ht="24.75" customHeight="1">
      <c r="A19" s="1114" t="s">
        <v>700</v>
      </c>
      <c r="B19" s="1115"/>
      <c r="C19" s="1115"/>
      <c r="D19" s="1115"/>
      <c r="E19" s="1115"/>
      <c r="F19" s="1115"/>
      <c r="G19" s="1116"/>
    </row>
    <row r="20" spans="1:7" ht="13.5" thickBot="1">
      <c r="A20" s="1123" t="s">
        <v>701</v>
      </c>
      <c r="B20" s="1124"/>
      <c r="C20" s="1124"/>
      <c r="D20" s="1124"/>
      <c r="E20" s="1124"/>
      <c r="F20" s="1124"/>
      <c r="G20" s="1125"/>
    </row>
    <row r="21" spans="1:7" ht="47.25" customHeight="1">
      <c r="A21" s="634" t="s">
        <v>702</v>
      </c>
      <c r="B21" s="558" t="s">
        <v>703</v>
      </c>
      <c r="C21" s="558" t="s">
        <v>765</v>
      </c>
      <c r="D21" s="558" t="s">
        <v>386</v>
      </c>
      <c r="E21" s="558" t="s">
        <v>766</v>
      </c>
      <c r="F21" s="558">
        <v>2019</v>
      </c>
      <c r="G21" s="558" t="s">
        <v>767</v>
      </c>
    </row>
    <row r="22" spans="1:7">
      <c r="A22" s="635" t="s">
        <v>704</v>
      </c>
      <c r="B22" s="559">
        <f t="shared" ref="B22:G22" si="0">SUM(B23,B24)</f>
        <v>0</v>
      </c>
      <c r="C22" s="559">
        <f t="shared" si="0"/>
        <v>0</v>
      </c>
      <c r="D22" s="559">
        <f t="shared" si="0"/>
        <v>0</v>
      </c>
      <c r="E22" s="559">
        <f t="shared" si="0"/>
        <v>0</v>
      </c>
      <c r="F22" s="559">
        <f t="shared" si="0"/>
        <v>0</v>
      </c>
      <c r="G22" s="559">
        <f t="shared" si="0"/>
        <v>0</v>
      </c>
    </row>
    <row r="23" spans="1:7">
      <c r="A23" s="636" t="s">
        <v>705</v>
      </c>
      <c r="B23" s="560">
        <f>SUM(C23:G23)</f>
        <v>0</v>
      </c>
      <c r="C23" s="560"/>
      <c r="D23" s="560"/>
      <c r="E23" s="560"/>
      <c r="F23" s="560"/>
      <c r="G23" s="560"/>
    </row>
    <row r="24" spans="1:7">
      <c r="A24" s="636" t="s">
        <v>706</v>
      </c>
      <c r="B24" s="560">
        <f>SUM(C24:G24)</f>
        <v>0</v>
      </c>
      <c r="C24" s="560">
        <f>C23*0.2*(100-$B$27)/100</f>
        <v>0</v>
      </c>
      <c r="D24" s="560">
        <f>D23*0.2*(100-$B$27)/100</f>
        <v>0</v>
      </c>
      <c r="E24" s="560">
        <f>E23*0.2*(100-$B$27)/100</f>
        <v>0</v>
      </c>
      <c r="F24" s="560">
        <f>F23*0.2*(100-$B$27)/100</f>
        <v>0</v>
      </c>
      <c r="G24" s="560">
        <f>G23*0.2*(100-$B$27)/100</f>
        <v>0</v>
      </c>
    </row>
    <row r="25" spans="1:7">
      <c r="A25" s="636"/>
      <c r="B25" s="560"/>
      <c r="C25" s="560"/>
      <c r="D25" s="560"/>
      <c r="E25" s="560"/>
      <c r="F25" s="560"/>
      <c r="G25" s="560"/>
    </row>
    <row r="26" spans="1:7">
      <c r="A26" s="636" t="s">
        <v>707</v>
      </c>
      <c r="B26" s="560">
        <f>SUM(C26:G26)</f>
        <v>0</v>
      </c>
      <c r="C26" s="560">
        <f>C23*0.2*($B$27)/100</f>
        <v>0</v>
      </c>
      <c r="D26" s="560">
        <f>D23*0.2*($B$27)/100</f>
        <v>0</v>
      </c>
      <c r="E26" s="560">
        <f>E23*0.2*($B$27)/100</f>
        <v>0</v>
      </c>
      <c r="F26" s="560">
        <f>F23*0.2*($B$27)/100</f>
        <v>0</v>
      </c>
      <c r="G26" s="560">
        <f>G23*0.2*($B$27)/100</f>
        <v>0</v>
      </c>
    </row>
    <row r="27" spans="1:7">
      <c r="A27" s="637" t="s">
        <v>708</v>
      </c>
      <c r="B27" s="560"/>
      <c r="C27" s="561" t="s">
        <v>505</v>
      </c>
      <c r="D27" s="561" t="s">
        <v>505</v>
      </c>
      <c r="E27" s="561" t="s">
        <v>505</v>
      </c>
      <c r="F27" s="561" t="s">
        <v>505</v>
      </c>
      <c r="G27" s="561" t="s">
        <v>505</v>
      </c>
    </row>
    <row r="28" spans="1:7">
      <c r="A28" s="636"/>
      <c r="B28" s="560"/>
      <c r="C28" s="560"/>
      <c r="D28" s="560"/>
      <c r="E28" s="560"/>
      <c r="F28" s="560"/>
      <c r="G28" s="562"/>
    </row>
    <row r="29" spans="1:7">
      <c r="A29" s="638" t="s">
        <v>709</v>
      </c>
      <c r="B29" s="559">
        <f>SUM(C29:G29)</f>
        <v>0</v>
      </c>
      <c r="C29" s="559">
        <f t="shared" ref="C29:G29" si="1">SUM(C30:C39)</f>
        <v>0</v>
      </c>
      <c r="D29" s="559">
        <f t="shared" si="1"/>
        <v>0</v>
      </c>
      <c r="E29" s="559">
        <f t="shared" si="1"/>
        <v>0</v>
      </c>
      <c r="F29" s="559">
        <f t="shared" si="1"/>
        <v>0</v>
      </c>
      <c r="G29" s="559">
        <f t="shared" si="1"/>
        <v>0</v>
      </c>
    </row>
    <row r="30" spans="1:7">
      <c r="A30" s="639" t="s">
        <v>710</v>
      </c>
      <c r="B30" s="563">
        <f t="shared" ref="B30:B38" si="2">SUM(C30:G30)</f>
        <v>0</v>
      </c>
      <c r="C30" s="563"/>
      <c r="D30" s="563"/>
      <c r="E30" s="563"/>
      <c r="F30" s="563"/>
      <c r="G30" s="563"/>
    </row>
    <row r="31" spans="1:7">
      <c r="A31" s="639" t="s">
        <v>711</v>
      </c>
      <c r="B31" s="563">
        <f t="shared" si="2"/>
        <v>0</v>
      </c>
      <c r="C31" s="563"/>
      <c r="D31" s="563"/>
      <c r="E31" s="563"/>
      <c r="F31" s="563"/>
      <c r="G31" s="563"/>
    </row>
    <row r="32" spans="1:7">
      <c r="A32" s="639" t="s">
        <v>712</v>
      </c>
      <c r="B32" s="563">
        <f t="shared" si="2"/>
        <v>0</v>
      </c>
      <c r="C32" s="563"/>
      <c r="D32" s="563"/>
      <c r="E32" s="563"/>
      <c r="F32" s="563"/>
      <c r="G32" s="563"/>
    </row>
    <row r="33" spans="1:7">
      <c r="A33" s="639" t="s">
        <v>713</v>
      </c>
      <c r="B33" s="563">
        <f t="shared" si="2"/>
        <v>0</v>
      </c>
      <c r="C33" s="563"/>
      <c r="D33" s="563"/>
      <c r="E33" s="563"/>
      <c r="F33" s="563"/>
      <c r="G33" s="563"/>
    </row>
    <row r="34" spans="1:7">
      <c r="A34" s="639" t="s">
        <v>714</v>
      </c>
      <c r="B34" s="563">
        <f t="shared" si="2"/>
        <v>0</v>
      </c>
      <c r="C34" s="563"/>
      <c r="D34" s="563"/>
      <c r="E34" s="563"/>
      <c r="F34" s="563"/>
      <c r="G34" s="563"/>
    </row>
    <row r="35" spans="1:7">
      <c r="A35" s="639" t="s">
        <v>715</v>
      </c>
      <c r="B35" s="563">
        <f t="shared" si="2"/>
        <v>0</v>
      </c>
      <c r="C35" s="563"/>
      <c r="D35" s="563"/>
      <c r="E35" s="563"/>
      <c r="F35" s="563"/>
      <c r="G35" s="563"/>
    </row>
    <row r="36" spans="1:7">
      <c r="A36" s="639" t="s">
        <v>716</v>
      </c>
      <c r="B36" s="563">
        <f t="shared" si="2"/>
        <v>0</v>
      </c>
      <c r="C36" s="563"/>
      <c r="D36" s="563"/>
      <c r="E36" s="563"/>
      <c r="F36" s="563"/>
      <c r="G36" s="563"/>
    </row>
    <row r="37" spans="1:7">
      <c r="A37" s="639" t="s">
        <v>717</v>
      </c>
      <c r="B37" s="563">
        <f t="shared" si="2"/>
        <v>0</v>
      </c>
      <c r="C37" s="563"/>
      <c r="D37" s="563"/>
      <c r="E37" s="563"/>
      <c r="F37" s="563"/>
      <c r="G37" s="563"/>
    </row>
    <row r="38" spans="1:7">
      <c r="A38" s="639" t="s">
        <v>718</v>
      </c>
      <c r="B38" s="563">
        <f t="shared" si="2"/>
        <v>0</v>
      </c>
      <c r="C38" s="563"/>
      <c r="D38" s="563"/>
      <c r="E38" s="563"/>
      <c r="F38" s="563"/>
      <c r="G38" s="563"/>
    </row>
    <row r="39" spans="1:7" ht="27" customHeight="1">
      <c r="A39" s="640" t="s">
        <v>719</v>
      </c>
      <c r="B39" s="564"/>
      <c r="C39" s="564"/>
      <c r="D39" s="564"/>
      <c r="E39" s="564"/>
      <c r="F39" s="564"/>
      <c r="G39" s="565"/>
    </row>
    <row r="40" spans="1:7">
      <c r="A40" s="1111" t="s">
        <v>720</v>
      </c>
      <c r="B40" s="1112"/>
      <c r="C40" s="1112"/>
      <c r="D40" s="1112"/>
      <c r="E40" s="1112"/>
      <c r="F40" s="1112"/>
      <c r="G40" s="1113"/>
    </row>
    <row r="41" spans="1:7">
      <c r="A41" s="1102"/>
      <c r="B41" s="1103"/>
      <c r="C41" s="1103"/>
      <c r="D41" s="1103"/>
      <c r="E41" s="1103"/>
      <c r="F41" s="1103"/>
      <c r="G41" s="1104"/>
    </row>
    <row r="42" spans="1:7">
      <c r="A42" s="1105"/>
      <c r="B42" s="1106"/>
      <c r="C42" s="1106"/>
      <c r="D42" s="1106"/>
      <c r="E42" s="1106"/>
      <c r="F42" s="1106"/>
      <c r="G42" s="1107"/>
    </row>
    <row r="43" spans="1:7">
      <c r="A43" s="1108"/>
      <c r="B43" s="1109"/>
      <c r="C43" s="1109"/>
      <c r="D43" s="1109"/>
      <c r="E43" s="1109"/>
      <c r="F43" s="1109"/>
      <c r="G43" s="1110"/>
    </row>
    <row r="44" spans="1:7">
      <c r="A44" s="1111" t="s">
        <v>721</v>
      </c>
      <c r="B44" s="1112"/>
      <c r="C44" s="1112"/>
      <c r="D44" s="1112"/>
      <c r="E44" s="1112"/>
      <c r="F44" s="1112"/>
      <c r="G44" s="1113"/>
    </row>
    <row r="45" spans="1:7">
      <c r="A45" s="1102"/>
      <c r="B45" s="1103"/>
      <c r="C45" s="1103"/>
      <c r="D45" s="1103"/>
      <c r="E45" s="1103"/>
      <c r="F45" s="1103"/>
      <c r="G45" s="1104"/>
    </row>
    <row r="46" spans="1:7">
      <c r="A46" s="1108"/>
      <c r="B46" s="1109"/>
      <c r="C46" s="1109"/>
      <c r="D46" s="1109"/>
      <c r="E46" s="1109"/>
      <c r="F46" s="1109"/>
      <c r="G46" s="1110"/>
    </row>
    <row r="47" spans="1:7" ht="15" customHeight="1">
      <c r="A47" s="1111" t="s">
        <v>722</v>
      </c>
      <c r="B47" s="1112"/>
      <c r="C47" s="1112"/>
      <c r="D47" s="1112"/>
      <c r="E47" s="1112"/>
      <c r="F47" s="1112"/>
      <c r="G47" s="1113"/>
    </row>
    <row r="48" spans="1:7" ht="15" customHeight="1">
      <c r="A48" s="1102"/>
      <c r="B48" s="1103"/>
      <c r="C48" s="1103"/>
      <c r="D48" s="1103"/>
      <c r="E48" s="1103"/>
      <c r="F48" s="1103"/>
      <c r="G48" s="1104"/>
    </row>
    <row r="49" spans="1:7">
      <c r="A49" s="1108"/>
      <c r="B49" s="1109"/>
      <c r="C49" s="1109"/>
      <c r="D49" s="1109"/>
      <c r="E49" s="1109"/>
      <c r="F49" s="1109"/>
      <c r="G49" s="1110"/>
    </row>
    <row r="50" spans="1:7">
      <c r="A50" s="1111" t="s">
        <v>723</v>
      </c>
      <c r="B50" s="1112"/>
      <c r="C50" s="1112"/>
      <c r="D50" s="1112"/>
      <c r="E50" s="1112"/>
      <c r="F50" s="1112"/>
      <c r="G50" s="1113"/>
    </row>
    <row r="51" spans="1:7">
      <c r="A51" s="1114"/>
      <c r="B51" s="1115"/>
      <c r="C51" s="1115"/>
      <c r="D51" s="1115"/>
      <c r="E51" s="1115"/>
      <c r="F51" s="1115"/>
      <c r="G51" s="1116"/>
    </row>
    <row r="52" spans="1:7">
      <c r="A52" s="1105"/>
      <c r="B52" s="1106"/>
      <c r="C52" s="1106"/>
      <c r="D52" s="1106"/>
      <c r="E52" s="1106"/>
      <c r="F52" s="1106"/>
      <c r="G52" s="1107"/>
    </row>
    <row r="53" spans="1:7">
      <c r="A53" s="1108"/>
      <c r="B53" s="1109"/>
      <c r="C53" s="1109"/>
      <c r="D53" s="1109"/>
      <c r="E53" s="1109"/>
      <c r="F53" s="1109"/>
      <c r="G53" s="1110"/>
    </row>
    <row r="54" spans="1:7">
      <c r="A54" s="1100" t="s">
        <v>724</v>
      </c>
      <c r="B54" s="1099"/>
      <c r="C54" s="1099"/>
      <c r="D54" s="1099"/>
      <c r="E54" s="1099"/>
      <c r="F54" s="1099"/>
      <c r="G54" s="1101"/>
    </row>
    <row r="55" spans="1:7">
      <c r="A55" s="1102"/>
      <c r="B55" s="1103"/>
      <c r="C55" s="1103"/>
      <c r="D55" s="1103"/>
      <c r="E55" s="1103"/>
      <c r="F55" s="1103"/>
      <c r="G55" s="1104"/>
    </row>
    <row r="56" spans="1:7">
      <c r="A56" s="1105"/>
      <c r="B56" s="1106"/>
      <c r="C56" s="1106"/>
      <c r="D56" s="1106"/>
      <c r="E56" s="1106"/>
      <c r="F56" s="1106"/>
      <c r="G56" s="1107"/>
    </row>
    <row r="57" spans="1:7">
      <c r="A57" s="1108"/>
      <c r="B57" s="1109"/>
      <c r="C57" s="1109"/>
      <c r="D57" s="1109"/>
      <c r="E57" s="1109"/>
      <c r="F57" s="1109"/>
      <c r="G57" s="1110"/>
    </row>
    <row r="58" spans="1:7">
      <c r="A58" s="1111" t="s">
        <v>725</v>
      </c>
      <c r="B58" s="1112"/>
      <c r="C58" s="1112"/>
      <c r="D58" s="1112"/>
      <c r="E58" s="1112"/>
      <c r="F58" s="1112"/>
      <c r="G58" s="1113"/>
    </row>
    <row r="59" spans="1:7">
      <c r="A59" s="1102"/>
      <c r="B59" s="1103"/>
      <c r="C59" s="1103"/>
      <c r="D59" s="1103"/>
      <c r="E59" s="1103"/>
      <c r="F59" s="1103"/>
      <c r="G59" s="1104"/>
    </row>
    <row r="60" spans="1:7">
      <c r="A60" s="1108"/>
      <c r="B60" s="1109"/>
      <c r="C60" s="1109"/>
      <c r="D60" s="1109"/>
      <c r="E60" s="1109"/>
      <c r="F60" s="1109"/>
      <c r="G60" s="1110"/>
    </row>
    <row r="61" spans="1:7">
      <c r="A61" s="566"/>
      <c r="B61" s="566"/>
      <c r="C61" s="566"/>
      <c r="D61" s="566"/>
      <c r="E61" s="566"/>
      <c r="F61" s="566"/>
      <c r="G61" s="566"/>
    </row>
    <row r="62" spans="1:7">
      <c r="A62" s="1099"/>
      <c r="B62" s="1099"/>
      <c r="C62" s="1099"/>
      <c r="D62" s="1099"/>
      <c r="E62" s="1099"/>
      <c r="F62" s="1099"/>
      <c r="G62" s="1099"/>
    </row>
    <row r="63" spans="1:7">
      <c r="A63" s="1099" t="s">
        <v>726</v>
      </c>
      <c r="B63" s="1099"/>
      <c r="C63" s="1099"/>
      <c r="D63" s="1099"/>
      <c r="E63" s="1099"/>
      <c r="F63" s="1099"/>
      <c r="G63" s="1099"/>
    </row>
    <row r="64" spans="1:7">
      <c r="A64" s="1099"/>
      <c r="B64" s="1099"/>
      <c r="C64" s="1099"/>
      <c r="D64" s="1099"/>
      <c r="E64" s="1099"/>
      <c r="F64" s="1099"/>
      <c r="G64" s="1099"/>
    </row>
    <row r="65" spans="1:7">
      <c r="A65" s="1099" t="s">
        <v>682</v>
      </c>
      <c r="B65" s="1099"/>
      <c r="C65" s="1099"/>
      <c r="D65" s="1099"/>
      <c r="E65" s="1099"/>
      <c r="F65" s="1099"/>
      <c r="G65" s="1099"/>
    </row>
  </sheetData>
  <mergeCells count="32">
    <mergeCell ref="A16:G16"/>
    <mergeCell ref="A5:G5"/>
    <mergeCell ref="A6:G6"/>
    <mergeCell ref="A7:G7"/>
    <mergeCell ref="A8:G8"/>
    <mergeCell ref="A9:G9"/>
    <mergeCell ref="A10:G10"/>
    <mergeCell ref="A11:G11"/>
    <mergeCell ref="A12:G12"/>
    <mergeCell ref="A13:G13"/>
    <mergeCell ref="A14:G14"/>
    <mergeCell ref="A15:G15"/>
    <mergeCell ref="A51:G53"/>
    <mergeCell ref="A17:G17"/>
    <mergeCell ref="A18:G18"/>
    <mergeCell ref="A19:G19"/>
    <mergeCell ref="A20:G20"/>
    <mergeCell ref="A40:G40"/>
    <mergeCell ref="A41:G43"/>
    <mergeCell ref="A44:G44"/>
    <mergeCell ref="A45:G46"/>
    <mergeCell ref="A47:G47"/>
    <mergeCell ref="A48:G49"/>
    <mergeCell ref="A50:G50"/>
    <mergeCell ref="A64:G64"/>
    <mergeCell ref="A65:G65"/>
    <mergeCell ref="A54:G54"/>
    <mergeCell ref="A55:G57"/>
    <mergeCell ref="A58:G58"/>
    <mergeCell ref="A59:G60"/>
    <mergeCell ref="A62:G62"/>
    <mergeCell ref="A63:G63"/>
  </mergeCells>
  <pageMargins left="0.7" right="0.25" top="0.41" bottom="0.38" header="0.21" footer="0.25"/>
  <pageSetup paperSize="9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H34"/>
  <sheetViews>
    <sheetView zoomScaleNormal="100" workbookViewId="0">
      <selection activeCell="C14" sqref="C14"/>
    </sheetView>
  </sheetViews>
  <sheetFormatPr defaultColWidth="9.140625" defaultRowHeight="12.75"/>
  <cols>
    <col min="1" max="1" width="28" style="264" customWidth="1"/>
    <col min="2" max="2" width="13.28515625" style="264" customWidth="1"/>
    <col min="3" max="3" width="10" style="264" customWidth="1"/>
    <col min="4" max="4" width="9.7109375" style="264" customWidth="1"/>
    <col min="5" max="5" width="7" style="264" customWidth="1"/>
    <col min="6" max="6" width="20" style="264" customWidth="1"/>
    <col min="7" max="7" width="13.42578125" style="264" bestFit="1" customWidth="1"/>
    <col min="8" max="8" width="40.140625" style="264" customWidth="1"/>
    <col min="9" max="16384" width="9.140625" style="264"/>
  </cols>
  <sheetData>
    <row r="1" spans="1:8" ht="15">
      <c r="A1" s="567" t="s">
        <v>727</v>
      </c>
      <c r="B1" s="568"/>
      <c r="C1" s="569"/>
      <c r="H1" s="557" t="s">
        <v>728</v>
      </c>
    </row>
    <row r="2" spans="1:8">
      <c r="A2" s="570" t="s">
        <v>729</v>
      </c>
      <c r="B2" s="570"/>
      <c r="C2" s="570"/>
      <c r="D2" s="570"/>
      <c r="E2" s="570"/>
    </row>
    <row r="3" spans="1:8">
      <c r="A3" s="570"/>
      <c r="B3" s="570"/>
      <c r="C3" s="570"/>
      <c r="D3" s="570"/>
      <c r="E3" s="570"/>
    </row>
    <row r="4" spans="1:8">
      <c r="A4" s="570"/>
      <c r="B4" s="570"/>
      <c r="C4" s="570"/>
      <c r="D4" s="570"/>
      <c r="E4" s="570"/>
    </row>
    <row r="5" spans="1:8">
      <c r="A5" s="556" t="s">
        <v>730</v>
      </c>
      <c r="B5" s="570"/>
      <c r="C5" s="570"/>
      <c r="D5" s="570"/>
      <c r="E5" s="570"/>
    </row>
    <row r="6" spans="1:8">
      <c r="A6" s="556" t="s">
        <v>731</v>
      </c>
      <c r="B6" s="570"/>
      <c r="C6" s="570"/>
      <c r="D6" s="570"/>
      <c r="E6" s="570"/>
    </row>
    <row r="7" spans="1:8">
      <c r="G7" s="571" t="s">
        <v>640</v>
      </c>
    </row>
    <row r="8" spans="1:8" ht="36.75">
      <c r="A8" s="1142" t="s">
        <v>732</v>
      </c>
      <c r="B8" s="1142" t="s">
        <v>733</v>
      </c>
      <c r="C8" s="1142" t="s">
        <v>734</v>
      </c>
      <c r="D8" s="1142" t="s">
        <v>735</v>
      </c>
      <c r="E8" s="1142" t="s">
        <v>736</v>
      </c>
      <c r="F8" s="572" t="s">
        <v>737</v>
      </c>
      <c r="G8" s="572" t="s">
        <v>768</v>
      </c>
      <c r="H8" s="1142" t="s">
        <v>497</v>
      </c>
    </row>
    <row r="9" spans="1:8" ht="22.5">
      <c r="A9" s="1143"/>
      <c r="B9" s="1143"/>
      <c r="C9" s="1143"/>
      <c r="D9" s="1143"/>
      <c r="E9" s="1143"/>
      <c r="F9" s="573" t="s">
        <v>738</v>
      </c>
      <c r="G9" s="574" t="s">
        <v>739</v>
      </c>
      <c r="H9" s="1143"/>
    </row>
    <row r="10" spans="1:8">
      <c r="A10" s="575"/>
      <c r="B10" s="576"/>
      <c r="C10" s="575"/>
      <c r="D10" s="576"/>
      <c r="E10" s="575"/>
      <c r="F10" s="577"/>
      <c r="G10" s="578"/>
      <c r="H10" s="579"/>
    </row>
    <row r="11" spans="1:8">
      <c r="A11" s="575"/>
      <c r="B11" s="576"/>
      <c r="C11" s="575"/>
      <c r="D11" s="576"/>
      <c r="E11" s="575"/>
      <c r="F11" s="577"/>
      <c r="G11" s="578"/>
      <c r="H11" s="579"/>
    </row>
    <row r="12" spans="1:8">
      <c r="A12" s="575"/>
      <c r="B12" s="576"/>
      <c r="C12" s="575"/>
      <c r="D12" s="576"/>
      <c r="E12" s="575"/>
      <c r="F12" s="580"/>
      <c r="G12" s="578"/>
      <c r="H12" s="579"/>
    </row>
    <row r="13" spans="1:8">
      <c r="A13" s="575"/>
      <c r="B13" s="576"/>
      <c r="C13" s="575"/>
      <c r="D13" s="576"/>
      <c r="E13" s="575"/>
      <c r="F13" s="577"/>
      <c r="G13" s="578"/>
      <c r="H13" s="579"/>
    </row>
    <row r="14" spans="1:8">
      <c r="A14" s="575"/>
      <c r="B14" s="576"/>
      <c r="C14" s="575"/>
      <c r="D14" s="576"/>
      <c r="E14" s="575"/>
      <c r="F14" s="577"/>
      <c r="G14" s="578"/>
      <c r="H14" s="579"/>
    </row>
    <row r="15" spans="1:8">
      <c r="A15" s="575"/>
      <c r="B15" s="576"/>
      <c r="C15" s="575"/>
      <c r="D15" s="576"/>
      <c r="E15" s="575"/>
      <c r="F15" s="577"/>
      <c r="G15" s="578"/>
      <c r="H15" s="579"/>
    </row>
    <row r="16" spans="1:8">
      <c r="A16" s="575"/>
      <c r="B16" s="576"/>
      <c r="C16" s="575"/>
      <c r="D16" s="576"/>
      <c r="E16" s="575"/>
      <c r="F16" s="577"/>
      <c r="G16" s="578"/>
      <c r="H16" s="579"/>
    </row>
    <row r="17" spans="1:8">
      <c r="A17" s="575"/>
      <c r="B17" s="576"/>
      <c r="C17" s="575"/>
      <c r="D17" s="576"/>
      <c r="E17" s="575"/>
      <c r="F17" s="577"/>
      <c r="G17" s="578"/>
      <c r="H17" s="579"/>
    </row>
    <row r="18" spans="1:8">
      <c r="A18" s="575"/>
      <c r="B18" s="576"/>
      <c r="C18" s="575"/>
      <c r="D18" s="576"/>
      <c r="E18" s="575"/>
      <c r="F18" s="577"/>
      <c r="G18" s="578"/>
      <c r="H18" s="579"/>
    </row>
    <row r="19" spans="1:8">
      <c r="A19" s="575"/>
      <c r="B19" s="576"/>
      <c r="C19" s="575"/>
      <c r="D19" s="576"/>
      <c r="E19" s="575"/>
      <c r="F19" s="577"/>
      <c r="G19" s="578"/>
      <c r="H19" s="579"/>
    </row>
    <row r="20" spans="1:8">
      <c r="A20" s="575"/>
      <c r="B20" s="576"/>
      <c r="C20" s="575"/>
      <c r="D20" s="576"/>
      <c r="E20" s="575"/>
      <c r="F20" s="577"/>
      <c r="G20" s="578"/>
      <c r="H20" s="579"/>
    </row>
    <row r="21" spans="1:8">
      <c r="A21" s="575"/>
      <c r="B21" s="576"/>
      <c r="C21" s="575"/>
      <c r="D21" s="576"/>
      <c r="E21" s="575"/>
      <c r="F21" s="577"/>
      <c r="G21" s="578"/>
      <c r="H21" s="579"/>
    </row>
    <row r="22" spans="1:8">
      <c r="A22" s="575"/>
      <c r="B22" s="576"/>
      <c r="C22" s="575"/>
      <c r="D22" s="576"/>
      <c r="E22" s="575"/>
      <c r="F22" s="577"/>
      <c r="G22" s="578"/>
      <c r="H22" s="579"/>
    </row>
    <row r="23" spans="1:8">
      <c r="A23" s="575"/>
      <c r="B23" s="576"/>
      <c r="C23" s="575"/>
      <c r="D23" s="576"/>
      <c r="E23" s="575"/>
      <c r="F23" s="577"/>
      <c r="G23" s="578"/>
      <c r="H23" s="579"/>
    </row>
    <row r="24" spans="1:8">
      <c r="A24" s="575"/>
      <c r="B24" s="576"/>
      <c r="C24" s="575"/>
      <c r="D24" s="576"/>
      <c r="E24" s="575"/>
      <c r="F24" s="577"/>
      <c r="G24" s="578"/>
      <c r="H24" s="579"/>
    </row>
    <row r="25" spans="1:8">
      <c r="A25" s="575"/>
      <c r="B25" s="576"/>
      <c r="C25" s="575"/>
      <c r="D25" s="576"/>
      <c r="E25" s="575"/>
      <c r="F25" s="577"/>
      <c r="G25" s="578"/>
      <c r="H25" s="579"/>
    </row>
    <row r="26" spans="1:8">
      <c r="A26" s="575"/>
      <c r="B26" s="576"/>
      <c r="C26" s="575"/>
      <c r="D26" s="576"/>
      <c r="E26" s="575"/>
      <c r="F26" s="577"/>
      <c r="G26" s="578"/>
      <c r="H26" s="579"/>
    </row>
    <row r="27" spans="1:8">
      <c r="A27" s="575"/>
      <c r="B27" s="576"/>
      <c r="C27" s="575"/>
      <c r="D27" s="576"/>
      <c r="E27" s="575"/>
      <c r="F27" s="577"/>
      <c r="G27" s="578"/>
      <c r="H27" s="579"/>
    </row>
    <row r="28" spans="1:8">
      <c r="A28" s="581"/>
      <c r="B28" s="582"/>
      <c r="C28" s="581"/>
      <c r="D28" s="582"/>
      <c r="E28" s="581"/>
      <c r="F28" s="583"/>
      <c r="G28" s="584"/>
      <c r="H28" s="585"/>
    </row>
    <row r="29" spans="1:8">
      <c r="A29" s="570" t="s">
        <v>740</v>
      </c>
    </row>
    <row r="32" spans="1:8">
      <c r="A32" s="264" t="s">
        <v>726</v>
      </c>
    </row>
    <row r="34" spans="1:1">
      <c r="A34" s="586" t="s">
        <v>682</v>
      </c>
    </row>
  </sheetData>
  <mergeCells count="6">
    <mergeCell ref="H8:H9"/>
    <mergeCell ref="A8:A9"/>
    <mergeCell ref="B8:B9"/>
    <mergeCell ref="C8:C9"/>
    <mergeCell ref="D8:D9"/>
    <mergeCell ref="E8:E9"/>
  </mergeCells>
  <pageMargins left="0.55000000000000004" right="0.21" top="0.33" bottom="0.28000000000000003" header="0.21" footer="0.18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H40"/>
  <sheetViews>
    <sheetView workbookViewId="0"/>
  </sheetViews>
  <sheetFormatPr defaultRowHeight="12.75"/>
  <cols>
    <col min="1" max="1" width="14.42578125" style="33" customWidth="1"/>
    <col min="2" max="2" width="13.140625" style="33" customWidth="1"/>
    <col min="3" max="3" width="8.7109375" style="33" customWidth="1"/>
    <col min="4" max="4" width="9.5703125" style="33" customWidth="1"/>
    <col min="5" max="5" width="9.7109375" style="33" customWidth="1"/>
    <col min="6" max="6" width="8.42578125" style="33" customWidth="1"/>
    <col min="7" max="7" width="9.7109375" style="884" customWidth="1"/>
    <col min="8" max="11" width="11.7109375" style="884" customWidth="1"/>
    <col min="12" max="12" width="14" style="883" customWidth="1"/>
    <col min="13" max="13" width="12.140625" style="883" customWidth="1"/>
    <col min="14" max="14" width="11.140625" style="883" customWidth="1"/>
    <col min="15" max="15" width="10" style="33" customWidth="1"/>
    <col min="16" max="16" width="10" style="884" customWidth="1"/>
    <col min="17" max="20" width="11.7109375" style="884" customWidth="1"/>
    <col min="21" max="21" width="17.85546875" style="33" customWidth="1"/>
    <col min="22" max="24" width="9.140625" style="33"/>
    <col min="25" max="25" width="36.5703125" style="83" customWidth="1"/>
    <col min="26" max="26" width="22.140625" style="83" customWidth="1"/>
    <col min="27" max="33" width="9.140625" style="83"/>
    <col min="34" max="16384" width="9.140625" style="33"/>
  </cols>
  <sheetData>
    <row r="1" spans="1:34" ht="15">
      <c r="A1" s="880" t="s">
        <v>1015</v>
      </c>
      <c r="B1" s="881"/>
      <c r="C1" s="881"/>
      <c r="D1" s="881"/>
      <c r="E1" s="881"/>
      <c r="G1" s="882"/>
      <c r="H1" s="882"/>
      <c r="I1" s="882"/>
      <c r="J1" s="882"/>
      <c r="K1" s="882"/>
      <c r="U1" s="885" t="s">
        <v>921</v>
      </c>
    </row>
    <row r="2" spans="1:34">
      <c r="A2" s="886" t="s">
        <v>922</v>
      </c>
      <c r="B2" s="886"/>
      <c r="C2" s="887"/>
      <c r="D2" s="887"/>
      <c r="E2" s="887"/>
      <c r="F2" s="888"/>
      <c r="G2" s="889"/>
      <c r="H2" s="889"/>
      <c r="I2" s="889"/>
      <c r="J2" s="889"/>
      <c r="K2" s="889"/>
      <c r="L2" s="890"/>
      <c r="M2" s="890"/>
      <c r="N2" s="890"/>
      <c r="O2" s="248"/>
      <c r="P2" s="891"/>
      <c r="Q2" s="891"/>
      <c r="R2" s="891"/>
      <c r="S2" s="891"/>
      <c r="T2" s="891"/>
      <c r="U2" s="892"/>
    </row>
    <row r="3" spans="1:34">
      <c r="A3" s="893" t="s">
        <v>923</v>
      </c>
      <c r="B3" s="893"/>
      <c r="C3" s="887"/>
      <c r="D3" s="887"/>
      <c r="E3" s="887"/>
      <c r="F3" s="888"/>
      <c r="G3" s="889"/>
      <c r="H3" s="889"/>
      <c r="I3" s="889"/>
      <c r="J3" s="889"/>
      <c r="K3" s="889"/>
      <c r="L3" s="890"/>
      <c r="M3" s="890"/>
      <c r="N3" s="890"/>
      <c r="O3" s="248"/>
      <c r="P3" s="891"/>
      <c r="Q3" s="891"/>
      <c r="R3" s="891"/>
      <c r="S3" s="891"/>
      <c r="T3" s="891"/>
      <c r="U3" s="894"/>
    </row>
    <row r="4" spans="1:34">
      <c r="A4" s="1145" t="s">
        <v>924</v>
      </c>
      <c r="B4" s="1145"/>
      <c r="C4" s="1145"/>
      <c r="D4" s="1145"/>
      <c r="E4" s="1145"/>
      <c r="F4" s="1145"/>
      <c r="G4" s="1145"/>
      <c r="H4" s="895"/>
      <c r="I4" s="895"/>
      <c r="J4" s="895"/>
      <c r="K4" s="895"/>
      <c r="L4" s="1146" t="s">
        <v>925</v>
      </c>
      <c r="M4" s="1146"/>
      <c r="N4" s="1146"/>
      <c r="O4" s="1146"/>
      <c r="P4" s="1146"/>
      <c r="Q4" s="1146"/>
      <c r="R4" s="1146"/>
      <c r="S4" s="1146"/>
      <c r="T4" s="1146"/>
      <c r="U4" s="1146"/>
    </row>
    <row r="5" spans="1:34" ht="51">
      <c r="A5" s="896" t="s">
        <v>926</v>
      </c>
      <c r="B5" s="896" t="s">
        <v>927</v>
      </c>
      <c r="C5" s="897" t="s">
        <v>928</v>
      </c>
      <c r="D5" s="898" t="s">
        <v>929</v>
      </c>
      <c r="E5" s="897" t="s">
        <v>930</v>
      </c>
      <c r="F5" s="897" t="s">
        <v>931</v>
      </c>
      <c r="G5" s="898" t="s">
        <v>932</v>
      </c>
      <c r="H5" s="1147" t="s">
        <v>933</v>
      </c>
      <c r="I5" s="1148"/>
      <c r="J5" s="1148"/>
      <c r="K5" s="1149"/>
      <c r="L5" s="896" t="s">
        <v>926</v>
      </c>
      <c r="M5" s="896" t="s">
        <v>927</v>
      </c>
      <c r="N5" s="897" t="s">
        <v>934</v>
      </c>
      <c r="O5" s="897" t="s">
        <v>935</v>
      </c>
      <c r="P5" s="898" t="s">
        <v>936</v>
      </c>
      <c r="Q5" s="1147" t="s">
        <v>933</v>
      </c>
      <c r="R5" s="1148"/>
      <c r="S5" s="1148"/>
      <c r="T5" s="1149"/>
      <c r="U5" s="896" t="s">
        <v>937</v>
      </c>
    </row>
    <row r="6" spans="1:34" ht="15.75" customHeight="1">
      <c r="A6" s="896"/>
      <c r="B6" s="896"/>
      <c r="C6" s="897"/>
      <c r="D6" s="898"/>
      <c r="E6" s="897"/>
      <c r="F6" s="897"/>
      <c r="G6" s="898"/>
      <c r="H6" s="899">
        <v>2281109100</v>
      </c>
      <c r="I6" s="899">
        <v>2281109200</v>
      </c>
      <c r="J6" s="899"/>
      <c r="K6" s="899"/>
      <c r="L6" s="896"/>
      <c r="M6" s="896"/>
      <c r="N6" s="897"/>
      <c r="O6" s="897"/>
      <c r="P6" s="898"/>
      <c r="Q6" s="899">
        <v>2281109100</v>
      </c>
      <c r="R6" s="899">
        <v>2281109200</v>
      </c>
      <c r="S6" s="899"/>
      <c r="T6" s="899"/>
      <c r="U6" s="896"/>
    </row>
    <row r="7" spans="1:34">
      <c r="A7" s="900">
        <v>1</v>
      </c>
      <c r="B7" s="900">
        <v>2</v>
      </c>
      <c r="C7" s="901">
        <v>3</v>
      </c>
      <c r="D7" s="902">
        <v>4</v>
      </c>
      <c r="E7" s="901">
        <v>5</v>
      </c>
      <c r="F7" s="901">
        <v>6</v>
      </c>
      <c r="G7" s="902">
        <v>7</v>
      </c>
      <c r="H7" s="903"/>
      <c r="I7" s="903"/>
      <c r="J7" s="903"/>
      <c r="K7" s="903"/>
      <c r="L7" s="904">
        <v>8</v>
      </c>
      <c r="M7" s="904">
        <v>9</v>
      </c>
      <c r="N7" s="901">
        <v>10</v>
      </c>
      <c r="O7" s="901">
        <v>11</v>
      </c>
      <c r="P7" s="902">
        <v>12</v>
      </c>
      <c r="Q7" s="903"/>
      <c r="R7" s="903"/>
      <c r="S7" s="903"/>
      <c r="T7" s="903"/>
      <c r="U7" s="904">
        <v>13</v>
      </c>
    </row>
    <row r="8" spans="1:34">
      <c r="A8" s="905"/>
      <c r="B8" s="905"/>
      <c r="C8" s="901"/>
      <c r="D8" s="902"/>
      <c r="E8" s="901">
        <f>C8*D8</f>
        <v>0</v>
      </c>
      <c r="F8" s="901"/>
      <c r="G8" s="902">
        <f>F8*D8</f>
        <v>0</v>
      </c>
      <c r="H8" s="903"/>
      <c r="I8" s="903"/>
      <c r="J8" s="903"/>
      <c r="K8" s="903"/>
      <c r="L8" s="906"/>
      <c r="M8" s="906"/>
      <c r="N8" s="904"/>
      <c r="O8" s="901"/>
      <c r="P8" s="902">
        <f>N8*O8</f>
        <v>0</v>
      </c>
      <c r="Q8" s="903"/>
      <c r="R8" s="903"/>
      <c r="S8" s="903"/>
      <c r="T8" s="903"/>
      <c r="U8" s="904"/>
    </row>
    <row r="9" spans="1:34" ht="13.5" customHeight="1">
      <c r="A9" s="907"/>
      <c r="B9" s="907"/>
      <c r="C9" s="901"/>
      <c r="D9" s="908"/>
      <c r="E9" s="901">
        <f t="shared" ref="E9:E13" si="0">C9*D9</f>
        <v>0</v>
      </c>
      <c r="F9" s="901"/>
      <c r="G9" s="902">
        <f t="shared" ref="G9:G13" si="1">F9*D9</f>
        <v>0</v>
      </c>
      <c r="H9" s="903"/>
      <c r="I9" s="903"/>
      <c r="J9" s="903"/>
      <c r="K9" s="903"/>
      <c r="L9" s="907"/>
      <c r="M9" s="907"/>
      <c r="N9" s="904"/>
      <c r="O9" s="908"/>
      <c r="P9" s="902">
        <f t="shared" ref="P9:P13" si="2">N9*O9</f>
        <v>0</v>
      </c>
      <c r="Q9" s="903"/>
      <c r="R9" s="903"/>
      <c r="S9" s="903"/>
      <c r="T9" s="903"/>
      <c r="U9" s="909"/>
    </row>
    <row r="10" spans="1:34">
      <c r="A10" s="907"/>
      <c r="B10" s="907"/>
      <c r="C10" s="901"/>
      <c r="D10" s="908"/>
      <c r="E10" s="901">
        <f t="shared" si="0"/>
        <v>0</v>
      </c>
      <c r="F10" s="901"/>
      <c r="G10" s="902">
        <f t="shared" si="1"/>
        <v>0</v>
      </c>
      <c r="H10" s="903"/>
      <c r="I10" s="903"/>
      <c r="J10" s="903"/>
      <c r="K10" s="903"/>
      <c r="L10" s="907"/>
      <c r="M10" s="907"/>
      <c r="N10" s="900"/>
      <c r="O10" s="908"/>
      <c r="P10" s="902">
        <f>N10*O10</f>
        <v>0</v>
      </c>
      <c r="Q10" s="903"/>
      <c r="R10" s="903"/>
      <c r="S10" s="903"/>
      <c r="T10" s="903"/>
      <c r="U10" s="906"/>
      <c r="AH10" s="248"/>
    </row>
    <row r="11" spans="1:34">
      <c r="A11" s="907"/>
      <c r="B11" s="907"/>
      <c r="C11" s="901"/>
      <c r="D11" s="908"/>
      <c r="E11" s="901">
        <f t="shared" si="0"/>
        <v>0</v>
      </c>
      <c r="F11" s="901"/>
      <c r="G11" s="902">
        <f t="shared" si="1"/>
        <v>0</v>
      </c>
      <c r="H11" s="903"/>
      <c r="I11" s="903"/>
      <c r="J11" s="903"/>
      <c r="K11" s="903"/>
      <c r="L11" s="907"/>
      <c r="M11" s="907"/>
      <c r="N11" s="900"/>
      <c r="O11" s="908"/>
      <c r="P11" s="902">
        <f t="shared" si="2"/>
        <v>0</v>
      </c>
      <c r="Q11" s="903"/>
      <c r="R11" s="903"/>
      <c r="S11" s="903"/>
      <c r="T11" s="903"/>
      <c r="U11" s="906"/>
      <c r="AH11" s="248"/>
    </row>
    <row r="12" spans="1:34">
      <c r="A12" s="907"/>
      <c r="B12" s="907"/>
      <c r="C12" s="901"/>
      <c r="D12" s="908"/>
      <c r="E12" s="901">
        <f t="shared" si="0"/>
        <v>0</v>
      </c>
      <c r="F12" s="901"/>
      <c r="G12" s="902">
        <f t="shared" si="1"/>
        <v>0</v>
      </c>
      <c r="H12" s="903"/>
      <c r="I12" s="903"/>
      <c r="J12" s="903"/>
      <c r="K12" s="903"/>
      <c r="L12" s="907"/>
      <c r="M12" s="907"/>
      <c r="N12" s="900"/>
      <c r="O12" s="908"/>
      <c r="P12" s="902">
        <f t="shared" si="2"/>
        <v>0</v>
      </c>
      <c r="Q12" s="903"/>
      <c r="R12" s="903"/>
      <c r="S12" s="903"/>
      <c r="T12" s="903"/>
      <c r="U12" s="906"/>
      <c r="AH12" s="910"/>
    </row>
    <row r="13" spans="1:34">
      <c r="A13" s="907"/>
      <c r="B13" s="907"/>
      <c r="C13" s="901"/>
      <c r="D13" s="908"/>
      <c r="E13" s="901">
        <f t="shared" si="0"/>
        <v>0</v>
      </c>
      <c r="F13" s="901"/>
      <c r="G13" s="902">
        <f t="shared" si="1"/>
        <v>0</v>
      </c>
      <c r="H13" s="903"/>
      <c r="I13" s="903"/>
      <c r="J13" s="903"/>
      <c r="K13" s="903"/>
      <c r="L13" s="911"/>
      <c r="M13" s="911"/>
      <c r="N13" s="900"/>
      <c r="O13" s="908"/>
      <c r="P13" s="902">
        <f t="shared" si="2"/>
        <v>0</v>
      </c>
      <c r="Q13" s="903"/>
      <c r="R13" s="903"/>
      <c r="S13" s="903"/>
      <c r="T13" s="903"/>
      <c r="U13" s="906"/>
      <c r="AH13" s="910"/>
    </row>
    <row r="14" spans="1:34">
      <c r="A14" s="912" t="s">
        <v>938</v>
      </c>
      <c r="B14" s="912"/>
      <c r="C14" s="913">
        <f>SUM(C9:C13)</f>
        <v>0</v>
      </c>
      <c r="D14" s="913"/>
      <c r="E14" s="913">
        <f>SUM(E9:E13)</f>
        <v>0</v>
      </c>
      <c r="F14" s="913">
        <f>SUM(F9:F13)</f>
        <v>0</v>
      </c>
      <c r="G14" s="913">
        <f>SUM(G9:G13)</f>
        <v>0</v>
      </c>
      <c r="H14" s="914">
        <f>SUM(H8:H13)</f>
        <v>0</v>
      </c>
      <c r="I14" s="914">
        <f t="shared" ref="I14:K14" si="3">SUM(I8:I13)</f>
        <v>0</v>
      </c>
      <c r="J14" s="914">
        <f t="shared" si="3"/>
        <v>0</v>
      </c>
      <c r="K14" s="914">
        <f t="shared" si="3"/>
        <v>0</v>
      </c>
      <c r="L14" s="912" t="s">
        <v>938</v>
      </c>
      <c r="M14" s="912"/>
      <c r="N14" s="915">
        <f>SUM(N9:N13)</f>
        <v>0</v>
      </c>
      <c r="O14" s="913"/>
      <c r="P14" s="913">
        <f>SUM(P9:P13)</f>
        <v>0</v>
      </c>
      <c r="Q14" s="914">
        <f>SUM(Q7:Q13)</f>
        <v>0</v>
      </c>
      <c r="R14" s="914">
        <f t="shared" ref="R14:T14" si="4">SUM(R7:R13)</f>
        <v>0</v>
      </c>
      <c r="S14" s="914">
        <f t="shared" si="4"/>
        <v>0</v>
      </c>
      <c r="T14" s="914">
        <f t="shared" si="4"/>
        <v>0</v>
      </c>
      <c r="U14" s="916"/>
      <c r="AH14" s="910"/>
    </row>
    <row r="15" spans="1:34">
      <c r="A15" s="917"/>
      <c r="B15" s="917"/>
      <c r="C15" s="917"/>
      <c r="D15" s="917"/>
      <c r="E15" s="917"/>
      <c r="F15" s="918"/>
      <c r="G15" s="919"/>
      <c r="H15" s="919"/>
      <c r="I15" s="919"/>
      <c r="J15" s="919"/>
      <c r="K15" s="919"/>
      <c r="L15" s="888"/>
      <c r="M15" s="888"/>
      <c r="N15" s="920"/>
      <c r="P15" s="921"/>
      <c r="Q15" s="921"/>
      <c r="R15" s="921"/>
      <c r="S15" s="921"/>
      <c r="T15" s="921"/>
      <c r="U15" s="922"/>
      <c r="AH15" s="910"/>
    </row>
    <row r="16" spans="1:34" ht="36" customHeight="1">
      <c r="A16" s="923" t="s">
        <v>939</v>
      </c>
      <c r="B16" s="923"/>
      <c r="C16" s="923"/>
      <c r="D16" s="923"/>
      <c r="E16" s="923"/>
      <c r="F16" s="248"/>
      <c r="G16" s="891"/>
      <c r="H16" s="891"/>
      <c r="I16" s="891"/>
      <c r="J16" s="891"/>
      <c r="K16" s="891"/>
      <c r="L16" s="892"/>
      <c r="M16" s="892"/>
      <c r="N16" s="1150"/>
      <c r="O16" s="1150"/>
      <c r="P16" s="1150"/>
      <c r="Q16" s="1150"/>
      <c r="R16" s="1150"/>
      <c r="S16" s="1150"/>
      <c r="T16" s="1150"/>
      <c r="U16" s="1150"/>
    </row>
    <row r="17" spans="1:24">
      <c r="A17" s="924" t="s">
        <v>940</v>
      </c>
      <c r="B17" s="924"/>
      <c r="C17" s="924"/>
      <c r="D17" s="924"/>
      <c r="E17" s="924"/>
      <c r="F17" s="248"/>
      <c r="G17" s="891"/>
      <c r="H17" s="891"/>
      <c r="I17" s="891"/>
      <c r="J17" s="891"/>
      <c r="K17" s="891"/>
      <c r="L17" s="890"/>
      <c r="M17" s="890"/>
      <c r="N17" s="890"/>
      <c r="O17" s="925"/>
      <c r="P17" s="891"/>
      <c r="Q17" s="891"/>
      <c r="R17" s="891"/>
      <c r="S17" s="891"/>
      <c r="T17" s="891"/>
      <c r="U17" s="892"/>
    </row>
    <row r="18" spans="1:24">
      <c r="A18" s="924" t="s">
        <v>941</v>
      </c>
      <c r="B18" s="924"/>
      <c r="C18" s="924"/>
      <c r="D18" s="924"/>
      <c r="E18" s="924"/>
      <c r="F18" s="248"/>
      <c r="G18" s="891"/>
      <c r="H18" s="891"/>
      <c r="I18" s="891"/>
      <c r="J18" s="891"/>
      <c r="K18" s="891"/>
      <c r="L18" s="890"/>
      <c r="M18" s="890"/>
      <c r="N18" s="890"/>
      <c r="O18" s="925"/>
      <c r="P18" s="891"/>
      <c r="Q18" s="891"/>
      <c r="R18" s="891"/>
      <c r="S18" s="891"/>
      <c r="T18" s="891"/>
      <c r="U18" s="892"/>
    </row>
    <row r="19" spans="1:24">
      <c r="A19" s="924" t="s">
        <v>942</v>
      </c>
      <c r="B19" s="924"/>
      <c r="C19" s="924"/>
      <c r="D19" s="924"/>
      <c r="E19" s="924"/>
      <c r="F19" s="248"/>
      <c r="G19" s="891"/>
      <c r="H19" s="891"/>
      <c r="I19" s="891"/>
      <c r="J19" s="891"/>
      <c r="K19" s="891"/>
      <c r="L19" s="890"/>
      <c r="M19" s="890"/>
      <c r="N19" s="890"/>
      <c r="O19" s="925"/>
      <c r="P19" s="891"/>
      <c r="Q19" s="891"/>
      <c r="R19" s="891"/>
      <c r="S19" s="891"/>
      <c r="T19" s="891"/>
      <c r="U19" s="892"/>
    </row>
    <row r="20" spans="1:24">
      <c r="A20" s="926" t="s">
        <v>943</v>
      </c>
      <c r="B20" s="926"/>
      <c r="C20" s="926"/>
      <c r="D20" s="926"/>
      <c r="E20" s="926"/>
      <c r="F20" s="248"/>
      <c r="G20" s="891"/>
      <c r="H20" s="891"/>
      <c r="I20" s="891"/>
      <c r="J20" s="891"/>
      <c r="K20" s="891"/>
      <c r="L20" s="890"/>
      <c r="M20" s="890"/>
      <c r="N20" s="890"/>
      <c r="O20" s="925"/>
      <c r="P20" s="891"/>
      <c r="Q20" s="891"/>
      <c r="R20" s="891"/>
      <c r="S20" s="891"/>
      <c r="T20" s="891"/>
      <c r="U20" s="892"/>
    </row>
    <row r="22" spans="1:24">
      <c r="A22" s="927" t="s">
        <v>944</v>
      </c>
      <c r="B22" s="927"/>
      <c r="C22" s="927"/>
      <c r="D22" s="927"/>
      <c r="E22" s="927"/>
      <c r="U22" s="103"/>
    </row>
    <row r="23" spans="1:24">
      <c r="A23" s="928" t="s">
        <v>945</v>
      </c>
      <c r="B23" s="928"/>
      <c r="C23" s="928"/>
      <c r="D23" s="928"/>
      <c r="E23" s="928"/>
      <c r="F23" s="928"/>
      <c r="G23" s="929"/>
      <c r="H23" s="929"/>
      <c r="I23" s="929"/>
      <c r="J23" s="929"/>
      <c r="K23" s="929"/>
      <c r="L23" s="930"/>
      <c r="M23" s="930"/>
      <c r="N23" s="930"/>
      <c r="O23" s="928"/>
      <c r="P23" s="931"/>
      <c r="Q23" s="931"/>
      <c r="R23" s="931"/>
      <c r="S23" s="931"/>
      <c r="T23" s="931"/>
      <c r="U23" s="932"/>
      <c r="V23" s="6"/>
      <c r="W23" s="6"/>
      <c r="X23" s="6"/>
    </row>
    <row r="24" spans="1:24">
      <c r="A24" s="6" t="s">
        <v>946</v>
      </c>
      <c r="B24" s="6"/>
      <c r="C24" s="6"/>
      <c r="D24" s="6"/>
      <c r="E24" s="6"/>
      <c r="F24" s="6"/>
      <c r="G24" s="933"/>
      <c r="H24" s="933"/>
      <c r="I24" s="933"/>
      <c r="J24" s="933"/>
      <c r="K24" s="933"/>
      <c r="L24" s="103"/>
      <c r="M24" s="103"/>
      <c r="N24" s="103"/>
      <c r="O24" s="6"/>
      <c r="P24" s="933"/>
      <c r="Q24" s="933"/>
      <c r="R24" s="933"/>
      <c r="S24" s="933"/>
      <c r="T24" s="933"/>
      <c r="U24" s="103"/>
      <c r="V24" s="6"/>
      <c r="W24" s="6"/>
      <c r="X24" s="6"/>
    </row>
    <row r="25" spans="1:24">
      <c r="A25" s="6" t="s">
        <v>947</v>
      </c>
      <c r="B25" s="6"/>
      <c r="C25" s="6"/>
      <c r="D25" s="6"/>
      <c r="E25" s="6"/>
      <c r="F25" s="6"/>
      <c r="G25" s="933"/>
      <c r="H25" s="933"/>
      <c r="I25" s="933"/>
      <c r="J25" s="933"/>
      <c r="K25" s="933"/>
      <c r="L25" s="103"/>
      <c r="M25" s="103"/>
      <c r="N25" s="103"/>
      <c r="O25" s="6"/>
      <c r="P25" s="933"/>
      <c r="Q25" s="933"/>
      <c r="R25" s="933"/>
      <c r="S25" s="933"/>
      <c r="T25" s="933"/>
      <c r="U25" s="103"/>
      <c r="V25" s="6"/>
      <c r="W25" s="6"/>
      <c r="X25" s="6"/>
    </row>
    <row r="26" spans="1:24">
      <c r="A26" s="6" t="s">
        <v>948</v>
      </c>
      <c r="B26" s="6"/>
      <c r="C26" s="6"/>
      <c r="D26" s="6"/>
      <c r="E26" s="6"/>
      <c r="F26" s="6"/>
      <c r="G26" s="933"/>
      <c r="H26" s="933"/>
      <c r="I26" s="933"/>
      <c r="J26" s="933"/>
      <c r="K26" s="933"/>
      <c r="L26" s="103"/>
      <c r="M26" s="103"/>
      <c r="N26" s="103"/>
      <c r="O26" s="6"/>
      <c r="P26" s="933"/>
      <c r="Q26" s="933"/>
      <c r="R26" s="933"/>
      <c r="S26" s="933"/>
      <c r="T26" s="933"/>
      <c r="U26" s="103"/>
      <c r="V26" s="6"/>
      <c r="W26" s="6"/>
      <c r="X26" s="6"/>
    </row>
    <row r="27" spans="1:24">
      <c r="A27" s="6" t="s">
        <v>949</v>
      </c>
      <c r="B27" s="6"/>
      <c r="C27" s="6"/>
      <c r="D27" s="6"/>
      <c r="E27" s="6"/>
      <c r="F27" s="6"/>
      <c r="G27" s="933"/>
      <c r="H27" s="933"/>
      <c r="I27" s="933"/>
      <c r="J27" s="933"/>
      <c r="K27" s="933"/>
      <c r="L27" s="103"/>
      <c r="M27" s="103"/>
      <c r="N27" s="103"/>
      <c r="O27" s="6"/>
      <c r="P27" s="933"/>
      <c r="Q27" s="933"/>
      <c r="R27" s="933"/>
      <c r="S27" s="933"/>
      <c r="T27" s="933"/>
      <c r="U27" s="103"/>
      <c r="V27" s="6"/>
      <c r="W27" s="6"/>
      <c r="X27" s="6"/>
    </row>
    <row r="28" spans="1:24">
      <c r="A28" s="6" t="s">
        <v>950</v>
      </c>
      <c r="B28" s="6"/>
      <c r="C28" s="6"/>
      <c r="D28" s="6"/>
      <c r="E28" s="6"/>
      <c r="F28" s="6"/>
      <c r="G28" s="933"/>
      <c r="H28" s="933"/>
      <c r="I28" s="933"/>
      <c r="J28" s="933"/>
      <c r="K28" s="933"/>
      <c r="L28" s="103"/>
      <c r="M28" s="103"/>
      <c r="N28" s="103"/>
      <c r="O28" s="6"/>
      <c r="P28" s="933"/>
      <c r="Q28" s="933"/>
      <c r="R28" s="933"/>
      <c r="S28" s="933"/>
      <c r="T28" s="933"/>
      <c r="U28" s="103"/>
      <c r="V28" s="6"/>
      <c r="W28" s="6"/>
      <c r="X28" s="6"/>
    </row>
    <row r="29" spans="1:24">
      <c r="A29" s="928" t="s">
        <v>951</v>
      </c>
      <c r="B29" s="928"/>
      <c r="C29" s="928"/>
      <c r="D29" s="6"/>
      <c r="E29" s="6"/>
      <c r="F29" s="6"/>
      <c r="G29" s="933"/>
      <c r="H29" s="933"/>
      <c r="I29" s="933"/>
      <c r="J29" s="933"/>
      <c r="K29" s="933"/>
      <c r="L29" s="103"/>
      <c r="M29" s="103"/>
      <c r="N29" s="103"/>
      <c r="O29" s="6"/>
      <c r="P29" s="933"/>
      <c r="Q29" s="933"/>
      <c r="R29" s="933"/>
      <c r="S29" s="933"/>
      <c r="T29" s="933"/>
      <c r="U29" s="103"/>
      <c r="V29" s="6"/>
      <c r="W29" s="6"/>
      <c r="X29" s="6"/>
    </row>
    <row r="30" spans="1:24">
      <c r="A30" s="6" t="s">
        <v>952</v>
      </c>
      <c r="B30" s="6"/>
      <c r="C30" s="6"/>
      <c r="D30" s="6"/>
      <c r="E30" s="6"/>
      <c r="F30" s="6"/>
      <c r="G30" s="933"/>
      <c r="H30" s="933"/>
      <c r="I30" s="933"/>
      <c r="J30" s="933"/>
      <c r="K30" s="933"/>
      <c r="L30" s="103"/>
      <c r="M30" s="103"/>
      <c r="N30" s="103"/>
      <c r="O30" s="6"/>
      <c r="P30" s="933"/>
      <c r="Q30" s="933"/>
      <c r="R30" s="933"/>
      <c r="S30" s="933"/>
      <c r="T30" s="933"/>
      <c r="U30" s="103"/>
      <c r="V30" s="6"/>
      <c r="W30" s="6"/>
      <c r="X30" s="6"/>
    </row>
    <row r="31" spans="1:24">
      <c r="A31" s="6" t="s">
        <v>953</v>
      </c>
      <c r="B31" s="6"/>
      <c r="C31" s="6"/>
      <c r="D31" s="6"/>
      <c r="E31" s="6"/>
      <c r="F31" s="6"/>
      <c r="G31" s="933"/>
      <c r="H31" s="933"/>
      <c r="I31" s="933"/>
      <c r="J31" s="933"/>
      <c r="K31" s="933"/>
      <c r="L31" s="103"/>
      <c r="M31" s="103"/>
      <c r="N31" s="103"/>
      <c r="O31" s="6"/>
      <c r="P31" s="933"/>
      <c r="Q31" s="933"/>
      <c r="R31" s="933"/>
      <c r="S31" s="933"/>
      <c r="T31" s="933"/>
      <c r="U31" s="103"/>
      <c r="V31" s="6"/>
      <c r="W31" s="6"/>
      <c r="X31" s="6"/>
    </row>
    <row r="32" spans="1:24">
      <c r="A32" s="928" t="s">
        <v>954</v>
      </c>
      <c r="B32" s="928"/>
      <c r="C32" s="928"/>
      <c r="D32" s="928"/>
      <c r="E32" s="928"/>
      <c r="F32" s="928"/>
      <c r="G32" s="929"/>
      <c r="H32" s="929"/>
      <c r="I32" s="929"/>
      <c r="J32" s="929"/>
      <c r="K32" s="929"/>
      <c r="L32" s="930"/>
      <c r="M32" s="930"/>
      <c r="N32" s="930"/>
      <c r="O32" s="934"/>
      <c r="P32" s="935"/>
      <c r="Q32" s="935"/>
      <c r="R32" s="935"/>
      <c r="S32" s="935"/>
      <c r="T32" s="935"/>
      <c r="U32" s="936"/>
      <c r="V32" s="6"/>
      <c r="W32" s="6"/>
      <c r="X32" s="6"/>
    </row>
    <row r="33" spans="1:24">
      <c r="A33" s="6" t="s">
        <v>955</v>
      </c>
      <c r="B33" s="6"/>
      <c r="C33" s="6"/>
      <c r="D33" s="6"/>
      <c r="E33" s="6"/>
      <c r="F33" s="6"/>
      <c r="G33" s="933"/>
      <c r="H33" s="933"/>
      <c r="I33" s="933"/>
      <c r="J33" s="933"/>
      <c r="K33" s="933"/>
      <c r="L33" s="103"/>
      <c r="M33" s="103"/>
      <c r="N33" s="103"/>
      <c r="O33" s="6"/>
      <c r="P33" s="933"/>
      <c r="Q33" s="933"/>
      <c r="R33" s="933"/>
      <c r="S33" s="933"/>
      <c r="T33" s="933"/>
      <c r="U33" s="103"/>
      <c r="V33" s="6"/>
      <c r="W33" s="6"/>
      <c r="X33" s="6"/>
    </row>
    <row r="34" spans="1:24">
      <c r="A34" s="6" t="s">
        <v>956</v>
      </c>
      <c r="B34" s="6"/>
      <c r="C34" s="6"/>
      <c r="D34" s="6"/>
      <c r="E34" s="6"/>
      <c r="F34" s="6"/>
      <c r="G34" s="933"/>
      <c r="H34" s="933"/>
      <c r="I34" s="933"/>
      <c r="J34" s="933"/>
      <c r="K34" s="933"/>
      <c r="L34" s="103"/>
      <c r="M34" s="103"/>
      <c r="N34" s="103"/>
      <c r="O34" s="6"/>
      <c r="P34" s="933"/>
      <c r="Q34" s="933"/>
      <c r="R34" s="933"/>
      <c r="S34" s="933"/>
      <c r="T34" s="933"/>
      <c r="U34" s="103"/>
      <c r="V34" s="6"/>
      <c r="W34" s="6"/>
      <c r="X34" s="6"/>
    </row>
    <row r="35" spans="1:24">
      <c r="A35" s="6" t="s">
        <v>957</v>
      </c>
      <c r="B35" s="6"/>
      <c r="C35" s="6"/>
      <c r="D35" s="6"/>
      <c r="E35" s="6"/>
      <c r="F35" s="6"/>
      <c r="G35" s="933"/>
      <c r="H35" s="933"/>
      <c r="I35" s="933"/>
      <c r="J35" s="933"/>
      <c r="K35" s="933"/>
      <c r="L35" s="103"/>
      <c r="M35" s="103"/>
      <c r="N35" s="103"/>
      <c r="O35" s="6"/>
      <c r="P35" s="933"/>
      <c r="Q35" s="933"/>
      <c r="R35" s="933"/>
      <c r="S35" s="933"/>
      <c r="T35" s="933"/>
      <c r="U35" s="103"/>
      <c r="V35" s="6"/>
      <c r="W35" s="6"/>
      <c r="X35" s="6"/>
    </row>
    <row r="36" spans="1:24">
      <c r="A36" s="6" t="s">
        <v>958</v>
      </c>
      <c r="B36" s="6"/>
      <c r="C36" s="6"/>
      <c r="D36" s="6"/>
      <c r="E36" s="6"/>
      <c r="F36" s="6"/>
      <c r="G36" s="933"/>
      <c r="H36" s="933"/>
      <c r="I36" s="933"/>
      <c r="J36" s="933"/>
      <c r="K36" s="933"/>
      <c r="L36" s="103"/>
      <c r="M36" s="103"/>
      <c r="N36" s="103"/>
      <c r="O36" s="6"/>
      <c r="P36" s="933"/>
      <c r="Q36" s="933"/>
      <c r="R36" s="933"/>
      <c r="S36" s="933"/>
      <c r="T36" s="933"/>
      <c r="U36" s="103"/>
      <c r="V36" s="6"/>
      <c r="W36" s="6"/>
      <c r="X36" s="6"/>
    </row>
    <row r="37" spans="1:24">
      <c r="A37" s="6" t="s">
        <v>959</v>
      </c>
      <c r="B37" s="6"/>
      <c r="C37" s="6"/>
      <c r="D37" s="6"/>
      <c r="E37" s="6"/>
      <c r="F37" s="6"/>
      <c r="G37" s="933"/>
      <c r="H37" s="933"/>
      <c r="I37" s="933"/>
      <c r="J37" s="933"/>
      <c r="K37" s="933"/>
      <c r="L37" s="103"/>
      <c r="M37" s="103"/>
      <c r="N37" s="103"/>
      <c r="O37" s="6"/>
      <c r="P37" s="933"/>
      <c r="Q37" s="933"/>
      <c r="R37" s="933"/>
      <c r="S37" s="933"/>
      <c r="T37" s="933"/>
      <c r="U37" s="103"/>
      <c r="V37" s="6"/>
      <c r="W37" s="6"/>
      <c r="X37" s="6"/>
    </row>
    <row r="38" spans="1:24" ht="27" customHeight="1">
      <c r="A38" s="1151" t="s">
        <v>960</v>
      </c>
      <c r="B38" s="1151"/>
      <c r="C38" s="1151"/>
      <c r="D38" s="1151"/>
      <c r="E38" s="1151"/>
      <c r="F38" s="1151"/>
      <c r="G38" s="1151"/>
      <c r="H38" s="1151"/>
      <c r="I38" s="1151"/>
      <c r="J38" s="1151"/>
      <c r="K38" s="1151"/>
      <c r="L38" s="1151"/>
      <c r="M38" s="1151"/>
      <c r="N38" s="1151"/>
      <c r="O38" s="1151"/>
      <c r="P38" s="1151"/>
      <c r="Q38" s="1151"/>
      <c r="R38" s="1151"/>
      <c r="S38" s="1151"/>
      <c r="T38" s="1151"/>
      <c r="U38" s="1151"/>
      <c r="V38" s="6"/>
      <c r="W38" s="6"/>
      <c r="X38" s="6"/>
    </row>
    <row r="39" spans="1:24" ht="25.5" customHeight="1">
      <c r="A39" s="1144" t="s">
        <v>961</v>
      </c>
      <c r="B39" s="1144"/>
      <c r="C39" s="1144"/>
      <c r="D39" s="1144"/>
      <c r="E39" s="1144"/>
      <c r="F39" s="1144"/>
      <c r="G39" s="1144"/>
      <c r="H39" s="1144"/>
      <c r="I39" s="1144"/>
      <c r="J39" s="1144"/>
      <c r="K39" s="1144"/>
      <c r="L39" s="1144"/>
      <c r="M39" s="1144"/>
      <c r="N39" s="1144"/>
      <c r="O39" s="1144"/>
      <c r="P39" s="1144"/>
      <c r="Q39" s="1144"/>
      <c r="R39" s="1144"/>
      <c r="S39" s="1144"/>
      <c r="T39" s="1144"/>
      <c r="U39" s="1144"/>
      <c r="V39" s="6"/>
      <c r="W39" s="6"/>
      <c r="X39" s="6"/>
    </row>
    <row r="40" spans="1:24" ht="12.75" customHeight="1"/>
  </sheetData>
  <mergeCells count="7">
    <mergeCell ref="A39:U39"/>
    <mergeCell ref="A4:G4"/>
    <mergeCell ref="L4:U4"/>
    <mergeCell ref="H5:K5"/>
    <mergeCell ref="Q5:T5"/>
    <mergeCell ref="N16:U16"/>
    <mergeCell ref="A38:U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06"/>
  <sheetViews>
    <sheetView showZeros="0" zoomScaleNormal="100" workbookViewId="0">
      <pane ySplit="3" topLeftCell="A51" activePane="bottomLeft" state="frozen"/>
      <selection activeCell="H4" sqref="H4"/>
      <selection pane="bottomLeft" activeCell="C71" sqref="C71"/>
    </sheetView>
  </sheetViews>
  <sheetFormatPr defaultRowHeight="12.75"/>
  <cols>
    <col min="1" max="1" width="62.28515625" customWidth="1"/>
    <col min="2" max="3" width="11.7109375" bestFit="1" customWidth="1"/>
    <col min="4" max="4" width="11.28515625" customWidth="1"/>
  </cols>
  <sheetData>
    <row r="1" spans="1:4" ht="15">
      <c r="A1" s="13" t="s">
        <v>48</v>
      </c>
      <c r="C1" s="83"/>
    </row>
    <row r="2" spans="1:4">
      <c r="A2" s="14"/>
      <c r="C2" s="15" t="s">
        <v>47</v>
      </c>
    </row>
    <row r="3" spans="1:4" ht="25.5">
      <c r="A3" s="3"/>
      <c r="B3" s="267" t="s">
        <v>638</v>
      </c>
      <c r="C3" s="267" t="s">
        <v>386</v>
      </c>
      <c r="D3" s="268" t="s">
        <v>374</v>
      </c>
    </row>
    <row r="4" spans="1:4">
      <c r="A4" s="3"/>
      <c r="C4" s="96"/>
    </row>
    <row r="5" spans="1:4">
      <c r="A5" s="3" t="s">
        <v>49</v>
      </c>
      <c r="C5" s="33"/>
    </row>
    <row r="6" spans="1:4">
      <c r="A6" s="52"/>
      <c r="B6" s="445">
        <f t="shared" ref="B6:C6" si="0">B19/B7</f>
        <v>0.163583740358027</v>
      </c>
      <c r="C6" s="445" t="e">
        <f t="shared" si="0"/>
        <v>#REF!</v>
      </c>
      <c r="D6" s="445" t="e">
        <f>D19/D7</f>
        <v>#REF!</v>
      </c>
    </row>
    <row r="7" spans="1:4">
      <c r="A7" s="17" t="s">
        <v>50</v>
      </c>
      <c r="B7" s="358">
        <v>625318444.34000003</v>
      </c>
      <c r="C7" s="18" t="e">
        <f>SUM(C8:C22)</f>
        <v>#REF!</v>
      </c>
      <c r="D7" s="18" t="e">
        <f t="shared" ref="D7" si="1">SUM(D8:D21)</f>
        <v>#REF!</v>
      </c>
    </row>
    <row r="8" spans="1:4">
      <c r="A8" s="20" t="s">
        <v>51</v>
      </c>
      <c r="B8" s="21">
        <v>399780819.67000002</v>
      </c>
      <c r="C8" s="21" t="e">
        <f>'2 TULUDE KOOND'!G9</f>
        <v>#REF!</v>
      </c>
      <c r="D8" s="396" t="e">
        <f>'2 TULUDE KOOND'!H9</f>
        <v>#REF!</v>
      </c>
    </row>
    <row r="9" spans="1:4">
      <c r="A9" s="20" t="s">
        <v>52</v>
      </c>
      <c r="B9" s="21">
        <v>13369768.890000001</v>
      </c>
      <c r="C9" s="21" t="e">
        <f>'2 TULUDE KOOND'!G13</f>
        <v>#REF!</v>
      </c>
      <c r="D9" s="396" t="e">
        <f>'2 TULUDE KOOND'!H13</f>
        <v>#REF!</v>
      </c>
    </row>
    <row r="10" spans="1:4">
      <c r="A10" s="20" t="s">
        <v>53</v>
      </c>
      <c r="B10" s="21">
        <v>566574.33000000007</v>
      </c>
      <c r="C10" s="21" t="e">
        <f>'2 TULUDE KOOND'!G19</f>
        <v>#REF!</v>
      </c>
      <c r="D10" s="396" t="e">
        <f>'2 TULUDE KOOND'!H19</f>
        <v>#REF!</v>
      </c>
    </row>
    <row r="11" spans="1:4">
      <c r="A11" s="20" t="s">
        <v>54</v>
      </c>
      <c r="B11" s="21">
        <v>79416036.640000001</v>
      </c>
      <c r="C11" s="21" t="e">
        <f ca="1">'2 TULUDE KOOND'!G21</f>
        <v>#REF!</v>
      </c>
      <c r="D11" s="396" t="e">
        <f ca="1">'2 TULUDE KOOND'!H21</f>
        <v>#REF!</v>
      </c>
    </row>
    <row r="12" spans="1:4">
      <c r="A12" s="20" t="s">
        <v>55</v>
      </c>
      <c r="B12" s="21">
        <v>2661988.9299999997</v>
      </c>
      <c r="C12" s="21" t="e">
        <f ca="1">'2 TULUDE KOOND'!G29</f>
        <v>#REF!</v>
      </c>
      <c r="D12" s="396" t="e">
        <f ca="1">'2 TULUDE KOOND'!H29</f>
        <v>#REF!</v>
      </c>
    </row>
    <row r="13" spans="1:4">
      <c r="A13" s="20" t="s">
        <v>56</v>
      </c>
      <c r="B13" s="21">
        <v>4815.45</v>
      </c>
      <c r="C13" s="21" t="e">
        <f>'2 TULUDE KOOND'!G35</f>
        <v>#REF!</v>
      </c>
      <c r="D13" s="396" t="e">
        <f>'2 TULUDE KOOND'!H35</f>
        <v>#REF!</v>
      </c>
    </row>
    <row r="14" spans="1:4">
      <c r="A14" s="20" t="s">
        <v>57</v>
      </c>
      <c r="B14" s="21">
        <v>3429210.77</v>
      </c>
      <c r="C14" s="21" t="e">
        <f>'2 TULUDE KOOND'!G39</f>
        <v>#REF!</v>
      </c>
      <c r="D14" s="396" t="e">
        <f>'2 TULUDE KOOND'!H39</f>
        <v>#REF!</v>
      </c>
    </row>
    <row r="15" spans="1:4">
      <c r="A15" s="20" t="s">
        <v>58</v>
      </c>
      <c r="B15" s="21">
        <v>-1430807.15</v>
      </c>
      <c r="C15" s="21" t="e">
        <f>'2 TULUDE KOOND'!G40</f>
        <v>#REF!</v>
      </c>
      <c r="D15" s="21" t="e">
        <f>'2 TULUDE KOOND'!H40</f>
        <v>#REF!</v>
      </c>
    </row>
    <row r="16" spans="1:4">
      <c r="A16" s="20" t="s">
        <v>59</v>
      </c>
      <c r="B16" s="21">
        <v>-4220</v>
      </c>
      <c r="C16" s="21" t="e">
        <f>'2 TULUDE KOOND'!G41</f>
        <v>#REF!</v>
      </c>
      <c r="D16" s="396" t="e">
        <f>'2 TULUDE KOOND'!H41</f>
        <v>#REF!</v>
      </c>
    </row>
    <row r="17" spans="1:4">
      <c r="A17" s="20" t="s">
        <v>60</v>
      </c>
      <c r="B17" s="21">
        <v>594753.68999999994</v>
      </c>
      <c r="C17" s="21" t="e">
        <f ca="1">'2 TULUDE KOOND'!G43</f>
        <v>#REF!</v>
      </c>
      <c r="D17" s="396" t="e">
        <f>'2 TULUDE KOOND'!H43</f>
        <v>#REF!</v>
      </c>
    </row>
    <row r="18" spans="1:4">
      <c r="A18" s="20" t="s">
        <v>61</v>
      </c>
      <c r="B18" s="21">
        <v>7347730.2000000002</v>
      </c>
      <c r="C18" s="21" t="e">
        <f>'2 TULUDE KOOND'!G48</f>
        <v>#REF!</v>
      </c>
      <c r="D18" s="396" t="e">
        <f>'2 TULUDE KOOND'!H48</f>
        <v>#REF!</v>
      </c>
    </row>
    <row r="19" spans="1:4">
      <c r="A19" s="22" t="s">
        <v>62</v>
      </c>
      <c r="B19" s="21">
        <v>102291930.03999992</v>
      </c>
      <c r="C19" s="21" t="e">
        <f>'2 TULUDE KOOND'!G53</f>
        <v>#REF!</v>
      </c>
      <c r="D19" s="396" t="e">
        <f>'2 TULUDE KOOND'!H53</f>
        <v>#REF!</v>
      </c>
    </row>
    <row r="20" spans="1:4">
      <c r="A20" s="20" t="s">
        <v>63</v>
      </c>
      <c r="B20" s="21">
        <v>17008327.07</v>
      </c>
      <c r="C20" s="21" t="e">
        <f>'2 TULUDE KOOND'!G54</f>
        <v>#REF!</v>
      </c>
      <c r="D20" s="396">
        <f>'2 TULUDE KOOND'!H54</f>
        <v>0</v>
      </c>
    </row>
    <row r="21" spans="1:4" s="83" customFormat="1">
      <c r="A21" s="20" t="s">
        <v>132</v>
      </c>
      <c r="B21" s="21">
        <v>112618.85</v>
      </c>
      <c r="C21" s="21" t="e">
        <f>'2 TULUDE KOOND'!G55</f>
        <v>#REF!</v>
      </c>
      <c r="D21" s="396" t="e">
        <f>'2 TULUDE KOOND'!H55</f>
        <v>#REF!</v>
      </c>
    </row>
    <row r="22" spans="1:4" ht="14.25" customHeight="1">
      <c r="A22" s="20" t="s">
        <v>501</v>
      </c>
      <c r="B22" s="21">
        <v>168896.96</v>
      </c>
      <c r="C22" s="21" t="e">
        <f>'2 TULUDE KOOND'!G56</f>
        <v>#REF!</v>
      </c>
      <c r="D22" s="21"/>
    </row>
    <row r="23" spans="1:4" ht="12" customHeight="1">
      <c r="A23" s="6"/>
      <c r="B23" s="90"/>
      <c r="C23" s="90"/>
      <c r="D23" s="90"/>
    </row>
    <row r="24" spans="1:4">
      <c r="A24" s="17" t="s">
        <v>64</v>
      </c>
      <c r="B24" s="358">
        <v>558865025.55999982</v>
      </c>
      <c r="C24" s="18" t="e">
        <f>C25+C31</f>
        <v>#REF!</v>
      </c>
      <c r="D24" s="18" t="e">
        <f>D25+D31</f>
        <v>#REF!</v>
      </c>
    </row>
    <row r="25" spans="1:4">
      <c r="A25" s="20" t="s">
        <v>65</v>
      </c>
      <c r="B25" s="112">
        <v>506741654.64999986</v>
      </c>
      <c r="C25" s="21" t="e">
        <f>SUM(C26:C30)</f>
        <v>#REF!</v>
      </c>
      <c r="D25" s="362" t="e">
        <f>#REF!</f>
        <v>#REF!</v>
      </c>
    </row>
    <row r="26" spans="1:4">
      <c r="A26" s="111" t="s">
        <v>66</v>
      </c>
      <c r="B26" s="361" t="s">
        <v>505</v>
      </c>
      <c r="C26" s="21" t="e">
        <f>'Kulud (5)'!#REF!</f>
        <v>#REF!</v>
      </c>
      <c r="D26" s="362" t="e">
        <f>#REF!</f>
        <v>#REF!</v>
      </c>
    </row>
    <row r="27" spans="1:4">
      <c r="A27" s="23" t="s">
        <v>67</v>
      </c>
      <c r="B27" s="361" t="s">
        <v>505</v>
      </c>
      <c r="C27" s="21" t="e">
        <f>'Kulud (5)'!#REF!</f>
        <v>#REF!</v>
      </c>
      <c r="D27" s="362" t="e">
        <f>#REF!</f>
        <v>#REF!</v>
      </c>
    </row>
    <row r="28" spans="1:4" s="83" customFormat="1">
      <c r="A28" s="23" t="s">
        <v>639</v>
      </c>
      <c r="B28" s="361"/>
      <c r="C28" s="21" t="e">
        <f>'Kulud (5)'!#REF!</f>
        <v>#REF!</v>
      </c>
      <c r="D28" s="362"/>
    </row>
    <row r="29" spans="1:4" s="83" customFormat="1">
      <c r="A29" s="23" t="s">
        <v>498</v>
      </c>
      <c r="B29" s="361"/>
      <c r="C29" s="21" t="e">
        <f>'Kulud (5)'!#REF!</f>
        <v>#REF!</v>
      </c>
      <c r="D29" s="362"/>
    </row>
    <row r="30" spans="1:4">
      <c r="A30" s="23" t="s">
        <v>68</v>
      </c>
      <c r="B30" s="361" t="s">
        <v>505</v>
      </c>
      <c r="C30" s="21" t="e">
        <f>'Kulud (5)'!#REF!+'Kulud (5)'!#REF!</f>
        <v>#REF!</v>
      </c>
      <c r="D30" s="362" t="e">
        <f>D25-D26-D27</f>
        <v>#REF!</v>
      </c>
    </row>
    <row r="31" spans="1:4">
      <c r="A31" s="20" t="s">
        <v>69</v>
      </c>
      <c r="B31" s="21">
        <v>52123370.909999982</v>
      </c>
      <c r="C31" s="21">
        <v>33483567</v>
      </c>
      <c r="D31" s="406">
        <f>('Inv koond - põhitaotlus (6a)'!S6-'Inv koond - põhitaotlus (6a)'!B6)*0.2+'Inv koond - põhitaotlus (6a)'!B6</f>
        <v>25779429.200000003</v>
      </c>
    </row>
    <row r="32" spans="1:4">
      <c r="A32" s="20"/>
      <c r="B32" s="90"/>
      <c r="C32" s="90"/>
      <c r="D32" s="90"/>
    </row>
    <row r="33" spans="1:4">
      <c r="A33" s="24" t="s">
        <v>70</v>
      </c>
      <c r="B33" s="359">
        <v>66453418.78000021</v>
      </c>
      <c r="C33" s="76" t="e">
        <f>C7-C24</f>
        <v>#REF!</v>
      </c>
      <c r="D33" s="76" t="e">
        <f>D7-D24</f>
        <v>#REF!</v>
      </c>
    </row>
    <row r="34" spans="1:4">
      <c r="A34" s="25"/>
      <c r="B34" s="7"/>
      <c r="C34" s="7"/>
    </row>
    <row r="35" spans="1:4">
      <c r="A35" s="26" t="s">
        <v>71</v>
      </c>
      <c r="B35" s="21">
        <v>34489174.760000005</v>
      </c>
      <c r="C35" s="21" t="e">
        <f>'Kulud (5)'!#REF!</f>
        <v>#REF!</v>
      </c>
      <c r="D35" s="407">
        <v>35000000</v>
      </c>
    </row>
    <row r="36" spans="1:4">
      <c r="A36" s="6"/>
      <c r="B36" s="90"/>
      <c r="C36" s="90"/>
    </row>
    <row r="37" spans="1:4">
      <c r="A37" s="24" t="s">
        <v>72</v>
      </c>
      <c r="B37" s="359">
        <v>31964244.020000204</v>
      </c>
      <c r="C37" s="76" t="e">
        <f>+C33-C35</f>
        <v>#REF!</v>
      </c>
      <c r="D37" s="76" t="e">
        <f t="shared" ref="D37" si="2">+D33-D35</f>
        <v>#REF!</v>
      </c>
    </row>
    <row r="38" spans="1:4" ht="16.5" thickBot="1">
      <c r="A38" s="27"/>
      <c r="B38" s="77"/>
      <c r="C38" s="77"/>
      <c r="D38" s="77"/>
    </row>
    <row r="39" spans="1:4" s="83" customFormat="1" ht="16.5" thickTop="1">
      <c r="A39" s="28"/>
      <c r="B39" s="78"/>
      <c r="C39" s="78"/>
      <c r="D39" s="78"/>
    </row>
    <row r="40" spans="1:4" s="83" customFormat="1" ht="15.75">
      <c r="A40" s="29" t="s">
        <v>73</v>
      </c>
      <c r="B40" s="78"/>
      <c r="C40" s="78"/>
      <c r="D40"/>
    </row>
    <row r="41" spans="1:4" ht="15.75">
      <c r="A41" s="29"/>
      <c r="B41" s="78"/>
      <c r="C41" s="78"/>
      <c r="D41" s="83"/>
    </row>
    <row r="42" spans="1:4">
      <c r="A42" s="74" t="s">
        <v>155</v>
      </c>
      <c r="B42" s="21"/>
      <c r="C42" s="21">
        <v>0</v>
      </c>
      <c r="D42" s="83"/>
    </row>
    <row r="43" spans="1:4">
      <c r="A43" s="20"/>
      <c r="B43" s="21"/>
      <c r="C43" s="21"/>
    </row>
    <row r="44" spans="1:4">
      <c r="A44" s="211" t="s">
        <v>74</v>
      </c>
      <c r="B44" s="21"/>
      <c r="C44" s="21">
        <f>C45+C31</f>
        <v>115690068</v>
      </c>
      <c r="D44" s="21">
        <f t="shared" ref="D44" si="3">D45+D31</f>
        <v>118853746</v>
      </c>
    </row>
    <row r="45" spans="1:4">
      <c r="A45" s="212" t="s">
        <v>75</v>
      </c>
      <c r="B45" s="21">
        <v>76610042.699999988</v>
      </c>
      <c r="C45" s="21">
        <v>82206501</v>
      </c>
      <c r="D45" s="406">
        <f>'Inv koond - põhitaotlus (6a)'!S6-D31</f>
        <v>93074316.799999997</v>
      </c>
    </row>
    <row r="46" spans="1:4">
      <c r="A46" s="212" t="s">
        <v>71</v>
      </c>
      <c r="B46" s="112">
        <v>-34489174.760000005</v>
      </c>
      <c r="C46" s="21" t="e">
        <f>-C35</f>
        <v>#REF!</v>
      </c>
      <c r="D46" s="407">
        <f>-D35</f>
        <v>-35000000</v>
      </c>
    </row>
    <row r="47" spans="1:4" s="83" customFormat="1">
      <c r="A47" s="212" t="s">
        <v>76</v>
      </c>
      <c r="B47" s="112">
        <v>-1430807.15</v>
      </c>
      <c r="C47" s="21" t="e">
        <f>C15</f>
        <v>#REF!</v>
      </c>
      <c r="D47" s="21" t="e">
        <f>D15</f>
        <v>#REF!</v>
      </c>
    </row>
    <row r="48" spans="1:4" s="83" customFormat="1">
      <c r="A48" s="213" t="s">
        <v>77</v>
      </c>
      <c r="B48" s="358">
        <v>40690060.789999984</v>
      </c>
      <c r="C48" s="18" t="e">
        <f>C45+C46+C47</f>
        <v>#REF!</v>
      </c>
      <c r="D48" s="18" t="e">
        <f t="shared" ref="D48" si="4">D45+D46+D47</f>
        <v>#REF!</v>
      </c>
    </row>
    <row r="49" spans="1:4" s="83" customFormat="1">
      <c r="A49" s="213"/>
      <c r="B49" s="18"/>
      <c r="C49" s="18"/>
    </row>
    <row r="50" spans="1:4" s="83" customFormat="1">
      <c r="A50" s="211" t="s">
        <v>274</v>
      </c>
      <c r="B50" s="18"/>
      <c r="C50" s="18"/>
    </row>
    <row r="51" spans="1:4" s="83" customFormat="1">
      <c r="A51" s="214" t="s">
        <v>275</v>
      </c>
      <c r="B51" s="21">
        <v>1319223.3500000001</v>
      </c>
      <c r="C51" s="18">
        <f>-4115000+34800+16676+61638-524-1620-15139+30054-1577-100000-544-15000-8406-346-10-2+34800</f>
        <v>-4080200</v>
      </c>
    </row>
    <row r="52" spans="1:4" s="83" customFormat="1">
      <c r="A52" s="213"/>
      <c r="B52" s="21"/>
      <c r="C52" s="18"/>
    </row>
    <row r="53" spans="1:4" s="83" customFormat="1">
      <c r="A53" s="211" t="s">
        <v>502</v>
      </c>
      <c r="B53" s="21"/>
      <c r="C53" s="18"/>
    </row>
    <row r="54" spans="1:4" s="83" customFormat="1">
      <c r="A54" s="212" t="s">
        <v>503</v>
      </c>
      <c r="B54" s="18">
        <v>880000</v>
      </c>
      <c r="C54" s="18"/>
    </row>
    <row r="55" spans="1:4" s="83" customFormat="1">
      <c r="A55" s="213"/>
      <c r="B55" s="18"/>
      <c r="C55" s="18"/>
    </row>
    <row r="56" spans="1:4">
      <c r="A56" s="213" t="s">
        <v>276</v>
      </c>
      <c r="B56" s="18">
        <v>2199223.35</v>
      </c>
      <c r="C56" s="18">
        <f>C51</f>
        <v>-4080200</v>
      </c>
      <c r="D56" s="18">
        <f t="shared" ref="D56" si="5">D51</f>
        <v>0</v>
      </c>
    </row>
    <row r="57" spans="1:4">
      <c r="A57" s="213"/>
      <c r="B57" s="18"/>
      <c r="C57" s="18"/>
      <c r="D57" s="83"/>
    </row>
    <row r="58" spans="1:4">
      <c r="A58" s="213" t="s">
        <v>273</v>
      </c>
      <c r="B58" s="18">
        <v>222664</v>
      </c>
      <c r="C58" s="18">
        <v>-34800</v>
      </c>
      <c r="D58" s="83"/>
    </row>
    <row r="59" spans="1:4" ht="15.75">
      <c r="A59" s="29"/>
      <c r="B59" s="78"/>
      <c r="C59" s="78"/>
      <c r="D59" s="83"/>
    </row>
    <row r="60" spans="1:4">
      <c r="A60" s="74" t="s">
        <v>156</v>
      </c>
      <c r="B60" s="21"/>
      <c r="C60" s="21">
        <v>0</v>
      </c>
      <c r="D60" s="83"/>
    </row>
    <row r="61" spans="1:4" s="83" customFormat="1">
      <c r="A61" s="20"/>
      <c r="B61" s="21"/>
      <c r="C61" s="21"/>
      <c r="D61"/>
    </row>
    <row r="62" spans="1:4" s="83" customFormat="1">
      <c r="A62" s="213" t="s">
        <v>78</v>
      </c>
      <c r="B62" s="18">
        <f>B63-B64-B65</f>
        <v>5032391.1500000022</v>
      </c>
      <c r="C62" s="18">
        <f>C63-C64-C65</f>
        <v>10867780</v>
      </c>
      <c r="D62" s="18">
        <f t="shared" ref="D62" si="6">D63-D64-D65</f>
        <v>15810314</v>
      </c>
    </row>
    <row r="63" spans="1:4" s="83" customFormat="1">
      <c r="A63" s="214" t="s">
        <v>79</v>
      </c>
      <c r="B63" s="21">
        <v>30000000</v>
      </c>
      <c r="C63" s="21">
        <f>'5 FIN.TEH'!C5</f>
        <v>30000000</v>
      </c>
      <c r="D63" s="21">
        <f>'5 FIN.TEH'!D5</f>
        <v>35000000</v>
      </c>
    </row>
    <row r="64" spans="1:4">
      <c r="A64" s="214" t="s">
        <v>80</v>
      </c>
      <c r="B64" s="21">
        <v>9913194.6899999995</v>
      </c>
      <c r="C64" s="21">
        <f>'5 FIN.TEH'!C8</f>
        <v>18489583</v>
      </c>
      <c r="D64" s="21">
        <f>'5 FIN.TEH'!D8</f>
        <v>18489583</v>
      </c>
    </row>
    <row r="65" spans="1:4" s="83" customFormat="1">
      <c r="A65" s="212" t="s">
        <v>128</v>
      </c>
      <c r="B65" s="21">
        <v>15054414.16</v>
      </c>
      <c r="C65" s="21">
        <f>'5 FIN.TEH'!C11</f>
        <v>642637</v>
      </c>
      <c r="D65" s="21">
        <f>'5 FIN.TEH'!D11</f>
        <v>700103</v>
      </c>
    </row>
    <row r="66" spans="1:4" s="83" customFormat="1">
      <c r="A66" s="212"/>
      <c r="B66" s="21"/>
      <c r="C66" s="21"/>
    </row>
    <row r="67" spans="1:4" s="83" customFormat="1">
      <c r="A67" s="213" t="s">
        <v>272</v>
      </c>
      <c r="B67" s="21">
        <v>6115313.3799999999</v>
      </c>
      <c r="C67" s="18">
        <v>-34800</v>
      </c>
    </row>
    <row r="68" spans="1:4" s="83" customFormat="1">
      <c r="A68" s="212"/>
      <c r="B68" s="18"/>
      <c r="C68" s="21"/>
    </row>
    <row r="69" spans="1:4">
      <c r="A69" s="74" t="s">
        <v>82</v>
      </c>
      <c r="B69" s="49">
        <f>+B48-B62+B51+B58-B67+B54</f>
        <v>31964243.609999988</v>
      </c>
      <c r="C69" s="49" t="e">
        <f>+C48-C62+C51+C58-C67</f>
        <v>#REF!</v>
      </c>
      <c r="D69" s="49" t="e">
        <f t="shared" ref="D69" si="7">+D48-D62+D51+D58-D67</f>
        <v>#REF!</v>
      </c>
    </row>
    <row r="70" spans="1:4" s="83" customFormat="1">
      <c r="A70" s="74"/>
      <c r="B70" s="12"/>
      <c r="C70" s="49"/>
      <c r="D70" s="49"/>
    </row>
    <row r="71" spans="1:4">
      <c r="A71" s="30"/>
      <c r="B71" s="358"/>
      <c r="C71" s="18"/>
      <c r="D71" s="18"/>
    </row>
    <row r="72" spans="1:4">
      <c r="A72" s="6" t="s">
        <v>83</v>
      </c>
      <c r="B72" s="11">
        <v>656526587.49000001</v>
      </c>
      <c r="C72" s="90" t="e">
        <f>C7-C47+C63-C58-C51</f>
        <v>#REF!</v>
      </c>
      <c r="D72" s="90" t="e">
        <f>D7-D47+D63-D58-D51</f>
        <v>#REF!</v>
      </c>
    </row>
    <row r="73" spans="1:4">
      <c r="A73" s="6" t="s">
        <v>84</v>
      </c>
      <c r="B73" s="11">
        <v>656526587.0799998</v>
      </c>
      <c r="C73" s="90" t="e">
        <f>C24+C45+C64+C65-C67</f>
        <v>#REF!</v>
      </c>
      <c r="D73" s="90" t="e">
        <f>D24+D45+D64+D65-D67</f>
        <v>#REF!</v>
      </c>
    </row>
    <row r="74" spans="1:4">
      <c r="A74" s="6"/>
      <c r="B74" s="429"/>
      <c r="C74" s="429" t="e">
        <f>(C73-B73)/B73</f>
        <v>#REF!</v>
      </c>
      <c r="D74" s="429" t="e">
        <f>(D73-C73)/C73</f>
        <v>#REF!</v>
      </c>
    </row>
    <row r="75" spans="1:4">
      <c r="A75" s="39"/>
      <c r="C75" s="90" t="e">
        <f>C72-C73</f>
        <v>#REF!</v>
      </c>
    </row>
    <row r="76" spans="1:4">
      <c r="A76" s="39" t="s">
        <v>514</v>
      </c>
      <c r="B76" s="81"/>
      <c r="C76" s="81"/>
      <c r="D76" s="81"/>
    </row>
    <row r="77" spans="1:4">
      <c r="A77" s="39"/>
      <c r="C77" s="242"/>
    </row>
    <row r="78" spans="1:4">
      <c r="A78" s="22" t="s">
        <v>62</v>
      </c>
      <c r="B78" s="81" t="e">
        <f>B79+B80</f>
        <v>#REF!</v>
      </c>
      <c r="C78" s="81" t="e">
        <f t="shared" ref="C78:D78" si="8">C79+C80</f>
        <v>#REF!</v>
      </c>
      <c r="D78" s="81" t="e">
        <f t="shared" si="8"/>
        <v>#REF!</v>
      </c>
    </row>
    <row r="79" spans="1:4" s="83" customFormat="1">
      <c r="A79" s="367" t="s">
        <v>515</v>
      </c>
      <c r="B79" s="81" t="e">
        <f>'Toetused (4)'!#REF!</f>
        <v>#REF!</v>
      </c>
      <c r="C79" s="81" t="e">
        <f>'Toetused (4)'!#REF!</f>
        <v>#REF!</v>
      </c>
      <c r="D79" s="81" t="e">
        <f>'Toetused (4)'!#REF!</f>
        <v>#REF!</v>
      </c>
    </row>
    <row r="80" spans="1:4" s="83" customFormat="1">
      <c r="A80" s="367" t="s">
        <v>516</v>
      </c>
      <c r="B80" s="81" t="e">
        <f>'Toetused (4)'!#REF!</f>
        <v>#REF!</v>
      </c>
      <c r="C80" s="81" t="e">
        <f>'Toetused (4)'!#REF!</f>
        <v>#REF!</v>
      </c>
      <c r="D80" s="81" t="e">
        <f>'Toetused (4)'!#REF!</f>
        <v>#REF!</v>
      </c>
    </row>
    <row r="81" spans="1:4" s="83" customFormat="1">
      <c r="A81" s="368" t="s">
        <v>137</v>
      </c>
      <c r="B81" s="277" t="e">
        <f>'Toetused (4)'!#REF!</f>
        <v>#REF!</v>
      </c>
      <c r="C81" s="277" t="e">
        <f>'Toetused (4)'!#REF!</f>
        <v>#REF!</v>
      </c>
      <c r="D81" s="277" t="e">
        <f>'Toetused (4)'!#REF!</f>
        <v>#REF!</v>
      </c>
    </row>
    <row r="82" spans="1:4" s="83" customFormat="1">
      <c r="A82" s="368" t="s">
        <v>250</v>
      </c>
      <c r="B82" s="277" t="e">
        <f>'Toetused (4)'!#REF!</f>
        <v>#REF!</v>
      </c>
      <c r="C82" s="277" t="e">
        <f>'Toetused (4)'!#REF!</f>
        <v>#REF!</v>
      </c>
      <c r="D82" s="277" t="e">
        <f>'Toetused (4)'!#REF!</f>
        <v>#REF!</v>
      </c>
    </row>
    <row r="83" spans="1:4" s="83" customFormat="1">
      <c r="A83" s="368" t="s">
        <v>262</v>
      </c>
      <c r="B83" s="277" t="e">
        <f>'Toetused (4)'!#REF!</f>
        <v>#REF!</v>
      </c>
      <c r="C83" s="277" t="e">
        <f>'Toetused (4)'!#REF!</f>
        <v>#REF!</v>
      </c>
      <c r="D83" s="277" t="e">
        <f>'Toetused (4)'!#REF!</f>
        <v>#REF!</v>
      </c>
    </row>
    <row r="84" spans="1:4">
      <c r="A84" s="20" t="s">
        <v>132</v>
      </c>
      <c r="B84" s="81" t="e">
        <f>B85+B86</f>
        <v>#REF!</v>
      </c>
      <c r="C84" s="81" t="e">
        <f t="shared" ref="C84:D84" si="9">C85+C86</f>
        <v>#REF!</v>
      </c>
      <c r="D84" s="81" t="e">
        <f t="shared" si="9"/>
        <v>#REF!</v>
      </c>
    </row>
    <row r="85" spans="1:4" s="83" customFormat="1">
      <c r="A85" s="367" t="s">
        <v>515</v>
      </c>
      <c r="B85" s="81" t="e">
        <f>'Toetused (4)'!#REF!</f>
        <v>#REF!</v>
      </c>
      <c r="C85" s="81" t="e">
        <f>'Toetused (4)'!#REF!</f>
        <v>#REF!</v>
      </c>
      <c r="D85" s="81" t="e">
        <f>'Toetused (4)'!#REF!</f>
        <v>#REF!</v>
      </c>
    </row>
    <row r="86" spans="1:4" s="83" customFormat="1">
      <c r="A86" s="367" t="s">
        <v>516</v>
      </c>
      <c r="B86" s="81" t="e">
        <f>'Toetused (4)'!#REF!</f>
        <v>#REF!</v>
      </c>
      <c r="C86" s="81" t="e">
        <f>'Toetused (4)'!#REF!</f>
        <v>#REF!</v>
      </c>
      <c r="D86" s="81" t="e">
        <f>'Toetused (4)'!#REF!</f>
        <v>#REF!</v>
      </c>
    </row>
    <row r="87" spans="1:4">
      <c r="A87" s="20" t="s">
        <v>63</v>
      </c>
      <c r="B87" s="81" t="e">
        <f>B88+B89</f>
        <v>#REF!</v>
      </c>
      <c r="C87" s="81" t="e">
        <f t="shared" ref="C87:D87" si="10">C88+C89</f>
        <v>#REF!</v>
      </c>
      <c r="D87" s="81" t="e">
        <f t="shared" si="10"/>
        <v>#REF!</v>
      </c>
    </row>
    <row r="88" spans="1:4">
      <c r="A88" s="367" t="s">
        <v>515</v>
      </c>
      <c r="B88" s="81" t="e">
        <f>'Toetused (4)'!#REF!</f>
        <v>#REF!</v>
      </c>
      <c r="C88" s="81" t="e">
        <f>'Toetused (4)'!#REF!</f>
        <v>#REF!</v>
      </c>
      <c r="D88" s="81" t="e">
        <f>'Toetused (4)'!#REF!</f>
        <v>#REF!</v>
      </c>
    </row>
    <row r="89" spans="1:4">
      <c r="A89" s="367" t="s">
        <v>516</v>
      </c>
      <c r="B89" s="81" t="e">
        <f>'Toetused (4)'!#REF!</f>
        <v>#REF!</v>
      </c>
      <c r="C89" s="81" t="e">
        <f>'Toetused (4)'!#REF!</f>
        <v>#REF!</v>
      </c>
      <c r="D89" s="81" t="e">
        <f>'Toetused (4)'!#REF!</f>
        <v>#REF!</v>
      </c>
    </row>
    <row r="90" spans="1:4">
      <c r="A90" s="31"/>
      <c r="C90" s="32"/>
    </row>
    <row r="91" spans="1:4">
      <c r="A91" s="33"/>
      <c r="C91" s="33"/>
    </row>
    <row r="92" spans="1:4">
      <c r="A92" s="34"/>
      <c r="C92" s="33"/>
    </row>
    <row r="93" spans="1:4">
      <c r="A93" s="31" t="s">
        <v>360</v>
      </c>
      <c r="C93" s="81" t="e">
        <f>'Kulud (5)'!#REF!+'Kulud (5)'!#REF!</f>
        <v>#REF!</v>
      </c>
      <c r="D93" s="269">
        <v>7455968</v>
      </c>
    </row>
    <row r="94" spans="1:4">
      <c r="A94" s="31"/>
      <c r="C94" s="33"/>
    </row>
    <row r="95" spans="1:4">
      <c r="C95" s="33"/>
    </row>
    <row r="96" spans="1:4">
      <c r="C96" s="33"/>
    </row>
    <row r="97" spans="1:3">
      <c r="A97" s="34"/>
      <c r="C97" s="33"/>
    </row>
    <row r="98" spans="1:3">
      <c r="C98" s="33"/>
    </row>
    <row r="99" spans="1:3">
      <c r="C99" s="33"/>
    </row>
    <row r="100" spans="1:3">
      <c r="C100" s="33"/>
    </row>
    <row r="101" spans="1:3">
      <c r="C101" s="33"/>
    </row>
    <row r="102" spans="1:3">
      <c r="C102" s="33"/>
    </row>
    <row r="103" spans="1:3">
      <c r="A103" s="34"/>
      <c r="C103" s="33"/>
    </row>
    <row r="104" spans="1:3">
      <c r="C104" s="33"/>
    </row>
    <row r="105" spans="1:3">
      <c r="C105" s="33"/>
    </row>
    <row r="106" spans="1:3">
      <c r="C106" s="33"/>
    </row>
  </sheetData>
  <phoneticPr fontId="30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I75"/>
  <sheetViews>
    <sheetView workbookViewId="0"/>
  </sheetViews>
  <sheetFormatPr defaultRowHeight="12.75"/>
  <cols>
    <col min="1" max="1" width="40.85546875" style="938" customWidth="1"/>
    <col min="2" max="2" width="11.85546875" style="938" customWidth="1"/>
    <col min="3" max="3" width="11.42578125" style="1047" customWidth="1"/>
    <col min="4" max="4" width="12.5703125" style="942" customWidth="1"/>
    <col min="5" max="5" width="19.5703125" style="939" customWidth="1"/>
    <col min="6" max="9" width="11.7109375" style="938" customWidth="1"/>
    <col min="10" max="16384" width="9.140625" style="938"/>
  </cols>
  <sheetData>
    <row r="1" spans="1:9" ht="15">
      <c r="A1" s="937" t="s">
        <v>1016</v>
      </c>
      <c r="C1" s="938"/>
      <c r="D1" s="938"/>
    </row>
    <row r="2" spans="1:9">
      <c r="A2" s="886" t="s">
        <v>922</v>
      </c>
      <c r="B2" s="940"/>
      <c r="C2" s="941"/>
      <c r="E2" s="943" t="s">
        <v>962</v>
      </c>
    </row>
    <row r="3" spans="1:9" ht="12" customHeight="1">
      <c r="A3" s="893" t="s">
        <v>923</v>
      </c>
      <c r="B3" s="886"/>
      <c r="C3" s="944"/>
      <c r="E3" s="938"/>
    </row>
    <row r="4" spans="1:9" ht="15" customHeight="1">
      <c r="A4" s="1158"/>
      <c r="B4" s="1160" t="s">
        <v>963</v>
      </c>
      <c r="C4" s="1160" t="s">
        <v>964</v>
      </c>
      <c r="D4" s="1162" t="s">
        <v>965</v>
      </c>
      <c r="E4" s="1152" t="s">
        <v>966</v>
      </c>
      <c r="F4" s="1154" t="s">
        <v>967</v>
      </c>
      <c r="G4" s="1155"/>
      <c r="H4" s="1155"/>
      <c r="I4" s="1156"/>
    </row>
    <row r="5" spans="1:9" ht="26.25" customHeight="1">
      <c r="A5" s="1159"/>
      <c r="B5" s="1161"/>
      <c r="C5" s="1161"/>
      <c r="D5" s="1163"/>
      <c r="E5" s="1153"/>
      <c r="F5" s="945">
        <v>2281109100</v>
      </c>
      <c r="G5" s="945">
        <v>2281109200</v>
      </c>
      <c r="H5" s="945"/>
      <c r="I5" s="945"/>
    </row>
    <row r="6" spans="1:9">
      <c r="A6" s="946" t="s">
        <v>968</v>
      </c>
      <c r="B6" s="947"/>
      <c r="C6" s="947"/>
      <c r="D6" s="948"/>
      <c r="E6" s="949"/>
      <c r="F6" s="945"/>
      <c r="G6" s="945"/>
      <c r="H6" s="945"/>
      <c r="I6" s="945"/>
    </row>
    <row r="7" spans="1:9">
      <c r="A7" s="950" t="s">
        <v>969</v>
      </c>
      <c r="B7" s="951"/>
      <c r="C7" s="951"/>
      <c r="D7" s="952" t="s">
        <v>881</v>
      </c>
      <c r="E7" s="952"/>
      <c r="F7" s="945"/>
      <c r="G7" s="945"/>
      <c r="H7" s="945"/>
      <c r="I7" s="945"/>
    </row>
    <row r="8" spans="1:9" ht="14.25" customHeight="1">
      <c r="A8" s="953" t="s">
        <v>970</v>
      </c>
      <c r="B8" s="954"/>
      <c r="C8" s="954"/>
      <c r="D8" s="955"/>
      <c r="E8" s="956"/>
      <c r="F8" s="945"/>
      <c r="G8" s="945"/>
      <c r="H8" s="945"/>
      <c r="I8" s="945"/>
    </row>
    <row r="9" spans="1:9">
      <c r="A9" s="957" t="s">
        <v>971</v>
      </c>
      <c r="B9" s="958"/>
      <c r="C9" s="958"/>
      <c r="D9" s="959"/>
      <c r="E9" s="960"/>
      <c r="F9" s="961"/>
      <c r="G9" s="961"/>
      <c r="H9" s="961"/>
      <c r="I9" s="961"/>
    </row>
    <row r="10" spans="1:9">
      <c r="A10" s="957" t="s">
        <v>972</v>
      </c>
      <c r="B10" s="958"/>
      <c r="C10" s="958"/>
      <c r="D10" s="962">
        <f>D9*12</f>
        <v>0</v>
      </c>
      <c r="E10" s="960"/>
      <c r="F10" s="961"/>
      <c r="G10" s="961"/>
      <c r="H10" s="961"/>
      <c r="I10" s="961"/>
    </row>
    <row r="11" spans="1:9" ht="38.25">
      <c r="A11" s="963" t="s">
        <v>973</v>
      </c>
      <c r="B11" s="951"/>
      <c r="C11" s="951"/>
      <c r="D11" s="964"/>
      <c r="E11" s="965"/>
      <c r="F11" s="945"/>
      <c r="G11" s="945"/>
      <c r="H11" s="945"/>
      <c r="I11" s="945"/>
    </row>
    <row r="12" spans="1:9">
      <c r="A12" s="966" t="s">
        <v>974</v>
      </c>
      <c r="B12" s="967"/>
      <c r="C12" s="967"/>
      <c r="D12" s="964"/>
      <c r="E12" s="952"/>
      <c r="F12" s="945"/>
      <c r="G12" s="945"/>
      <c r="H12" s="945"/>
      <c r="I12" s="945"/>
    </row>
    <row r="13" spans="1:9" ht="25.5">
      <c r="A13" s="968" t="s">
        <v>975</v>
      </c>
      <c r="B13" s="969"/>
      <c r="C13" s="969"/>
      <c r="D13" s="970">
        <f>D31</f>
        <v>0</v>
      </c>
      <c r="E13" s="971"/>
      <c r="F13" s="945"/>
      <c r="G13" s="945"/>
      <c r="H13" s="945"/>
      <c r="I13" s="945"/>
    </row>
    <row r="14" spans="1:9">
      <c r="A14" s="972" t="s">
        <v>976</v>
      </c>
      <c r="B14" s="958"/>
      <c r="C14" s="958"/>
      <c r="D14" s="962">
        <f>ROUND(SUM(D10:D13),0)</f>
        <v>0</v>
      </c>
      <c r="E14" s="962"/>
      <c r="F14" s="961"/>
      <c r="G14" s="961"/>
      <c r="H14" s="961"/>
      <c r="I14" s="961"/>
    </row>
    <row r="15" spans="1:9">
      <c r="A15" s="973" t="s">
        <v>977</v>
      </c>
      <c r="B15" s="974">
        <f>B16+B17</f>
        <v>0</v>
      </c>
      <c r="C15" s="974">
        <f>C16+C17</f>
        <v>0</v>
      </c>
      <c r="D15" s="962">
        <f>D16+D17</f>
        <v>0</v>
      </c>
      <c r="E15" s="975"/>
      <c r="F15" s="961"/>
      <c r="G15" s="961"/>
      <c r="H15" s="961"/>
      <c r="I15" s="961"/>
    </row>
    <row r="16" spans="1:9">
      <c r="A16" s="976" t="s">
        <v>978</v>
      </c>
      <c r="B16" s="977"/>
      <c r="C16" s="977"/>
      <c r="D16" s="978">
        <f>D14*33%</f>
        <v>0</v>
      </c>
      <c r="E16" s="979"/>
      <c r="F16" s="945"/>
      <c r="G16" s="945"/>
      <c r="H16" s="945"/>
      <c r="I16" s="945"/>
    </row>
    <row r="17" spans="1:9">
      <c r="A17" s="976" t="s">
        <v>979</v>
      </c>
      <c r="B17" s="977"/>
      <c r="C17" s="977"/>
      <c r="D17" s="978">
        <f>D14*0.8%</f>
        <v>0</v>
      </c>
      <c r="E17" s="979"/>
      <c r="F17" s="945"/>
      <c r="G17" s="945"/>
      <c r="H17" s="945"/>
      <c r="I17" s="945"/>
    </row>
    <row r="18" spans="1:9" ht="25.5">
      <c r="A18" s="980" t="s">
        <v>980</v>
      </c>
      <c r="B18" s="960">
        <f>B15+B14</f>
        <v>0</v>
      </c>
      <c r="C18" s="960">
        <f>C15+C14</f>
        <v>0</v>
      </c>
      <c r="D18" s="981">
        <f>ROUND(D14+D15,0)</f>
        <v>0</v>
      </c>
      <c r="E18" s="982"/>
      <c r="F18" s="961"/>
      <c r="G18" s="961"/>
      <c r="H18" s="961"/>
      <c r="I18" s="961"/>
    </row>
    <row r="19" spans="1:9">
      <c r="A19" s="983" t="s">
        <v>981</v>
      </c>
      <c r="B19" s="984"/>
      <c r="C19" s="984"/>
      <c r="D19" s="985"/>
      <c r="E19" s="986"/>
      <c r="F19" s="945"/>
      <c r="G19" s="945"/>
      <c r="H19" s="945"/>
      <c r="I19" s="945"/>
    </row>
    <row r="20" spans="1:9" ht="25.5">
      <c r="A20" s="987" t="s">
        <v>982</v>
      </c>
      <c r="B20" s="988"/>
      <c r="C20" s="988"/>
      <c r="D20" s="989"/>
      <c r="E20" s="990"/>
      <c r="F20" s="991"/>
      <c r="G20" s="991"/>
      <c r="H20" s="991"/>
      <c r="I20" s="991"/>
    </row>
    <row r="21" spans="1:9">
      <c r="A21" s="992" t="s">
        <v>983</v>
      </c>
      <c r="B21" s="993"/>
      <c r="C21" s="993"/>
      <c r="D21" s="994">
        <f>ROUND(SUM(D22:D25),0)</f>
        <v>0</v>
      </c>
      <c r="E21" s="995"/>
      <c r="F21" s="996"/>
      <c r="G21" s="996"/>
      <c r="H21" s="996"/>
      <c r="I21" s="996"/>
    </row>
    <row r="22" spans="1:9">
      <c r="A22" s="997" t="s">
        <v>984</v>
      </c>
      <c r="B22" s="998"/>
      <c r="C22" s="998"/>
      <c r="D22" s="999"/>
      <c r="E22" s="1000"/>
      <c r="F22" s="945"/>
      <c r="G22" s="945"/>
      <c r="H22" s="945"/>
      <c r="I22" s="945"/>
    </row>
    <row r="23" spans="1:9">
      <c r="A23" s="1001" t="s">
        <v>985</v>
      </c>
      <c r="B23" s="977"/>
      <c r="C23" s="977"/>
      <c r="D23" s="999"/>
      <c r="E23" s="1000"/>
      <c r="F23" s="945"/>
      <c r="G23" s="945"/>
      <c r="H23" s="945"/>
      <c r="I23" s="945"/>
    </row>
    <row r="24" spans="1:9" ht="13.5" customHeight="1">
      <c r="A24" s="1002" t="s">
        <v>986</v>
      </c>
      <c r="B24" s="977"/>
      <c r="C24" s="977"/>
      <c r="D24" s="999"/>
      <c r="E24" s="1000"/>
      <c r="F24" s="945"/>
      <c r="G24" s="945"/>
      <c r="H24" s="945"/>
      <c r="I24" s="945"/>
    </row>
    <row r="25" spans="1:9" ht="13.5" thickBot="1">
      <c r="A25" s="1003" t="s">
        <v>987</v>
      </c>
      <c r="B25" s="1004"/>
      <c r="C25" s="1004"/>
      <c r="D25" s="1005"/>
      <c r="E25" s="1006"/>
      <c r="F25" s="945"/>
      <c r="G25" s="945"/>
      <c r="H25" s="945"/>
      <c r="I25" s="945"/>
    </row>
    <row r="26" spans="1:9" ht="13.5" thickBot="1">
      <c r="A26" s="1007"/>
      <c r="B26" s="1008"/>
      <c r="C26" s="1008"/>
      <c r="D26" s="986"/>
      <c r="E26" s="986"/>
      <c r="F26" s="945"/>
      <c r="G26" s="945"/>
      <c r="H26" s="945"/>
      <c r="I26" s="945"/>
    </row>
    <row r="27" spans="1:9">
      <c r="A27" s="1009" t="s">
        <v>988</v>
      </c>
      <c r="B27" s="1010"/>
      <c r="C27" s="1010"/>
      <c r="D27" s="1011"/>
      <c r="E27" s="1012"/>
      <c r="F27" s="945"/>
      <c r="G27" s="945"/>
      <c r="H27" s="945"/>
      <c r="I27" s="945"/>
    </row>
    <row r="28" spans="1:9" ht="25.5">
      <c r="A28" s="1002" t="s">
        <v>989</v>
      </c>
      <c r="B28" s="998"/>
      <c r="C28" s="998"/>
      <c r="D28" s="1013"/>
      <c r="E28" s="999"/>
      <c r="F28" s="945"/>
      <c r="G28" s="945"/>
      <c r="H28" s="945"/>
      <c r="I28" s="945"/>
    </row>
    <row r="29" spans="1:9">
      <c r="A29" s="1002"/>
      <c r="B29" s="977"/>
      <c r="C29" s="977"/>
      <c r="D29" s="999"/>
      <c r="E29" s="1000"/>
      <c r="F29" s="945"/>
      <c r="G29" s="945"/>
      <c r="H29" s="945"/>
      <c r="I29" s="945"/>
    </row>
    <row r="30" spans="1:9">
      <c r="A30" s="1002"/>
      <c r="B30" s="977"/>
      <c r="C30" s="977"/>
      <c r="D30" s="999"/>
      <c r="E30" s="1000"/>
      <c r="F30" s="945"/>
      <c r="G30" s="945"/>
      <c r="H30" s="945"/>
      <c r="I30" s="945"/>
    </row>
    <row r="31" spans="1:9" ht="13.5" thickBot="1">
      <c r="A31" s="1014" t="s">
        <v>113</v>
      </c>
      <c r="B31" s="1015">
        <f>B13</f>
        <v>0</v>
      </c>
      <c r="C31" s="1015"/>
      <c r="D31" s="1016">
        <f>ROUND(SUM(D29:D30),0)</f>
        <v>0</v>
      </c>
      <c r="E31" s="1016"/>
      <c r="F31" s="961"/>
      <c r="G31" s="961"/>
      <c r="H31" s="961"/>
      <c r="I31" s="961"/>
    </row>
    <row r="32" spans="1:9" s="1020" customFormat="1">
      <c r="A32" s="1017"/>
      <c r="B32" s="1018"/>
      <c r="C32" s="1018"/>
      <c r="D32" s="1019"/>
      <c r="E32" s="1019"/>
    </row>
    <row r="33" spans="1:5" s="1020" customFormat="1" ht="25.5">
      <c r="A33" s="1021" t="s">
        <v>990</v>
      </c>
      <c r="B33" s="1018"/>
      <c r="C33" s="1018"/>
      <c r="D33" s="1022">
        <v>43101</v>
      </c>
      <c r="E33" s="1019"/>
    </row>
    <row r="34" spans="1:5" s="1020" customFormat="1">
      <c r="A34" s="1021" t="s">
        <v>759</v>
      </c>
      <c r="B34" s="1018"/>
      <c r="C34" s="1018"/>
      <c r="D34" s="1023"/>
      <c r="E34" s="1019"/>
    </row>
    <row r="35" spans="1:5" s="1020" customFormat="1">
      <c r="A35" s="1021" t="s">
        <v>527</v>
      </c>
      <c r="B35" s="1018"/>
      <c r="C35" s="1018"/>
      <c r="D35" s="1024"/>
      <c r="E35" s="1019"/>
    </row>
    <row r="36" spans="1:5" s="1020" customFormat="1">
      <c r="A36" s="1021" t="s">
        <v>528</v>
      </c>
      <c r="B36" s="1018"/>
      <c r="C36" s="1018"/>
      <c r="D36" s="1024"/>
      <c r="E36" s="1019"/>
    </row>
    <row r="37" spans="1:5" s="1020" customFormat="1">
      <c r="A37" s="1021" t="s">
        <v>991</v>
      </c>
      <c r="B37" s="1018"/>
      <c r="C37" s="1018"/>
      <c r="D37" s="1024"/>
      <c r="E37" s="1019"/>
    </row>
    <row r="38" spans="1:5" s="1020" customFormat="1">
      <c r="A38" s="1021" t="s">
        <v>46</v>
      </c>
      <c r="B38" s="1018"/>
      <c r="C38" s="1018"/>
      <c r="D38" s="1024"/>
      <c r="E38" s="1019"/>
    </row>
    <row r="39" spans="1:5">
      <c r="A39" s="1025"/>
      <c r="B39" s="1025"/>
      <c r="C39" s="1026"/>
      <c r="D39" s="1027"/>
      <c r="E39" s="1028"/>
    </row>
    <row r="40" spans="1:5">
      <c r="A40" s="1029" t="s">
        <v>939</v>
      </c>
      <c r="B40" s="1029"/>
      <c r="C40" s="1030"/>
      <c r="D40" s="1031"/>
      <c r="E40" s="1032"/>
    </row>
    <row r="41" spans="1:5">
      <c r="A41" s="1033" t="s">
        <v>940</v>
      </c>
      <c r="B41" s="1033"/>
      <c r="C41" s="1030"/>
      <c r="D41" s="1031"/>
      <c r="E41" s="1032"/>
    </row>
    <row r="42" spans="1:5">
      <c r="A42" s="1033" t="s">
        <v>941</v>
      </c>
      <c r="B42" s="1033"/>
      <c r="C42" s="1030"/>
      <c r="D42" s="1031"/>
      <c r="E42" s="1032"/>
    </row>
    <row r="43" spans="1:5">
      <c r="A43" s="1033" t="s">
        <v>942</v>
      </c>
      <c r="B43" s="1033"/>
      <c r="C43" s="1030"/>
      <c r="D43" s="1031"/>
      <c r="E43" s="1032"/>
    </row>
    <row r="44" spans="1:5">
      <c r="A44" s="1034" t="s">
        <v>943</v>
      </c>
      <c r="B44" s="1034"/>
      <c r="C44" s="1030"/>
      <c r="D44" s="1031"/>
      <c r="E44" s="1032"/>
    </row>
    <row r="45" spans="1:5">
      <c r="A45" s="1035"/>
      <c r="B45" s="1035"/>
      <c r="C45" s="1030"/>
      <c r="D45" s="1031"/>
      <c r="E45" s="1032"/>
    </row>
    <row r="46" spans="1:5">
      <c r="A46" s="1036" t="s">
        <v>992</v>
      </c>
      <c r="B46" s="1036"/>
      <c r="C46" s="1037"/>
      <c r="D46" s="1038"/>
      <c r="E46" s="1032"/>
    </row>
    <row r="47" spans="1:5" ht="25.5" customHeight="1">
      <c r="A47" s="1164" t="s">
        <v>993</v>
      </c>
      <c r="B47" s="1164"/>
      <c r="C47" s="1164"/>
      <c r="D47" s="1164"/>
      <c r="E47" s="1164"/>
    </row>
    <row r="48" spans="1:5">
      <c r="A48" s="1039" t="s">
        <v>994</v>
      </c>
      <c r="B48" s="1039"/>
      <c r="C48" s="1040"/>
      <c r="D48" s="1041"/>
      <c r="E48" s="1032"/>
    </row>
    <row r="49" spans="1:5">
      <c r="A49" s="1020" t="s">
        <v>995</v>
      </c>
      <c r="B49" s="1020"/>
      <c r="C49" s="1042"/>
      <c r="D49" s="1043"/>
      <c r="E49" s="1032"/>
    </row>
    <row r="50" spans="1:5">
      <c r="A50" s="1020" t="s">
        <v>996</v>
      </c>
      <c r="B50" s="1020"/>
      <c r="C50" s="1042"/>
      <c r="D50" s="1043"/>
      <c r="E50" s="1032"/>
    </row>
    <row r="51" spans="1:5">
      <c r="A51" s="1020" t="s">
        <v>997</v>
      </c>
      <c r="B51" s="1020"/>
      <c r="C51" s="1042"/>
      <c r="D51" s="1043"/>
      <c r="E51" s="1032"/>
    </row>
    <row r="52" spans="1:5" ht="12.75" customHeight="1">
      <c r="A52" s="1165" t="s">
        <v>998</v>
      </c>
      <c r="B52" s="1165"/>
      <c r="C52" s="1042"/>
      <c r="D52" s="1043"/>
      <c r="E52" s="1032"/>
    </row>
    <row r="53" spans="1:5" ht="12.75" customHeight="1">
      <c r="A53" s="1165" t="s">
        <v>999</v>
      </c>
      <c r="B53" s="1165"/>
      <c r="C53" s="1165"/>
    </row>
    <row r="54" spans="1:5" ht="12.75" customHeight="1">
      <c r="A54" s="1165" t="s">
        <v>1000</v>
      </c>
      <c r="B54" s="1165"/>
      <c r="C54" s="1165"/>
      <c r="D54" s="1165"/>
    </row>
    <row r="55" spans="1:5">
      <c r="A55" s="1166" t="s">
        <v>1001</v>
      </c>
      <c r="B55" s="1166"/>
      <c r="C55" s="1166"/>
      <c r="D55" s="1166"/>
    </row>
    <row r="56" spans="1:5">
      <c r="A56" s="1044" t="s">
        <v>1002</v>
      </c>
      <c r="B56" s="1044"/>
      <c r="C56" s="1044"/>
      <c r="D56" s="1044"/>
    </row>
    <row r="57" spans="1:5" ht="12.75" customHeight="1">
      <c r="A57" s="1157" t="s">
        <v>1003</v>
      </c>
      <c r="B57" s="1157"/>
      <c r="C57" s="1157"/>
      <c r="D57" s="1157"/>
      <c r="E57" s="1032"/>
    </row>
    <row r="58" spans="1:5" ht="12.75" customHeight="1">
      <c r="A58" s="1169" t="s">
        <v>1004</v>
      </c>
      <c r="B58" s="1169"/>
      <c r="C58" s="1169"/>
      <c r="D58" s="1169"/>
      <c r="E58" s="1032"/>
    </row>
    <row r="59" spans="1:5" s="1045" customFormat="1" ht="12.75" customHeight="1">
      <c r="A59" s="1169" t="s">
        <v>1005</v>
      </c>
      <c r="B59" s="1169"/>
      <c r="C59" s="1169"/>
      <c r="D59" s="1169"/>
      <c r="E59" s="1169"/>
    </row>
    <row r="60" spans="1:5" ht="12.75" customHeight="1">
      <c r="A60" s="1157" t="s">
        <v>1006</v>
      </c>
      <c r="B60" s="1157"/>
      <c r="C60" s="1157"/>
      <c r="D60" s="1157"/>
      <c r="E60" s="1032"/>
    </row>
    <row r="61" spans="1:5" ht="12.75" customHeight="1">
      <c r="A61" s="1157" t="s">
        <v>1007</v>
      </c>
      <c r="B61" s="1157"/>
      <c r="C61" s="1157"/>
      <c r="D61" s="1157"/>
      <c r="E61" s="1032"/>
    </row>
    <row r="62" spans="1:5" ht="13.5" customHeight="1">
      <c r="A62" s="1157" t="s">
        <v>1008</v>
      </c>
      <c r="B62" s="1157"/>
      <c r="C62" s="1157"/>
      <c r="D62" s="1157"/>
      <c r="E62" s="1157"/>
    </row>
    <row r="63" spans="1:5" ht="12.75" customHeight="1">
      <c r="A63" s="1169" t="s">
        <v>1009</v>
      </c>
      <c r="B63" s="1169"/>
      <c r="C63" s="1037"/>
      <c r="D63" s="1038"/>
      <c r="E63" s="1032"/>
    </row>
    <row r="64" spans="1:5" ht="27" customHeight="1">
      <c r="A64" s="1165" t="s">
        <v>1010</v>
      </c>
      <c r="B64" s="1165"/>
      <c r="C64" s="1165"/>
      <c r="D64" s="1165"/>
      <c r="E64" s="1165"/>
    </row>
    <row r="65" spans="1:5" ht="27" customHeight="1">
      <c r="A65" s="1157" t="s">
        <v>1011</v>
      </c>
      <c r="B65" s="1157"/>
      <c r="C65" s="1157"/>
      <c r="D65" s="1157"/>
      <c r="E65" s="1157"/>
    </row>
    <row r="66" spans="1:5" ht="24.75" customHeight="1">
      <c r="A66" s="1167" t="s">
        <v>1012</v>
      </c>
      <c r="B66" s="1167"/>
      <c r="C66" s="1167"/>
      <c r="D66" s="1167"/>
      <c r="E66" s="1167"/>
    </row>
    <row r="67" spans="1:5">
      <c r="A67" s="1046" t="s">
        <v>1013</v>
      </c>
      <c r="B67" s="1046"/>
    </row>
    <row r="68" spans="1:5" ht="12.75" customHeight="1">
      <c r="A68" s="1168" t="s">
        <v>1014</v>
      </c>
      <c r="B68" s="1168"/>
      <c r="C68" s="1168"/>
      <c r="D68" s="1168"/>
      <c r="E68" s="1168"/>
    </row>
    <row r="69" spans="1:5">
      <c r="A69" s="1048"/>
    </row>
    <row r="74" spans="1:5">
      <c r="A74" s="1049"/>
    </row>
    <row r="75" spans="1:5">
      <c r="A75" s="1049"/>
    </row>
  </sheetData>
  <mergeCells count="22">
    <mergeCell ref="A64:E64"/>
    <mergeCell ref="A65:E65"/>
    <mergeCell ref="A66:E66"/>
    <mergeCell ref="A68:E68"/>
    <mergeCell ref="A58:D58"/>
    <mergeCell ref="A59:E59"/>
    <mergeCell ref="A60:D60"/>
    <mergeCell ref="A61:D61"/>
    <mergeCell ref="A62:E62"/>
    <mergeCell ref="A63:B63"/>
    <mergeCell ref="E4:E5"/>
    <mergeCell ref="F4:I4"/>
    <mergeCell ref="A57:D57"/>
    <mergeCell ref="A4:A5"/>
    <mergeCell ref="B4:B5"/>
    <mergeCell ref="C4:C5"/>
    <mergeCell ref="D4:D5"/>
    <mergeCell ref="A47:E47"/>
    <mergeCell ref="A52:B52"/>
    <mergeCell ref="A53:C53"/>
    <mergeCell ref="A54:D54"/>
    <mergeCell ref="A55:D55"/>
  </mergeCell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U34"/>
  <sheetViews>
    <sheetView zoomScaleNormal="100" workbookViewId="0"/>
  </sheetViews>
  <sheetFormatPr defaultColWidth="9.140625" defaultRowHeight="12.75"/>
  <cols>
    <col min="1" max="1" width="3.28515625" style="264" customWidth="1"/>
    <col min="2" max="2" width="13.28515625" style="264" customWidth="1"/>
    <col min="3" max="3" width="12.7109375" style="264" customWidth="1"/>
    <col min="4" max="4" width="7.140625" style="264" customWidth="1"/>
    <col min="5" max="5" width="5.7109375" style="264" customWidth="1"/>
    <col min="6" max="6" width="12" style="569" customWidth="1"/>
    <col min="7" max="7" width="9.85546875" style="569" customWidth="1"/>
    <col min="8" max="8" width="9.7109375" style="264" customWidth="1"/>
    <col min="9" max="9" width="15.85546875" style="264" customWidth="1"/>
    <col min="10" max="10" width="7.85546875" style="264" customWidth="1"/>
    <col min="11" max="12" width="6.7109375" style="264" customWidth="1"/>
    <col min="13" max="13" width="7" style="264" customWidth="1"/>
    <col min="14" max="14" width="6.42578125" style="264" customWidth="1"/>
    <col min="15" max="16" width="6.28515625" style="264" customWidth="1"/>
    <col min="17" max="17" width="9.5703125" style="264" customWidth="1"/>
    <col min="18" max="18" width="15.7109375" style="264" customWidth="1"/>
    <col min="19" max="16384" width="9.140625" style="264"/>
  </cols>
  <sheetData>
    <row r="1" spans="1:21" s="589" customFormat="1" ht="15">
      <c r="A1" s="587" t="s">
        <v>741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P1" s="590"/>
      <c r="Q1" s="590"/>
      <c r="R1" s="591" t="s">
        <v>742</v>
      </c>
    </row>
    <row r="2" spans="1:21" ht="12.75" customHeight="1">
      <c r="A2" s="589"/>
      <c r="B2" s="589"/>
      <c r="C2" s="589"/>
      <c r="D2" s="589"/>
      <c r="E2" s="589"/>
      <c r="F2" s="592"/>
      <c r="G2" s="592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</row>
    <row r="3" spans="1:21" ht="15.75">
      <c r="A3" s="593" t="s">
        <v>687</v>
      </c>
      <c r="B3" s="593"/>
      <c r="C3" s="593"/>
      <c r="D3" s="589"/>
      <c r="E3" s="589"/>
      <c r="F3" s="592"/>
      <c r="G3" s="592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</row>
    <row r="4" spans="1:21" ht="14.25" customHeight="1">
      <c r="A4" s="594" t="s">
        <v>743</v>
      </c>
      <c r="B4" s="594"/>
      <c r="C4" s="594"/>
      <c r="D4" s="589"/>
      <c r="E4" s="589"/>
      <c r="F4" s="592"/>
      <c r="G4" s="592"/>
      <c r="H4" s="589"/>
      <c r="I4" s="589"/>
      <c r="J4" s="589"/>
      <c r="K4" s="589"/>
      <c r="L4" s="589"/>
      <c r="M4" s="589"/>
      <c r="N4" s="1184" t="s">
        <v>640</v>
      </c>
      <c r="O4" s="1184"/>
      <c r="P4" s="1184"/>
      <c r="Q4" s="1184"/>
      <c r="R4" s="1184"/>
    </row>
    <row r="5" spans="1:21" ht="7.5" customHeight="1" thickBot="1">
      <c r="A5" s="595"/>
      <c r="B5" s="595"/>
      <c r="C5" s="595"/>
      <c r="D5" s="595"/>
      <c r="E5" s="595"/>
      <c r="F5" s="596"/>
      <c r="G5" s="592"/>
      <c r="H5" s="595"/>
      <c r="I5" s="595"/>
      <c r="J5" s="595"/>
      <c r="K5" s="595"/>
      <c r="L5" s="595"/>
      <c r="M5" s="595"/>
      <c r="N5" s="595"/>
      <c r="O5" s="597"/>
      <c r="P5" s="598"/>
      <c r="Q5" s="598"/>
      <c r="R5" s="598"/>
    </row>
    <row r="6" spans="1:21" s="604" customFormat="1" ht="33" customHeight="1">
      <c r="A6" s="599" t="s">
        <v>744</v>
      </c>
      <c r="B6" s="600" t="s">
        <v>745</v>
      </c>
      <c r="C6" s="600" t="s">
        <v>746</v>
      </c>
      <c r="D6" s="600" t="s">
        <v>747</v>
      </c>
      <c r="E6" s="600" t="s">
        <v>748</v>
      </c>
      <c r="F6" s="600" t="s">
        <v>749</v>
      </c>
      <c r="G6" s="601" t="s">
        <v>750</v>
      </c>
      <c r="H6" s="600" t="s">
        <v>751</v>
      </c>
      <c r="I6" s="1185" t="s">
        <v>752</v>
      </c>
      <c r="J6" s="1186"/>
      <c r="K6" s="1187" t="s">
        <v>368</v>
      </c>
      <c r="L6" s="1185"/>
      <c r="M6" s="1185"/>
      <c r="N6" s="1185"/>
      <c r="O6" s="1185"/>
      <c r="P6" s="1185"/>
      <c r="Q6" s="602"/>
      <c r="R6" s="603" t="s">
        <v>753</v>
      </c>
    </row>
    <row r="7" spans="1:21" s="604" customFormat="1" ht="48.75" thickBot="1">
      <c r="A7" s="605"/>
      <c r="B7" s="606"/>
      <c r="C7" s="606"/>
      <c r="D7" s="607" t="s">
        <v>754</v>
      </c>
      <c r="E7" s="607" t="s">
        <v>754</v>
      </c>
      <c r="F7" s="608"/>
      <c r="G7" s="609" t="s">
        <v>755</v>
      </c>
      <c r="H7" s="610"/>
      <c r="I7" s="611" t="s">
        <v>756</v>
      </c>
      <c r="J7" s="612" t="s">
        <v>757</v>
      </c>
      <c r="K7" s="613" t="s">
        <v>769</v>
      </c>
      <c r="L7" s="613" t="s">
        <v>770</v>
      </c>
      <c r="M7" s="613" t="s">
        <v>771</v>
      </c>
      <c r="N7" s="614">
        <v>2019</v>
      </c>
      <c r="O7" s="614">
        <v>2020</v>
      </c>
      <c r="P7" s="615">
        <v>2021</v>
      </c>
      <c r="Q7" s="616" t="s">
        <v>772</v>
      </c>
      <c r="R7" s="617"/>
    </row>
    <row r="8" spans="1:21" ht="12.75" customHeight="1">
      <c r="A8" s="618">
        <v>1</v>
      </c>
      <c r="B8" s="619">
        <v>2</v>
      </c>
      <c r="C8" s="619">
        <v>3</v>
      </c>
      <c r="D8" s="619">
        <v>4</v>
      </c>
      <c r="E8" s="619">
        <v>5</v>
      </c>
      <c r="F8" s="619">
        <v>6</v>
      </c>
      <c r="G8" s="619">
        <v>7</v>
      </c>
      <c r="H8" s="620">
        <v>8</v>
      </c>
      <c r="I8" s="619">
        <v>9</v>
      </c>
      <c r="J8" s="620">
        <v>10</v>
      </c>
      <c r="K8" s="620">
        <v>11</v>
      </c>
      <c r="L8" s="620">
        <v>12</v>
      </c>
      <c r="M8" s="619">
        <v>13</v>
      </c>
      <c r="N8" s="619">
        <v>14</v>
      </c>
      <c r="O8" s="620">
        <v>15</v>
      </c>
      <c r="P8" s="619">
        <v>16</v>
      </c>
      <c r="Q8" s="621">
        <v>17</v>
      </c>
      <c r="R8" s="622">
        <v>18</v>
      </c>
      <c r="S8" s="589"/>
      <c r="T8" s="589"/>
      <c r="U8" s="589"/>
    </row>
    <row r="9" spans="1:21" ht="12.75" customHeight="1">
      <c r="A9" s="1177" t="s">
        <v>758</v>
      </c>
      <c r="B9" s="1178"/>
      <c r="C9" s="1178"/>
      <c r="D9" s="1178"/>
      <c r="E9" s="1178"/>
      <c r="F9" s="1178"/>
      <c r="G9" s="1178"/>
      <c r="H9" s="1178"/>
      <c r="I9" s="1178"/>
      <c r="J9" s="1178"/>
      <c r="K9" s="1178"/>
      <c r="L9" s="1178"/>
      <c r="M9" s="1178"/>
      <c r="N9" s="1178"/>
      <c r="O9" s="1178"/>
      <c r="P9" s="1178"/>
      <c r="Q9" s="1178"/>
      <c r="R9" s="1179"/>
      <c r="S9" s="589"/>
      <c r="T9" s="589"/>
      <c r="U9" s="589"/>
    </row>
    <row r="10" spans="1:21">
      <c r="A10" s="1180" t="s">
        <v>759</v>
      </c>
      <c r="B10" s="1170"/>
      <c r="C10" s="1170"/>
      <c r="D10" s="1173"/>
      <c r="E10" s="1173"/>
      <c r="F10" s="1173"/>
      <c r="G10" s="1173"/>
      <c r="H10" s="1170"/>
      <c r="I10" s="623" t="s">
        <v>760</v>
      </c>
      <c r="J10" s="623"/>
      <c r="K10" s="624"/>
      <c r="L10" s="624"/>
      <c r="M10" s="625"/>
      <c r="N10" s="625"/>
      <c r="O10" s="625"/>
      <c r="P10" s="625"/>
      <c r="Q10" s="626"/>
      <c r="R10" s="627"/>
      <c r="S10" s="589"/>
      <c r="T10" s="589"/>
      <c r="U10" s="589"/>
    </row>
    <row r="11" spans="1:21" ht="34.5" customHeight="1">
      <c r="A11" s="1181"/>
      <c r="B11" s="1171"/>
      <c r="C11" s="1171"/>
      <c r="D11" s="1174"/>
      <c r="E11" s="1174"/>
      <c r="F11" s="1174"/>
      <c r="G11" s="1174"/>
      <c r="H11" s="1171"/>
      <c r="I11" s="623" t="s">
        <v>761</v>
      </c>
      <c r="J11" s="623"/>
      <c r="K11" s="624"/>
      <c r="L11" s="624"/>
      <c r="M11" s="625"/>
      <c r="N11" s="625"/>
      <c r="O11" s="625"/>
      <c r="P11" s="625"/>
      <c r="Q11" s="626"/>
      <c r="R11" s="627"/>
      <c r="S11" s="589"/>
      <c r="T11" s="589"/>
      <c r="U11" s="589"/>
    </row>
    <row r="12" spans="1:21" ht="47.25" customHeight="1">
      <c r="A12" s="1181"/>
      <c r="B12" s="1171"/>
      <c r="C12" s="1171"/>
      <c r="D12" s="1174"/>
      <c r="E12" s="1174"/>
      <c r="F12" s="1174"/>
      <c r="G12" s="1174"/>
      <c r="H12" s="1171"/>
      <c r="I12" s="623" t="s">
        <v>762</v>
      </c>
      <c r="J12" s="623"/>
      <c r="K12" s="624"/>
      <c r="L12" s="624"/>
      <c r="M12" s="625"/>
      <c r="N12" s="625"/>
      <c r="O12" s="625"/>
      <c r="P12" s="625"/>
      <c r="Q12" s="626"/>
      <c r="R12" s="627"/>
      <c r="S12" s="589"/>
      <c r="T12" s="589"/>
      <c r="U12" s="589"/>
    </row>
    <row r="13" spans="1:21" ht="25.5">
      <c r="A13" s="1181"/>
      <c r="B13" s="1171"/>
      <c r="C13" s="1171"/>
      <c r="D13" s="1174"/>
      <c r="E13" s="1174"/>
      <c r="F13" s="1174"/>
      <c r="G13" s="1174"/>
      <c r="H13" s="1171"/>
      <c r="I13" s="623" t="s">
        <v>763</v>
      </c>
      <c r="J13" s="623"/>
      <c r="K13" s="624"/>
      <c r="L13" s="624"/>
      <c r="M13" s="625"/>
      <c r="N13" s="625"/>
      <c r="O13" s="625"/>
      <c r="P13" s="625"/>
      <c r="Q13" s="626"/>
      <c r="R13" s="627"/>
      <c r="S13" s="589"/>
      <c r="T13" s="589"/>
      <c r="U13" s="589"/>
    </row>
    <row r="14" spans="1:21" ht="12.75" customHeight="1">
      <c r="A14" s="1188"/>
      <c r="B14" s="1176"/>
      <c r="C14" s="1176"/>
      <c r="D14" s="1175"/>
      <c r="E14" s="1175"/>
      <c r="F14" s="1175"/>
      <c r="G14" s="1175"/>
      <c r="H14" s="1176"/>
      <c r="I14" s="623" t="s">
        <v>113</v>
      </c>
      <c r="J14" s="623"/>
      <c r="K14" s="624"/>
      <c r="L14" s="624"/>
      <c r="M14" s="625"/>
      <c r="N14" s="625"/>
      <c r="O14" s="625"/>
      <c r="P14" s="625"/>
      <c r="Q14" s="626"/>
      <c r="R14" s="627"/>
      <c r="S14" s="589"/>
      <c r="T14" s="589"/>
      <c r="U14" s="589"/>
    </row>
    <row r="15" spans="1:21" ht="12.75" customHeight="1">
      <c r="A15" s="1177" t="s">
        <v>369</v>
      </c>
      <c r="B15" s="1178"/>
      <c r="C15" s="1178"/>
      <c r="D15" s="1178"/>
      <c r="E15" s="1178"/>
      <c r="F15" s="1178"/>
      <c r="G15" s="1178"/>
      <c r="H15" s="1178"/>
      <c r="I15" s="1178"/>
      <c r="J15" s="1178"/>
      <c r="K15" s="1178"/>
      <c r="L15" s="1178"/>
      <c r="M15" s="1178"/>
      <c r="N15" s="1178"/>
      <c r="O15" s="1178"/>
      <c r="P15" s="1178"/>
      <c r="Q15" s="1178"/>
      <c r="R15" s="1179"/>
      <c r="S15" s="589"/>
      <c r="T15" s="589"/>
      <c r="U15" s="589"/>
    </row>
    <row r="16" spans="1:21">
      <c r="A16" s="1180" t="s">
        <v>764</v>
      </c>
      <c r="B16" s="1170"/>
      <c r="C16" s="1170"/>
      <c r="D16" s="1173"/>
      <c r="E16" s="1173"/>
      <c r="F16" s="1173"/>
      <c r="G16" s="1173"/>
      <c r="H16" s="1170"/>
      <c r="I16" s="623" t="s">
        <v>760</v>
      </c>
      <c r="J16" s="623"/>
      <c r="K16" s="624"/>
      <c r="L16" s="624"/>
      <c r="M16" s="625"/>
      <c r="N16" s="625"/>
      <c r="O16" s="625"/>
      <c r="P16" s="625"/>
      <c r="Q16" s="626"/>
      <c r="R16" s="627"/>
      <c r="S16" s="589"/>
      <c r="T16" s="589"/>
      <c r="U16" s="589"/>
    </row>
    <row r="17" spans="1:21" ht="34.5" customHeight="1">
      <c r="A17" s="1181"/>
      <c r="B17" s="1171"/>
      <c r="C17" s="1171"/>
      <c r="D17" s="1174"/>
      <c r="E17" s="1174"/>
      <c r="F17" s="1174"/>
      <c r="G17" s="1174"/>
      <c r="H17" s="1171"/>
      <c r="I17" s="623" t="s">
        <v>761</v>
      </c>
      <c r="J17" s="623"/>
      <c r="K17" s="624"/>
      <c r="L17" s="624"/>
      <c r="M17" s="625"/>
      <c r="N17" s="625"/>
      <c r="O17" s="625"/>
      <c r="P17" s="625"/>
      <c r="Q17" s="626"/>
      <c r="R17" s="627"/>
      <c r="S17" s="589"/>
      <c r="T17" s="589"/>
      <c r="U17" s="589"/>
    </row>
    <row r="18" spans="1:21" ht="47.25" customHeight="1">
      <c r="A18" s="1181"/>
      <c r="B18" s="1171"/>
      <c r="C18" s="1171"/>
      <c r="D18" s="1174"/>
      <c r="E18" s="1174"/>
      <c r="F18" s="1174"/>
      <c r="G18" s="1174"/>
      <c r="H18" s="1171"/>
      <c r="I18" s="623" t="s">
        <v>762</v>
      </c>
      <c r="J18" s="623"/>
      <c r="K18" s="624"/>
      <c r="L18" s="624"/>
      <c r="M18" s="625"/>
      <c r="N18" s="625"/>
      <c r="O18" s="625"/>
      <c r="P18" s="625"/>
      <c r="Q18" s="626"/>
      <c r="R18" s="627"/>
      <c r="S18" s="589"/>
      <c r="T18" s="589"/>
      <c r="U18" s="589"/>
    </row>
    <row r="19" spans="1:21" ht="25.5">
      <c r="A19" s="1181"/>
      <c r="B19" s="1171"/>
      <c r="C19" s="1171"/>
      <c r="D19" s="1174"/>
      <c r="E19" s="1174"/>
      <c r="F19" s="1174"/>
      <c r="G19" s="1174"/>
      <c r="H19" s="1171"/>
      <c r="I19" s="623" t="s">
        <v>763</v>
      </c>
      <c r="J19" s="623"/>
      <c r="K19" s="624"/>
      <c r="L19" s="624"/>
      <c r="M19" s="625"/>
      <c r="N19" s="625"/>
      <c r="O19" s="625"/>
      <c r="P19" s="625"/>
      <c r="Q19" s="626"/>
      <c r="R19" s="627"/>
      <c r="S19" s="589"/>
      <c r="T19" s="589"/>
      <c r="U19" s="589"/>
    </row>
    <row r="20" spans="1:21" ht="12.75" customHeight="1" thickBot="1">
      <c r="A20" s="1182"/>
      <c r="B20" s="1172"/>
      <c r="C20" s="1172"/>
      <c r="D20" s="1183"/>
      <c r="E20" s="1183"/>
      <c r="F20" s="1183"/>
      <c r="G20" s="1183"/>
      <c r="H20" s="1172"/>
      <c r="I20" s="628" t="s">
        <v>113</v>
      </c>
      <c r="J20" s="628"/>
      <c r="K20" s="629"/>
      <c r="L20" s="629"/>
      <c r="M20" s="630"/>
      <c r="N20" s="630"/>
      <c r="O20" s="630"/>
      <c r="P20" s="630"/>
      <c r="Q20" s="631"/>
      <c r="R20" s="632"/>
      <c r="S20" s="589"/>
      <c r="T20" s="589"/>
      <c r="U20" s="589"/>
    </row>
    <row r="21" spans="1:21">
      <c r="A21" s="595"/>
      <c r="B21" s="595"/>
      <c r="C21" s="595"/>
      <c r="D21" s="595"/>
      <c r="E21" s="595"/>
      <c r="F21" s="596"/>
      <c r="G21" s="596"/>
      <c r="H21" s="595"/>
      <c r="I21" s="595"/>
      <c r="J21" s="595"/>
      <c r="K21" s="595"/>
      <c r="L21" s="595"/>
      <c r="M21" s="595"/>
      <c r="N21" s="595"/>
      <c r="O21" s="595"/>
      <c r="P21" s="595"/>
      <c r="Q21" s="595"/>
      <c r="R21" s="595"/>
      <c r="S21" s="589"/>
      <c r="T21" s="589"/>
      <c r="U21" s="589"/>
    </row>
    <row r="22" spans="1:21">
      <c r="A22" s="592" t="s">
        <v>681</v>
      </c>
      <c r="B22" s="592"/>
      <c r="C22" s="592"/>
      <c r="D22" s="589"/>
      <c r="E22" s="589"/>
      <c r="F22" s="592"/>
      <c r="G22" s="592"/>
      <c r="H22" s="589"/>
      <c r="I22" s="589"/>
      <c r="J22" s="589"/>
      <c r="K22" s="589"/>
      <c r="L22" s="589"/>
      <c r="M22" s="589"/>
      <c r="N22" s="589"/>
      <c r="O22" s="589"/>
      <c r="P22" s="589"/>
      <c r="Q22" s="589"/>
      <c r="R22" s="589"/>
      <c r="S22" s="589"/>
      <c r="T22" s="589"/>
      <c r="U22" s="589"/>
    </row>
    <row r="23" spans="1:21">
      <c r="A23" s="592"/>
      <c r="B23" s="592"/>
      <c r="C23" s="592"/>
      <c r="D23" s="589"/>
      <c r="E23" s="589"/>
      <c r="F23" s="592"/>
      <c r="G23" s="592"/>
      <c r="H23" s="589"/>
      <c r="I23" s="589"/>
      <c r="J23" s="589"/>
      <c r="K23" s="589"/>
      <c r="L23" s="589"/>
      <c r="M23" s="589"/>
      <c r="N23" s="589"/>
      <c r="O23" s="589"/>
      <c r="P23" s="589"/>
      <c r="Q23" s="589"/>
      <c r="R23" s="589"/>
      <c r="S23" s="589"/>
      <c r="T23" s="589"/>
      <c r="U23" s="589"/>
    </row>
    <row r="24" spans="1:21">
      <c r="A24" s="586" t="s">
        <v>682</v>
      </c>
      <c r="B24" s="592"/>
      <c r="C24" s="592"/>
      <c r="D24" s="589"/>
      <c r="E24" s="589"/>
      <c r="F24" s="592"/>
      <c r="G24" s="592"/>
      <c r="H24" s="589"/>
      <c r="I24" s="589"/>
      <c r="J24" s="589"/>
      <c r="K24" s="589"/>
      <c r="L24" s="589"/>
      <c r="M24" s="589"/>
      <c r="N24" s="589"/>
      <c r="O24" s="589"/>
      <c r="P24" s="589"/>
      <c r="Q24" s="589"/>
      <c r="R24" s="589"/>
    </row>
    <row r="25" spans="1:21">
      <c r="A25" s="586"/>
      <c r="B25" s="633"/>
      <c r="C25" s="589"/>
      <c r="D25" s="589"/>
      <c r="E25" s="589"/>
      <c r="F25" s="592"/>
      <c r="G25" s="592"/>
      <c r="H25" s="589"/>
      <c r="I25" s="589"/>
      <c r="J25" s="589"/>
      <c r="K25" s="589"/>
      <c r="L25" s="589"/>
      <c r="M25" s="589"/>
      <c r="N25" s="589"/>
      <c r="O25" s="589"/>
      <c r="P25" s="589"/>
      <c r="Q25" s="589"/>
      <c r="R25" s="589"/>
    </row>
    <row r="26" spans="1:21">
      <c r="A26" s="589"/>
      <c r="B26" s="633"/>
      <c r="C26" s="589"/>
      <c r="D26" s="589"/>
      <c r="E26" s="589"/>
      <c r="F26" s="592"/>
      <c r="G26" s="592"/>
      <c r="H26" s="589"/>
      <c r="I26" s="589"/>
      <c r="J26" s="589"/>
      <c r="K26" s="589"/>
      <c r="L26" s="589"/>
      <c r="M26" s="589"/>
      <c r="N26" s="589"/>
      <c r="O26" s="589"/>
      <c r="P26" s="589"/>
      <c r="Q26" s="589"/>
      <c r="R26" s="589"/>
    </row>
    <row r="27" spans="1:21">
      <c r="A27" s="589"/>
      <c r="B27" s="633"/>
      <c r="C27" s="589"/>
      <c r="D27" s="589"/>
      <c r="E27" s="589"/>
      <c r="F27" s="592"/>
      <c r="G27" s="592"/>
      <c r="H27" s="589"/>
      <c r="I27" s="589"/>
      <c r="J27" s="589"/>
      <c r="K27" s="589"/>
      <c r="L27" s="589"/>
      <c r="M27" s="589"/>
      <c r="N27" s="589"/>
      <c r="O27" s="589"/>
      <c r="P27" s="589"/>
      <c r="Q27" s="589"/>
      <c r="R27" s="589"/>
    </row>
    <row r="28" spans="1:21">
      <c r="A28" s="589"/>
      <c r="B28" s="633"/>
      <c r="C28" s="589"/>
      <c r="D28" s="589"/>
      <c r="E28" s="589"/>
      <c r="F28" s="592"/>
      <c r="G28" s="592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589"/>
    </row>
    <row r="29" spans="1:21">
      <c r="A29" s="589"/>
      <c r="B29" s="633"/>
      <c r="C29" s="589"/>
      <c r="D29" s="589"/>
      <c r="E29" s="589"/>
      <c r="F29" s="592"/>
      <c r="G29" s="592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</row>
    <row r="30" spans="1:21">
      <c r="A30" s="589"/>
      <c r="B30" s="633"/>
      <c r="C30" s="589"/>
      <c r="D30" s="589"/>
      <c r="E30" s="589"/>
      <c r="F30" s="592"/>
      <c r="G30" s="592"/>
      <c r="H30" s="589"/>
      <c r="I30" s="589"/>
      <c r="J30" s="589"/>
      <c r="K30" s="589"/>
      <c r="L30" s="589"/>
      <c r="M30" s="589"/>
      <c r="N30" s="589"/>
      <c r="O30" s="589"/>
      <c r="P30" s="589"/>
      <c r="Q30" s="589"/>
      <c r="R30" s="589"/>
    </row>
    <row r="31" spans="1:21">
      <c r="A31" s="589"/>
      <c r="B31" s="633"/>
      <c r="C31" s="589"/>
      <c r="D31" s="589"/>
      <c r="E31" s="589"/>
      <c r="F31" s="592"/>
      <c r="G31" s="592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</row>
    <row r="32" spans="1:21">
      <c r="A32" s="589"/>
      <c r="B32" s="633"/>
      <c r="C32" s="589"/>
      <c r="D32" s="589"/>
      <c r="E32" s="589"/>
      <c r="F32" s="592"/>
      <c r="G32" s="592"/>
      <c r="H32" s="589"/>
      <c r="I32" s="589"/>
      <c r="J32" s="589"/>
      <c r="K32" s="589"/>
      <c r="L32" s="589"/>
      <c r="M32" s="589"/>
      <c r="N32" s="589"/>
      <c r="O32" s="589"/>
      <c r="P32" s="589"/>
      <c r="Q32" s="589"/>
      <c r="R32" s="589"/>
    </row>
    <row r="33" spans="1:18">
      <c r="A33" s="589"/>
      <c r="B33" s="633"/>
      <c r="C33" s="589"/>
      <c r="D33" s="589"/>
      <c r="E33" s="589"/>
      <c r="F33" s="592"/>
      <c r="G33" s="592"/>
      <c r="H33" s="589"/>
      <c r="I33" s="589"/>
      <c r="J33" s="589"/>
      <c r="K33" s="589"/>
      <c r="L33" s="589"/>
      <c r="M33" s="589"/>
      <c r="N33" s="589"/>
      <c r="O33" s="589"/>
      <c r="P33" s="589"/>
      <c r="Q33" s="589"/>
      <c r="R33" s="589"/>
    </row>
    <row r="34" spans="1:18">
      <c r="A34" s="589"/>
      <c r="B34" s="633"/>
      <c r="C34" s="589"/>
      <c r="D34" s="589"/>
      <c r="E34" s="589"/>
      <c r="F34" s="592"/>
      <c r="G34" s="592"/>
      <c r="H34" s="589"/>
      <c r="I34" s="589"/>
      <c r="J34" s="589"/>
      <c r="K34" s="589"/>
      <c r="L34" s="589"/>
      <c r="M34" s="589"/>
      <c r="N34" s="589"/>
      <c r="O34" s="589"/>
      <c r="P34" s="589"/>
      <c r="Q34" s="589"/>
      <c r="R34" s="589"/>
    </row>
  </sheetData>
  <mergeCells count="21">
    <mergeCell ref="N4:R4"/>
    <mergeCell ref="I6:J6"/>
    <mergeCell ref="K6:P6"/>
    <mergeCell ref="A9:R9"/>
    <mergeCell ref="A10:A14"/>
    <mergeCell ref="B10:B14"/>
    <mergeCell ref="C10:C14"/>
    <mergeCell ref="D10:D14"/>
    <mergeCell ref="E10:E14"/>
    <mergeCell ref="F10:F14"/>
    <mergeCell ref="H16:H20"/>
    <mergeCell ref="G10:G14"/>
    <mergeCell ref="H10:H14"/>
    <mergeCell ref="A15:R15"/>
    <mergeCell ref="A16:A20"/>
    <mergeCell ref="B16:B20"/>
    <mergeCell ref="C16:C20"/>
    <mergeCell ref="D16:D20"/>
    <mergeCell ref="E16:E20"/>
    <mergeCell ref="F16:F20"/>
    <mergeCell ref="G16:G20"/>
  </mergeCells>
  <pageMargins left="0.15748031496062992" right="0.15748031496062992" top="0.78740157480314965" bottom="0.78740157480314965" header="0" footer="0"/>
  <pageSetup paperSize="9" scale="90" orientation="landscape" r:id="rId1"/>
  <headerFooter alignWithMargins="0"/>
  <rowBreaks count="1" manualBreakCount="1">
    <brk id="25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D33"/>
  <sheetViews>
    <sheetView workbookViewId="0">
      <selection activeCell="B2" sqref="B2"/>
    </sheetView>
  </sheetViews>
  <sheetFormatPr defaultRowHeight="12.75"/>
  <cols>
    <col min="1" max="1" width="60.28515625" bestFit="1" customWidth="1"/>
    <col min="2" max="2" width="11.140625" bestFit="1" customWidth="1"/>
    <col min="3" max="3" width="12.7109375" bestFit="1" customWidth="1"/>
    <col min="4" max="4" width="11.140625" bestFit="1" customWidth="1"/>
  </cols>
  <sheetData>
    <row r="1" spans="1:4">
      <c r="B1" s="1189" t="s">
        <v>373</v>
      </c>
      <c r="C1" s="1190"/>
      <c r="D1" s="1190"/>
    </row>
    <row r="2" spans="1:4">
      <c r="B2" s="62" t="s">
        <v>368</v>
      </c>
      <c r="C2" s="62" t="s">
        <v>369</v>
      </c>
      <c r="D2" s="62" t="s">
        <v>46</v>
      </c>
    </row>
    <row r="3" spans="1:4">
      <c r="A3" s="4" t="s">
        <v>343</v>
      </c>
      <c r="B3" s="81" t="e">
        <f>'Kulud (5)'!#REF!</f>
        <v>#REF!</v>
      </c>
      <c r="C3" s="83"/>
      <c r="D3" s="81" t="e">
        <f>B3+C3</f>
        <v>#REF!</v>
      </c>
    </row>
    <row r="4" spans="1:4">
      <c r="A4" s="4" t="s">
        <v>344</v>
      </c>
      <c r="B4" s="81" t="e">
        <f>'Kulud (5)'!#REF!</f>
        <v>#REF!</v>
      </c>
      <c r="C4" s="81" t="e">
        <f>'Inv koond - põhitaotlus (6a)'!#REF!</f>
        <v>#REF!</v>
      </c>
      <c r="D4" s="81" t="e">
        <f t="shared" ref="D4:D32" si="0">B4+C4</f>
        <v>#REF!</v>
      </c>
    </row>
    <row r="5" spans="1:4">
      <c r="A5" s="4" t="s">
        <v>345</v>
      </c>
      <c r="B5" s="81" t="e">
        <f>'Kulud (5)'!#REF!</f>
        <v>#REF!</v>
      </c>
      <c r="C5" s="81" t="e">
        <f>'Inv koond - põhitaotlus (6a)'!#REF!</f>
        <v>#REF!</v>
      </c>
      <c r="D5" s="81" t="e">
        <f t="shared" si="0"/>
        <v>#REF!</v>
      </c>
    </row>
    <row r="6" spans="1:4">
      <c r="A6" s="4" t="s">
        <v>346</v>
      </c>
      <c r="B6" s="81" t="e">
        <f>'Kulud (5)'!#REF!</f>
        <v>#REF!</v>
      </c>
      <c r="C6" s="81" t="e">
        <f>'Inv koond - põhitaotlus (6a)'!#REF!</f>
        <v>#REF!</v>
      </c>
      <c r="D6" s="81" t="e">
        <f t="shared" si="0"/>
        <v>#REF!</v>
      </c>
    </row>
    <row r="7" spans="1:4">
      <c r="A7" s="4" t="s">
        <v>347</v>
      </c>
      <c r="B7" s="81" t="e">
        <f>'Kulud (5)'!#REF!</f>
        <v>#REF!</v>
      </c>
      <c r="C7" s="81" t="e">
        <f>'Inv koond - põhitaotlus (6a)'!#REF!</f>
        <v>#REF!</v>
      </c>
      <c r="D7" s="81" t="e">
        <f t="shared" si="0"/>
        <v>#REF!</v>
      </c>
    </row>
    <row r="8" spans="1:4">
      <c r="A8" s="4" t="s">
        <v>348</v>
      </c>
      <c r="B8" s="81" t="e">
        <f>'Kulud (5)'!#REF!</f>
        <v>#REF!</v>
      </c>
      <c r="C8" s="81" t="e">
        <f>'Inv koond - põhitaotlus (6a)'!#REF!</f>
        <v>#REF!</v>
      </c>
      <c r="D8" s="81" t="e">
        <f t="shared" si="0"/>
        <v>#REF!</v>
      </c>
    </row>
    <row r="9" spans="1:4">
      <c r="A9" s="4" t="s">
        <v>213</v>
      </c>
      <c r="B9" s="81" t="e">
        <f>'Kulud (5)'!#REF!</f>
        <v>#REF!</v>
      </c>
      <c r="C9" s="81" t="e">
        <f>'Inv koond - põhitaotlus (6a)'!#REF!</f>
        <v>#REF!</v>
      </c>
      <c r="D9" s="81" t="e">
        <f t="shared" si="0"/>
        <v>#REF!</v>
      </c>
    </row>
    <row r="10" spans="1:4">
      <c r="A10" s="4" t="s">
        <v>234</v>
      </c>
      <c r="B10" s="81" t="e">
        <f>'Kulud (5)'!#REF!</f>
        <v>#REF!</v>
      </c>
      <c r="C10" s="81" t="e">
        <f>'Inv koond - põhitaotlus (6a)'!#REF!</f>
        <v>#REF!</v>
      </c>
      <c r="D10" s="81" t="e">
        <f t="shared" si="0"/>
        <v>#REF!</v>
      </c>
    </row>
    <row r="11" spans="1:4">
      <c r="A11" s="4" t="s">
        <v>349</v>
      </c>
      <c r="B11" s="81" t="e">
        <f>'Kulud (5)'!#REF!</f>
        <v>#REF!</v>
      </c>
      <c r="C11" s="81" t="e">
        <f>'Inv koond - põhitaotlus (6a)'!#REF!</f>
        <v>#REF!</v>
      </c>
      <c r="D11" s="81" t="e">
        <f t="shared" si="0"/>
        <v>#REF!</v>
      </c>
    </row>
    <row r="12" spans="1:4">
      <c r="A12" s="4" t="s">
        <v>350</v>
      </c>
      <c r="B12" s="81" t="e">
        <f>'Kulud (5)'!#REF!</f>
        <v>#REF!</v>
      </c>
      <c r="C12" s="81" t="e">
        <f>'Inv koond - põhitaotlus (6a)'!#REF!</f>
        <v>#REF!</v>
      </c>
      <c r="D12" s="81" t="e">
        <f t="shared" si="0"/>
        <v>#REF!</v>
      </c>
    </row>
    <row r="13" spans="1:4">
      <c r="A13" s="4" t="s">
        <v>351</v>
      </c>
      <c r="B13" s="81" t="e">
        <f>'Kulud (5)'!#REF!</f>
        <v>#REF!</v>
      </c>
      <c r="C13" s="81" t="e">
        <f>'Inv koond - põhitaotlus (6a)'!#REF!</f>
        <v>#REF!</v>
      </c>
      <c r="D13" s="81" t="e">
        <f t="shared" si="0"/>
        <v>#REF!</v>
      </c>
    </row>
    <row r="14" spans="1:4">
      <c r="A14" s="4" t="s">
        <v>352</v>
      </c>
      <c r="B14" s="81" t="e">
        <f>'Kulud (5)'!#REF!</f>
        <v>#REF!</v>
      </c>
      <c r="C14" s="81" t="e">
        <f>'Inv koond - põhitaotlus (6a)'!#REF!</f>
        <v>#REF!</v>
      </c>
      <c r="D14" s="81" t="e">
        <f t="shared" si="0"/>
        <v>#REF!</v>
      </c>
    </row>
    <row r="15" spans="1:4">
      <c r="A15" s="4" t="s">
        <v>353</v>
      </c>
      <c r="B15" s="81" t="e">
        <f>'Kulud (5)'!#REF!</f>
        <v>#REF!</v>
      </c>
      <c r="C15" s="81" t="e">
        <f>'Inv koond - põhitaotlus (6a)'!#REF!</f>
        <v>#REF!</v>
      </c>
      <c r="D15" s="81" t="e">
        <f t="shared" si="0"/>
        <v>#REF!</v>
      </c>
    </row>
    <row r="16" spans="1:4">
      <c r="A16" s="4" t="s">
        <v>270</v>
      </c>
      <c r="B16" s="81" t="e">
        <f>'Kulud (5)'!#REF!</f>
        <v>#REF!</v>
      </c>
      <c r="C16" s="81" t="e">
        <f>'Inv koond - põhitaotlus (6a)'!#REF!</f>
        <v>#REF!</v>
      </c>
      <c r="D16" s="81" t="e">
        <f t="shared" si="0"/>
        <v>#REF!</v>
      </c>
    </row>
    <row r="17" spans="1:4">
      <c r="A17" s="4" t="s">
        <v>325</v>
      </c>
      <c r="B17" s="81" t="e">
        <f>'Kulud (5)'!#REF!</f>
        <v>#REF!</v>
      </c>
      <c r="C17" s="81" t="e">
        <f>'Inv koond - põhitaotlus (6a)'!#REF!</f>
        <v>#REF!</v>
      </c>
      <c r="D17" s="81" t="e">
        <f t="shared" si="0"/>
        <v>#REF!</v>
      </c>
    </row>
    <row r="18" spans="1:4">
      <c r="A18" s="4" t="s">
        <v>354</v>
      </c>
      <c r="B18" s="81" t="e">
        <f>'Kulud (5)'!#REF!</f>
        <v>#REF!</v>
      </c>
      <c r="C18" s="81" t="e">
        <f>'Inv koond - põhitaotlus (6a)'!#REF!</f>
        <v>#REF!</v>
      </c>
      <c r="D18" s="81" t="e">
        <f t="shared" si="0"/>
        <v>#REF!</v>
      </c>
    </row>
    <row r="19" spans="1:4">
      <c r="A19" s="4" t="s">
        <v>355</v>
      </c>
      <c r="B19" s="81" t="e">
        <f>'Kulud (5)'!#REF!</f>
        <v>#REF!</v>
      </c>
      <c r="C19" s="81" t="e">
        <f>'Inv koond - põhitaotlus (6a)'!#REF!</f>
        <v>#REF!</v>
      </c>
      <c r="D19" s="81" t="e">
        <f t="shared" si="0"/>
        <v>#REF!</v>
      </c>
    </row>
    <row r="20" spans="1:4">
      <c r="A20" s="4" t="s">
        <v>356</v>
      </c>
      <c r="B20" s="81" t="e">
        <f>'Kulud (5)'!#REF!</f>
        <v>#REF!</v>
      </c>
      <c r="C20" s="81" t="e">
        <f>'Inv koond - põhitaotlus (6a)'!#REF!</f>
        <v>#REF!</v>
      </c>
      <c r="D20" s="81" t="e">
        <f t="shared" si="0"/>
        <v>#REF!</v>
      </c>
    </row>
    <row r="21" spans="1:4">
      <c r="A21" s="4" t="s">
        <v>357</v>
      </c>
      <c r="B21" s="81" t="e">
        <f>'Kulud (5)'!#REF!</f>
        <v>#REF!</v>
      </c>
      <c r="C21" s="81" t="e">
        <f>'Inv koond - põhitaotlus (6a)'!#REF!</f>
        <v>#REF!</v>
      </c>
      <c r="D21" s="81" t="e">
        <f t="shared" si="0"/>
        <v>#REF!</v>
      </c>
    </row>
    <row r="22" spans="1:4">
      <c r="A22" s="4" t="s">
        <v>358</v>
      </c>
      <c r="B22" s="81" t="e">
        <f>'Kulud (5)'!#REF!</f>
        <v>#REF!</v>
      </c>
      <c r="C22" s="81" t="e">
        <f>'Inv koond - põhitaotlus (6a)'!#REF!</f>
        <v>#REF!</v>
      </c>
      <c r="D22" s="81" t="e">
        <f t="shared" si="0"/>
        <v>#REF!</v>
      </c>
    </row>
    <row r="23" spans="1:4">
      <c r="A23" s="257" t="s">
        <v>359</v>
      </c>
      <c r="B23" s="57" t="e">
        <f>'Kulud (5)'!#REF!</f>
        <v>#REF!</v>
      </c>
      <c r="C23" s="57" t="e">
        <f>'Inv koond - põhitaotlus (6a)'!#REF!</f>
        <v>#REF!</v>
      </c>
      <c r="D23" s="57" t="e">
        <f t="shared" si="0"/>
        <v>#REF!</v>
      </c>
    </row>
    <row r="24" spans="1:4">
      <c r="A24" s="4" t="s">
        <v>360</v>
      </c>
      <c r="B24" s="81" t="e">
        <f>'Kulud (5)'!#REF!</f>
        <v>#REF!</v>
      </c>
      <c r="C24" s="57"/>
      <c r="D24" s="81" t="e">
        <f t="shared" si="0"/>
        <v>#REF!</v>
      </c>
    </row>
    <row r="25" spans="1:4">
      <c r="A25" s="4" t="s">
        <v>361</v>
      </c>
      <c r="B25" s="81" t="e">
        <f>'Kulud (5)'!#REF!</f>
        <v>#REF!</v>
      </c>
      <c r="C25" s="81"/>
      <c r="D25" s="81" t="e">
        <f t="shared" si="0"/>
        <v>#REF!</v>
      </c>
    </row>
    <row r="26" spans="1:4">
      <c r="A26" s="4" t="s">
        <v>362</v>
      </c>
      <c r="B26" s="81" t="e">
        <f>'Kulud (5)'!#REF!</f>
        <v>#REF!</v>
      </c>
      <c r="C26" s="81"/>
      <c r="D26" s="81" t="e">
        <f t="shared" si="0"/>
        <v>#REF!</v>
      </c>
    </row>
    <row r="27" spans="1:4">
      <c r="A27" s="258" t="s">
        <v>363</v>
      </c>
      <c r="B27" s="81" t="e">
        <f>'Kulud (5)'!#REF!</f>
        <v>#REF!</v>
      </c>
      <c r="C27" s="81"/>
      <c r="D27" s="81" t="e">
        <f t="shared" si="0"/>
        <v>#REF!</v>
      </c>
    </row>
    <row r="28" spans="1:4">
      <c r="A28" s="179" t="s">
        <v>364</v>
      </c>
      <c r="B28" s="81" t="e">
        <f>'Kulud (5)'!#REF!</f>
        <v>#REF!</v>
      </c>
      <c r="C28" s="81"/>
      <c r="D28" s="81" t="e">
        <f t="shared" si="0"/>
        <v>#REF!</v>
      </c>
    </row>
    <row r="29" spans="1:4">
      <c r="A29" s="179" t="s">
        <v>317</v>
      </c>
      <c r="B29" s="81" t="e">
        <f>'Kulud (5)'!#REF!</f>
        <v>#REF!</v>
      </c>
      <c r="C29" s="81"/>
      <c r="D29" s="81" t="e">
        <f t="shared" si="0"/>
        <v>#REF!</v>
      </c>
    </row>
    <row r="30" spans="1:4">
      <c r="A30" s="257" t="s">
        <v>365</v>
      </c>
      <c r="B30" s="57" t="e">
        <f>'Kulud (5)'!#REF!</f>
        <v>#REF!</v>
      </c>
      <c r="C30" s="57" t="e">
        <f>SUM(C23:C29)</f>
        <v>#REF!</v>
      </c>
      <c r="D30" s="57" t="e">
        <f t="shared" si="0"/>
        <v>#REF!</v>
      </c>
    </row>
    <row r="31" spans="1:4">
      <c r="A31" s="4" t="s">
        <v>366</v>
      </c>
      <c r="B31" s="81" t="e">
        <f>'Kulud (5)'!#REF!</f>
        <v>#REF!</v>
      </c>
      <c r="C31" s="57"/>
      <c r="D31" s="81" t="e">
        <f t="shared" si="0"/>
        <v>#REF!</v>
      </c>
    </row>
    <row r="32" spans="1:4">
      <c r="A32" s="257" t="s">
        <v>46</v>
      </c>
      <c r="B32" s="57" t="e">
        <f>'Kulud (5)'!#REF!</f>
        <v>#REF!</v>
      </c>
      <c r="C32" s="57" t="e">
        <f>C30+C31</f>
        <v>#REF!</v>
      </c>
      <c r="D32" s="57" t="e">
        <f t="shared" si="0"/>
        <v>#REF!</v>
      </c>
    </row>
    <row r="33" spans="3:3">
      <c r="C33" s="5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40"/>
  <sheetViews>
    <sheetView zoomScaleNormal="100" workbookViewId="0">
      <selection activeCell="H4" sqref="H4"/>
    </sheetView>
  </sheetViews>
  <sheetFormatPr defaultRowHeight="12.75"/>
  <cols>
    <col min="1" max="1" width="66.7109375" customWidth="1"/>
    <col min="2" max="2" width="12" style="83" customWidth="1"/>
    <col min="3" max="3" width="12.42578125" customWidth="1"/>
    <col min="4" max="4" width="11" bestFit="1" customWidth="1"/>
  </cols>
  <sheetData>
    <row r="1" spans="1:4" ht="15">
      <c r="A1" s="84" t="s">
        <v>27</v>
      </c>
      <c r="B1" s="84"/>
      <c r="C1" s="85"/>
    </row>
    <row r="2" spans="1:4" s="83" customFormat="1" ht="12.75" customHeight="1">
      <c r="A2" s="84"/>
      <c r="B2" s="84"/>
      <c r="C2" s="85"/>
    </row>
    <row r="3" spans="1:4" ht="12.75" customHeight="1">
      <c r="A3" s="59"/>
      <c r="B3" s="59"/>
      <c r="C3" s="86" t="s">
        <v>47</v>
      </c>
    </row>
    <row r="4" spans="1:4" ht="25.5" customHeight="1">
      <c r="A4" s="59"/>
      <c r="B4" s="268" t="s">
        <v>375</v>
      </c>
      <c r="C4" s="267">
        <v>2018</v>
      </c>
      <c r="D4" s="268" t="s">
        <v>374</v>
      </c>
    </row>
    <row r="5" spans="1:4">
      <c r="A5" s="60" t="s">
        <v>28</v>
      </c>
      <c r="B5" s="60"/>
      <c r="C5" s="57">
        <v>638910998</v>
      </c>
      <c r="D5" s="19"/>
    </row>
    <row r="6" spans="1:4">
      <c r="A6" s="60" t="s">
        <v>29</v>
      </c>
      <c r="B6" s="60"/>
      <c r="C6" s="57">
        <v>515412109</v>
      </c>
      <c r="D6" s="81"/>
    </row>
    <row r="7" spans="1:4">
      <c r="A7" s="80" t="s">
        <v>139</v>
      </c>
      <c r="B7" s="80"/>
      <c r="C7" s="81">
        <v>437595000</v>
      </c>
      <c r="D7" s="81"/>
    </row>
    <row r="8" spans="1:4">
      <c r="A8" s="80" t="s">
        <v>140</v>
      </c>
      <c r="B8" s="80"/>
      <c r="C8" s="81">
        <v>400100000</v>
      </c>
      <c r="D8" s="81"/>
    </row>
    <row r="9" spans="1:4">
      <c r="A9" s="80" t="s">
        <v>141</v>
      </c>
      <c r="B9" s="80"/>
      <c r="C9" s="81">
        <v>25730000</v>
      </c>
      <c r="D9" s="81"/>
    </row>
    <row r="10" spans="1:4">
      <c r="A10" s="82" t="s">
        <v>142</v>
      </c>
      <c r="B10" s="82"/>
      <c r="C10" s="81">
        <v>11765000</v>
      </c>
      <c r="D10" s="81"/>
    </row>
    <row r="11" spans="1:4">
      <c r="A11" s="82" t="s">
        <v>143</v>
      </c>
      <c r="B11" s="82"/>
      <c r="C11" s="81">
        <v>76128309</v>
      </c>
      <c r="D11" s="81"/>
    </row>
    <row r="12" spans="1:4">
      <c r="A12" s="82" t="s">
        <v>144</v>
      </c>
      <c r="B12" s="82"/>
      <c r="C12" s="81">
        <v>1688800</v>
      </c>
      <c r="D12" s="81"/>
    </row>
    <row r="13" spans="1:4">
      <c r="A13" s="53" t="s">
        <v>30</v>
      </c>
      <c r="B13" s="53"/>
      <c r="C13" s="57">
        <v>123498889</v>
      </c>
      <c r="D13" s="81"/>
    </row>
    <row r="14" spans="1:4">
      <c r="A14" s="82" t="s">
        <v>145</v>
      </c>
      <c r="B14" s="82"/>
      <c r="C14" s="81">
        <v>93199352</v>
      </c>
      <c r="D14" s="81"/>
    </row>
    <row r="15" spans="1:4">
      <c r="A15" s="82" t="s">
        <v>146</v>
      </c>
      <c r="B15" s="82"/>
      <c r="C15" s="81">
        <v>30299537</v>
      </c>
      <c r="D15" s="81"/>
    </row>
    <row r="16" spans="1:4">
      <c r="A16" s="53" t="s">
        <v>31</v>
      </c>
      <c r="B16" s="53"/>
      <c r="C16" s="57">
        <v>-576665660</v>
      </c>
      <c r="D16" s="81"/>
    </row>
    <row r="17" spans="1:4">
      <c r="A17" s="82" t="s">
        <v>147</v>
      </c>
      <c r="B17" s="82"/>
      <c r="C17" s="81">
        <v>-572665660</v>
      </c>
      <c r="D17" s="81"/>
    </row>
    <row r="18" spans="1:4">
      <c r="A18" s="82" t="s">
        <v>148</v>
      </c>
      <c r="B18" s="82"/>
      <c r="C18" s="81">
        <v>-4000000</v>
      </c>
      <c r="D18" s="81"/>
    </row>
    <row r="19" spans="1:4">
      <c r="A19" s="53" t="s">
        <v>32</v>
      </c>
      <c r="B19" s="53"/>
      <c r="C19" s="57">
        <v>62245338</v>
      </c>
      <c r="D19" s="81"/>
    </row>
    <row r="20" spans="1:4">
      <c r="A20" s="82"/>
      <c r="B20" s="82"/>
      <c r="C20" s="83"/>
      <c r="D20" s="81"/>
    </row>
    <row r="21" spans="1:4">
      <c r="A21" s="60" t="s">
        <v>33</v>
      </c>
      <c r="B21" s="60"/>
      <c r="C21" s="57">
        <v>10084616</v>
      </c>
      <c r="D21" s="81"/>
    </row>
    <row r="22" spans="1:4">
      <c r="A22" s="88" t="s">
        <v>149</v>
      </c>
      <c r="B22" s="88"/>
      <c r="C22" s="81">
        <v>2814616</v>
      </c>
      <c r="D22" s="81"/>
    </row>
    <row r="23" spans="1:4">
      <c r="A23" s="88" t="s">
        <v>150</v>
      </c>
      <c r="B23" s="88"/>
      <c r="C23" s="81">
        <v>7260000</v>
      </c>
      <c r="D23" s="81"/>
    </row>
    <row r="24" spans="1:4">
      <c r="A24" s="88" t="s">
        <v>151</v>
      </c>
      <c r="B24" s="88"/>
      <c r="C24" s="81">
        <v>10000</v>
      </c>
      <c r="D24" s="81"/>
    </row>
    <row r="25" spans="1:4">
      <c r="A25" s="53" t="s">
        <v>34</v>
      </c>
      <c r="B25" s="53"/>
      <c r="C25" s="57">
        <v>-87277934</v>
      </c>
      <c r="D25" s="81"/>
    </row>
    <row r="26" spans="1:4">
      <c r="A26" s="88" t="s">
        <v>152</v>
      </c>
      <c r="B26" s="88"/>
      <c r="C26" s="81">
        <v>-87277934</v>
      </c>
      <c r="D26" s="81"/>
    </row>
    <row r="27" spans="1:4">
      <c r="A27" s="53" t="s">
        <v>35</v>
      </c>
      <c r="B27" s="53"/>
      <c r="C27" s="57">
        <v>-77193318</v>
      </c>
      <c r="D27" s="81"/>
    </row>
    <row r="28" spans="1:4">
      <c r="A28" s="80"/>
      <c r="B28" s="80"/>
      <c r="C28" s="83"/>
      <c r="D28" s="81"/>
    </row>
    <row r="29" spans="1:4">
      <c r="A29" s="60" t="s">
        <v>36</v>
      </c>
      <c r="B29" s="60"/>
      <c r="C29" s="57">
        <v>30000000</v>
      </c>
      <c r="D29" s="81"/>
    </row>
    <row r="30" spans="1:4">
      <c r="A30" s="80" t="s">
        <v>153</v>
      </c>
      <c r="B30" s="80"/>
      <c r="C30" s="81">
        <v>30000000</v>
      </c>
      <c r="D30" s="81"/>
    </row>
    <row r="31" spans="1:4">
      <c r="A31" s="53" t="s">
        <v>37</v>
      </c>
      <c r="B31" s="53"/>
      <c r="C31" s="57">
        <v>-19132220</v>
      </c>
      <c r="D31" s="81"/>
    </row>
    <row r="32" spans="1:4">
      <c r="A32" s="61" t="s">
        <v>327</v>
      </c>
      <c r="B32" s="61"/>
      <c r="C32" s="81">
        <v>-18489583</v>
      </c>
      <c r="D32" s="81"/>
    </row>
    <row r="33" spans="1:4">
      <c r="A33" s="82" t="s">
        <v>154</v>
      </c>
      <c r="B33" s="82"/>
      <c r="C33" s="81">
        <v>-642637</v>
      </c>
      <c r="D33" s="81"/>
    </row>
    <row r="34" spans="1:4">
      <c r="A34" s="53" t="s">
        <v>38</v>
      </c>
      <c r="B34" s="53"/>
      <c r="C34" s="57">
        <v>10867780</v>
      </c>
      <c r="D34" s="81"/>
    </row>
    <row r="35" spans="1:4">
      <c r="A35" s="80"/>
      <c r="B35" s="80"/>
      <c r="C35" s="83"/>
      <c r="D35" s="81"/>
    </row>
    <row r="36" spans="1:4">
      <c r="A36" s="60" t="s">
        <v>39</v>
      </c>
      <c r="B36" s="60"/>
      <c r="C36" s="57">
        <v>678995614</v>
      </c>
      <c r="D36" s="81"/>
    </row>
    <row r="37" spans="1:4">
      <c r="A37" s="60" t="s">
        <v>40</v>
      </c>
      <c r="B37" s="60"/>
      <c r="C37" s="57">
        <v>-683075814</v>
      </c>
      <c r="D37" s="81"/>
    </row>
    <row r="38" spans="1:4">
      <c r="A38" s="60"/>
      <c r="B38" s="60"/>
      <c r="C38" s="113"/>
    </row>
    <row r="39" spans="1:4" s="83" customFormat="1">
      <c r="A39" s="60"/>
      <c r="B39" s="60"/>
      <c r="C39" s="113"/>
    </row>
    <row r="40" spans="1:4">
      <c r="A40" s="60"/>
      <c r="B40" s="60"/>
      <c r="C40" s="57"/>
    </row>
  </sheetData>
  <phoneticPr fontId="30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62"/>
  <sheetViews>
    <sheetView showZeros="0" zoomScaleNormal="100" workbookViewId="0">
      <selection activeCell="H4" sqref="H4"/>
    </sheetView>
  </sheetViews>
  <sheetFormatPr defaultRowHeight="12.75"/>
  <cols>
    <col min="1" max="1" width="36" customWidth="1"/>
    <col min="2" max="3" width="11.42578125" style="83" hidden="1" customWidth="1"/>
    <col min="4" max="4" width="11.42578125" style="83" customWidth="1"/>
    <col min="5" max="6" width="11.42578125" hidden="1" customWidth="1"/>
    <col min="7" max="7" width="11.42578125" customWidth="1"/>
    <col min="8" max="8" width="11.140625" bestFit="1" customWidth="1"/>
  </cols>
  <sheetData>
    <row r="1" spans="1:8" ht="15">
      <c r="A1" s="35" t="s">
        <v>85</v>
      </c>
      <c r="E1" s="35"/>
      <c r="F1" s="35"/>
    </row>
    <row r="2" spans="1:8" s="83" customFormat="1" ht="12.75" customHeight="1">
      <c r="A2" s="35"/>
      <c r="E2" s="35"/>
      <c r="F2" s="35"/>
    </row>
    <row r="3" spans="1:8">
      <c r="A3" s="14"/>
      <c r="B3" s="36"/>
      <c r="C3" s="36"/>
      <c r="D3" s="36"/>
      <c r="E3" s="14"/>
      <c r="F3" s="14"/>
      <c r="G3" s="36" t="s">
        <v>47</v>
      </c>
    </row>
    <row r="4" spans="1:8">
      <c r="H4" s="243"/>
    </row>
    <row r="5" spans="1:8" ht="25.5">
      <c r="A5" s="37" t="s">
        <v>86</v>
      </c>
      <c r="B5" s="360" t="s">
        <v>87</v>
      </c>
      <c r="C5" s="360" t="s">
        <v>88</v>
      </c>
      <c r="D5" s="267" t="s">
        <v>375</v>
      </c>
      <c r="E5" s="38" t="s">
        <v>87</v>
      </c>
      <c r="F5" s="38" t="s">
        <v>88</v>
      </c>
      <c r="G5" s="267" t="s">
        <v>386</v>
      </c>
      <c r="H5" s="268" t="s">
        <v>374</v>
      </c>
    </row>
    <row r="6" spans="1:8" ht="7.5" customHeight="1">
      <c r="A6" s="2"/>
      <c r="B6" s="2"/>
      <c r="C6" s="2"/>
      <c r="D6" s="2"/>
      <c r="E6" s="2"/>
      <c r="F6" s="2"/>
      <c r="G6" s="2"/>
    </row>
    <row r="7" spans="1:8">
      <c r="A7" s="39" t="s">
        <v>90</v>
      </c>
      <c r="B7" s="7" t="e">
        <f>B9+B13</f>
        <v>#REF!</v>
      </c>
      <c r="C7" s="7"/>
      <c r="D7" s="7" t="e">
        <f>B7+C7</f>
        <v>#REF!</v>
      </c>
      <c r="E7" s="7" t="e">
        <f>E9+E13</f>
        <v>#REF!</v>
      </c>
      <c r="F7" s="7"/>
      <c r="G7" s="7" t="e">
        <f>E7+F7</f>
        <v>#REF!</v>
      </c>
      <c r="H7" s="7" t="e">
        <f t="shared" ref="H7" si="0">H9+H13</f>
        <v>#REF!</v>
      </c>
    </row>
    <row r="8" spans="1:8">
      <c r="A8" s="2"/>
      <c r="B8" s="40"/>
      <c r="C8" s="40"/>
      <c r="D8" s="40">
        <f t="shared" ref="D8:D58" si="1">B8+C8</f>
        <v>0</v>
      </c>
      <c r="E8" s="40"/>
      <c r="F8" s="40"/>
      <c r="G8" s="40"/>
      <c r="H8" s="40"/>
    </row>
    <row r="9" spans="1:8">
      <c r="A9" s="74" t="s">
        <v>51</v>
      </c>
      <c r="B9" s="7" t="e">
        <f>B10+B11</f>
        <v>#REF!</v>
      </c>
      <c r="C9" s="7"/>
      <c r="D9" s="7" t="e">
        <f t="shared" si="1"/>
        <v>#REF!</v>
      </c>
      <c r="E9" s="7" t="e">
        <f>E10+E11</f>
        <v>#REF!</v>
      </c>
      <c r="F9" s="41"/>
      <c r="G9" s="7" t="e">
        <f>E9+F9</f>
        <v>#REF!</v>
      </c>
      <c r="H9" s="7" t="e">
        <f t="shared" ref="H9" si="2">H10+H11</f>
        <v>#REF!</v>
      </c>
    </row>
    <row r="10" spans="1:8">
      <c r="A10" s="75" t="s">
        <v>91</v>
      </c>
      <c r="B10" s="81" t="e">
        <f>#REF!</f>
        <v>#REF!</v>
      </c>
      <c r="C10" s="81"/>
      <c r="D10" s="81" t="e">
        <f t="shared" si="1"/>
        <v>#REF!</v>
      </c>
      <c r="E10" s="19" t="e">
        <f>#REF!</f>
        <v>#REF!</v>
      </c>
      <c r="F10" s="43"/>
      <c r="G10" s="19" t="e">
        <f>E10+F10</f>
        <v>#REF!</v>
      </c>
      <c r="H10" s="81" t="e">
        <f>#REF!</f>
        <v>#REF!</v>
      </c>
    </row>
    <row r="11" spans="1:8">
      <c r="A11" s="75" t="s">
        <v>92</v>
      </c>
      <c r="B11" s="81" t="e">
        <f>#REF!</f>
        <v>#REF!</v>
      </c>
      <c r="C11" s="81"/>
      <c r="D11" s="81" t="e">
        <f t="shared" si="1"/>
        <v>#REF!</v>
      </c>
      <c r="E11" s="19" t="e">
        <f>#REF!</f>
        <v>#REF!</v>
      </c>
      <c r="F11" s="43"/>
      <c r="G11" s="19" t="e">
        <f>E11+F11</f>
        <v>#REF!</v>
      </c>
      <c r="H11" s="81" t="e">
        <f>#REF!</f>
        <v>#REF!</v>
      </c>
    </row>
    <row r="12" spans="1:8" ht="7.5" customHeight="1">
      <c r="A12" s="55"/>
      <c r="B12" s="81"/>
      <c r="C12" s="81"/>
      <c r="D12" s="81">
        <f t="shared" si="1"/>
        <v>0</v>
      </c>
      <c r="E12" s="19"/>
      <c r="F12" s="44"/>
      <c r="G12" s="19"/>
      <c r="H12" s="81"/>
    </row>
    <row r="13" spans="1:8">
      <c r="A13" s="74" t="s">
        <v>52</v>
      </c>
      <c r="B13" s="7" t="e">
        <f>SUM(B14:B17)</f>
        <v>#REF!</v>
      </c>
      <c r="C13" s="7"/>
      <c r="D13" s="7" t="e">
        <f t="shared" si="1"/>
        <v>#REF!</v>
      </c>
      <c r="E13" s="7" t="e">
        <f>SUM(E14:E16)</f>
        <v>#REF!</v>
      </c>
      <c r="F13" s="41"/>
      <c r="G13" s="7" t="e">
        <f>E13+F13</f>
        <v>#REF!</v>
      </c>
      <c r="H13" s="7" t="e">
        <f t="shared" ref="H13" si="3">SUM(H14:H16)</f>
        <v>#REF!</v>
      </c>
    </row>
    <row r="14" spans="1:8" ht="12.75" customHeight="1">
      <c r="A14" s="75" t="s">
        <v>93</v>
      </c>
      <c r="B14" s="81" t="e">
        <f>#REF!</f>
        <v>#REF!</v>
      </c>
      <c r="C14" s="81"/>
      <c r="D14" s="81" t="e">
        <f t="shared" si="1"/>
        <v>#REF!</v>
      </c>
      <c r="E14" s="19" t="e">
        <f>#REF!</f>
        <v>#REF!</v>
      </c>
      <c r="F14" s="43"/>
      <c r="G14" s="19" t="e">
        <f>E14+F14</f>
        <v>#REF!</v>
      </c>
      <c r="H14" s="81" t="e">
        <f>#REF!</f>
        <v>#REF!</v>
      </c>
    </row>
    <row r="15" spans="1:8" ht="12.75" customHeight="1">
      <c r="A15" s="97" t="s">
        <v>129</v>
      </c>
      <c r="B15" s="81" t="e">
        <f>#REF!</f>
        <v>#REF!</v>
      </c>
      <c r="C15" s="81"/>
      <c r="D15" s="81" t="e">
        <f t="shared" si="1"/>
        <v>#REF!</v>
      </c>
      <c r="E15" s="19" t="e">
        <f>#REF!</f>
        <v>#REF!</v>
      </c>
      <c r="F15" s="43"/>
      <c r="G15" s="19" t="e">
        <f>E15+F15</f>
        <v>#REF!</v>
      </c>
      <c r="H15" s="81" t="e">
        <f>#REF!</f>
        <v>#REF!</v>
      </c>
    </row>
    <row r="16" spans="1:8">
      <c r="A16" s="75" t="s">
        <v>94</v>
      </c>
      <c r="B16" s="81" t="e">
        <f>#REF!</f>
        <v>#REF!</v>
      </c>
      <c r="C16" s="81"/>
      <c r="D16" s="81" t="e">
        <f t="shared" si="1"/>
        <v>#REF!</v>
      </c>
      <c r="E16" s="19" t="e">
        <f>#REF!</f>
        <v>#REF!</v>
      </c>
      <c r="F16" s="43"/>
      <c r="G16" s="19" t="e">
        <f>E16+F16</f>
        <v>#REF!</v>
      </c>
      <c r="H16" s="81" t="e">
        <f>#REF!</f>
        <v>#REF!</v>
      </c>
    </row>
    <row r="17" spans="1:8" s="83" customFormat="1">
      <c r="A17" s="97" t="s">
        <v>500</v>
      </c>
      <c r="B17" s="81" t="e">
        <f>#REF!</f>
        <v>#REF!</v>
      </c>
      <c r="C17" s="81"/>
      <c r="D17" s="81" t="e">
        <f t="shared" si="1"/>
        <v>#REF!</v>
      </c>
      <c r="E17" s="81"/>
      <c r="F17" s="43"/>
      <c r="G17" s="81"/>
      <c r="H17" s="81"/>
    </row>
    <row r="18" spans="1:8" ht="6.75" customHeight="1">
      <c r="A18" s="45"/>
      <c r="B18" s="81"/>
      <c r="C18" s="81"/>
      <c r="D18" s="81">
        <f t="shared" si="1"/>
        <v>0</v>
      </c>
      <c r="E18" s="19"/>
      <c r="F18" s="46"/>
      <c r="G18" s="19"/>
      <c r="H18" s="81" t="e">
        <f>H19+H25</f>
        <v>#REF!</v>
      </c>
    </row>
    <row r="19" spans="1:8" ht="13.5" customHeight="1">
      <c r="A19" s="39" t="s">
        <v>53</v>
      </c>
      <c r="B19" s="7" t="e">
        <f>#REF!</f>
        <v>#REF!</v>
      </c>
      <c r="C19" s="7"/>
      <c r="D19" s="7" t="e">
        <f t="shared" si="1"/>
        <v>#REF!</v>
      </c>
      <c r="E19" s="7" t="e">
        <f>#REF!</f>
        <v>#REF!</v>
      </c>
      <c r="F19" s="7"/>
      <c r="G19" s="7" t="e">
        <f>E19+F19</f>
        <v>#REF!</v>
      </c>
      <c r="H19" s="7" t="e">
        <f>#REF!</f>
        <v>#REF!</v>
      </c>
    </row>
    <row r="20" spans="1:8" ht="16.5" customHeight="1">
      <c r="A20" s="47"/>
      <c r="B20" s="81"/>
      <c r="C20" s="81"/>
      <c r="D20" s="81" t="e">
        <f>D21-D25</f>
        <v>#REF!</v>
      </c>
      <c r="E20" s="19"/>
      <c r="F20" s="48"/>
      <c r="G20" s="19"/>
      <c r="H20" s="81">
        <f ca="1">H22+H23+H26+H27</f>
        <v>15031075</v>
      </c>
    </row>
    <row r="21" spans="1:8">
      <c r="A21" s="39" t="s">
        <v>54</v>
      </c>
      <c r="B21" s="7" t="e">
        <f>SUM(B22:B27)</f>
        <v>#REF!</v>
      </c>
      <c r="C21" s="7">
        <f>SUM(C22:C27)</f>
        <v>78626854.680000007</v>
      </c>
      <c r="D21" s="7" t="e">
        <f t="shared" si="1"/>
        <v>#REF!</v>
      </c>
      <c r="E21" s="7" t="e">
        <f>SUM(E22:E27)</f>
        <v>#REF!</v>
      </c>
      <c r="F21" s="7">
        <f ca="1">SUM(F22:F27)</f>
        <v>14547250</v>
      </c>
      <c r="G21" s="7" t="e">
        <f ca="1">E21+F21</f>
        <v>#REF!</v>
      </c>
      <c r="H21" s="7" t="e">
        <f ca="1">SUM(H22:H24)+H27</f>
        <v>#REF!</v>
      </c>
    </row>
    <row r="22" spans="1:8">
      <c r="A22" s="42" t="s">
        <v>44</v>
      </c>
      <c r="B22" s="81"/>
      <c r="C22" s="81">
        <f>Sheet2!B2</f>
        <v>63892294.770000003</v>
      </c>
      <c r="D22" s="81">
        <f t="shared" si="1"/>
        <v>63892294.770000003</v>
      </c>
      <c r="E22" s="19"/>
      <c r="F22" s="19">
        <f ca="1">Sheet2!C2</f>
        <v>14417605</v>
      </c>
      <c r="G22" s="19">
        <f ca="1">E22+F22</f>
        <v>14417605</v>
      </c>
      <c r="H22" s="363">
        <f ca="1">Sheet2!D2</f>
        <v>14899767</v>
      </c>
    </row>
    <row r="23" spans="1:8">
      <c r="A23" s="42" t="s">
        <v>114</v>
      </c>
      <c r="B23" s="81"/>
      <c r="C23" s="81">
        <f>Sheet2!B16</f>
        <v>8438000.8300000019</v>
      </c>
      <c r="D23" s="81">
        <f t="shared" si="1"/>
        <v>8438000.8300000019</v>
      </c>
      <c r="E23" s="19"/>
      <c r="F23" s="19">
        <f ca="1">Sheet2!C16</f>
        <v>115045</v>
      </c>
      <c r="G23" s="19">
        <f ca="1">E23+F23</f>
        <v>115045</v>
      </c>
      <c r="H23" s="81">
        <f ca="1">Sheet2!D16</f>
        <v>112708</v>
      </c>
    </row>
    <row r="24" spans="1:8">
      <c r="A24" s="42" t="s">
        <v>121</v>
      </c>
      <c r="B24" s="81" t="e">
        <f>#REF!</f>
        <v>#REF!</v>
      </c>
      <c r="C24" s="81">
        <f>Sheet2!B15</f>
        <v>2385085.9600000004</v>
      </c>
      <c r="D24" s="81" t="e">
        <f t="shared" si="1"/>
        <v>#REF!</v>
      </c>
      <c r="E24" s="19" t="e">
        <f>#REF!</f>
        <v>#REF!</v>
      </c>
      <c r="F24" s="19">
        <f ca="1">Sheet2!C15</f>
        <v>0</v>
      </c>
      <c r="G24" s="19" t="e">
        <f ca="1">E24+F24</f>
        <v>#REF!</v>
      </c>
      <c r="H24" s="81" t="e">
        <f ca="1">H25+H26</f>
        <v>#REF!</v>
      </c>
    </row>
    <row r="25" spans="1:8" s="96" customFormat="1">
      <c r="A25" s="270" t="s">
        <v>376</v>
      </c>
      <c r="B25" s="269"/>
      <c r="C25" s="269"/>
      <c r="D25" s="269" t="e">
        <f>B24</f>
        <v>#REF!</v>
      </c>
      <c r="E25" s="269"/>
      <c r="F25" s="269"/>
      <c r="G25" s="269" t="e">
        <f>E24</f>
        <v>#REF!</v>
      </c>
      <c r="H25" s="81" t="e">
        <f>#REF!</f>
        <v>#REF!</v>
      </c>
    </row>
    <row r="26" spans="1:8" s="96" customFormat="1">
      <c r="A26" s="270" t="s">
        <v>138</v>
      </c>
      <c r="B26" s="269"/>
      <c r="C26" s="269"/>
      <c r="D26" s="269">
        <f>C24</f>
        <v>2385085.9600000004</v>
      </c>
      <c r="E26" s="269"/>
      <c r="F26" s="269"/>
      <c r="G26" s="269">
        <f ca="1">F24</f>
        <v>0</v>
      </c>
      <c r="H26" s="363">
        <f ca="1">Sheet2!D15</f>
        <v>0</v>
      </c>
    </row>
    <row r="27" spans="1:8">
      <c r="A27" s="42" t="s">
        <v>115</v>
      </c>
      <c r="B27" s="81"/>
      <c r="C27" s="81">
        <f>Sheet2!B14</f>
        <v>3911473.12</v>
      </c>
      <c r="D27" s="81">
        <f t="shared" si="1"/>
        <v>3911473.12</v>
      </c>
      <c r="E27" s="19"/>
      <c r="F27" s="19">
        <f ca="1">Sheet2!C14</f>
        <v>14600</v>
      </c>
      <c r="G27" s="19">
        <f ca="1">E27+F27</f>
        <v>14600</v>
      </c>
      <c r="H27" s="81">
        <f ca="1">Sheet2!D14</f>
        <v>18600</v>
      </c>
    </row>
    <row r="28" spans="1:8" ht="7.5" customHeight="1">
      <c r="A28" s="2"/>
      <c r="B28" s="81"/>
      <c r="C28" s="40"/>
      <c r="D28" s="81" t="e">
        <f>D30+D32</f>
        <v>#REF!</v>
      </c>
      <c r="E28" s="81" t="e">
        <f t="shared" ref="E28:H28" si="4">E30+E32</f>
        <v>#REF!</v>
      </c>
      <c r="F28" s="81">
        <f t="shared" si="4"/>
        <v>0</v>
      </c>
      <c r="G28" s="81" t="e">
        <f t="shared" si="4"/>
        <v>#REF!</v>
      </c>
      <c r="H28" s="81" t="e">
        <f t="shared" si="4"/>
        <v>#REF!</v>
      </c>
    </row>
    <row r="29" spans="1:8">
      <c r="A29" s="39" t="s">
        <v>55</v>
      </c>
      <c r="B29" s="49" t="e">
        <f>SUM(B30:B31)</f>
        <v>#REF!</v>
      </c>
      <c r="C29" s="49">
        <f>SUM(C30:C31)</f>
        <v>187738.75999999998</v>
      </c>
      <c r="D29" s="49" t="e">
        <f t="shared" si="1"/>
        <v>#REF!</v>
      </c>
      <c r="E29" s="49" t="e">
        <f>SUM(E30:E31)</f>
        <v>#REF!</v>
      </c>
      <c r="F29" s="49">
        <f ca="1">SUM(F30:F31)</f>
        <v>0</v>
      </c>
      <c r="G29" s="49" t="e">
        <f ca="1">E29+F29</f>
        <v>#REF!</v>
      </c>
      <c r="H29" s="49" t="e">
        <f ca="1">H30+H31</f>
        <v>#REF!</v>
      </c>
    </row>
    <row r="30" spans="1:8">
      <c r="A30" s="42" t="s">
        <v>95</v>
      </c>
      <c r="B30" s="81" t="e">
        <f>#REF!</f>
        <v>#REF!</v>
      </c>
      <c r="C30" s="43"/>
      <c r="D30" s="81" t="e">
        <f t="shared" si="1"/>
        <v>#REF!</v>
      </c>
      <c r="E30" s="19" t="e">
        <f>#REF!</f>
        <v>#REF!</v>
      </c>
      <c r="F30" s="43"/>
      <c r="G30" s="19" t="e">
        <f>E30+F30</f>
        <v>#REF!</v>
      </c>
      <c r="H30" s="81" t="e">
        <f>#REF!</f>
        <v>#REF!</v>
      </c>
    </row>
    <row r="31" spans="1:8">
      <c r="A31" s="42" t="s">
        <v>120</v>
      </c>
      <c r="B31" s="81" t="e">
        <f>#REF!</f>
        <v>#REF!</v>
      </c>
      <c r="C31" s="81">
        <f>Sheet2!B13</f>
        <v>187738.75999999998</v>
      </c>
      <c r="D31" s="81" t="e">
        <f t="shared" si="1"/>
        <v>#REF!</v>
      </c>
      <c r="E31" s="19" t="e">
        <f>#REF!</f>
        <v>#REF!</v>
      </c>
      <c r="F31" s="19">
        <f ca="1">Sheet2!C13</f>
        <v>0</v>
      </c>
      <c r="G31" s="19" t="e">
        <f ca="1">E31+F31</f>
        <v>#REF!</v>
      </c>
      <c r="H31" s="81" t="e">
        <f ca="1">H32+H33</f>
        <v>#REF!</v>
      </c>
    </row>
    <row r="32" spans="1:8" s="96" customFormat="1">
      <c r="A32" s="270" t="s">
        <v>376</v>
      </c>
      <c r="B32" s="269"/>
      <c r="C32" s="269"/>
      <c r="D32" s="269" t="e">
        <f>B31</f>
        <v>#REF!</v>
      </c>
      <c r="E32" s="269"/>
      <c r="F32" s="269"/>
      <c r="G32" s="269" t="e">
        <f>E31</f>
        <v>#REF!</v>
      </c>
      <c r="H32" s="81" t="e">
        <f>#REF!</f>
        <v>#REF!</v>
      </c>
    </row>
    <row r="33" spans="1:8" s="96" customFormat="1">
      <c r="A33" s="270" t="s">
        <v>138</v>
      </c>
      <c r="B33" s="269"/>
      <c r="C33" s="269"/>
      <c r="D33" s="269">
        <f>C31</f>
        <v>187738.75999999998</v>
      </c>
      <c r="E33" s="269"/>
      <c r="F33" s="269"/>
      <c r="G33" s="269">
        <f ca="1">F31</f>
        <v>0</v>
      </c>
      <c r="H33" s="364">
        <f ca="1">Sheet2!D13</f>
        <v>0</v>
      </c>
    </row>
    <row r="34" spans="1:8" ht="8.25" customHeight="1">
      <c r="A34" s="2"/>
      <c r="B34" s="81"/>
      <c r="C34" s="40"/>
      <c r="D34" s="81">
        <f t="shared" si="1"/>
        <v>0</v>
      </c>
      <c r="E34" s="19"/>
      <c r="F34" s="40"/>
      <c r="G34" s="19"/>
      <c r="H34" s="81"/>
    </row>
    <row r="35" spans="1:8">
      <c r="A35" s="39" t="s">
        <v>56</v>
      </c>
      <c r="B35" s="49" t="e">
        <f>B36</f>
        <v>#REF!</v>
      </c>
      <c r="C35" s="7"/>
      <c r="D35" s="49" t="e">
        <f t="shared" si="1"/>
        <v>#REF!</v>
      </c>
      <c r="E35" s="49" t="e">
        <f>E36</f>
        <v>#REF!</v>
      </c>
      <c r="F35" s="7"/>
      <c r="G35" s="49" t="e">
        <f>E35+F35</f>
        <v>#REF!</v>
      </c>
      <c r="H35" s="49" t="e">
        <f t="shared" ref="H35" si="5">H36</f>
        <v>#REF!</v>
      </c>
    </row>
    <row r="36" spans="1:8">
      <c r="A36" s="42" t="s">
        <v>96</v>
      </c>
      <c r="B36" s="81" t="e">
        <f>#REF!</f>
        <v>#REF!</v>
      </c>
      <c r="C36" s="43"/>
      <c r="D36" s="81" t="e">
        <f t="shared" si="1"/>
        <v>#REF!</v>
      </c>
      <c r="E36" s="19" t="e">
        <f>#REF!</f>
        <v>#REF!</v>
      </c>
      <c r="F36" s="43"/>
      <c r="G36" s="19" t="e">
        <f>E36+F36</f>
        <v>#REF!</v>
      </c>
      <c r="H36" s="81" t="e">
        <f>#REF!</f>
        <v>#REF!</v>
      </c>
    </row>
    <row r="37" spans="1:8" ht="9" customHeight="1">
      <c r="A37" s="2"/>
      <c r="B37" s="81"/>
      <c r="C37" s="40"/>
      <c r="D37" s="81">
        <f t="shared" si="1"/>
        <v>0</v>
      </c>
      <c r="E37" s="19"/>
      <c r="F37" s="40"/>
      <c r="G37" s="19"/>
      <c r="H37" s="81"/>
    </row>
    <row r="38" spans="1:8">
      <c r="A38" s="39" t="s">
        <v>97</v>
      </c>
      <c r="B38" s="49" t="e">
        <f>SUM(B39:B41)</f>
        <v>#REF!</v>
      </c>
      <c r="C38" s="7"/>
      <c r="D38" s="49" t="e">
        <f t="shared" si="1"/>
        <v>#REF!</v>
      </c>
      <c r="E38" s="49" t="e">
        <f>SUM(E39:E41)</f>
        <v>#REF!</v>
      </c>
      <c r="F38" s="7"/>
      <c r="G38" s="49" t="e">
        <f>E38+F38</f>
        <v>#REF!</v>
      </c>
      <c r="H38" s="49" t="e">
        <f t="shared" ref="H38" si="6">SUM(H39:H41)</f>
        <v>#REF!</v>
      </c>
    </row>
    <row r="39" spans="1:8">
      <c r="A39" s="42" t="s">
        <v>102</v>
      </c>
      <c r="B39" s="81" t="e">
        <f>#REF!</f>
        <v>#REF!</v>
      </c>
      <c r="C39" s="40"/>
      <c r="D39" s="81" t="e">
        <f t="shared" si="1"/>
        <v>#REF!</v>
      </c>
      <c r="E39" s="19" t="e">
        <f>#REF!</f>
        <v>#REF!</v>
      </c>
      <c r="F39" s="40"/>
      <c r="G39" s="19" t="e">
        <f>E39+F39</f>
        <v>#REF!</v>
      </c>
      <c r="H39" s="81" t="e">
        <f>#REF!</f>
        <v>#REF!</v>
      </c>
    </row>
    <row r="40" spans="1:8">
      <c r="A40" s="42" t="s">
        <v>24</v>
      </c>
      <c r="B40" s="81" t="e">
        <f>#REF!</f>
        <v>#REF!</v>
      </c>
      <c r="C40" s="40"/>
      <c r="D40" s="81" t="e">
        <f t="shared" si="1"/>
        <v>#REF!</v>
      </c>
      <c r="E40" s="19" t="e">
        <f>#REF!</f>
        <v>#REF!</v>
      </c>
      <c r="F40" s="40"/>
      <c r="G40" s="19" t="e">
        <f>E40+F40</f>
        <v>#REF!</v>
      </c>
      <c r="H40" s="81" t="e">
        <f>#REF!</f>
        <v>#REF!</v>
      </c>
    </row>
    <row r="41" spans="1:8">
      <c r="A41" s="42" t="s">
        <v>59</v>
      </c>
      <c r="B41" s="81" t="e">
        <f>#REF!</f>
        <v>#REF!</v>
      </c>
      <c r="C41" s="40"/>
      <c r="D41" s="81" t="e">
        <f t="shared" si="1"/>
        <v>#REF!</v>
      </c>
      <c r="E41" s="19" t="e">
        <f>#REF!</f>
        <v>#REF!</v>
      </c>
      <c r="F41" s="40"/>
      <c r="G41" s="19" t="e">
        <f>E41+F41</f>
        <v>#REF!</v>
      </c>
      <c r="H41" s="81" t="e">
        <f>#REF!</f>
        <v>#REF!</v>
      </c>
    </row>
    <row r="42" spans="1:8" ht="9" customHeight="1">
      <c r="A42" s="2"/>
      <c r="B42" s="81"/>
      <c r="C42" s="40"/>
      <c r="D42" s="81">
        <f t="shared" si="1"/>
        <v>0</v>
      </c>
      <c r="E42" s="19"/>
      <c r="F42" s="40"/>
      <c r="G42" s="19"/>
      <c r="H42" s="81"/>
    </row>
    <row r="43" spans="1:8">
      <c r="A43" s="39" t="s">
        <v>60</v>
      </c>
      <c r="B43" s="49" t="e">
        <f>SUM(B44:B45)</f>
        <v>#REF!</v>
      </c>
      <c r="C43" s="7">
        <f>C46</f>
        <v>-39789.910000000003</v>
      </c>
      <c r="D43" s="49" t="e">
        <f t="shared" si="1"/>
        <v>#REF!</v>
      </c>
      <c r="E43" s="49" t="e">
        <f>SUM(E44:E45)</f>
        <v>#REF!</v>
      </c>
      <c r="F43" s="7">
        <f ca="1">F46</f>
        <v>0</v>
      </c>
      <c r="G43" s="49" t="e">
        <f ca="1">E43+F43</f>
        <v>#REF!</v>
      </c>
      <c r="H43" s="49" t="e">
        <f>SUM(H44:H46)</f>
        <v>#REF!</v>
      </c>
    </row>
    <row r="44" spans="1:8">
      <c r="A44" s="92" t="s">
        <v>130</v>
      </c>
      <c r="B44" s="81" t="e">
        <f>#REF!</f>
        <v>#REF!</v>
      </c>
      <c r="C44" s="43"/>
      <c r="D44" s="81" t="e">
        <f t="shared" si="1"/>
        <v>#REF!</v>
      </c>
      <c r="E44" s="19" t="e">
        <f>#REF!</f>
        <v>#REF!</v>
      </c>
      <c r="F44" s="43"/>
      <c r="G44" s="19" t="e">
        <f>E44+F44</f>
        <v>#REF!</v>
      </c>
      <c r="H44" s="81" t="e">
        <f>#REF!</f>
        <v>#REF!</v>
      </c>
    </row>
    <row r="45" spans="1:8">
      <c r="A45" s="42" t="s">
        <v>45</v>
      </c>
      <c r="B45" s="81" t="e">
        <f>#REF!</f>
        <v>#REF!</v>
      </c>
      <c r="C45" s="43"/>
      <c r="D45" s="81" t="e">
        <f t="shared" si="1"/>
        <v>#REF!</v>
      </c>
      <c r="E45" s="19" t="e">
        <f>#REF!</f>
        <v>#REF!</v>
      </c>
      <c r="F45" s="43"/>
      <c r="G45" s="19" t="e">
        <f>E45+F45</f>
        <v>#REF!</v>
      </c>
      <c r="H45" s="81" t="e">
        <f>#REF!</f>
        <v>#REF!</v>
      </c>
    </row>
    <row r="46" spans="1:8" s="83" customFormat="1">
      <c r="A46" s="92" t="s">
        <v>135</v>
      </c>
      <c r="B46" s="81"/>
      <c r="C46" s="89">
        <f>Sheet2!B18</f>
        <v>-39789.910000000003</v>
      </c>
      <c r="D46" s="81">
        <f t="shared" si="1"/>
        <v>-39789.910000000003</v>
      </c>
      <c r="E46" s="81"/>
      <c r="F46" s="89">
        <f ca="1">Sheet2!C18</f>
        <v>0</v>
      </c>
      <c r="G46" s="81">
        <f ca="1">E46+F46</f>
        <v>0</v>
      </c>
      <c r="H46" s="81">
        <f ca="1">Sheet2!D18</f>
        <v>0</v>
      </c>
    </row>
    <row r="47" spans="1:8" ht="8.25" customHeight="1">
      <c r="A47" s="2"/>
      <c r="B47" s="81"/>
      <c r="C47" s="40"/>
      <c r="D47" s="81">
        <f t="shared" si="1"/>
        <v>0</v>
      </c>
      <c r="E47" s="19"/>
      <c r="F47" s="40"/>
      <c r="G47" s="19"/>
      <c r="H47" s="81"/>
    </row>
    <row r="48" spans="1:8">
      <c r="A48" s="39" t="s">
        <v>61</v>
      </c>
      <c r="B48" s="7" t="e">
        <f>#REF!</f>
        <v>#REF!</v>
      </c>
      <c r="C48" s="7"/>
      <c r="D48" s="7" t="e">
        <f t="shared" si="1"/>
        <v>#REF!</v>
      </c>
      <c r="E48" s="7" t="e">
        <f>#REF!</f>
        <v>#REF!</v>
      </c>
      <c r="F48" s="7"/>
      <c r="G48" s="7" t="e">
        <f>E48+F48</f>
        <v>#REF!</v>
      </c>
      <c r="H48" s="7" t="e">
        <f>#REF!</f>
        <v>#REF!</v>
      </c>
    </row>
    <row r="49" spans="1:8" ht="8.25" customHeight="1">
      <c r="A49" s="39"/>
      <c r="B49" s="81"/>
      <c r="C49" s="7"/>
      <c r="D49" s="81">
        <f t="shared" si="1"/>
        <v>0</v>
      </c>
      <c r="E49" s="19"/>
      <c r="F49" s="7"/>
      <c r="G49" s="19"/>
      <c r="H49" s="81"/>
    </row>
    <row r="50" spans="1:8">
      <c r="A50" s="50" t="s">
        <v>98</v>
      </c>
      <c r="B50" s="49" t="e">
        <f>B7+B19+B21+B29+B35+B38+B43+B48</f>
        <v>#REF!</v>
      </c>
      <c r="C50" s="49">
        <f>C7+C19+C21+C29+C35+C38+C43+C48</f>
        <v>78774803.530000016</v>
      </c>
      <c r="D50" s="49" t="e">
        <f t="shared" si="1"/>
        <v>#REF!</v>
      </c>
      <c r="E50" s="49" t="e">
        <f>E7+E19+E21+E29+E35+E38+E43+E48</f>
        <v>#REF!</v>
      </c>
      <c r="F50" s="49">
        <f ca="1">F7+F19+F21+F29+F35+F38+F43+F48</f>
        <v>14547250</v>
      </c>
      <c r="G50" s="49" t="e">
        <f ca="1">G7+G19+G21+G29+G35+G38+G43+G48</f>
        <v>#REF!</v>
      </c>
      <c r="H50" s="49" t="e">
        <f t="shared" ref="H50" ca="1" si="7">H7+H19+H21+H29+H35+H38+H43+H48</f>
        <v>#REF!</v>
      </c>
    </row>
    <row r="51" spans="1:8" ht="8.25" customHeight="1">
      <c r="A51" s="39"/>
      <c r="B51" s="81"/>
      <c r="C51" s="7"/>
      <c r="D51" s="81">
        <f t="shared" si="1"/>
        <v>0</v>
      </c>
      <c r="E51" s="19"/>
      <c r="F51" s="7"/>
      <c r="G51" s="19"/>
      <c r="H51" s="81"/>
    </row>
    <row r="52" spans="1:8">
      <c r="A52" s="39" t="s">
        <v>99</v>
      </c>
      <c r="B52" s="49">
        <f>SUM(B53:B56)</f>
        <v>20200670.160000004</v>
      </c>
      <c r="C52" s="49">
        <f>SUM(C53:C56)</f>
        <v>99381102.759999916</v>
      </c>
      <c r="D52" s="49">
        <f t="shared" si="1"/>
        <v>119581772.91999993</v>
      </c>
      <c r="E52" s="49" t="e">
        <f>SUM(E53:E56)</f>
        <v>#REF!</v>
      </c>
      <c r="F52" s="49" t="e">
        <f>SUM(F53:F56)</f>
        <v>#REF!</v>
      </c>
      <c r="G52" s="49" t="e">
        <f>E52+F52</f>
        <v>#REF!</v>
      </c>
      <c r="H52" s="49" t="e">
        <f t="shared" ref="H52" si="8">SUM(H53:H55)</f>
        <v>#REF!</v>
      </c>
    </row>
    <row r="53" spans="1:8">
      <c r="A53" s="2" t="s">
        <v>100</v>
      </c>
      <c r="B53" s="81">
        <v>5023333.3000000007</v>
      </c>
      <c r="C53" s="40">
        <v>97268596.73999992</v>
      </c>
      <c r="D53" s="81">
        <f t="shared" si="1"/>
        <v>102291930.03999992</v>
      </c>
      <c r="E53" s="19" t="e">
        <f>'Toetused (4)'!#REF!</f>
        <v>#REF!</v>
      </c>
      <c r="F53" s="40"/>
      <c r="G53" s="19" t="e">
        <f>E53+F53</f>
        <v>#REF!</v>
      </c>
      <c r="H53" s="363" t="e">
        <f>'Toetused (4)'!#REF!</f>
        <v>#REF!</v>
      </c>
    </row>
    <row r="54" spans="1:8">
      <c r="A54" s="42" t="s">
        <v>101</v>
      </c>
      <c r="B54" s="81">
        <v>15155477.76</v>
      </c>
      <c r="C54" s="81">
        <v>1852849.3099999998</v>
      </c>
      <c r="D54" s="81">
        <f t="shared" si="1"/>
        <v>17008327.07</v>
      </c>
      <c r="E54" s="19" t="e">
        <f>'Toetused (4)'!#REF!</f>
        <v>#REF!</v>
      </c>
      <c r="F54" s="19" t="e">
        <f>'Toetused (4)'!#REF!</f>
        <v>#REF!</v>
      </c>
      <c r="G54" s="81" t="e">
        <f t="shared" ref="G54:G56" si="9">E54+F54</f>
        <v>#REF!</v>
      </c>
      <c r="H54" s="363">
        <f>'Toetused (4)'!G9</f>
        <v>0</v>
      </c>
    </row>
    <row r="55" spans="1:8" s="83" customFormat="1">
      <c r="A55" s="92" t="s">
        <v>133</v>
      </c>
      <c r="B55" s="81">
        <v>21859.1</v>
      </c>
      <c r="C55" s="40">
        <v>90759.75</v>
      </c>
      <c r="D55" s="81">
        <f t="shared" si="1"/>
        <v>112618.85</v>
      </c>
      <c r="E55" s="81" t="e">
        <f>'Toetused (4)'!#REF!</f>
        <v>#REF!</v>
      </c>
      <c r="F55" s="40"/>
      <c r="G55" s="81" t="e">
        <f t="shared" si="9"/>
        <v>#REF!</v>
      </c>
      <c r="H55" s="363" t="e">
        <f>'Toetused (4)'!#REF!</f>
        <v>#REF!</v>
      </c>
    </row>
    <row r="56" spans="1:8" s="83" customFormat="1">
      <c r="A56" s="92" t="s">
        <v>504</v>
      </c>
      <c r="B56" s="81"/>
      <c r="C56" s="40">
        <v>168896.96</v>
      </c>
      <c r="D56" s="81">
        <f t="shared" si="1"/>
        <v>168896.96</v>
      </c>
      <c r="E56" s="81" t="e">
        <f>'Toetused (4)'!#REF!</f>
        <v>#REF!</v>
      </c>
      <c r="F56" s="40"/>
      <c r="G56" s="81" t="e">
        <f t="shared" si="9"/>
        <v>#REF!</v>
      </c>
      <c r="H56" s="81"/>
    </row>
    <row r="57" spans="1:8" ht="9.75" customHeight="1">
      <c r="A57" s="2"/>
      <c r="B57" s="81"/>
      <c r="C57" s="40"/>
      <c r="D57" s="81">
        <f t="shared" si="1"/>
        <v>0</v>
      </c>
      <c r="E57" s="19"/>
      <c r="F57" s="40"/>
      <c r="G57" s="19"/>
      <c r="H57" s="81"/>
    </row>
    <row r="58" spans="1:8">
      <c r="A58" s="39" t="s">
        <v>89</v>
      </c>
      <c r="B58" s="49" t="e">
        <f>B50+B52</f>
        <v>#REF!</v>
      </c>
      <c r="C58" s="49">
        <f>C50+C52</f>
        <v>178155906.28999993</v>
      </c>
      <c r="D58" s="49" t="e">
        <f t="shared" si="1"/>
        <v>#REF!</v>
      </c>
      <c r="E58" s="49" t="e">
        <f t="shared" ref="E58:H58" si="10">E50+E52</f>
        <v>#REF!</v>
      </c>
      <c r="F58" s="49" t="e">
        <f t="shared" ca="1" si="10"/>
        <v>#REF!</v>
      </c>
      <c r="G58" s="49" t="e">
        <f t="shared" ca="1" si="10"/>
        <v>#REF!</v>
      </c>
      <c r="H58" s="49" t="e">
        <f t="shared" ca="1" si="10"/>
        <v>#REF!</v>
      </c>
    </row>
    <row r="59" spans="1:8">
      <c r="G59" s="81" t="e">
        <f ca="1">#REF!+Sheet2!C19+'Toetused (4)'!F6</f>
        <v>#REF!</v>
      </c>
      <c r="H59" s="81" t="e">
        <f>#REF!+'Omatulud (3)'!#REF!+'Toetused (4)'!G6</f>
        <v>#REF!</v>
      </c>
    </row>
    <row r="60" spans="1:8">
      <c r="D60" s="357"/>
      <c r="G60" s="81" t="e">
        <f ca="1">G58-G59</f>
        <v>#REF!</v>
      </c>
      <c r="H60" s="81"/>
    </row>
    <row r="61" spans="1:8">
      <c r="B61" s="243"/>
      <c r="C61" s="243"/>
      <c r="D61" s="243"/>
      <c r="G61" s="243" t="e">
        <f ca="1">G53/G58</f>
        <v>#REF!</v>
      </c>
      <c r="H61" s="243" t="e">
        <f ca="1">H53/H58</f>
        <v>#REF!</v>
      </c>
    </row>
    <row r="62" spans="1:8">
      <c r="H62" s="81"/>
    </row>
  </sheetData>
  <phoneticPr fontId="30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32"/>
  <sheetViews>
    <sheetView workbookViewId="0">
      <selection activeCell="E4" sqref="E4"/>
    </sheetView>
  </sheetViews>
  <sheetFormatPr defaultColWidth="9.140625" defaultRowHeight="12.75"/>
  <cols>
    <col min="1" max="1" width="40" style="33" bestFit="1" customWidth="1"/>
    <col min="2" max="3" width="11.7109375" style="33" bestFit="1" customWidth="1"/>
    <col min="4" max="7" width="10.140625" style="33" bestFit="1" customWidth="1"/>
    <col min="8" max="16384" width="9.140625" style="33"/>
  </cols>
  <sheetData>
    <row r="1" spans="1:7">
      <c r="B1" s="33">
        <v>2017</v>
      </c>
      <c r="C1" s="33">
        <v>2018</v>
      </c>
      <c r="D1" s="33">
        <v>2019</v>
      </c>
      <c r="E1" s="33">
        <v>2020</v>
      </c>
      <c r="F1" s="33">
        <v>2021</v>
      </c>
      <c r="G1" s="33">
        <v>2022</v>
      </c>
    </row>
    <row r="2" spans="1:7">
      <c r="A2" s="6" t="s">
        <v>44</v>
      </c>
      <c r="B2" s="11">
        <v>63892294.770000003</v>
      </c>
      <c r="C2" s="11">
        <f ca="1">SUM(C3:C12)</f>
        <v>14417605</v>
      </c>
      <c r="D2" s="11">
        <f t="shared" ref="D2:G2" ca="1" si="0">SUM(D3:D12)</f>
        <v>14899767</v>
      </c>
      <c r="E2" s="11" t="e">
        <f t="shared" si="0"/>
        <v>#REF!</v>
      </c>
      <c r="F2" s="11" t="e">
        <f t="shared" si="0"/>
        <v>#REF!</v>
      </c>
      <c r="G2" s="11" t="e">
        <f t="shared" si="0"/>
        <v>#REF!</v>
      </c>
    </row>
    <row r="3" spans="1:7">
      <c r="A3" s="8" t="s">
        <v>117</v>
      </c>
      <c r="B3" s="11">
        <v>28592760.600000005</v>
      </c>
      <c r="C3" s="11">
        <f ca="1">SUMIF('Omatulud (3)'!$A$5:E$100,$A3,'Omatulud (3)'!E$5:E$100)</f>
        <v>0</v>
      </c>
      <c r="D3" s="11">
        <f ca="1">SUMIF('Omatulud (3)'!$A$5:F$100,$A3,'Omatulud (3)'!F$5:F$100)</f>
        <v>0</v>
      </c>
      <c r="E3" s="11" t="e">
        <f>SUMIF('Omatulud (3)'!$A$5:F$100,$A3,'Omatulud (3)'!#REF!)</f>
        <v>#REF!</v>
      </c>
      <c r="F3" s="11" t="e">
        <f>SUMIF('Omatulud (3)'!$A$5:F$100,$A3,'Omatulud (3)'!#REF!)</f>
        <v>#REF!</v>
      </c>
      <c r="G3" s="11" t="e">
        <f>SUMIF('Omatulud (3)'!$A$5:F$100,$A3,'Omatulud (3)'!#REF!)</f>
        <v>#REF!</v>
      </c>
    </row>
    <row r="4" spans="1:7">
      <c r="A4" s="8" t="s">
        <v>122</v>
      </c>
      <c r="B4" s="11">
        <v>3724902.4500000011</v>
      </c>
      <c r="C4" s="11">
        <f ca="1">SUMIF('Omatulud (3)'!$A$5:E$100,$A4,'Omatulud (3)'!E$5:E$100)</f>
        <v>0</v>
      </c>
      <c r="D4" s="11">
        <f ca="1">SUMIF('Omatulud (3)'!$A$5:F$100,$A4,'Omatulud (3)'!F$5:F$100)</f>
        <v>0</v>
      </c>
      <c r="E4" s="11" t="e">
        <f>SUMIF('Omatulud (3)'!$A$5:F$100,$A4,'Omatulud (3)'!#REF!)</f>
        <v>#REF!</v>
      </c>
      <c r="F4" s="11" t="e">
        <f>SUMIF('Omatulud (3)'!$A$5:F$100,$A4,'Omatulud (3)'!#REF!)</f>
        <v>#REF!</v>
      </c>
      <c r="G4" s="11" t="e">
        <f>SUMIF('Omatulud (3)'!$A$5:F$100,$A4,'Omatulud (3)'!#REF!)</f>
        <v>#REF!</v>
      </c>
    </row>
    <row r="5" spans="1:7">
      <c r="A5" s="8" t="s">
        <v>118</v>
      </c>
      <c r="B5" s="11">
        <v>4980118.51</v>
      </c>
      <c r="C5" s="11">
        <f ca="1">SUMIF('Omatulud (3)'!$A$5:E$100,$A5,'Omatulud (3)'!E$5:E$100)</f>
        <v>0</v>
      </c>
      <c r="D5" s="11">
        <f ca="1">SUMIF('Omatulud (3)'!$A$5:F$100,$A5,'Omatulud (3)'!F$5:F$100)</f>
        <v>0</v>
      </c>
      <c r="E5" s="11" t="e">
        <f>SUMIF('Omatulud (3)'!$A$5:F$100,$A5,'Omatulud (3)'!#REF!)</f>
        <v>#REF!</v>
      </c>
      <c r="F5" s="11" t="e">
        <f>SUMIF('Omatulud (3)'!$A$5:F$100,$A5,'Omatulud (3)'!#REF!)</f>
        <v>#REF!</v>
      </c>
      <c r="G5" s="11" t="e">
        <f>SUMIF('Omatulud (3)'!$A$5:F$100,$A5,'Omatulud (3)'!#REF!)</f>
        <v>#REF!</v>
      </c>
    </row>
    <row r="6" spans="1:7">
      <c r="A6" s="8" t="s">
        <v>127</v>
      </c>
      <c r="B6" s="11">
        <v>4648288.17</v>
      </c>
      <c r="C6" s="11">
        <f ca="1">SUMIF('Omatulud (3)'!$A$5:E$100,$A6,'Omatulud (3)'!E$5:E$100)</f>
        <v>0</v>
      </c>
      <c r="D6" s="11">
        <f ca="1">SUMIF('Omatulud (3)'!$A$5:F$100,$A6,'Omatulud (3)'!F$5:F$100)</f>
        <v>0</v>
      </c>
      <c r="E6" s="11" t="e">
        <f>SUMIF('Omatulud (3)'!$A$5:F$100,$A6,'Omatulud (3)'!#REF!)</f>
        <v>#REF!</v>
      </c>
      <c r="F6" s="11" t="e">
        <f>SUMIF('Omatulud (3)'!$A$5:F$100,$A6,'Omatulud (3)'!#REF!)</f>
        <v>#REF!</v>
      </c>
      <c r="G6" s="11" t="e">
        <f>SUMIF('Omatulud (3)'!$A$5:F$100,$A6,'Omatulud (3)'!#REF!)</f>
        <v>#REF!</v>
      </c>
    </row>
    <row r="7" spans="1:7">
      <c r="A7" s="8" t="s">
        <v>123</v>
      </c>
      <c r="B7" s="11">
        <v>6136.28</v>
      </c>
      <c r="C7" s="11">
        <f ca="1">SUMIF('Omatulud (3)'!$A$5:E$100,$A7,'Omatulud (3)'!E$5:E$100)</f>
        <v>0</v>
      </c>
      <c r="D7" s="11">
        <f ca="1">SUMIF('Omatulud (3)'!$A$5:F$100,$A7,'Omatulud (3)'!F$5:F$100)</f>
        <v>0</v>
      </c>
      <c r="E7" s="11" t="e">
        <f>SUMIF('Omatulud (3)'!$A$5:F$100,$A7,'Omatulud (3)'!#REF!)</f>
        <v>#REF!</v>
      </c>
      <c r="F7" s="11" t="e">
        <f>SUMIF('Omatulud (3)'!$A$5:F$100,$A7,'Omatulud (3)'!#REF!)</f>
        <v>#REF!</v>
      </c>
      <c r="G7" s="11" t="e">
        <f>SUMIF('Omatulud (3)'!$A$5:F$100,$A7,'Omatulud (3)'!#REF!)</f>
        <v>#REF!</v>
      </c>
    </row>
    <row r="8" spans="1:7">
      <c r="A8" s="8" t="s">
        <v>124</v>
      </c>
      <c r="B8" s="11">
        <v>7585732</v>
      </c>
      <c r="C8" s="11">
        <f ca="1">SUMIF('Omatulud (3)'!$A$5:E$100,$A8,'Omatulud (3)'!E$5:E$100)+1306472</f>
        <v>5223246</v>
      </c>
      <c r="D8" s="11">
        <f ca="1">SUMIF('Omatulud (3)'!$A$5:F$100,$A8,'Omatulud (3)'!F$5:F$100)</f>
        <v>4126337</v>
      </c>
      <c r="E8" s="11" t="e">
        <f>SUMIF('Omatulud (3)'!$A$5:F$100,$A8,'Omatulud (3)'!#REF!)</f>
        <v>#REF!</v>
      </c>
      <c r="F8" s="11" t="e">
        <f>SUMIF('Omatulud (3)'!$A$5:F$100,$A8,'Omatulud (3)'!#REF!)</f>
        <v>#REF!</v>
      </c>
      <c r="G8" s="11" t="e">
        <f>SUMIF('Omatulud (3)'!$A$5:F$100,$A8,'Omatulud (3)'!#REF!)</f>
        <v>#REF!</v>
      </c>
    </row>
    <row r="9" spans="1:7">
      <c r="A9" s="8" t="s">
        <v>119</v>
      </c>
      <c r="B9" s="11">
        <v>3923475.17</v>
      </c>
      <c r="C9" s="11">
        <f ca="1">SUMIF('Omatulud (3)'!$A$5:E$100,$A9,'Omatulud (3)'!E$5:E$100)</f>
        <v>0</v>
      </c>
      <c r="D9" s="11">
        <f ca="1">SUMIF('Omatulud (3)'!$A$5:F$100,$A9,'Omatulud (3)'!F$5:F$100)</f>
        <v>0</v>
      </c>
      <c r="E9" s="11" t="e">
        <f>SUMIF('Omatulud (3)'!$A$5:F$100,$A9,'Omatulud (3)'!#REF!)</f>
        <v>#REF!</v>
      </c>
      <c r="F9" s="11" t="e">
        <f>SUMIF('Omatulud (3)'!$A$5:F$100,$A9,'Omatulud (3)'!#REF!)</f>
        <v>#REF!</v>
      </c>
      <c r="G9" s="11" t="e">
        <f>SUMIF('Omatulud (3)'!$A$5:F$100,$A9,'Omatulud (3)'!#REF!)</f>
        <v>#REF!</v>
      </c>
    </row>
    <row r="10" spans="1:7">
      <c r="A10" s="8" t="s">
        <v>125</v>
      </c>
      <c r="B10" s="11">
        <v>9095523.5800000001</v>
      </c>
      <c r="C10" s="11">
        <f ca="1">SUMIF('Omatulud (3)'!$A$5:E$100,$A10,'Omatulud (3)'!E$5:E$100)</f>
        <v>9194359</v>
      </c>
      <c r="D10" s="11">
        <f ca="1">SUMIF('Omatulud (3)'!$A$5:F$100,$A10,'Omatulud (3)'!F$5:F$100)</f>
        <v>10773430</v>
      </c>
      <c r="E10" s="11" t="e">
        <f>SUMIF('Omatulud (3)'!$A$5:F$100,$A10,'Omatulud (3)'!#REF!)</f>
        <v>#REF!</v>
      </c>
      <c r="F10" s="11" t="e">
        <f>SUMIF('Omatulud (3)'!$A$5:F$100,$A10,'Omatulud (3)'!#REF!)</f>
        <v>#REF!</v>
      </c>
      <c r="G10" s="11" t="e">
        <f>SUMIF('Omatulud (3)'!$A$5:F$100,$A10,'Omatulud (3)'!#REF!)</f>
        <v>#REF!</v>
      </c>
    </row>
    <row r="11" spans="1:7">
      <c r="A11" s="8" t="s">
        <v>116</v>
      </c>
      <c r="B11" s="11">
        <v>174948.82</v>
      </c>
      <c r="C11" s="11">
        <f ca="1">SUMIF('Omatulud (3)'!$A$5:E$100,$A11,'Omatulud (3)'!E$5:E$100)</f>
        <v>0</v>
      </c>
      <c r="D11" s="11">
        <f ca="1">SUMIF('Omatulud (3)'!$A$5:F$100,$A11,'Omatulud (3)'!F$5:F$100)</f>
        <v>0</v>
      </c>
      <c r="E11" s="11" t="e">
        <f>SUMIF('Omatulud (3)'!$A$5:F$100,$A11,'Omatulud (3)'!#REF!)</f>
        <v>#REF!</v>
      </c>
      <c r="F11" s="11" t="e">
        <f>SUMIF('Omatulud (3)'!$A$5:F$100,$A11,'Omatulud (3)'!#REF!)</f>
        <v>#REF!</v>
      </c>
      <c r="G11" s="11" t="e">
        <f>SUMIF('Omatulud (3)'!$A$5:F$100,$A11,'Omatulud (3)'!#REF!)</f>
        <v>#REF!</v>
      </c>
    </row>
    <row r="12" spans="1:7">
      <c r="A12" s="9" t="s">
        <v>126</v>
      </c>
      <c r="B12" s="11">
        <v>1160409.19</v>
      </c>
      <c r="C12" s="11">
        <f ca="1">SUMIF('Omatulud (3)'!$A$5:E$100,$A12,'Omatulud (3)'!E$5:E$100)</f>
        <v>0</v>
      </c>
      <c r="D12" s="11">
        <f ca="1">SUMIF('Omatulud (3)'!$A$5:F$100,$A12,'Omatulud (3)'!F$5:F$100)</f>
        <v>0</v>
      </c>
      <c r="E12" s="11" t="e">
        <f>SUMIF('Omatulud (3)'!$A$5:F$100,$A12,'Omatulud (3)'!#REF!)</f>
        <v>#REF!</v>
      </c>
      <c r="F12" s="11" t="e">
        <f>SUMIF('Omatulud (3)'!$A$5:F$100,$A12,'Omatulud (3)'!#REF!)</f>
        <v>#REF!</v>
      </c>
      <c r="G12" s="11" t="e">
        <f>SUMIF('Omatulud (3)'!$A$5:F$100,$A12,'Omatulud (3)'!#REF!)</f>
        <v>#REF!</v>
      </c>
    </row>
    <row r="13" spans="1:7">
      <c r="A13" s="6" t="s">
        <v>120</v>
      </c>
      <c r="B13" s="11">
        <v>187738.75999999998</v>
      </c>
      <c r="C13" s="11">
        <f ca="1">SUMIF('Omatulud (3)'!$A$5:E$100,$A13,'Omatulud (3)'!E$5:E$100)</f>
        <v>0</v>
      </c>
      <c r="D13" s="11">
        <f ca="1">SUMIF('Omatulud (3)'!$A$5:F$100,$A13,'Omatulud (3)'!F$5:F$100)</f>
        <v>0</v>
      </c>
      <c r="E13" s="11" t="e">
        <f>SUMIF('Omatulud (3)'!$A$5:F$100,$A13,'Omatulud (3)'!#REF!)</f>
        <v>#REF!</v>
      </c>
      <c r="F13" s="11" t="e">
        <f>SUMIF('Omatulud (3)'!$A$5:F$100,$A13,'Omatulud (3)'!#REF!)</f>
        <v>#REF!</v>
      </c>
      <c r="G13" s="11" t="e">
        <f>SUMIF('Omatulud (3)'!$A$5:F$100,$A13,'Omatulud (3)'!#REF!)</f>
        <v>#REF!</v>
      </c>
    </row>
    <row r="14" spans="1:7">
      <c r="A14" s="6" t="s">
        <v>115</v>
      </c>
      <c r="B14" s="11">
        <v>3911473.12</v>
      </c>
      <c r="C14" s="11">
        <f ca="1">SUMIF('Omatulud (3)'!$A$5:E$100,$A14,'Omatulud (3)'!E$5:E$100)</f>
        <v>14600</v>
      </c>
      <c r="D14" s="11">
        <f ca="1">SUMIF('Omatulud (3)'!$A$5:F$100,$A14,'Omatulud (3)'!F$5:F$100)</f>
        <v>18600</v>
      </c>
      <c r="E14" s="11" t="e">
        <f>SUMIF('Omatulud (3)'!$A$5:F$100,$A14,'Omatulud (3)'!#REF!)</f>
        <v>#REF!</v>
      </c>
      <c r="F14" s="11" t="e">
        <f>SUMIF('Omatulud (3)'!$A$5:F$100,$A14,'Omatulud (3)'!#REF!)</f>
        <v>#REF!</v>
      </c>
      <c r="G14" s="11" t="e">
        <f>SUMIF('Omatulud (3)'!$A$5:F$100,$A14,'Omatulud (3)'!#REF!)</f>
        <v>#REF!</v>
      </c>
    </row>
    <row r="15" spans="1:7">
      <c r="A15" s="6" t="s">
        <v>121</v>
      </c>
      <c r="B15" s="11">
        <v>2385085.9600000004</v>
      </c>
      <c r="C15" s="11">
        <f ca="1">SUMIF('Omatulud (3)'!$A$5:E$100,$A15,'Omatulud (3)'!E$5:E$100)</f>
        <v>0</v>
      </c>
      <c r="D15" s="11">
        <f ca="1">SUMIF('Omatulud (3)'!$A$5:F$100,$A15,'Omatulud (3)'!F$5:F$100)</f>
        <v>0</v>
      </c>
      <c r="E15" s="11" t="e">
        <f>SUMIF('Omatulud (3)'!$A$5:F$100,$A15,'Omatulud (3)'!#REF!)</f>
        <v>#REF!</v>
      </c>
      <c r="F15" s="11" t="e">
        <f>SUMIF('Omatulud (3)'!$A$5:F$100,$A15,'Omatulud (3)'!#REF!)</f>
        <v>#REF!</v>
      </c>
      <c r="G15" s="11" t="e">
        <f>SUMIF('Omatulud (3)'!$A$5:F$100,$A15,'Omatulud (3)'!#REF!)</f>
        <v>#REF!</v>
      </c>
    </row>
    <row r="16" spans="1:7">
      <c r="A16" s="6" t="s">
        <v>114</v>
      </c>
      <c r="B16" s="11">
        <v>8438000.8300000019</v>
      </c>
      <c r="C16" s="11">
        <f ca="1">SUMIF('Omatulud (3)'!$A$5:E$100,$A16,'Omatulud (3)'!E$5:E$100)</f>
        <v>115045</v>
      </c>
      <c r="D16" s="11">
        <f ca="1">SUMIF('Omatulud (3)'!$A$5:F$100,$A16,'Omatulud (3)'!F$5:F$100)</f>
        <v>112708</v>
      </c>
      <c r="E16" s="11" t="e">
        <f>SUMIF('Omatulud (3)'!$A$5:F$100,$A16,'Omatulud (3)'!#REF!)</f>
        <v>#REF!</v>
      </c>
      <c r="F16" s="11" t="e">
        <f>SUMIF('Omatulud (3)'!$A$5:F$100,$A16,'Omatulud (3)'!#REF!)</f>
        <v>#REF!</v>
      </c>
      <c r="G16" s="11" t="e">
        <f>SUMIF('Omatulud (3)'!$A$5:F$100,$A16,'Omatulud (3)'!#REF!)</f>
        <v>#REF!</v>
      </c>
    </row>
    <row r="17" spans="1:7">
      <c r="A17" s="103" t="s">
        <v>45</v>
      </c>
      <c r="B17" s="11">
        <v>0</v>
      </c>
      <c r="C17" s="11">
        <f ca="1">SUMIF('Omatulud (3)'!$A$5:E$100,$A17,'Omatulud (3)'!E$5:E$100)</f>
        <v>0</v>
      </c>
      <c r="D17" s="11">
        <f ca="1">SUMIF('Omatulud (3)'!$A$5:F$100,$A17,'Omatulud (3)'!F$5:F$100)</f>
        <v>0</v>
      </c>
      <c r="E17" s="11" t="e">
        <f>SUMIF('Omatulud (3)'!$A$5:F$100,$A17,'Omatulud (3)'!#REF!)</f>
        <v>#REF!</v>
      </c>
      <c r="F17" s="11" t="e">
        <f>SUMIF('Omatulud (3)'!$A$5:F$100,$A17,'Omatulud (3)'!#REF!)</f>
        <v>#REF!</v>
      </c>
      <c r="G17" s="11" t="e">
        <f>SUMIF('Omatulud (3)'!$A$5:F$100,$A17,'Omatulud (3)'!#REF!)</f>
        <v>#REF!</v>
      </c>
    </row>
    <row r="18" spans="1:7">
      <c r="A18" s="94" t="s">
        <v>135</v>
      </c>
      <c r="B18" s="11">
        <v>-39789.910000000003</v>
      </c>
      <c r="C18" s="11">
        <f ca="1">SUMIF('Omatulud (3)'!$A$5:E$100,$A18,'Omatulud (3)'!E$5:E$100)</f>
        <v>0</v>
      </c>
      <c r="D18" s="11">
        <f ca="1">SUMIF('Omatulud (3)'!$A$5:F$100,$A18,'Omatulud (3)'!F$5:F$100)</f>
        <v>0</v>
      </c>
      <c r="E18" s="11" t="e">
        <f>SUMIF('Omatulud (3)'!$A$5:F$100,$A18,'Omatulud (3)'!#REF!)</f>
        <v>#REF!</v>
      </c>
      <c r="F18" s="11" t="e">
        <f>SUMIF('Omatulud (3)'!$A$5:F$100,$A18,'Omatulud (3)'!#REF!)</f>
        <v>#REF!</v>
      </c>
      <c r="G18" s="11" t="e">
        <f>SUMIF('Omatulud (3)'!$A$5:F$100,$A18,'Omatulud (3)'!#REF!)</f>
        <v>#REF!</v>
      </c>
    </row>
    <row r="19" spans="1:7">
      <c r="A19" s="3" t="s">
        <v>46</v>
      </c>
      <c r="B19" s="12">
        <v>78774803.530000001</v>
      </c>
      <c r="C19" s="12">
        <f ca="1">C13+C14+C15+C16+C2+C18</f>
        <v>14547250</v>
      </c>
      <c r="D19" s="12">
        <f t="shared" ref="D19:G19" ca="1" si="1">D13+D14+D15+D16+D2+D18</f>
        <v>15031075</v>
      </c>
      <c r="E19" s="12" t="e">
        <f t="shared" si="1"/>
        <v>#REF!</v>
      </c>
      <c r="F19" s="12" t="e">
        <f t="shared" si="1"/>
        <v>#REF!</v>
      </c>
      <c r="G19" s="12" t="e">
        <f t="shared" si="1"/>
        <v>#REF!</v>
      </c>
    </row>
    <row r="20" spans="1:7">
      <c r="A20" s="6"/>
      <c r="B20" s="90"/>
      <c r="C20" s="90" t="e">
        <f ca="1">C19-'Omatulud (3)'!#REF!</f>
        <v>#REF!</v>
      </c>
      <c r="D20" s="90" t="e">
        <f ca="1">D19-'Omatulud (3)'!#REF!</f>
        <v>#REF!</v>
      </c>
      <c r="E20" s="90" t="e">
        <f>E19-'Omatulud (3)'!#REF!</f>
        <v>#REF!</v>
      </c>
      <c r="F20" s="90" t="e">
        <f>F19-'Omatulud (3)'!#REF!</f>
        <v>#REF!</v>
      </c>
      <c r="G20" s="90" t="e">
        <f>G19-'Omatulud (3)'!#REF!</f>
        <v>#REF!</v>
      </c>
    </row>
    <row r="21" spans="1:7">
      <c r="D21" s="6"/>
    </row>
    <row r="22" spans="1:7">
      <c r="D22" s="6"/>
    </row>
    <row r="24" spans="1:7">
      <c r="A24" s="107"/>
      <c r="B24" s="108"/>
      <c r="C24" s="108"/>
    </row>
    <row r="25" spans="1:7">
      <c r="A25" s="104"/>
      <c r="B25" s="5"/>
      <c r="C25" s="5"/>
    </row>
    <row r="26" spans="1:7">
      <c r="A26" s="93"/>
      <c r="B26" s="66"/>
      <c r="C26" s="66"/>
    </row>
    <row r="30" spans="1:7">
      <c r="A30" s="107"/>
      <c r="B30" s="108"/>
      <c r="C30" s="108"/>
    </row>
    <row r="31" spans="1:7">
      <c r="A31" s="105"/>
      <c r="B31" s="66"/>
      <c r="C31" s="66"/>
    </row>
    <row r="32" spans="1:7">
      <c r="A32" s="106"/>
      <c r="B32" s="66"/>
      <c r="C32" s="66"/>
    </row>
  </sheetData>
  <phoneticPr fontId="3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6" tint="0.59999389629810485"/>
  </sheetPr>
  <dimension ref="A1:L104"/>
  <sheetViews>
    <sheetView showZeros="0" zoomScaleNormal="100" workbookViewId="0">
      <pane xSplit="1" ySplit="4" topLeftCell="B5" activePane="bottomRight" state="frozen"/>
      <selection activeCell="J31" sqref="J31"/>
      <selection pane="topRight" activeCell="J31" sqref="J31"/>
      <selection pane="bottomLeft" activeCell="J31" sqref="J31"/>
      <selection pane="bottomRight"/>
    </sheetView>
  </sheetViews>
  <sheetFormatPr defaultColWidth="9.140625" defaultRowHeight="12.75"/>
  <cols>
    <col min="1" max="1" width="38.5703125" style="54" customWidth="1"/>
    <col min="2" max="5" width="11.7109375" style="100" customWidth="1"/>
    <col min="6" max="6" width="10.85546875" style="472" customWidth="1"/>
    <col min="7" max="7" width="10.7109375" style="87" bestFit="1" customWidth="1"/>
    <col min="8" max="8" width="10.140625" style="87" hidden="1" customWidth="1"/>
    <col min="9" max="9" width="9.7109375" style="87" bestFit="1" customWidth="1"/>
    <col min="10" max="10" width="9.140625" style="455"/>
    <col min="11" max="11" width="27.42578125" style="87" customWidth="1"/>
    <col min="12" max="12" width="12.28515625" style="87" bestFit="1" customWidth="1"/>
    <col min="13" max="13" width="9.7109375" style="87" bestFit="1" customWidth="1"/>
    <col min="14" max="16384" width="9.140625" style="87"/>
  </cols>
  <sheetData>
    <row r="1" spans="1:12" ht="15">
      <c r="A1" s="53" t="s">
        <v>112</v>
      </c>
      <c r="B1" s="10"/>
      <c r="C1" s="10"/>
      <c r="D1" s="10"/>
      <c r="E1" s="10"/>
      <c r="J1" s="454" t="s">
        <v>647</v>
      </c>
    </row>
    <row r="2" spans="1:12" ht="12.75" customHeight="1">
      <c r="A2" s="1"/>
      <c r="B2" s="10"/>
      <c r="C2" s="10"/>
      <c r="D2" s="10"/>
      <c r="E2" s="10"/>
      <c r="F2" s="473"/>
      <c r="G2" s="10"/>
      <c r="H2" s="10"/>
      <c r="I2" s="10"/>
      <c r="J2" s="456" t="s">
        <v>644</v>
      </c>
    </row>
    <row r="3" spans="1:12" ht="12.75" customHeight="1">
      <c r="B3" s="1055" t="s">
        <v>375</v>
      </c>
      <c r="C3" s="1055" t="s">
        <v>808</v>
      </c>
      <c r="D3" s="1061" t="s">
        <v>806</v>
      </c>
      <c r="E3" s="1055" t="s">
        <v>807</v>
      </c>
      <c r="F3" s="1056" t="s">
        <v>645</v>
      </c>
      <c r="G3" s="1057" t="s">
        <v>642</v>
      </c>
      <c r="H3" s="1059" t="s">
        <v>646</v>
      </c>
      <c r="I3" s="1054" t="s">
        <v>643</v>
      </c>
      <c r="J3" s="1054"/>
      <c r="K3" s="1054"/>
    </row>
    <row r="4" spans="1:12" ht="29.25" customHeight="1">
      <c r="B4" s="1055"/>
      <c r="C4" s="1055"/>
      <c r="D4" s="1061"/>
      <c r="E4" s="1055"/>
      <c r="F4" s="1056"/>
      <c r="G4" s="1058"/>
      <c r="H4" s="1060"/>
      <c r="I4" s="447" t="s">
        <v>47</v>
      </c>
      <c r="J4" s="457" t="s">
        <v>641</v>
      </c>
      <c r="K4" s="761" t="s">
        <v>798</v>
      </c>
    </row>
    <row r="5" spans="1:12">
      <c r="A5" s="120"/>
      <c r="B5" s="125"/>
      <c r="C5" s="125"/>
      <c r="D5" s="125"/>
      <c r="E5" s="125">
        <f t="shared" ref="E5:E28" si="0">C5+D5</f>
        <v>0</v>
      </c>
      <c r="F5" s="479"/>
      <c r="G5" s="99"/>
      <c r="H5" s="99">
        <f t="shared" ref="H5:H28" si="1">G5-F5</f>
        <v>0</v>
      </c>
      <c r="I5" s="99">
        <f t="shared" ref="I5:I27" si="2">IF(G5=0,0,G5-E5)</f>
        <v>0</v>
      </c>
      <c r="J5" s="455" t="str">
        <f t="shared" ref="J5:J27" si="3">IF(E5=0,"",I5/E5)</f>
        <v/>
      </c>
    </row>
    <row r="6" spans="1:12">
      <c r="A6" s="119" t="s">
        <v>161</v>
      </c>
      <c r="B6" s="123">
        <f>B8+B18+B32+B40+B50+B63+B79+B85+B91+B96</f>
        <v>14259944.42</v>
      </c>
      <c r="C6" s="123">
        <f>C8+C18+C32+C40+C50+C63+C79+C85</f>
        <v>13240778</v>
      </c>
      <c r="D6" s="123"/>
      <c r="E6" s="123">
        <f t="shared" si="0"/>
        <v>13240778</v>
      </c>
      <c r="F6" s="474">
        <f t="shared" ref="F6:G6" si="4">F8+F18+F32+F40+F50+F63+F79+F85</f>
        <v>15031075</v>
      </c>
      <c r="G6" s="123">
        <f t="shared" si="4"/>
        <v>15031075</v>
      </c>
      <c r="H6" s="123">
        <f t="shared" si="1"/>
        <v>0</v>
      </c>
      <c r="I6" s="123">
        <f t="shared" si="2"/>
        <v>1790297</v>
      </c>
      <c r="J6" s="458">
        <f t="shared" si="3"/>
        <v>0.13521086147656883</v>
      </c>
      <c r="L6" s="766"/>
    </row>
    <row r="7" spans="1:12">
      <c r="A7" s="117"/>
      <c r="B7" s="124"/>
      <c r="C7" s="124"/>
      <c r="D7" s="124"/>
      <c r="E7" s="124">
        <f t="shared" si="0"/>
        <v>0</v>
      </c>
      <c r="F7" s="479"/>
      <c r="G7" s="99"/>
      <c r="H7" s="99">
        <f t="shared" si="1"/>
        <v>0</v>
      </c>
      <c r="I7" s="99">
        <f t="shared" si="2"/>
        <v>0</v>
      </c>
      <c r="J7" s="455" t="str">
        <f t="shared" si="3"/>
        <v/>
      </c>
    </row>
    <row r="8" spans="1:12">
      <c r="A8" s="117" t="s">
        <v>162</v>
      </c>
      <c r="B8" s="124">
        <f>B11+B15+B9</f>
        <v>79628.12000000001</v>
      </c>
      <c r="C8" s="124">
        <f>C11</f>
        <v>66408</v>
      </c>
      <c r="D8" s="124"/>
      <c r="E8" s="124">
        <f t="shared" si="0"/>
        <v>66408</v>
      </c>
      <c r="F8" s="475">
        <f t="shared" ref="F8:G8" si="5">F11</f>
        <v>66651</v>
      </c>
      <c r="G8" s="124">
        <f t="shared" si="5"/>
        <v>66651</v>
      </c>
      <c r="H8" s="124">
        <f t="shared" si="1"/>
        <v>0</v>
      </c>
      <c r="I8" s="124">
        <f t="shared" si="2"/>
        <v>243</v>
      </c>
      <c r="J8" s="450">
        <f t="shared" si="3"/>
        <v>3.6591976870256598E-3</v>
      </c>
    </row>
    <row r="9" spans="1:12">
      <c r="A9" s="117" t="s">
        <v>124</v>
      </c>
      <c r="B9" s="124">
        <f>B10</f>
        <v>10527.31</v>
      </c>
      <c r="C9" s="124"/>
      <c r="D9" s="124"/>
      <c r="E9" s="124">
        <f t="shared" si="0"/>
        <v>0</v>
      </c>
      <c r="F9" s="475">
        <f t="shared" ref="F9:G9" si="6">F10</f>
        <v>0</v>
      </c>
      <c r="G9" s="124">
        <f t="shared" si="6"/>
        <v>0</v>
      </c>
      <c r="H9" s="124">
        <f t="shared" si="1"/>
        <v>0</v>
      </c>
      <c r="I9" s="124">
        <f t="shared" si="2"/>
        <v>0</v>
      </c>
      <c r="J9" s="450" t="str">
        <f t="shared" si="3"/>
        <v/>
      </c>
    </row>
    <row r="10" spans="1:12">
      <c r="A10" s="118" t="s">
        <v>506</v>
      </c>
      <c r="B10" s="365">
        <v>10527.31</v>
      </c>
      <c r="C10" s="124"/>
      <c r="D10" s="124"/>
      <c r="E10" s="124">
        <f t="shared" si="0"/>
        <v>0</v>
      </c>
      <c r="F10" s="482"/>
      <c r="G10" s="21"/>
      <c r="H10" s="21">
        <f t="shared" si="1"/>
        <v>0</v>
      </c>
      <c r="I10" s="21">
        <f t="shared" si="2"/>
        <v>0</v>
      </c>
      <c r="J10" s="462" t="str">
        <f t="shared" si="3"/>
        <v/>
      </c>
    </row>
    <row r="11" spans="1:12">
      <c r="A11" s="117" t="s">
        <v>114</v>
      </c>
      <c r="B11" s="124">
        <f>B12+B13+B14</f>
        <v>68100.810000000012</v>
      </c>
      <c r="C11" s="124">
        <f>C12+C13+C14</f>
        <v>66408</v>
      </c>
      <c r="D11" s="124"/>
      <c r="E11" s="124">
        <f t="shared" si="0"/>
        <v>66408</v>
      </c>
      <c r="F11" s="481">
        <f t="shared" ref="F11:G11" si="7">F12+F13+F14</f>
        <v>66651</v>
      </c>
      <c r="G11" s="365">
        <f t="shared" si="7"/>
        <v>66651</v>
      </c>
      <c r="H11" s="365">
        <f t="shared" si="1"/>
        <v>0</v>
      </c>
      <c r="I11" s="365">
        <f t="shared" si="2"/>
        <v>243</v>
      </c>
      <c r="J11" s="453">
        <f t="shared" si="3"/>
        <v>3.6591976870256598E-3</v>
      </c>
    </row>
    <row r="12" spans="1:12">
      <c r="A12" s="118" t="s">
        <v>157</v>
      </c>
      <c r="B12" s="126">
        <v>58969.66</v>
      </c>
      <c r="C12" s="126">
        <v>55641</v>
      </c>
      <c r="D12" s="126"/>
      <c r="E12" s="126">
        <f t="shared" si="0"/>
        <v>55641</v>
      </c>
      <c r="F12" s="482">
        <v>55641</v>
      </c>
      <c r="G12" s="21">
        <v>55641</v>
      </c>
      <c r="H12" s="21">
        <f t="shared" si="1"/>
        <v>0</v>
      </c>
      <c r="I12" s="21">
        <f t="shared" si="2"/>
        <v>0</v>
      </c>
      <c r="J12" s="462">
        <f t="shared" si="3"/>
        <v>0</v>
      </c>
    </row>
    <row r="13" spans="1:12">
      <c r="A13" s="118" t="s">
        <v>158</v>
      </c>
      <c r="B13" s="126">
        <v>8219.99</v>
      </c>
      <c r="C13" s="126">
        <v>9857</v>
      </c>
      <c r="D13" s="126"/>
      <c r="E13" s="126">
        <f t="shared" si="0"/>
        <v>9857</v>
      </c>
      <c r="F13" s="482">
        <v>10100</v>
      </c>
      <c r="G13" s="21">
        <v>10100</v>
      </c>
      <c r="H13" s="21">
        <f t="shared" si="1"/>
        <v>0</v>
      </c>
      <c r="I13" s="21">
        <f t="shared" si="2"/>
        <v>243</v>
      </c>
      <c r="J13" s="462">
        <f t="shared" si="3"/>
        <v>2.4652531196104291E-2</v>
      </c>
    </row>
    <row r="14" spans="1:12">
      <c r="A14" s="118" t="s">
        <v>163</v>
      </c>
      <c r="B14" s="126">
        <v>911.16</v>
      </c>
      <c r="C14" s="126">
        <v>910</v>
      </c>
      <c r="D14" s="126"/>
      <c r="E14" s="126">
        <f t="shared" si="0"/>
        <v>910</v>
      </c>
      <c r="F14" s="482">
        <v>910</v>
      </c>
      <c r="G14" s="21">
        <v>910</v>
      </c>
      <c r="H14" s="21">
        <f t="shared" si="1"/>
        <v>0</v>
      </c>
      <c r="I14" s="21">
        <f t="shared" si="2"/>
        <v>0</v>
      </c>
      <c r="J14" s="462">
        <f t="shared" si="3"/>
        <v>0</v>
      </c>
    </row>
    <row r="15" spans="1:12">
      <c r="A15" s="122" t="s">
        <v>115</v>
      </c>
      <c r="B15" s="128">
        <f>B16</f>
        <v>1000</v>
      </c>
      <c r="C15" s="126"/>
      <c r="D15" s="126"/>
      <c r="E15" s="126">
        <f t="shared" si="0"/>
        <v>0</v>
      </c>
      <c r="F15" s="476"/>
      <c r="G15" s="126"/>
      <c r="H15" s="126">
        <f t="shared" si="1"/>
        <v>0</v>
      </c>
      <c r="I15" s="126">
        <f t="shared" si="2"/>
        <v>0</v>
      </c>
      <c r="J15" s="451" t="str">
        <f t="shared" si="3"/>
        <v/>
      </c>
    </row>
    <row r="16" spans="1:12" ht="25.5">
      <c r="A16" s="120" t="s">
        <v>159</v>
      </c>
      <c r="B16" s="125">
        <v>1000</v>
      </c>
      <c r="C16" s="126"/>
      <c r="D16" s="126"/>
      <c r="E16" s="126">
        <f t="shared" si="0"/>
        <v>0</v>
      </c>
      <c r="F16" s="482"/>
      <c r="G16" s="21"/>
      <c r="H16" s="21">
        <f t="shared" si="1"/>
        <v>0</v>
      </c>
      <c r="I16" s="21">
        <f t="shared" si="2"/>
        <v>0</v>
      </c>
      <c r="J16" s="462" t="str">
        <f t="shared" si="3"/>
        <v/>
      </c>
    </row>
    <row r="17" spans="1:10">
      <c r="A17" s="117"/>
      <c r="B17" s="124"/>
      <c r="C17" s="124"/>
      <c r="D17" s="124"/>
      <c r="E17" s="124">
        <f t="shared" si="0"/>
        <v>0</v>
      </c>
      <c r="F17" s="479"/>
      <c r="G17" s="99"/>
      <c r="H17" s="99">
        <f t="shared" si="1"/>
        <v>0</v>
      </c>
      <c r="I17" s="99">
        <f t="shared" si="2"/>
        <v>0</v>
      </c>
      <c r="J17" s="455" t="str">
        <f t="shared" si="3"/>
        <v/>
      </c>
    </row>
    <row r="18" spans="1:10">
      <c r="A18" s="117" t="s">
        <v>326</v>
      </c>
      <c r="B18" s="124">
        <f>B19+B26+B29</f>
        <v>397788.77</v>
      </c>
      <c r="C18" s="124">
        <f>C19+C26</f>
        <v>306515</v>
      </c>
      <c r="D18" s="124"/>
      <c r="E18" s="124">
        <f t="shared" si="0"/>
        <v>306515</v>
      </c>
      <c r="F18" s="475">
        <f t="shared" ref="F18:G18" si="8">F19+F26</f>
        <v>320915</v>
      </c>
      <c r="G18" s="124">
        <f t="shared" si="8"/>
        <v>320915</v>
      </c>
      <c r="H18" s="124">
        <f t="shared" si="1"/>
        <v>0</v>
      </c>
      <c r="I18" s="124">
        <f t="shared" si="2"/>
        <v>14400</v>
      </c>
      <c r="J18" s="450">
        <f t="shared" si="3"/>
        <v>4.6979756292514233E-2</v>
      </c>
    </row>
    <row r="19" spans="1:10">
      <c r="A19" s="117" t="s">
        <v>124</v>
      </c>
      <c r="B19" s="124">
        <f>B20+B21+B22+B23+B24+B25</f>
        <v>376792.49</v>
      </c>
      <c r="C19" s="124">
        <f>C22+C21+C20+C23+C24</f>
        <v>293500</v>
      </c>
      <c r="D19" s="124"/>
      <c r="E19" s="124">
        <f t="shared" si="0"/>
        <v>293500</v>
      </c>
      <c r="F19" s="475">
        <f t="shared" ref="F19:G19" si="9">F22+F21+F20+F23+F24</f>
        <v>308500</v>
      </c>
      <c r="G19" s="124">
        <f t="shared" si="9"/>
        <v>308500</v>
      </c>
      <c r="H19" s="124">
        <f t="shared" si="1"/>
        <v>0</v>
      </c>
      <c r="I19" s="124">
        <f t="shared" si="2"/>
        <v>15000</v>
      </c>
      <c r="J19" s="450">
        <f t="shared" si="3"/>
        <v>5.1107325383304938E-2</v>
      </c>
    </row>
    <row r="20" spans="1:10">
      <c r="A20" s="120" t="s">
        <v>166</v>
      </c>
      <c r="B20" s="125">
        <v>3360</v>
      </c>
      <c r="C20" s="125">
        <v>3500</v>
      </c>
      <c r="D20" s="125"/>
      <c r="E20" s="125">
        <f t="shared" si="0"/>
        <v>3500</v>
      </c>
      <c r="F20" s="483">
        <v>3500</v>
      </c>
      <c r="G20" s="5">
        <v>3500</v>
      </c>
      <c r="H20" s="5">
        <f t="shared" si="1"/>
        <v>0</v>
      </c>
      <c r="I20" s="5">
        <f t="shared" si="2"/>
        <v>0</v>
      </c>
      <c r="J20" s="463">
        <f t="shared" si="3"/>
        <v>0</v>
      </c>
    </row>
    <row r="21" spans="1:10">
      <c r="A21" s="120" t="s">
        <v>165</v>
      </c>
      <c r="B21" s="125">
        <v>37863.300000000003</v>
      </c>
      <c r="C21" s="125">
        <v>40000</v>
      </c>
      <c r="D21" s="125"/>
      <c r="E21" s="125">
        <f t="shared" si="0"/>
        <v>40000</v>
      </c>
      <c r="F21" s="483">
        <v>40000</v>
      </c>
      <c r="G21" s="5">
        <v>40000</v>
      </c>
      <c r="H21" s="5">
        <f t="shared" si="1"/>
        <v>0</v>
      </c>
      <c r="I21" s="5">
        <f t="shared" si="2"/>
        <v>0</v>
      </c>
      <c r="J21" s="463">
        <f t="shared" si="3"/>
        <v>0</v>
      </c>
    </row>
    <row r="22" spans="1:10">
      <c r="A22" s="120" t="s">
        <v>164</v>
      </c>
      <c r="B22" s="125">
        <v>71659</v>
      </c>
      <c r="C22" s="125">
        <v>85000</v>
      </c>
      <c r="D22" s="125"/>
      <c r="E22" s="125">
        <f t="shared" si="0"/>
        <v>85000</v>
      </c>
      <c r="F22" s="483">
        <v>85000</v>
      </c>
      <c r="G22" s="5">
        <v>85000</v>
      </c>
      <c r="H22" s="5">
        <f t="shared" si="1"/>
        <v>0</v>
      </c>
      <c r="I22" s="5">
        <f t="shared" si="2"/>
        <v>0</v>
      </c>
      <c r="J22" s="463">
        <f t="shared" si="3"/>
        <v>0</v>
      </c>
    </row>
    <row r="23" spans="1:10">
      <c r="A23" s="120" t="s">
        <v>252</v>
      </c>
      <c r="B23" s="125">
        <v>127375.32</v>
      </c>
      <c r="C23" s="125">
        <v>60000</v>
      </c>
      <c r="D23" s="125"/>
      <c r="E23" s="125">
        <f t="shared" si="0"/>
        <v>60000</v>
      </c>
      <c r="F23" s="483">
        <v>60000</v>
      </c>
      <c r="G23" s="5">
        <v>60000</v>
      </c>
      <c r="H23" s="5">
        <f t="shared" si="1"/>
        <v>0</v>
      </c>
      <c r="I23" s="5">
        <f t="shared" si="2"/>
        <v>0</v>
      </c>
      <c r="J23" s="463">
        <f t="shared" si="3"/>
        <v>0</v>
      </c>
    </row>
    <row r="24" spans="1:10" ht="25.5">
      <c r="A24" s="120" t="s">
        <v>253</v>
      </c>
      <c r="B24" s="125">
        <v>107070.07</v>
      </c>
      <c r="C24" s="125">
        <v>105000</v>
      </c>
      <c r="D24" s="125"/>
      <c r="E24" s="125">
        <f t="shared" si="0"/>
        <v>105000</v>
      </c>
      <c r="F24" s="483">
        <v>120000</v>
      </c>
      <c r="G24" s="5">
        <v>120000</v>
      </c>
      <c r="H24" s="5">
        <f t="shared" si="1"/>
        <v>0</v>
      </c>
      <c r="I24" s="5">
        <f t="shared" si="2"/>
        <v>15000</v>
      </c>
      <c r="J24" s="463">
        <f t="shared" si="3"/>
        <v>0.14285714285714285</v>
      </c>
    </row>
    <row r="25" spans="1:10">
      <c r="A25" s="120" t="s">
        <v>507</v>
      </c>
      <c r="B25" s="125">
        <v>29464.799999999999</v>
      </c>
      <c r="C25" s="125"/>
      <c r="D25" s="125"/>
      <c r="E25" s="125">
        <f t="shared" si="0"/>
        <v>0</v>
      </c>
      <c r="F25" s="483"/>
      <c r="G25" s="5"/>
      <c r="H25" s="5">
        <f t="shared" si="1"/>
        <v>0</v>
      </c>
      <c r="I25" s="5">
        <f t="shared" si="2"/>
        <v>0</v>
      </c>
      <c r="J25" s="463" t="str">
        <f t="shared" si="3"/>
        <v/>
      </c>
    </row>
    <row r="26" spans="1:10">
      <c r="A26" s="121" t="s">
        <v>114</v>
      </c>
      <c r="B26" s="127">
        <f>B27+B28</f>
        <v>18223</v>
      </c>
      <c r="C26" s="127">
        <f>C28+C27</f>
        <v>13015</v>
      </c>
      <c r="D26" s="127"/>
      <c r="E26" s="127">
        <f t="shared" si="0"/>
        <v>13015</v>
      </c>
      <c r="F26" s="480">
        <f t="shared" ref="F26:G26" si="10">F28+F27</f>
        <v>12415</v>
      </c>
      <c r="G26" s="127">
        <f t="shared" si="10"/>
        <v>12415</v>
      </c>
      <c r="H26" s="127">
        <f t="shared" si="1"/>
        <v>0</v>
      </c>
      <c r="I26" s="127">
        <f t="shared" si="2"/>
        <v>-600</v>
      </c>
      <c r="J26" s="461">
        <f t="shared" si="3"/>
        <v>-4.6100653092585479E-2</v>
      </c>
    </row>
    <row r="27" spans="1:10">
      <c r="A27" s="120" t="s">
        <v>157</v>
      </c>
      <c r="B27" s="125">
        <v>3999</v>
      </c>
      <c r="C27" s="125">
        <v>2815</v>
      </c>
      <c r="D27" s="125"/>
      <c r="E27" s="125">
        <f t="shared" si="0"/>
        <v>2815</v>
      </c>
      <c r="F27" s="483">
        <v>2815</v>
      </c>
      <c r="G27" s="5">
        <v>2815</v>
      </c>
      <c r="H27" s="5">
        <f t="shared" si="1"/>
        <v>0</v>
      </c>
      <c r="I27" s="5">
        <f t="shared" si="2"/>
        <v>0</v>
      </c>
      <c r="J27" s="463">
        <f t="shared" si="3"/>
        <v>0</v>
      </c>
    </row>
    <row r="28" spans="1:10">
      <c r="A28" s="120" t="s">
        <v>158</v>
      </c>
      <c r="B28" s="125">
        <v>14224</v>
      </c>
      <c r="C28" s="125">
        <v>10200</v>
      </c>
      <c r="D28" s="125"/>
      <c r="E28" s="125">
        <f t="shared" si="0"/>
        <v>10200</v>
      </c>
      <c r="F28" s="483">
        <v>9600</v>
      </c>
      <c r="G28" s="5">
        <v>9600</v>
      </c>
      <c r="H28" s="5">
        <f t="shared" si="1"/>
        <v>0</v>
      </c>
      <c r="I28" s="5">
        <f t="shared" ref="I28:I91" si="11">IF(G28=0,0,G28-E28)</f>
        <v>-600</v>
      </c>
      <c r="J28" s="463">
        <f t="shared" ref="J28:J91" si="12">IF(E28=0,"",I28/E28)</f>
        <v>-5.8823529411764705E-2</v>
      </c>
    </row>
    <row r="29" spans="1:10">
      <c r="A29" s="366" t="s">
        <v>508</v>
      </c>
      <c r="B29" s="351">
        <f>B30</f>
        <v>2773.28</v>
      </c>
      <c r="C29" s="125"/>
      <c r="D29" s="125"/>
      <c r="E29" s="125">
        <f t="shared" ref="E29:E92" si="13">C29+D29</f>
        <v>0</v>
      </c>
      <c r="F29" s="477"/>
      <c r="G29" s="125"/>
      <c r="H29" s="125">
        <f t="shared" ref="H29:H92" si="14">G29-F29</f>
        <v>0</v>
      </c>
      <c r="I29" s="125">
        <f t="shared" si="11"/>
        <v>0</v>
      </c>
      <c r="J29" s="459" t="str">
        <f t="shared" si="12"/>
        <v/>
      </c>
    </row>
    <row r="30" spans="1:10">
      <c r="A30" s="120" t="s">
        <v>509</v>
      </c>
      <c r="B30" s="125">
        <v>2773.28</v>
      </c>
      <c r="C30" s="125"/>
      <c r="D30" s="125"/>
      <c r="E30" s="125">
        <f t="shared" si="13"/>
        <v>0</v>
      </c>
      <c r="F30" s="483"/>
      <c r="G30" s="5"/>
      <c r="H30" s="5">
        <f t="shared" si="14"/>
        <v>0</v>
      </c>
      <c r="I30" s="5">
        <f t="shared" si="11"/>
        <v>0</v>
      </c>
      <c r="J30" s="463" t="str">
        <f t="shared" si="12"/>
        <v/>
      </c>
    </row>
    <row r="31" spans="1:10">
      <c r="A31" s="120"/>
      <c r="B31" s="125"/>
      <c r="C31" s="125"/>
      <c r="D31" s="125"/>
      <c r="E31" s="125">
        <f t="shared" si="13"/>
        <v>0</v>
      </c>
      <c r="F31" s="478"/>
      <c r="G31" s="377"/>
      <c r="H31" s="377">
        <f t="shared" si="14"/>
        <v>0</v>
      </c>
      <c r="I31" s="377">
        <f t="shared" si="11"/>
        <v>0</v>
      </c>
      <c r="J31" s="460" t="str">
        <f t="shared" si="12"/>
        <v/>
      </c>
    </row>
    <row r="32" spans="1:10">
      <c r="A32" s="121" t="s">
        <v>167</v>
      </c>
      <c r="B32" s="127">
        <f>B33+B36</f>
        <v>292261.27</v>
      </c>
      <c r="C32" s="127">
        <f>C33+C36</f>
        <v>304361</v>
      </c>
      <c r="D32" s="127"/>
      <c r="E32" s="127">
        <f t="shared" si="13"/>
        <v>304361</v>
      </c>
      <c r="F32" s="480">
        <f t="shared" ref="F32:G32" si="15">F33+F36</f>
        <v>272457</v>
      </c>
      <c r="G32" s="127">
        <f t="shared" si="15"/>
        <v>272457</v>
      </c>
      <c r="H32" s="127">
        <f t="shared" si="14"/>
        <v>0</v>
      </c>
      <c r="I32" s="127">
        <f t="shared" si="11"/>
        <v>-31904</v>
      </c>
      <c r="J32" s="461">
        <f t="shared" si="12"/>
        <v>-0.10482289123770785</v>
      </c>
    </row>
    <row r="33" spans="1:10">
      <c r="A33" s="117" t="s">
        <v>124</v>
      </c>
      <c r="B33" s="124">
        <f>B34+B35</f>
        <v>282409</v>
      </c>
      <c r="C33" s="124">
        <f>C35+C34</f>
        <v>292179</v>
      </c>
      <c r="D33" s="124"/>
      <c r="E33" s="124">
        <f t="shared" si="13"/>
        <v>292179</v>
      </c>
      <c r="F33" s="475">
        <f t="shared" ref="F33:G33" si="16">F35+F34</f>
        <v>262275</v>
      </c>
      <c r="G33" s="124">
        <f t="shared" si="16"/>
        <v>262275</v>
      </c>
      <c r="H33" s="124">
        <f t="shared" si="14"/>
        <v>0</v>
      </c>
      <c r="I33" s="124">
        <f t="shared" si="11"/>
        <v>-29904</v>
      </c>
      <c r="J33" s="450">
        <f t="shared" si="12"/>
        <v>-0.10234821804441797</v>
      </c>
    </row>
    <row r="34" spans="1:10">
      <c r="A34" s="118" t="s">
        <v>165</v>
      </c>
      <c r="B34" s="126">
        <v>2652</v>
      </c>
      <c r="C34" s="126">
        <v>4380</v>
      </c>
      <c r="D34" s="126"/>
      <c r="E34" s="126">
        <f t="shared" si="13"/>
        <v>4380</v>
      </c>
      <c r="F34" s="483">
        <v>4380</v>
      </c>
      <c r="G34" s="5">
        <v>4380</v>
      </c>
      <c r="H34" s="5">
        <f t="shared" si="14"/>
        <v>0</v>
      </c>
      <c r="I34" s="5">
        <f t="shared" si="11"/>
        <v>0</v>
      </c>
      <c r="J34" s="463">
        <f t="shared" si="12"/>
        <v>0</v>
      </c>
    </row>
    <row r="35" spans="1:10">
      <c r="A35" s="118" t="s">
        <v>164</v>
      </c>
      <c r="B35" s="126">
        <v>279757</v>
      </c>
      <c r="C35" s="126">
        <v>287799</v>
      </c>
      <c r="D35" s="126"/>
      <c r="E35" s="126">
        <f t="shared" si="13"/>
        <v>287799</v>
      </c>
      <c r="F35" s="483">
        <v>257895</v>
      </c>
      <c r="G35" s="5">
        <v>257895</v>
      </c>
      <c r="H35" s="5">
        <f t="shared" si="14"/>
        <v>0</v>
      </c>
      <c r="I35" s="5">
        <f t="shared" si="11"/>
        <v>-29904</v>
      </c>
      <c r="J35" s="463">
        <f t="shared" si="12"/>
        <v>-0.10390585095848144</v>
      </c>
    </row>
    <row r="36" spans="1:10">
      <c r="A36" s="121" t="s">
        <v>114</v>
      </c>
      <c r="B36" s="127">
        <f>B37+B38</f>
        <v>9852.27</v>
      </c>
      <c r="C36" s="127">
        <f>C38+C37</f>
        <v>12182</v>
      </c>
      <c r="D36" s="127"/>
      <c r="E36" s="127">
        <f t="shared" si="13"/>
        <v>12182</v>
      </c>
      <c r="F36" s="480">
        <f t="shared" ref="F36:G36" si="17">F38+F37</f>
        <v>10182</v>
      </c>
      <c r="G36" s="127">
        <f t="shared" si="17"/>
        <v>10182</v>
      </c>
      <c r="H36" s="127">
        <f t="shared" si="14"/>
        <v>0</v>
      </c>
      <c r="I36" s="127">
        <f t="shared" si="11"/>
        <v>-2000</v>
      </c>
      <c r="J36" s="461">
        <f t="shared" si="12"/>
        <v>-0.16417665407978985</v>
      </c>
    </row>
    <row r="37" spans="1:10">
      <c r="A37" s="120" t="s">
        <v>157</v>
      </c>
      <c r="B37" s="125">
        <v>1881.72</v>
      </c>
      <c r="C37" s="125">
        <v>1882</v>
      </c>
      <c r="D37" s="125"/>
      <c r="E37" s="125">
        <f t="shared" si="13"/>
        <v>1882</v>
      </c>
      <c r="F37" s="483">
        <v>1882</v>
      </c>
      <c r="G37" s="5">
        <v>1882</v>
      </c>
      <c r="H37" s="5">
        <f t="shared" si="14"/>
        <v>0</v>
      </c>
      <c r="I37" s="5">
        <f t="shared" si="11"/>
        <v>0</v>
      </c>
      <c r="J37" s="463">
        <f t="shared" si="12"/>
        <v>0</v>
      </c>
    </row>
    <row r="38" spans="1:10">
      <c r="A38" s="120" t="s">
        <v>158</v>
      </c>
      <c r="B38" s="125">
        <v>7970.55</v>
      </c>
      <c r="C38" s="125">
        <v>10300</v>
      </c>
      <c r="D38" s="125"/>
      <c r="E38" s="125">
        <f t="shared" si="13"/>
        <v>10300</v>
      </c>
      <c r="F38" s="483">
        <v>8300</v>
      </c>
      <c r="G38" s="5">
        <v>8300</v>
      </c>
      <c r="H38" s="5">
        <f t="shared" si="14"/>
        <v>0</v>
      </c>
      <c r="I38" s="5">
        <f t="shared" si="11"/>
        <v>-2000</v>
      </c>
      <c r="J38" s="463">
        <f t="shared" si="12"/>
        <v>-0.1941747572815534</v>
      </c>
    </row>
    <row r="39" spans="1:10">
      <c r="A39" s="117"/>
      <c r="B39" s="124"/>
      <c r="C39" s="124"/>
      <c r="D39" s="124"/>
      <c r="E39" s="124">
        <f t="shared" si="13"/>
        <v>0</v>
      </c>
      <c r="F39" s="478"/>
      <c r="G39" s="377"/>
      <c r="H39" s="377">
        <f t="shared" si="14"/>
        <v>0</v>
      </c>
      <c r="I39" s="377">
        <f t="shared" si="11"/>
        <v>0</v>
      </c>
      <c r="J39" s="460" t="str">
        <f t="shared" si="12"/>
        <v/>
      </c>
    </row>
    <row r="40" spans="1:10">
      <c r="A40" s="117" t="s">
        <v>168</v>
      </c>
      <c r="B40" s="124">
        <f>B41+B47</f>
        <v>1082790.1700000002</v>
      </c>
      <c r="C40" s="124">
        <f>C41</f>
        <v>1002824</v>
      </c>
      <c r="D40" s="124"/>
      <c r="E40" s="124">
        <f t="shared" si="13"/>
        <v>1002824</v>
      </c>
      <c r="F40" s="475">
        <f t="shared" ref="F40:G40" si="18">F41</f>
        <v>1162100</v>
      </c>
      <c r="G40" s="124">
        <f t="shared" si="18"/>
        <v>1162100</v>
      </c>
      <c r="H40" s="124">
        <f t="shared" si="14"/>
        <v>0</v>
      </c>
      <c r="I40" s="124">
        <f t="shared" si="11"/>
        <v>159276</v>
      </c>
      <c r="J40" s="450">
        <f t="shared" si="12"/>
        <v>0.15882747122127114</v>
      </c>
    </row>
    <row r="41" spans="1:10">
      <c r="A41" s="117" t="s">
        <v>124</v>
      </c>
      <c r="B41" s="124">
        <f>B42+B44+B45+B43+B46</f>
        <v>1073841.6500000001</v>
      </c>
      <c r="C41" s="124">
        <f>C42+C44+C45</f>
        <v>1002824</v>
      </c>
      <c r="D41" s="124"/>
      <c r="E41" s="124">
        <f t="shared" si="13"/>
        <v>1002824</v>
      </c>
      <c r="F41" s="475">
        <f t="shared" ref="F41:G41" si="19">F42+F44+F45</f>
        <v>1162100</v>
      </c>
      <c r="G41" s="124">
        <f t="shared" si="19"/>
        <v>1162100</v>
      </c>
      <c r="H41" s="124">
        <f t="shared" si="14"/>
        <v>0</v>
      </c>
      <c r="I41" s="124">
        <f t="shared" si="11"/>
        <v>159276</v>
      </c>
      <c r="J41" s="450">
        <f t="shared" si="12"/>
        <v>0.15882747122127114</v>
      </c>
    </row>
    <row r="42" spans="1:10">
      <c r="A42" s="120" t="s">
        <v>169</v>
      </c>
      <c r="B42" s="125">
        <v>41396.080000000002</v>
      </c>
      <c r="C42" s="125">
        <v>26520</v>
      </c>
      <c r="D42" s="125"/>
      <c r="E42" s="125">
        <f t="shared" si="13"/>
        <v>26520</v>
      </c>
      <c r="F42" s="483">
        <v>86600</v>
      </c>
      <c r="G42" s="5">
        <v>86600</v>
      </c>
      <c r="H42" s="5">
        <f t="shared" si="14"/>
        <v>0</v>
      </c>
      <c r="I42" s="5">
        <f t="shared" si="11"/>
        <v>60080</v>
      </c>
      <c r="J42" s="463">
        <f t="shared" si="12"/>
        <v>2.2654600301659125</v>
      </c>
    </row>
    <row r="43" spans="1:10">
      <c r="A43" s="120" t="s">
        <v>510</v>
      </c>
      <c r="B43" s="125">
        <v>2602.63</v>
      </c>
      <c r="C43" s="125"/>
      <c r="D43" s="125"/>
      <c r="E43" s="125">
        <f t="shared" si="13"/>
        <v>0</v>
      </c>
      <c r="F43" s="483"/>
      <c r="G43" s="5"/>
      <c r="H43" s="5">
        <f t="shared" si="14"/>
        <v>0</v>
      </c>
      <c r="I43" s="5">
        <f t="shared" si="11"/>
        <v>0</v>
      </c>
      <c r="J43" s="463" t="str">
        <f t="shared" si="12"/>
        <v/>
      </c>
    </row>
    <row r="44" spans="1:10">
      <c r="A44" s="120" t="s">
        <v>252</v>
      </c>
      <c r="B44" s="125">
        <v>297882.15000000002</v>
      </c>
      <c r="C44" s="125">
        <v>290000</v>
      </c>
      <c r="D44" s="125"/>
      <c r="E44" s="125">
        <f t="shared" si="13"/>
        <v>290000</v>
      </c>
      <c r="F44" s="483">
        <v>330000</v>
      </c>
      <c r="G44" s="5">
        <v>330000</v>
      </c>
      <c r="H44" s="5">
        <f t="shared" si="14"/>
        <v>0</v>
      </c>
      <c r="I44" s="5">
        <f t="shared" si="11"/>
        <v>40000</v>
      </c>
      <c r="J44" s="463">
        <f t="shared" si="12"/>
        <v>0.13793103448275862</v>
      </c>
    </row>
    <row r="45" spans="1:10" ht="25.5">
      <c r="A45" s="120" t="s">
        <v>253</v>
      </c>
      <c r="B45" s="125">
        <v>631919.55000000005</v>
      </c>
      <c r="C45" s="125">
        <v>686304</v>
      </c>
      <c r="D45" s="125"/>
      <c r="E45" s="125">
        <f t="shared" si="13"/>
        <v>686304</v>
      </c>
      <c r="F45" s="483">
        <v>745500</v>
      </c>
      <c r="G45" s="5">
        <v>745500</v>
      </c>
      <c r="H45" s="5">
        <f t="shared" si="14"/>
        <v>0</v>
      </c>
      <c r="I45" s="5">
        <f t="shared" si="11"/>
        <v>59196</v>
      </c>
      <c r="J45" s="463">
        <f t="shared" si="12"/>
        <v>8.6253322142957056E-2</v>
      </c>
    </row>
    <row r="46" spans="1:10">
      <c r="A46" s="120" t="s">
        <v>507</v>
      </c>
      <c r="B46" s="125">
        <v>100041.24</v>
      </c>
      <c r="C46" s="125"/>
      <c r="D46" s="125"/>
      <c r="E46" s="125">
        <f t="shared" si="13"/>
        <v>0</v>
      </c>
      <c r="F46" s="483"/>
      <c r="G46" s="5"/>
      <c r="H46" s="5">
        <f t="shared" si="14"/>
        <v>0</v>
      </c>
      <c r="I46" s="5">
        <f t="shared" si="11"/>
        <v>0</v>
      </c>
      <c r="J46" s="463" t="str">
        <f t="shared" si="12"/>
        <v/>
      </c>
    </row>
    <row r="47" spans="1:10">
      <c r="A47" s="122" t="s">
        <v>115</v>
      </c>
      <c r="B47" s="128">
        <f>B48</f>
        <v>8948.52</v>
      </c>
      <c r="C47" s="125"/>
      <c r="D47" s="125"/>
      <c r="E47" s="125">
        <f t="shared" si="13"/>
        <v>0</v>
      </c>
      <c r="F47" s="477"/>
      <c r="G47" s="125"/>
      <c r="H47" s="125">
        <f t="shared" si="14"/>
        <v>0</v>
      </c>
      <c r="I47" s="125">
        <f t="shared" si="11"/>
        <v>0</v>
      </c>
      <c r="J47" s="459" t="str">
        <f t="shared" si="12"/>
        <v/>
      </c>
    </row>
    <row r="48" spans="1:10" ht="25.5">
      <c r="A48" s="120" t="s">
        <v>159</v>
      </c>
      <c r="B48" s="125">
        <v>8948.52</v>
      </c>
      <c r="C48" s="125"/>
      <c r="D48" s="125"/>
      <c r="E48" s="125">
        <f t="shared" si="13"/>
        <v>0</v>
      </c>
      <c r="F48" s="483"/>
      <c r="G48" s="5"/>
      <c r="H48" s="5">
        <f t="shared" si="14"/>
        <v>0</v>
      </c>
      <c r="I48" s="5">
        <f t="shared" si="11"/>
        <v>0</v>
      </c>
      <c r="J48" s="463" t="str">
        <f t="shared" si="12"/>
        <v/>
      </c>
    </row>
    <row r="49" spans="1:10">
      <c r="A49" s="117"/>
      <c r="B49" s="124"/>
      <c r="C49" s="124"/>
      <c r="D49" s="124"/>
      <c r="E49" s="124">
        <f t="shared" si="13"/>
        <v>0</v>
      </c>
      <c r="F49" s="478"/>
      <c r="G49" s="377"/>
      <c r="H49" s="377">
        <f t="shared" si="14"/>
        <v>0</v>
      </c>
      <c r="I49" s="377">
        <f t="shared" si="11"/>
        <v>0</v>
      </c>
      <c r="J49" s="460" t="str">
        <f t="shared" si="12"/>
        <v/>
      </c>
    </row>
    <row r="50" spans="1:10">
      <c r="A50" s="117" t="s">
        <v>170</v>
      </c>
      <c r="B50" s="124">
        <f>B51+B54+B58+B60</f>
        <v>1788881.27</v>
      </c>
      <c r="C50" s="124">
        <f>C54+C51+C58</f>
        <v>1824758</v>
      </c>
      <c r="D50" s="124"/>
      <c r="E50" s="124">
        <f t="shared" si="13"/>
        <v>1824758</v>
      </c>
      <c r="F50" s="475">
        <f t="shared" ref="F50:G50" si="20">F54+F51+F58</f>
        <v>1884860</v>
      </c>
      <c r="G50" s="124">
        <f t="shared" si="20"/>
        <v>1884860</v>
      </c>
      <c r="H50" s="124">
        <f t="shared" si="14"/>
        <v>0</v>
      </c>
      <c r="I50" s="124">
        <f t="shared" si="11"/>
        <v>60102</v>
      </c>
      <c r="J50" s="450">
        <f t="shared" si="12"/>
        <v>3.29369702722224E-2</v>
      </c>
    </row>
    <row r="51" spans="1:10">
      <c r="A51" s="117" t="s">
        <v>124</v>
      </c>
      <c r="B51" s="124">
        <f>B52+B53</f>
        <v>1779863.53</v>
      </c>
      <c r="C51" s="124">
        <f>C53+C52</f>
        <v>1818000</v>
      </c>
      <c r="D51" s="124"/>
      <c r="E51" s="124">
        <f t="shared" si="13"/>
        <v>1818000</v>
      </c>
      <c r="F51" s="475">
        <f t="shared" ref="F51:G51" si="21">F53+F52</f>
        <v>1878260</v>
      </c>
      <c r="G51" s="124">
        <f t="shared" si="21"/>
        <v>1878260</v>
      </c>
      <c r="H51" s="124">
        <f t="shared" si="14"/>
        <v>0</v>
      </c>
      <c r="I51" s="124">
        <f t="shared" si="11"/>
        <v>60260</v>
      </c>
      <c r="J51" s="450">
        <f t="shared" si="12"/>
        <v>3.3146314631463149E-2</v>
      </c>
    </row>
    <row r="52" spans="1:10">
      <c r="A52" s="120" t="s">
        <v>165</v>
      </c>
      <c r="B52" s="125">
        <v>36529.800000000003</v>
      </c>
      <c r="C52" s="125">
        <v>33000</v>
      </c>
      <c r="D52" s="125"/>
      <c r="E52" s="125">
        <f t="shared" si="13"/>
        <v>33000</v>
      </c>
      <c r="F52" s="483">
        <v>35000</v>
      </c>
      <c r="G52" s="5">
        <v>35000</v>
      </c>
      <c r="H52" s="5">
        <f t="shared" si="14"/>
        <v>0</v>
      </c>
      <c r="I52" s="5">
        <f t="shared" si="11"/>
        <v>2000</v>
      </c>
      <c r="J52" s="463">
        <f t="shared" si="12"/>
        <v>6.0606060606060608E-2</v>
      </c>
    </row>
    <row r="53" spans="1:10">
      <c r="A53" s="120" t="s">
        <v>164</v>
      </c>
      <c r="B53" s="125">
        <v>1743333.73</v>
      </c>
      <c r="C53" s="125">
        <v>1785000</v>
      </c>
      <c r="D53" s="125"/>
      <c r="E53" s="125">
        <f t="shared" si="13"/>
        <v>1785000</v>
      </c>
      <c r="F53" s="483">
        <f>1813260+30000</f>
        <v>1843260</v>
      </c>
      <c r="G53" s="422">
        <f>1813260+30000</f>
        <v>1843260</v>
      </c>
      <c r="H53" s="422">
        <f t="shared" si="14"/>
        <v>0</v>
      </c>
      <c r="I53" s="422">
        <f t="shared" si="11"/>
        <v>58260</v>
      </c>
      <c r="J53" s="464">
        <f t="shared" si="12"/>
        <v>3.2638655462184876E-2</v>
      </c>
    </row>
    <row r="54" spans="1:10">
      <c r="A54" s="117" t="s">
        <v>114</v>
      </c>
      <c r="B54" s="124">
        <f>B55+B56+B57</f>
        <v>6177.5800000000008</v>
      </c>
      <c r="C54" s="124">
        <f>C55+C56</f>
        <v>6158</v>
      </c>
      <c r="D54" s="124"/>
      <c r="E54" s="124">
        <f t="shared" si="13"/>
        <v>6158</v>
      </c>
      <c r="F54" s="475">
        <f t="shared" ref="F54:G54" si="22">F55+F56</f>
        <v>6000</v>
      </c>
      <c r="G54" s="124">
        <f t="shared" si="22"/>
        <v>6000</v>
      </c>
      <c r="H54" s="124">
        <f t="shared" si="14"/>
        <v>0</v>
      </c>
      <c r="I54" s="124">
        <f t="shared" si="11"/>
        <v>-158</v>
      </c>
      <c r="J54" s="450">
        <f t="shared" si="12"/>
        <v>-2.5657681065280935E-2</v>
      </c>
    </row>
    <row r="55" spans="1:10">
      <c r="A55" s="118" t="s">
        <v>157</v>
      </c>
      <c r="B55" s="126">
        <v>4127.2700000000004</v>
      </c>
      <c r="C55" s="126">
        <v>4258</v>
      </c>
      <c r="D55" s="126"/>
      <c r="E55" s="126">
        <f t="shared" si="13"/>
        <v>4258</v>
      </c>
      <c r="F55" s="483">
        <v>4200</v>
      </c>
      <c r="G55" s="5">
        <v>4200</v>
      </c>
      <c r="H55" s="5">
        <f t="shared" si="14"/>
        <v>0</v>
      </c>
      <c r="I55" s="5">
        <f t="shared" si="11"/>
        <v>-58</v>
      </c>
      <c r="J55" s="463">
        <f t="shared" si="12"/>
        <v>-1.3621418506341005E-2</v>
      </c>
    </row>
    <row r="56" spans="1:10">
      <c r="A56" s="118" t="s">
        <v>158</v>
      </c>
      <c r="B56" s="126">
        <v>1671.21</v>
      </c>
      <c r="C56" s="126">
        <v>1900</v>
      </c>
      <c r="D56" s="126"/>
      <c r="E56" s="126">
        <f t="shared" si="13"/>
        <v>1900</v>
      </c>
      <c r="F56" s="483">
        <v>1800</v>
      </c>
      <c r="G56" s="5">
        <v>1800</v>
      </c>
      <c r="H56" s="5">
        <f t="shared" si="14"/>
        <v>0</v>
      </c>
      <c r="I56" s="5">
        <f t="shared" si="11"/>
        <v>-100</v>
      </c>
      <c r="J56" s="463">
        <f t="shared" si="12"/>
        <v>-5.2631578947368418E-2</v>
      </c>
    </row>
    <row r="57" spans="1:10">
      <c r="A57" s="118" t="s">
        <v>163</v>
      </c>
      <c r="B57" s="126">
        <v>379.1</v>
      </c>
      <c r="C57" s="126"/>
      <c r="D57" s="126"/>
      <c r="E57" s="126">
        <f t="shared" si="13"/>
        <v>0</v>
      </c>
      <c r="F57" s="483"/>
      <c r="G57" s="5"/>
      <c r="H57" s="5">
        <f t="shared" si="14"/>
        <v>0</v>
      </c>
      <c r="I57" s="5">
        <f t="shared" si="11"/>
        <v>0</v>
      </c>
      <c r="J57" s="463" t="str">
        <f t="shared" si="12"/>
        <v/>
      </c>
    </row>
    <row r="58" spans="1:10">
      <c r="A58" s="122" t="s">
        <v>115</v>
      </c>
      <c r="B58" s="128">
        <f>B59</f>
        <v>183</v>
      </c>
      <c r="C58" s="128">
        <f>C59</f>
        <v>600</v>
      </c>
      <c r="D58" s="128"/>
      <c r="E58" s="128">
        <f t="shared" si="13"/>
        <v>600</v>
      </c>
      <c r="F58" s="484">
        <f t="shared" ref="F58:G58" si="23">F59</f>
        <v>600</v>
      </c>
      <c r="G58" s="128">
        <f t="shared" si="23"/>
        <v>600</v>
      </c>
      <c r="H58" s="128">
        <f t="shared" si="14"/>
        <v>0</v>
      </c>
      <c r="I58" s="128">
        <f t="shared" si="11"/>
        <v>0</v>
      </c>
      <c r="J58" s="460">
        <f t="shared" si="12"/>
        <v>0</v>
      </c>
    </row>
    <row r="59" spans="1:10" ht="25.5">
      <c r="A59" s="120" t="s">
        <v>159</v>
      </c>
      <c r="B59" s="125">
        <v>183</v>
      </c>
      <c r="C59" s="125">
        <v>600</v>
      </c>
      <c r="D59" s="125"/>
      <c r="E59" s="125">
        <f t="shared" si="13"/>
        <v>600</v>
      </c>
      <c r="F59" s="483">
        <v>600</v>
      </c>
      <c r="G59" s="5">
        <v>600</v>
      </c>
      <c r="H59" s="5">
        <f t="shared" si="14"/>
        <v>0</v>
      </c>
      <c r="I59" s="5">
        <f t="shared" si="11"/>
        <v>0</v>
      </c>
      <c r="J59" s="463">
        <f t="shared" si="12"/>
        <v>0</v>
      </c>
    </row>
    <row r="60" spans="1:10">
      <c r="A60" s="366" t="s">
        <v>508</v>
      </c>
      <c r="B60" s="351">
        <f>B61</f>
        <v>2657.16</v>
      </c>
      <c r="C60" s="125"/>
      <c r="D60" s="125"/>
      <c r="E60" s="125">
        <f t="shared" si="13"/>
        <v>0</v>
      </c>
      <c r="F60" s="477"/>
      <c r="G60" s="125"/>
      <c r="H60" s="125">
        <f t="shared" si="14"/>
        <v>0</v>
      </c>
      <c r="I60" s="125">
        <f t="shared" si="11"/>
        <v>0</v>
      </c>
      <c r="J60" s="459" t="str">
        <f t="shared" si="12"/>
        <v/>
      </c>
    </row>
    <row r="61" spans="1:10">
      <c r="A61" s="120" t="s">
        <v>509</v>
      </c>
      <c r="B61" s="125">
        <v>2657.16</v>
      </c>
      <c r="C61" s="125"/>
      <c r="D61" s="125"/>
      <c r="E61" s="125">
        <f t="shared" si="13"/>
        <v>0</v>
      </c>
      <c r="F61" s="483"/>
      <c r="G61" s="5"/>
      <c r="H61" s="5">
        <f t="shared" si="14"/>
        <v>0</v>
      </c>
      <c r="I61" s="5">
        <f t="shared" si="11"/>
        <v>0</v>
      </c>
      <c r="J61" s="463" t="str">
        <f t="shared" si="12"/>
        <v/>
      </c>
    </row>
    <row r="62" spans="1:10">
      <c r="A62" s="117"/>
      <c r="B62" s="124"/>
      <c r="C62" s="124"/>
      <c r="D62" s="124"/>
      <c r="E62" s="124">
        <f t="shared" si="13"/>
        <v>0</v>
      </c>
      <c r="F62" s="478"/>
      <c r="G62" s="377"/>
      <c r="H62" s="377">
        <f t="shared" si="14"/>
        <v>0</v>
      </c>
      <c r="I62" s="377">
        <f t="shared" si="11"/>
        <v>0</v>
      </c>
      <c r="J62" s="460" t="str">
        <f t="shared" si="12"/>
        <v/>
      </c>
    </row>
    <row r="63" spans="1:10">
      <c r="A63" s="117" t="s">
        <v>171</v>
      </c>
      <c r="B63" s="124">
        <f>B64+B71+B74+B76</f>
        <v>414501.37</v>
      </c>
      <c r="C63" s="124">
        <f>C64+C74+C71</f>
        <v>418315</v>
      </c>
      <c r="D63" s="124"/>
      <c r="E63" s="124">
        <f t="shared" si="13"/>
        <v>418315</v>
      </c>
      <c r="F63" s="475">
        <f t="shared" ref="F63:G63" si="24">F64+F74+F71</f>
        <v>412230</v>
      </c>
      <c r="G63" s="124">
        <f t="shared" si="24"/>
        <v>412230</v>
      </c>
      <c r="H63" s="124">
        <f t="shared" si="14"/>
        <v>0</v>
      </c>
      <c r="I63" s="124">
        <f t="shared" si="11"/>
        <v>-6085</v>
      </c>
      <c r="J63" s="450">
        <f t="shared" si="12"/>
        <v>-1.454645422707768E-2</v>
      </c>
    </row>
    <row r="64" spans="1:10">
      <c r="A64" s="117" t="s">
        <v>124</v>
      </c>
      <c r="B64" s="124">
        <f>B65+B67+B68+B69+B70+B66</f>
        <v>375807.81999999995</v>
      </c>
      <c r="C64" s="124">
        <f>C67+C65+C68+C69+C70</f>
        <v>387033</v>
      </c>
      <c r="D64" s="124"/>
      <c r="E64" s="124">
        <f t="shared" si="13"/>
        <v>387033</v>
      </c>
      <c r="F64" s="475">
        <f t="shared" ref="F64:G64" si="25">F67+F65+F68+F69+F70</f>
        <v>376770</v>
      </c>
      <c r="G64" s="124">
        <f t="shared" si="25"/>
        <v>376770</v>
      </c>
      <c r="H64" s="124">
        <f t="shared" si="14"/>
        <v>0</v>
      </c>
      <c r="I64" s="124">
        <f t="shared" si="11"/>
        <v>-10263</v>
      </c>
      <c r="J64" s="450">
        <f t="shared" si="12"/>
        <v>-2.6517118695305052E-2</v>
      </c>
    </row>
    <row r="65" spans="1:10">
      <c r="A65" s="120" t="s">
        <v>165</v>
      </c>
      <c r="B65" s="125">
        <v>47897.34</v>
      </c>
      <c r="C65" s="125">
        <v>45030</v>
      </c>
      <c r="D65" s="125"/>
      <c r="E65" s="125">
        <f t="shared" si="13"/>
        <v>45030</v>
      </c>
      <c r="F65" s="483">
        <v>48000</v>
      </c>
      <c r="G65" s="5">
        <v>48000</v>
      </c>
      <c r="H65" s="5">
        <f t="shared" si="14"/>
        <v>0</v>
      </c>
      <c r="I65" s="5">
        <f t="shared" si="11"/>
        <v>2970</v>
      </c>
      <c r="J65" s="463">
        <f t="shared" si="12"/>
        <v>6.5956029313790812E-2</v>
      </c>
    </row>
    <row r="66" spans="1:10">
      <c r="A66" s="120" t="s">
        <v>169</v>
      </c>
      <c r="B66" s="125">
        <v>2685.48</v>
      </c>
      <c r="C66" s="125"/>
      <c r="D66" s="125"/>
      <c r="E66" s="125">
        <f t="shared" si="13"/>
        <v>0</v>
      </c>
      <c r="F66" s="483"/>
      <c r="G66" s="5"/>
      <c r="H66" s="5">
        <f t="shared" si="14"/>
        <v>0</v>
      </c>
      <c r="I66" s="5">
        <f t="shared" si="11"/>
        <v>0</v>
      </c>
      <c r="J66" s="463" t="str">
        <f t="shared" si="12"/>
        <v/>
      </c>
    </row>
    <row r="67" spans="1:10">
      <c r="A67" s="120" t="s">
        <v>164</v>
      </c>
      <c r="B67" s="125">
        <v>29048</v>
      </c>
      <c r="C67" s="125">
        <v>25895</v>
      </c>
      <c r="D67" s="125"/>
      <c r="E67" s="125">
        <f t="shared" si="13"/>
        <v>25895</v>
      </c>
      <c r="F67" s="483">
        <v>33770</v>
      </c>
      <c r="G67" s="5">
        <v>33770</v>
      </c>
      <c r="H67" s="5">
        <f t="shared" si="14"/>
        <v>0</v>
      </c>
      <c r="I67" s="5">
        <f t="shared" si="11"/>
        <v>7875</v>
      </c>
      <c r="J67" s="463">
        <f t="shared" si="12"/>
        <v>0.30411276308167601</v>
      </c>
    </row>
    <row r="68" spans="1:10">
      <c r="A68" s="120" t="s">
        <v>252</v>
      </c>
      <c r="B68" s="125">
        <v>71493.259999999995</v>
      </c>
      <c r="C68" s="125">
        <v>75000</v>
      </c>
      <c r="D68" s="125"/>
      <c r="E68" s="125">
        <f t="shared" si="13"/>
        <v>75000</v>
      </c>
      <c r="F68" s="483">
        <v>45000</v>
      </c>
      <c r="G68" s="5">
        <v>45000</v>
      </c>
      <c r="H68" s="5">
        <f t="shared" si="14"/>
        <v>0</v>
      </c>
      <c r="I68" s="5">
        <f t="shared" si="11"/>
        <v>-30000</v>
      </c>
      <c r="J68" s="463">
        <f t="shared" si="12"/>
        <v>-0.4</v>
      </c>
    </row>
    <row r="69" spans="1:10" ht="25.5">
      <c r="A69" s="120" t="s">
        <v>253</v>
      </c>
      <c r="B69" s="125">
        <v>107218</v>
      </c>
      <c r="C69" s="125">
        <v>141108</v>
      </c>
      <c r="D69" s="125"/>
      <c r="E69" s="125">
        <f t="shared" si="13"/>
        <v>141108</v>
      </c>
      <c r="F69" s="483">
        <v>150000</v>
      </c>
      <c r="G69" s="5">
        <v>150000</v>
      </c>
      <c r="H69" s="5">
        <f t="shared" si="14"/>
        <v>0</v>
      </c>
      <c r="I69" s="5">
        <f t="shared" si="11"/>
        <v>8892</v>
      </c>
      <c r="J69" s="463">
        <f t="shared" si="12"/>
        <v>6.3015562547835705E-2</v>
      </c>
    </row>
    <row r="70" spans="1:10">
      <c r="A70" s="120" t="s">
        <v>254</v>
      </c>
      <c r="B70" s="125">
        <v>117465.74</v>
      </c>
      <c r="C70" s="125">
        <v>100000</v>
      </c>
      <c r="D70" s="125"/>
      <c r="E70" s="125">
        <f t="shared" si="13"/>
        <v>100000</v>
      </c>
      <c r="F70" s="483">
        <v>100000</v>
      </c>
      <c r="G70" s="5">
        <v>100000</v>
      </c>
      <c r="H70" s="5">
        <f t="shared" si="14"/>
        <v>0</v>
      </c>
      <c r="I70" s="5">
        <f t="shared" si="11"/>
        <v>0</v>
      </c>
      <c r="J70" s="463">
        <f t="shared" si="12"/>
        <v>0</v>
      </c>
    </row>
    <row r="71" spans="1:10">
      <c r="A71" s="117" t="s">
        <v>114</v>
      </c>
      <c r="B71" s="124">
        <f>B72+B73</f>
        <v>16721.27</v>
      </c>
      <c r="C71" s="124">
        <f>C72+C73</f>
        <v>17282</v>
      </c>
      <c r="D71" s="124"/>
      <c r="E71" s="124">
        <f t="shared" si="13"/>
        <v>17282</v>
      </c>
      <c r="F71" s="475">
        <f t="shared" ref="F71:G71" si="26">F72+F73</f>
        <v>17460</v>
      </c>
      <c r="G71" s="124">
        <f t="shared" si="26"/>
        <v>17460</v>
      </c>
      <c r="H71" s="124">
        <f t="shared" si="14"/>
        <v>0</v>
      </c>
      <c r="I71" s="124">
        <f t="shared" si="11"/>
        <v>178</v>
      </c>
      <c r="J71" s="450">
        <f t="shared" si="12"/>
        <v>1.0299733827103344E-2</v>
      </c>
    </row>
    <row r="72" spans="1:10">
      <c r="A72" s="118" t="s">
        <v>157</v>
      </c>
      <c r="B72" s="126">
        <v>8782.44</v>
      </c>
      <c r="C72" s="126">
        <v>8782</v>
      </c>
      <c r="D72" s="126"/>
      <c r="E72" s="126">
        <f t="shared" si="13"/>
        <v>8782</v>
      </c>
      <c r="F72" s="483">
        <v>8960</v>
      </c>
      <c r="G72" s="5">
        <v>8960</v>
      </c>
      <c r="H72" s="5">
        <f t="shared" si="14"/>
        <v>0</v>
      </c>
      <c r="I72" s="5">
        <f t="shared" si="11"/>
        <v>178</v>
      </c>
      <c r="J72" s="463">
        <f t="shared" si="12"/>
        <v>2.0268731496242313E-2</v>
      </c>
    </row>
    <row r="73" spans="1:10">
      <c r="A73" s="118" t="s">
        <v>158</v>
      </c>
      <c r="B73" s="126">
        <v>7938.83</v>
      </c>
      <c r="C73" s="126">
        <v>8500</v>
      </c>
      <c r="D73" s="126"/>
      <c r="E73" s="126">
        <f t="shared" si="13"/>
        <v>8500</v>
      </c>
      <c r="F73" s="483">
        <v>8500</v>
      </c>
      <c r="G73" s="5">
        <v>8500</v>
      </c>
      <c r="H73" s="5">
        <f t="shared" si="14"/>
        <v>0</v>
      </c>
      <c r="I73" s="5">
        <f t="shared" si="11"/>
        <v>0</v>
      </c>
      <c r="J73" s="463">
        <f t="shared" si="12"/>
        <v>0</v>
      </c>
    </row>
    <row r="74" spans="1:10">
      <c r="A74" s="122" t="s">
        <v>115</v>
      </c>
      <c r="B74" s="128">
        <f>B75</f>
        <v>14992.84</v>
      </c>
      <c r="C74" s="128">
        <f>C75</f>
        <v>14000</v>
      </c>
      <c r="D74" s="128"/>
      <c r="E74" s="128">
        <f t="shared" si="13"/>
        <v>14000</v>
      </c>
      <c r="F74" s="484">
        <f t="shared" ref="F74:G74" si="27">F75</f>
        <v>18000</v>
      </c>
      <c r="G74" s="128">
        <f t="shared" si="27"/>
        <v>18000</v>
      </c>
      <c r="H74" s="128">
        <f t="shared" si="14"/>
        <v>0</v>
      </c>
      <c r="I74" s="128">
        <f t="shared" si="11"/>
        <v>4000</v>
      </c>
      <c r="J74" s="460">
        <f t="shared" si="12"/>
        <v>0.2857142857142857</v>
      </c>
    </row>
    <row r="75" spans="1:10" ht="25.5">
      <c r="A75" s="120" t="s">
        <v>159</v>
      </c>
      <c r="B75" s="125">
        <v>14992.84</v>
      </c>
      <c r="C75" s="125">
        <v>14000</v>
      </c>
      <c r="D75" s="125"/>
      <c r="E75" s="125">
        <f t="shared" si="13"/>
        <v>14000</v>
      </c>
      <c r="F75" s="483">
        <v>18000</v>
      </c>
      <c r="G75" s="5">
        <v>18000</v>
      </c>
      <c r="H75" s="5">
        <f t="shared" si="14"/>
        <v>0</v>
      </c>
      <c r="I75" s="5">
        <f t="shared" si="11"/>
        <v>4000</v>
      </c>
      <c r="J75" s="463">
        <f t="shared" si="12"/>
        <v>0.2857142857142857</v>
      </c>
    </row>
    <row r="76" spans="1:10">
      <c r="A76" s="366" t="s">
        <v>508</v>
      </c>
      <c r="B76" s="351">
        <f>B77</f>
        <v>6979.44</v>
      </c>
      <c r="C76" s="125"/>
      <c r="D76" s="125"/>
      <c r="E76" s="125">
        <f t="shared" si="13"/>
        <v>0</v>
      </c>
      <c r="F76" s="477"/>
      <c r="G76" s="125"/>
      <c r="H76" s="125">
        <f t="shared" si="14"/>
        <v>0</v>
      </c>
      <c r="I76" s="125">
        <f t="shared" si="11"/>
        <v>0</v>
      </c>
      <c r="J76" s="459" t="str">
        <f t="shared" si="12"/>
        <v/>
      </c>
    </row>
    <row r="77" spans="1:10">
      <c r="A77" s="120" t="s">
        <v>509</v>
      </c>
      <c r="B77" s="125">
        <v>6979.44</v>
      </c>
      <c r="C77" s="125"/>
      <c r="D77" s="125"/>
      <c r="E77" s="125">
        <f t="shared" si="13"/>
        <v>0</v>
      </c>
      <c r="F77" s="483"/>
      <c r="G77" s="5"/>
      <c r="H77" s="5">
        <f t="shared" si="14"/>
        <v>0</v>
      </c>
      <c r="I77" s="5">
        <f t="shared" si="11"/>
        <v>0</v>
      </c>
      <c r="J77" s="463" t="str">
        <f t="shared" si="12"/>
        <v/>
      </c>
    </row>
    <row r="78" spans="1:10">
      <c r="A78" s="120"/>
      <c r="B78" s="125"/>
      <c r="C78" s="125"/>
      <c r="D78" s="125"/>
      <c r="E78" s="125">
        <f t="shared" si="13"/>
        <v>0</v>
      </c>
      <c r="F78" s="478"/>
      <c r="G78" s="377"/>
      <c r="H78" s="377">
        <f t="shared" si="14"/>
        <v>0</v>
      </c>
      <c r="I78" s="377">
        <f t="shared" si="11"/>
        <v>0</v>
      </c>
      <c r="J78" s="460" t="str">
        <f t="shared" si="12"/>
        <v/>
      </c>
    </row>
    <row r="79" spans="1:10">
      <c r="A79" s="117" t="s">
        <v>172</v>
      </c>
      <c r="B79" s="124">
        <f>B80</f>
        <v>128569.96</v>
      </c>
      <c r="C79" s="124">
        <f>C80</f>
        <v>123238</v>
      </c>
      <c r="D79" s="124"/>
      <c r="E79" s="124">
        <f t="shared" si="13"/>
        <v>123238</v>
      </c>
      <c r="F79" s="475">
        <f t="shared" ref="F79:G79" si="28">F80</f>
        <v>138432</v>
      </c>
      <c r="G79" s="124">
        <f t="shared" si="28"/>
        <v>138432</v>
      </c>
      <c r="H79" s="124">
        <f t="shared" si="14"/>
        <v>0</v>
      </c>
      <c r="I79" s="124">
        <f t="shared" si="11"/>
        <v>15194</v>
      </c>
      <c r="J79" s="450">
        <f t="shared" si="12"/>
        <v>0.12328989435076843</v>
      </c>
    </row>
    <row r="80" spans="1:10">
      <c r="A80" s="117" t="s">
        <v>124</v>
      </c>
      <c r="B80" s="124">
        <f>B81+B82+B83</f>
        <v>128569.96</v>
      </c>
      <c r="C80" s="124">
        <f>C83+C82+C81</f>
        <v>123238</v>
      </c>
      <c r="D80" s="124"/>
      <c r="E80" s="124">
        <f t="shared" si="13"/>
        <v>123238</v>
      </c>
      <c r="F80" s="475">
        <f t="shared" ref="F80:G80" si="29">F83+F82+F81</f>
        <v>138432</v>
      </c>
      <c r="G80" s="124">
        <f t="shared" si="29"/>
        <v>138432</v>
      </c>
      <c r="H80" s="124">
        <f t="shared" si="14"/>
        <v>0</v>
      </c>
      <c r="I80" s="124">
        <f t="shared" si="11"/>
        <v>15194</v>
      </c>
      <c r="J80" s="450">
        <f t="shared" si="12"/>
        <v>0.12328989435076843</v>
      </c>
    </row>
    <row r="81" spans="1:10">
      <c r="A81" s="120" t="s">
        <v>173</v>
      </c>
      <c r="B81" s="125">
        <v>7943.21</v>
      </c>
      <c r="C81" s="125">
        <v>8000</v>
      </c>
      <c r="D81" s="125"/>
      <c r="E81" s="125">
        <f t="shared" si="13"/>
        <v>8000</v>
      </c>
      <c r="F81" s="483">
        <v>8000</v>
      </c>
      <c r="G81" s="5">
        <v>8000</v>
      </c>
      <c r="H81" s="5">
        <f t="shared" si="14"/>
        <v>0</v>
      </c>
      <c r="I81" s="5">
        <f t="shared" si="11"/>
        <v>0</v>
      </c>
      <c r="J81" s="463">
        <f t="shared" si="12"/>
        <v>0</v>
      </c>
    </row>
    <row r="82" spans="1:10">
      <c r="A82" s="120" t="s">
        <v>164</v>
      </c>
      <c r="B82" s="125">
        <v>120493.05</v>
      </c>
      <c r="C82" s="125">
        <v>115008</v>
      </c>
      <c r="D82" s="125"/>
      <c r="E82" s="125">
        <f t="shared" si="13"/>
        <v>115008</v>
      </c>
      <c r="F82" s="483">
        <v>130202</v>
      </c>
      <c r="G82" s="5">
        <v>130202</v>
      </c>
      <c r="H82" s="5">
        <f t="shared" si="14"/>
        <v>0</v>
      </c>
      <c r="I82" s="5">
        <f t="shared" si="11"/>
        <v>15194</v>
      </c>
      <c r="J82" s="463">
        <f t="shared" si="12"/>
        <v>0.13211254869226488</v>
      </c>
    </row>
    <row r="83" spans="1:10">
      <c r="A83" s="120" t="s">
        <v>248</v>
      </c>
      <c r="B83" s="125">
        <v>133.69999999999999</v>
      </c>
      <c r="C83" s="125">
        <v>230</v>
      </c>
      <c r="D83" s="125"/>
      <c r="E83" s="125">
        <f t="shared" si="13"/>
        <v>230</v>
      </c>
      <c r="F83" s="483">
        <v>230</v>
      </c>
      <c r="G83" s="5">
        <v>230</v>
      </c>
      <c r="H83" s="5">
        <f t="shared" si="14"/>
        <v>0</v>
      </c>
      <c r="I83" s="5">
        <f t="shared" si="11"/>
        <v>0</v>
      </c>
      <c r="J83" s="463">
        <f t="shared" si="12"/>
        <v>0</v>
      </c>
    </row>
    <row r="84" spans="1:10">
      <c r="A84" s="120"/>
      <c r="B84" s="125"/>
      <c r="C84" s="125"/>
      <c r="D84" s="125"/>
      <c r="E84" s="125">
        <f t="shared" si="13"/>
        <v>0</v>
      </c>
      <c r="F84" s="478"/>
      <c r="G84" s="377"/>
      <c r="H84" s="377">
        <f t="shared" si="14"/>
        <v>0</v>
      </c>
      <c r="I84" s="377">
        <f t="shared" si="11"/>
        <v>0</v>
      </c>
      <c r="J84" s="460" t="str">
        <f t="shared" si="12"/>
        <v/>
      </c>
    </row>
    <row r="85" spans="1:10">
      <c r="A85" s="117" t="s">
        <v>174</v>
      </c>
      <c r="B85" s="124">
        <f>B86+B88</f>
        <v>9095664.5800000001</v>
      </c>
      <c r="C85" s="124">
        <f>C86</f>
        <v>9194359</v>
      </c>
      <c r="D85" s="124"/>
      <c r="E85" s="124">
        <f t="shared" si="13"/>
        <v>9194359</v>
      </c>
      <c r="F85" s="475">
        <f t="shared" ref="F85:G86" si="30">F86</f>
        <v>10773430</v>
      </c>
      <c r="G85" s="124">
        <f t="shared" si="30"/>
        <v>10773430</v>
      </c>
      <c r="H85" s="124">
        <f t="shared" si="14"/>
        <v>0</v>
      </c>
      <c r="I85" s="124">
        <f t="shared" si="11"/>
        <v>1579071</v>
      </c>
      <c r="J85" s="450">
        <f t="shared" si="12"/>
        <v>0.17174345704795735</v>
      </c>
    </row>
    <row r="86" spans="1:10">
      <c r="A86" s="117" t="s">
        <v>125</v>
      </c>
      <c r="B86" s="124">
        <f>B87</f>
        <v>9095523.5800000001</v>
      </c>
      <c r="C86" s="124">
        <f>C87</f>
        <v>9194359</v>
      </c>
      <c r="D86" s="124"/>
      <c r="E86" s="124">
        <f t="shared" si="13"/>
        <v>9194359</v>
      </c>
      <c r="F86" s="475">
        <f t="shared" si="30"/>
        <v>10773430</v>
      </c>
      <c r="G86" s="124">
        <f t="shared" si="30"/>
        <v>10773430</v>
      </c>
      <c r="H86" s="124">
        <f t="shared" si="14"/>
        <v>0</v>
      </c>
      <c r="I86" s="124">
        <f t="shared" si="11"/>
        <v>1579071</v>
      </c>
      <c r="J86" s="450">
        <f t="shared" si="12"/>
        <v>0.17174345704795735</v>
      </c>
    </row>
    <row r="87" spans="1:10">
      <c r="A87" s="120" t="s">
        <v>160</v>
      </c>
      <c r="B87" s="125">
        <v>9095523.5800000001</v>
      </c>
      <c r="C87" s="125">
        <v>9194359</v>
      </c>
      <c r="D87" s="125"/>
      <c r="E87" s="125">
        <f t="shared" si="13"/>
        <v>9194359</v>
      </c>
      <c r="F87" s="483">
        <v>10773430</v>
      </c>
      <c r="G87" s="5">
        <v>10773430</v>
      </c>
      <c r="H87" s="5">
        <f t="shared" si="14"/>
        <v>0</v>
      </c>
      <c r="I87" s="5">
        <f t="shared" si="11"/>
        <v>1579071</v>
      </c>
      <c r="J87" s="463">
        <f t="shared" si="12"/>
        <v>0.17174345704795735</v>
      </c>
    </row>
    <row r="88" spans="1:10">
      <c r="A88" s="122" t="s">
        <v>115</v>
      </c>
      <c r="B88" s="128">
        <f>B89</f>
        <v>141</v>
      </c>
      <c r="C88" s="125"/>
      <c r="D88" s="125"/>
      <c r="E88" s="125">
        <f t="shared" si="13"/>
        <v>0</v>
      </c>
      <c r="F88" s="478"/>
      <c r="G88" s="377"/>
      <c r="H88" s="377">
        <f t="shared" si="14"/>
        <v>0</v>
      </c>
      <c r="I88" s="377">
        <f t="shared" si="11"/>
        <v>0</v>
      </c>
      <c r="J88" s="460" t="str">
        <f t="shared" si="12"/>
        <v/>
      </c>
    </row>
    <row r="89" spans="1:10" ht="25.5">
      <c r="A89" s="120" t="s">
        <v>159</v>
      </c>
      <c r="B89" s="125">
        <v>141</v>
      </c>
      <c r="C89" s="125"/>
      <c r="D89" s="125"/>
      <c r="E89" s="125">
        <f t="shared" si="13"/>
        <v>0</v>
      </c>
      <c r="F89" s="483"/>
      <c r="G89" s="5"/>
      <c r="H89" s="5">
        <f t="shared" si="14"/>
        <v>0</v>
      </c>
      <c r="I89" s="5">
        <f t="shared" si="11"/>
        <v>0</v>
      </c>
      <c r="J89" s="463" t="str">
        <f t="shared" si="12"/>
        <v/>
      </c>
    </row>
    <row r="90" spans="1:10">
      <c r="A90" s="120"/>
      <c r="B90" s="125"/>
      <c r="C90" s="125"/>
      <c r="D90" s="125"/>
      <c r="E90" s="125">
        <f t="shared" si="13"/>
        <v>0</v>
      </c>
      <c r="F90" s="478"/>
      <c r="G90" s="377"/>
      <c r="H90" s="377">
        <f t="shared" si="14"/>
        <v>0</v>
      </c>
      <c r="I90" s="377">
        <f t="shared" si="11"/>
        <v>0</v>
      </c>
      <c r="J90" s="460" t="str">
        <f t="shared" si="12"/>
        <v/>
      </c>
    </row>
    <row r="91" spans="1:10">
      <c r="A91" s="117" t="s">
        <v>511</v>
      </c>
      <c r="B91" s="124">
        <f>B92</f>
        <v>13827.52</v>
      </c>
      <c r="C91" s="125"/>
      <c r="D91" s="125"/>
      <c r="E91" s="125">
        <f t="shared" si="13"/>
        <v>0</v>
      </c>
      <c r="F91" s="475">
        <f t="shared" ref="F91:G91" si="31">F92</f>
        <v>0</v>
      </c>
      <c r="G91" s="124">
        <f t="shared" si="31"/>
        <v>0</v>
      </c>
      <c r="H91" s="124">
        <f t="shared" si="14"/>
        <v>0</v>
      </c>
      <c r="I91" s="124">
        <f t="shared" si="11"/>
        <v>0</v>
      </c>
      <c r="J91" s="450" t="str">
        <f t="shared" si="12"/>
        <v/>
      </c>
    </row>
    <row r="92" spans="1:10">
      <c r="A92" s="117" t="s">
        <v>124</v>
      </c>
      <c r="B92" s="124">
        <f>B93+B94</f>
        <v>13827.52</v>
      </c>
      <c r="C92" s="125"/>
      <c r="D92" s="125"/>
      <c r="E92" s="125">
        <f t="shared" si="13"/>
        <v>0</v>
      </c>
      <c r="F92" s="475">
        <f t="shared" ref="F92:G92" si="32">F93+F94</f>
        <v>0</v>
      </c>
      <c r="G92" s="124">
        <f t="shared" si="32"/>
        <v>0</v>
      </c>
      <c r="H92" s="124">
        <f t="shared" si="14"/>
        <v>0</v>
      </c>
      <c r="I92" s="124">
        <f t="shared" ref="I92:I100" si="33">IF(G92=0,0,G92-E92)</f>
        <v>0</v>
      </c>
      <c r="J92" s="450" t="str">
        <f t="shared" ref="J92:J100" si="34">IF(E92=0,"",I92/E92)</f>
        <v/>
      </c>
    </row>
    <row r="93" spans="1:10">
      <c r="A93" s="120" t="s">
        <v>164</v>
      </c>
      <c r="B93" s="125">
        <v>6760</v>
      </c>
      <c r="C93" s="125"/>
      <c r="D93" s="125"/>
      <c r="E93" s="125">
        <f t="shared" ref="E93:E100" si="35">C93+D93</f>
        <v>0</v>
      </c>
      <c r="F93" s="483"/>
      <c r="G93" s="5"/>
      <c r="H93" s="5">
        <f t="shared" ref="H93:H100" si="36">G93-F93</f>
        <v>0</v>
      </c>
      <c r="I93" s="5">
        <f t="shared" si="33"/>
        <v>0</v>
      </c>
      <c r="J93" s="463" t="str">
        <f t="shared" si="34"/>
        <v/>
      </c>
    </row>
    <row r="94" spans="1:10">
      <c r="A94" s="120" t="s">
        <v>248</v>
      </c>
      <c r="B94" s="125">
        <v>7067.52</v>
      </c>
      <c r="C94" s="125"/>
      <c r="D94" s="125"/>
      <c r="E94" s="125">
        <f t="shared" si="35"/>
        <v>0</v>
      </c>
      <c r="F94" s="483"/>
      <c r="G94" s="5"/>
      <c r="H94" s="5">
        <f t="shared" si="36"/>
        <v>0</v>
      </c>
      <c r="I94" s="5">
        <f t="shared" si="33"/>
        <v>0</v>
      </c>
      <c r="J94" s="463" t="str">
        <f t="shared" si="34"/>
        <v/>
      </c>
    </row>
    <row r="95" spans="1:10">
      <c r="A95" s="120"/>
      <c r="B95" s="125"/>
      <c r="C95" s="125"/>
      <c r="D95" s="125"/>
      <c r="E95" s="125">
        <f t="shared" si="35"/>
        <v>0</v>
      </c>
      <c r="F95" s="478"/>
      <c r="G95" s="377"/>
      <c r="H95" s="377">
        <f t="shared" si="36"/>
        <v>0</v>
      </c>
      <c r="I95" s="377">
        <f t="shared" si="33"/>
        <v>0</v>
      </c>
      <c r="J95" s="460" t="str">
        <f t="shared" si="34"/>
        <v/>
      </c>
    </row>
    <row r="96" spans="1:10">
      <c r="A96" s="117" t="s">
        <v>512</v>
      </c>
      <c r="B96" s="124">
        <f>B97</f>
        <v>966031.39</v>
      </c>
      <c r="C96" s="125"/>
      <c r="D96" s="125"/>
      <c r="E96" s="125">
        <f t="shared" si="35"/>
        <v>0</v>
      </c>
      <c r="F96" s="475">
        <f t="shared" ref="F96:G96" si="37">F97</f>
        <v>0</v>
      </c>
      <c r="G96" s="124">
        <f t="shared" si="37"/>
        <v>0</v>
      </c>
      <c r="H96" s="124">
        <f t="shared" si="36"/>
        <v>0</v>
      </c>
      <c r="I96" s="124">
        <f t="shared" si="33"/>
        <v>0</v>
      </c>
      <c r="J96" s="450" t="str">
        <f t="shared" si="34"/>
        <v/>
      </c>
    </row>
    <row r="97" spans="1:10">
      <c r="A97" s="117" t="s">
        <v>124</v>
      </c>
      <c r="B97" s="124">
        <f>B98+B99</f>
        <v>966031.39</v>
      </c>
      <c r="C97" s="125"/>
      <c r="D97" s="125"/>
      <c r="E97" s="125">
        <f t="shared" si="35"/>
        <v>0</v>
      </c>
      <c r="F97" s="475">
        <f t="shared" ref="F97:G97" si="38">F98+F99</f>
        <v>0</v>
      </c>
      <c r="G97" s="124">
        <f t="shared" si="38"/>
        <v>0</v>
      </c>
      <c r="H97" s="124">
        <f t="shared" si="36"/>
        <v>0</v>
      </c>
      <c r="I97" s="124">
        <f t="shared" si="33"/>
        <v>0</v>
      </c>
      <c r="J97" s="450" t="str">
        <f t="shared" si="34"/>
        <v/>
      </c>
    </row>
    <row r="98" spans="1:10" ht="25.5">
      <c r="A98" s="120" t="s">
        <v>513</v>
      </c>
      <c r="B98" s="125">
        <v>958991.75</v>
      </c>
      <c r="C98" s="125"/>
      <c r="D98" s="125"/>
      <c r="E98" s="125">
        <f t="shared" si="35"/>
        <v>0</v>
      </c>
      <c r="F98" s="479"/>
      <c r="G98" s="99"/>
      <c r="H98" s="99">
        <f t="shared" si="36"/>
        <v>0</v>
      </c>
      <c r="I98" s="99">
        <f t="shared" si="33"/>
        <v>0</v>
      </c>
      <c r="J98" s="455" t="str">
        <f t="shared" si="34"/>
        <v/>
      </c>
    </row>
    <row r="99" spans="1:10">
      <c r="A99" s="120" t="s">
        <v>248</v>
      </c>
      <c r="B99" s="125">
        <v>7039.64</v>
      </c>
      <c r="C99" s="125"/>
      <c r="D99" s="125"/>
      <c r="E99" s="125">
        <f t="shared" si="35"/>
        <v>0</v>
      </c>
      <c r="F99" s="479"/>
      <c r="G99" s="99"/>
      <c r="H99" s="99">
        <f t="shared" si="36"/>
        <v>0</v>
      </c>
      <c r="I99" s="99">
        <f t="shared" si="33"/>
        <v>0</v>
      </c>
      <c r="J99" s="455" t="str">
        <f t="shared" si="34"/>
        <v/>
      </c>
    </row>
    <row r="100" spans="1:10">
      <c r="A100" s="118"/>
      <c r="B100" s="126"/>
      <c r="C100" s="126"/>
      <c r="D100" s="126"/>
      <c r="E100" s="126">
        <f t="shared" si="35"/>
        <v>0</v>
      </c>
      <c r="F100" s="479"/>
      <c r="G100" s="99"/>
      <c r="H100" s="99">
        <f t="shared" si="36"/>
        <v>0</v>
      </c>
      <c r="I100" s="99">
        <f t="shared" si="33"/>
        <v>0</v>
      </c>
      <c r="J100" s="455" t="str">
        <f t="shared" si="34"/>
        <v/>
      </c>
    </row>
    <row r="101" spans="1:10">
      <c r="A101" s="135"/>
      <c r="B101" s="87"/>
      <c r="C101" s="87"/>
      <c r="D101" s="87"/>
      <c r="E101" s="87"/>
    </row>
    <row r="102" spans="1:10">
      <c r="A102" s="148"/>
      <c r="B102" s="87"/>
      <c r="C102" s="87"/>
      <c r="D102" s="87"/>
      <c r="E102" s="87"/>
    </row>
    <row r="103" spans="1:10">
      <c r="A103" s="155"/>
      <c r="B103" s="87"/>
      <c r="C103" s="87"/>
      <c r="D103" s="87"/>
      <c r="E103" s="87"/>
    </row>
    <row r="104" spans="1:10">
      <c r="A104" s="6"/>
      <c r="B104" s="87"/>
      <c r="C104" s="87"/>
      <c r="D104" s="87"/>
      <c r="E104" s="87"/>
    </row>
  </sheetData>
  <mergeCells count="8">
    <mergeCell ref="I3:K3"/>
    <mergeCell ref="E3:E4"/>
    <mergeCell ref="B3:B4"/>
    <mergeCell ref="F3:F4"/>
    <mergeCell ref="G3:G4"/>
    <mergeCell ref="H3:H4"/>
    <mergeCell ref="C3:C4"/>
    <mergeCell ref="D3:D4"/>
  </mergeCells>
  <phoneticPr fontId="26" type="noConversion"/>
  <pageMargins left="0.39370078740157483" right="0.39370078740157483" top="0.74803149606299213" bottom="0.74803149606299213" header="0.31496062992125984" footer="0.31496062992125984"/>
  <pageSetup paperSize="9" scale="80" orientation="portrait" r:id="rId1"/>
  <headerFooter alignWithMargins="0">
    <oddFooter>&amp;C&amp;P/&amp;N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29"/>
  <sheetViews>
    <sheetView workbookViewId="0"/>
  </sheetViews>
  <sheetFormatPr defaultRowHeight="12.75"/>
  <cols>
    <col min="1" max="1" width="5.140625" style="779" customWidth="1"/>
    <col min="2" max="2" width="22.85546875" style="779" customWidth="1"/>
    <col min="3" max="3" width="18.85546875" style="779" customWidth="1"/>
    <col min="4" max="4" width="18.42578125" style="779" customWidth="1"/>
    <col min="5" max="5" width="18.5703125" style="779" customWidth="1"/>
    <col min="6" max="6" width="14.28515625" style="779" customWidth="1"/>
    <col min="7" max="8" width="8.85546875" style="779" customWidth="1"/>
    <col min="9" max="9" width="15.42578125" style="779" customWidth="1"/>
    <col min="10" max="10" width="9.140625" style="779"/>
    <col min="11" max="11" width="9.7109375" style="779" customWidth="1"/>
    <col min="12" max="12" width="12.5703125" style="779" customWidth="1"/>
    <col min="13" max="13" width="15.42578125" style="779" customWidth="1"/>
    <col min="14" max="15" width="12" style="779" customWidth="1"/>
    <col min="16" max="16" width="24.42578125" style="779" customWidth="1"/>
    <col min="17" max="256" width="9.140625" style="779"/>
    <col min="257" max="257" width="5.140625" style="779" customWidth="1"/>
    <col min="258" max="258" width="22.85546875" style="779" customWidth="1"/>
    <col min="259" max="259" width="18.85546875" style="779" customWidth="1"/>
    <col min="260" max="260" width="18.42578125" style="779" customWidth="1"/>
    <col min="261" max="261" width="18.5703125" style="779" customWidth="1"/>
    <col min="262" max="262" width="14.28515625" style="779" customWidth="1"/>
    <col min="263" max="264" width="8.85546875" style="779" customWidth="1"/>
    <col min="265" max="265" width="15.42578125" style="779" customWidth="1"/>
    <col min="266" max="266" width="9.140625" style="779"/>
    <col min="267" max="267" width="9.7109375" style="779" customWidth="1"/>
    <col min="268" max="268" width="12.5703125" style="779" customWidth="1"/>
    <col min="269" max="269" width="15.42578125" style="779" customWidth="1"/>
    <col min="270" max="271" width="12" style="779" customWidth="1"/>
    <col min="272" max="272" width="24.42578125" style="779" customWidth="1"/>
    <col min="273" max="512" width="9.140625" style="779"/>
    <col min="513" max="513" width="5.140625" style="779" customWidth="1"/>
    <col min="514" max="514" width="22.85546875" style="779" customWidth="1"/>
    <col min="515" max="515" width="18.85546875" style="779" customWidth="1"/>
    <col min="516" max="516" width="18.42578125" style="779" customWidth="1"/>
    <col min="517" max="517" width="18.5703125" style="779" customWidth="1"/>
    <col min="518" max="518" width="14.28515625" style="779" customWidth="1"/>
    <col min="519" max="520" width="8.85546875" style="779" customWidth="1"/>
    <col min="521" max="521" width="15.42578125" style="779" customWidth="1"/>
    <col min="522" max="522" width="9.140625" style="779"/>
    <col min="523" max="523" width="9.7109375" style="779" customWidth="1"/>
    <col min="524" max="524" width="12.5703125" style="779" customWidth="1"/>
    <col min="525" max="525" width="15.42578125" style="779" customWidth="1"/>
    <col min="526" max="527" width="12" style="779" customWidth="1"/>
    <col min="528" max="528" width="24.42578125" style="779" customWidth="1"/>
    <col min="529" max="768" width="9.140625" style="779"/>
    <col min="769" max="769" width="5.140625" style="779" customWidth="1"/>
    <col min="770" max="770" width="22.85546875" style="779" customWidth="1"/>
    <col min="771" max="771" width="18.85546875" style="779" customWidth="1"/>
    <col min="772" max="772" width="18.42578125" style="779" customWidth="1"/>
    <col min="773" max="773" width="18.5703125" style="779" customWidth="1"/>
    <col min="774" max="774" width="14.28515625" style="779" customWidth="1"/>
    <col min="775" max="776" width="8.85546875" style="779" customWidth="1"/>
    <col min="777" max="777" width="15.42578125" style="779" customWidth="1"/>
    <col min="778" max="778" width="9.140625" style="779"/>
    <col min="779" max="779" width="9.7109375" style="779" customWidth="1"/>
    <col min="780" max="780" width="12.5703125" style="779" customWidth="1"/>
    <col min="781" max="781" width="15.42578125" style="779" customWidth="1"/>
    <col min="782" max="783" width="12" style="779" customWidth="1"/>
    <col min="784" max="784" width="24.42578125" style="779" customWidth="1"/>
    <col min="785" max="1024" width="9.140625" style="779"/>
    <col min="1025" max="1025" width="5.140625" style="779" customWidth="1"/>
    <col min="1026" max="1026" width="22.85546875" style="779" customWidth="1"/>
    <col min="1027" max="1027" width="18.85546875" style="779" customWidth="1"/>
    <col min="1028" max="1028" width="18.42578125" style="779" customWidth="1"/>
    <col min="1029" max="1029" width="18.5703125" style="779" customWidth="1"/>
    <col min="1030" max="1030" width="14.28515625" style="779" customWidth="1"/>
    <col min="1031" max="1032" width="8.85546875" style="779" customWidth="1"/>
    <col min="1033" max="1033" width="15.42578125" style="779" customWidth="1"/>
    <col min="1034" max="1034" width="9.140625" style="779"/>
    <col min="1035" max="1035" width="9.7109375" style="779" customWidth="1"/>
    <col min="1036" max="1036" width="12.5703125" style="779" customWidth="1"/>
    <col min="1037" max="1037" width="15.42578125" style="779" customWidth="1"/>
    <col min="1038" max="1039" width="12" style="779" customWidth="1"/>
    <col min="1040" max="1040" width="24.42578125" style="779" customWidth="1"/>
    <col min="1041" max="1280" width="9.140625" style="779"/>
    <col min="1281" max="1281" width="5.140625" style="779" customWidth="1"/>
    <col min="1282" max="1282" width="22.85546875" style="779" customWidth="1"/>
    <col min="1283" max="1283" width="18.85546875" style="779" customWidth="1"/>
    <col min="1284" max="1284" width="18.42578125" style="779" customWidth="1"/>
    <col min="1285" max="1285" width="18.5703125" style="779" customWidth="1"/>
    <col min="1286" max="1286" width="14.28515625" style="779" customWidth="1"/>
    <col min="1287" max="1288" width="8.85546875" style="779" customWidth="1"/>
    <col min="1289" max="1289" width="15.42578125" style="779" customWidth="1"/>
    <col min="1290" max="1290" width="9.140625" style="779"/>
    <col min="1291" max="1291" width="9.7109375" style="779" customWidth="1"/>
    <col min="1292" max="1292" width="12.5703125" style="779" customWidth="1"/>
    <col min="1293" max="1293" width="15.42578125" style="779" customWidth="1"/>
    <col min="1294" max="1295" width="12" style="779" customWidth="1"/>
    <col min="1296" max="1296" width="24.42578125" style="779" customWidth="1"/>
    <col min="1297" max="1536" width="9.140625" style="779"/>
    <col min="1537" max="1537" width="5.140625" style="779" customWidth="1"/>
    <col min="1538" max="1538" width="22.85546875" style="779" customWidth="1"/>
    <col min="1539" max="1539" width="18.85546875" style="779" customWidth="1"/>
    <col min="1540" max="1540" width="18.42578125" style="779" customWidth="1"/>
    <col min="1541" max="1541" width="18.5703125" style="779" customWidth="1"/>
    <col min="1542" max="1542" width="14.28515625" style="779" customWidth="1"/>
    <col min="1543" max="1544" width="8.85546875" style="779" customWidth="1"/>
    <col min="1545" max="1545" width="15.42578125" style="779" customWidth="1"/>
    <col min="1546" max="1546" width="9.140625" style="779"/>
    <col min="1547" max="1547" width="9.7109375" style="779" customWidth="1"/>
    <col min="1548" max="1548" width="12.5703125" style="779" customWidth="1"/>
    <col min="1549" max="1549" width="15.42578125" style="779" customWidth="1"/>
    <col min="1550" max="1551" width="12" style="779" customWidth="1"/>
    <col min="1552" max="1552" width="24.42578125" style="779" customWidth="1"/>
    <col min="1553" max="1792" width="9.140625" style="779"/>
    <col min="1793" max="1793" width="5.140625" style="779" customWidth="1"/>
    <col min="1794" max="1794" width="22.85546875" style="779" customWidth="1"/>
    <col min="1795" max="1795" width="18.85546875" style="779" customWidth="1"/>
    <col min="1796" max="1796" width="18.42578125" style="779" customWidth="1"/>
    <col min="1797" max="1797" width="18.5703125" style="779" customWidth="1"/>
    <col min="1798" max="1798" width="14.28515625" style="779" customWidth="1"/>
    <col min="1799" max="1800" width="8.85546875" style="779" customWidth="1"/>
    <col min="1801" max="1801" width="15.42578125" style="779" customWidth="1"/>
    <col min="1802" max="1802" width="9.140625" style="779"/>
    <col min="1803" max="1803" width="9.7109375" style="779" customWidth="1"/>
    <col min="1804" max="1804" width="12.5703125" style="779" customWidth="1"/>
    <col min="1805" max="1805" width="15.42578125" style="779" customWidth="1"/>
    <col min="1806" max="1807" width="12" style="779" customWidth="1"/>
    <col min="1808" max="1808" width="24.42578125" style="779" customWidth="1"/>
    <col min="1809" max="2048" width="9.140625" style="779"/>
    <col min="2049" max="2049" width="5.140625" style="779" customWidth="1"/>
    <col min="2050" max="2050" width="22.85546875" style="779" customWidth="1"/>
    <col min="2051" max="2051" width="18.85546875" style="779" customWidth="1"/>
    <col min="2052" max="2052" width="18.42578125" style="779" customWidth="1"/>
    <col min="2053" max="2053" width="18.5703125" style="779" customWidth="1"/>
    <col min="2054" max="2054" width="14.28515625" style="779" customWidth="1"/>
    <col min="2055" max="2056" width="8.85546875" style="779" customWidth="1"/>
    <col min="2057" max="2057" width="15.42578125" style="779" customWidth="1"/>
    <col min="2058" max="2058" width="9.140625" style="779"/>
    <col min="2059" max="2059" width="9.7109375" style="779" customWidth="1"/>
    <col min="2060" max="2060" width="12.5703125" style="779" customWidth="1"/>
    <col min="2061" max="2061" width="15.42578125" style="779" customWidth="1"/>
    <col min="2062" max="2063" width="12" style="779" customWidth="1"/>
    <col min="2064" max="2064" width="24.42578125" style="779" customWidth="1"/>
    <col min="2065" max="2304" width="9.140625" style="779"/>
    <col min="2305" max="2305" width="5.140625" style="779" customWidth="1"/>
    <col min="2306" max="2306" width="22.85546875" style="779" customWidth="1"/>
    <col min="2307" max="2307" width="18.85546875" style="779" customWidth="1"/>
    <col min="2308" max="2308" width="18.42578125" style="779" customWidth="1"/>
    <col min="2309" max="2309" width="18.5703125" style="779" customWidth="1"/>
    <col min="2310" max="2310" width="14.28515625" style="779" customWidth="1"/>
    <col min="2311" max="2312" width="8.85546875" style="779" customWidth="1"/>
    <col min="2313" max="2313" width="15.42578125" style="779" customWidth="1"/>
    <col min="2314" max="2314" width="9.140625" style="779"/>
    <col min="2315" max="2315" width="9.7109375" style="779" customWidth="1"/>
    <col min="2316" max="2316" width="12.5703125" style="779" customWidth="1"/>
    <col min="2317" max="2317" width="15.42578125" style="779" customWidth="1"/>
    <col min="2318" max="2319" width="12" style="779" customWidth="1"/>
    <col min="2320" max="2320" width="24.42578125" style="779" customWidth="1"/>
    <col min="2321" max="2560" width="9.140625" style="779"/>
    <col min="2561" max="2561" width="5.140625" style="779" customWidth="1"/>
    <col min="2562" max="2562" width="22.85546875" style="779" customWidth="1"/>
    <col min="2563" max="2563" width="18.85546875" style="779" customWidth="1"/>
    <col min="2564" max="2564" width="18.42578125" style="779" customWidth="1"/>
    <col min="2565" max="2565" width="18.5703125" style="779" customWidth="1"/>
    <col min="2566" max="2566" width="14.28515625" style="779" customWidth="1"/>
    <col min="2567" max="2568" width="8.85546875" style="779" customWidth="1"/>
    <col min="2569" max="2569" width="15.42578125" style="779" customWidth="1"/>
    <col min="2570" max="2570" width="9.140625" style="779"/>
    <col min="2571" max="2571" width="9.7109375" style="779" customWidth="1"/>
    <col min="2572" max="2572" width="12.5703125" style="779" customWidth="1"/>
    <col min="2573" max="2573" width="15.42578125" style="779" customWidth="1"/>
    <col min="2574" max="2575" width="12" style="779" customWidth="1"/>
    <col min="2576" max="2576" width="24.42578125" style="779" customWidth="1"/>
    <col min="2577" max="2816" width="9.140625" style="779"/>
    <col min="2817" max="2817" width="5.140625" style="779" customWidth="1"/>
    <col min="2818" max="2818" width="22.85546875" style="779" customWidth="1"/>
    <col min="2819" max="2819" width="18.85546875" style="779" customWidth="1"/>
    <col min="2820" max="2820" width="18.42578125" style="779" customWidth="1"/>
    <col min="2821" max="2821" width="18.5703125" style="779" customWidth="1"/>
    <col min="2822" max="2822" width="14.28515625" style="779" customWidth="1"/>
    <col min="2823" max="2824" width="8.85546875" style="779" customWidth="1"/>
    <col min="2825" max="2825" width="15.42578125" style="779" customWidth="1"/>
    <col min="2826" max="2826" width="9.140625" style="779"/>
    <col min="2827" max="2827" width="9.7109375" style="779" customWidth="1"/>
    <col min="2828" max="2828" width="12.5703125" style="779" customWidth="1"/>
    <col min="2829" max="2829" width="15.42578125" style="779" customWidth="1"/>
    <col min="2830" max="2831" width="12" style="779" customWidth="1"/>
    <col min="2832" max="2832" width="24.42578125" style="779" customWidth="1"/>
    <col min="2833" max="3072" width="9.140625" style="779"/>
    <col min="3073" max="3073" width="5.140625" style="779" customWidth="1"/>
    <col min="3074" max="3074" width="22.85546875" style="779" customWidth="1"/>
    <col min="3075" max="3075" width="18.85546875" style="779" customWidth="1"/>
    <col min="3076" max="3076" width="18.42578125" style="779" customWidth="1"/>
    <col min="3077" max="3077" width="18.5703125" style="779" customWidth="1"/>
    <col min="3078" max="3078" width="14.28515625" style="779" customWidth="1"/>
    <col min="3079" max="3080" width="8.85546875" style="779" customWidth="1"/>
    <col min="3081" max="3081" width="15.42578125" style="779" customWidth="1"/>
    <col min="3082" max="3082" width="9.140625" style="779"/>
    <col min="3083" max="3083" width="9.7109375" style="779" customWidth="1"/>
    <col min="3084" max="3084" width="12.5703125" style="779" customWidth="1"/>
    <col min="3085" max="3085" width="15.42578125" style="779" customWidth="1"/>
    <col min="3086" max="3087" width="12" style="779" customWidth="1"/>
    <col min="3088" max="3088" width="24.42578125" style="779" customWidth="1"/>
    <col min="3089" max="3328" width="9.140625" style="779"/>
    <col min="3329" max="3329" width="5.140625" style="779" customWidth="1"/>
    <col min="3330" max="3330" width="22.85546875" style="779" customWidth="1"/>
    <col min="3331" max="3331" width="18.85546875" style="779" customWidth="1"/>
    <col min="3332" max="3332" width="18.42578125" style="779" customWidth="1"/>
    <col min="3333" max="3333" width="18.5703125" style="779" customWidth="1"/>
    <col min="3334" max="3334" width="14.28515625" style="779" customWidth="1"/>
    <col min="3335" max="3336" width="8.85546875" style="779" customWidth="1"/>
    <col min="3337" max="3337" width="15.42578125" style="779" customWidth="1"/>
    <col min="3338" max="3338" width="9.140625" style="779"/>
    <col min="3339" max="3339" width="9.7109375" style="779" customWidth="1"/>
    <col min="3340" max="3340" width="12.5703125" style="779" customWidth="1"/>
    <col min="3341" max="3341" width="15.42578125" style="779" customWidth="1"/>
    <col min="3342" max="3343" width="12" style="779" customWidth="1"/>
    <col min="3344" max="3344" width="24.42578125" style="779" customWidth="1"/>
    <col min="3345" max="3584" width="9.140625" style="779"/>
    <col min="3585" max="3585" width="5.140625" style="779" customWidth="1"/>
    <col min="3586" max="3586" width="22.85546875" style="779" customWidth="1"/>
    <col min="3587" max="3587" width="18.85546875" style="779" customWidth="1"/>
    <col min="3588" max="3588" width="18.42578125" style="779" customWidth="1"/>
    <col min="3589" max="3589" width="18.5703125" style="779" customWidth="1"/>
    <col min="3590" max="3590" width="14.28515625" style="779" customWidth="1"/>
    <col min="3591" max="3592" width="8.85546875" style="779" customWidth="1"/>
    <col min="3593" max="3593" width="15.42578125" style="779" customWidth="1"/>
    <col min="3594" max="3594" width="9.140625" style="779"/>
    <col min="3595" max="3595" width="9.7109375" style="779" customWidth="1"/>
    <col min="3596" max="3596" width="12.5703125" style="779" customWidth="1"/>
    <col min="3597" max="3597" width="15.42578125" style="779" customWidth="1"/>
    <col min="3598" max="3599" width="12" style="779" customWidth="1"/>
    <col min="3600" max="3600" width="24.42578125" style="779" customWidth="1"/>
    <col min="3601" max="3840" width="9.140625" style="779"/>
    <col min="3841" max="3841" width="5.140625" style="779" customWidth="1"/>
    <col min="3842" max="3842" width="22.85546875" style="779" customWidth="1"/>
    <col min="3843" max="3843" width="18.85546875" style="779" customWidth="1"/>
    <col min="3844" max="3844" width="18.42578125" style="779" customWidth="1"/>
    <col min="3845" max="3845" width="18.5703125" style="779" customWidth="1"/>
    <col min="3846" max="3846" width="14.28515625" style="779" customWidth="1"/>
    <col min="3847" max="3848" width="8.85546875" style="779" customWidth="1"/>
    <col min="3849" max="3849" width="15.42578125" style="779" customWidth="1"/>
    <col min="3850" max="3850" width="9.140625" style="779"/>
    <col min="3851" max="3851" width="9.7109375" style="779" customWidth="1"/>
    <col min="3852" max="3852" width="12.5703125" style="779" customWidth="1"/>
    <col min="3853" max="3853" width="15.42578125" style="779" customWidth="1"/>
    <col min="3854" max="3855" width="12" style="779" customWidth="1"/>
    <col min="3856" max="3856" width="24.42578125" style="779" customWidth="1"/>
    <col min="3857" max="4096" width="9.140625" style="779"/>
    <col min="4097" max="4097" width="5.140625" style="779" customWidth="1"/>
    <col min="4098" max="4098" width="22.85546875" style="779" customWidth="1"/>
    <col min="4099" max="4099" width="18.85546875" style="779" customWidth="1"/>
    <col min="4100" max="4100" width="18.42578125" style="779" customWidth="1"/>
    <col min="4101" max="4101" width="18.5703125" style="779" customWidth="1"/>
    <col min="4102" max="4102" width="14.28515625" style="779" customWidth="1"/>
    <col min="4103" max="4104" width="8.85546875" style="779" customWidth="1"/>
    <col min="4105" max="4105" width="15.42578125" style="779" customWidth="1"/>
    <col min="4106" max="4106" width="9.140625" style="779"/>
    <col min="4107" max="4107" width="9.7109375" style="779" customWidth="1"/>
    <col min="4108" max="4108" width="12.5703125" style="779" customWidth="1"/>
    <col min="4109" max="4109" width="15.42578125" style="779" customWidth="1"/>
    <col min="4110" max="4111" width="12" style="779" customWidth="1"/>
    <col min="4112" max="4112" width="24.42578125" style="779" customWidth="1"/>
    <col min="4113" max="4352" width="9.140625" style="779"/>
    <col min="4353" max="4353" width="5.140625" style="779" customWidth="1"/>
    <col min="4354" max="4354" width="22.85546875" style="779" customWidth="1"/>
    <col min="4355" max="4355" width="18.85546875" style="779" customWidth="1"/>
    <col min="4356" max="4356" width="18.42578125" style="779" customWidth="1"/>
    <col min="4357" max="4357" width="18.5703125" style="779" customWidth="1"/>
    <col min="4358" max="4358" width="14.28515625" style="779" customWidth="1"/>
    <col min="4359" max="4360" width="8.85546875" style="779" customWidth="1"/>
    <col min="4361" max="4361" width="15.42578125" style="779" customWidth="1"/>
    <col min="4362" max="4362" width="9.140625" style="779"/>
    <col min="4363" max="4363" width="9.7109375" style="779" customWidth="1"/>
    <col min="4364" max="4364" width="12.5703125" style="779" customWidth="1"/>
    <col min="4365" max="4365" width="15.42578125" style="779" customWidth="1"/>
    <col min="4366" max="4367" width="12" style="779" customWidth="1"/>
    <col min="4368" max="4368" width="24.42578125" style="779" customWidth="1"/>
    <col min="4369" max="4608" width="9.140625" style="779"/>
    <col min="4609" max="4609" width="5.140625" style="779" customWidth="1"/>
    <col min="4610" max="4610" width="22.85546875" style="779" customWidth="1"/>
    <col min="4611" max="4611" width="18.85546875" style="779" customWidth="1"/>
    <col min="4612" max="4612" width="18.42578125" style="779" customWidth="1"/>
    <col min="4613" max="4613" width="18.5703125" style="779" customWidth="1"/>
    <col min="4614" max="4614" width="14.28515625" style="779" customWidth="1"/>
    <col min="4615" max="4616" width="8.85546875" style="779" customWidth="1"/>
    <col min="4617" max="4617" width="15.42578125" style="779" customWidth="1"/>
    <col min="4618" max="4618" width="9.140625" style="779"/>
    <col min="4619" max="4619" width="9.7109375" style="779" customWidth="1"/>
    <col min="4620" max="4620" width="12.5703125" style="779" customWidth="1"/>
    <col min="4621" max="4621" width="15.42578125" style="779" customWidth="1"/>
    <col min="4622" max="4623" width="12" style="779" customWidth="1"/>
    <col min="4624" max="4624" width="24.42578125" style="779" customWidth="1"/>
    <col min="4625" max="4864" width="9.140625" style="779"/>
    <col min="4865" max="4865" width="5.140625" style="779" customWidth="1"/>
    <col min="4866" max="4866" width="22.85546875" style="779" customWidth="1"/>
    <col min="4867" max="4867" width="18.85546875" style="779" customWidth="1"/>
    <col min="4868" max="4868" width="18.42578125" style="779" customWidth="1"/>
    <col min="4869" max="4869" width="18.5703125" style="779" customWidth="1"/>
    <col min="4870" max="4870" width="14.28515625" style="779" customWidth="1"/>
    <col min="4871" max="4872" width="8.85546875" style="779" customWidth="1"/>
    <col min="4873" max="4873" width="15.42578125" style="779" customWidth="1"/>
    <col min="4874" max="4874" width="9.140625" style="779"/>
    <col min="4875" max="4875" width="9.7109375" style="779" customWidth="1"/>
    <col min="4876" max="4876" width="12.5703125" style="779" customWidth="1"/>
    <col min="4877" max="4877" width="15.42578125" style="779" customWidth="1"/>
    <col min="4878" max="4879" width="12" style="779" customWidth="1"/>
    <col min="4880" max="4880" width="24.42578125" style="779" customWidth="1"/>
    <col min="4881" max="5120" width="9.140625" style="779"/>
    <col min="5121" max="5121" width="5.140625" style="779" customWidth="1"/>
    <col min="5122" max="5122" width="22.85546875" style="779" customWidth="1"/>
    <col min="5123" max="5123" width="18.85546875" style="779" customWidth="1"/>
    <col min="5124" max="5124" width="18.42578125" style="779" customWidth="1"/>
    <col min="5125" max="5125" width="18.5703125" style="779" customWidth="1"/>
    <col min="5126" max="5126" width="14.28515625" style="779" customWidth="1"/>
    <col min="5127" max="5128" width="8.85546875" style="779" customWidth="1"/>
    <col min="5129" max="5129" width="15.42578125" style="779" customWidth="1"/>
    <col min="5130" max="5130" width="9.140625" style="779"/>
    <col min="5131" max="5131" width="9.7109375" style="779" customWidth="1"/>
    <col min="5132" max="5132" width="12.5703125" style="779" customWidth="1"/>
    <col min="5133" max="5133" width="15.42578125" style="779" customWidth="1"/>
    <col min="5134" max="5135" width="12" style="779" customWidth="1"/>
    <col min="5136" max="5136" width="24.42578125" style="779" customWidth="1"/>
    <col min="5137" max="5376" width="9.140625" style="779"/>
    <col min="5377" max="5377" width="5.140625" style="779" customWidth="1"/>
    <col min="5378" max="5378" width="22.85546875" style="779" customWidth="1"/>
    <col min="5379" max="5379" width="18.85546875" style="779" customWidth="1"/>
    <col min="5380" max="5380" width="18.42578125" style="779" customWidth="1"/>
    <col min="5381" max="5381" width="18.5703125" style="779" customWidth="1"/>
    <col min="5382" max="5382" width="14.28515625" style="779" customWidth="1"/>
    <col min="5383" max="5384" width="8.85546875" style="779" customWidth="1"/>
    <col min="5385" max="5385" width="15.42578125" style="779" customWidth="1"/>
    <col min="5386" max="5386" width="9.140625" style="779"/>
    <col min="5387" max="5387" width="9.7109375" style="779" customWidth="1"/>
    <col min="5388" max="5388" width="12.5703125" style="779" customWidth="1"/>
    <col min="5389" max="5389" width="15.42578125" style="779" customWidth="1"/>
    <col min="5390" max="5391" width="12" style="779" customWidth="1"/>
    <col min="5392" max="5392" width="24.42578125" style="779" customWidth="1"/>
    <col min="5393" max="5632" width="9.140625" style="779"/>
    <col min="5633" max="5633" width="5.140625" style="779" customWidth="1"/>
    <col min="5634" max="5634" width="22.85546875" style="779" customWidth="1"/>
    <col min="5635" max="5635" width="18.85546875" style="779" customWidth="1"/>
    <col min="5636" max="5636" width="18.42578125" style="779" customWidth="1"/>
    <col min="5637" max="5637" width="18.5703125" style="779" customWidth="1"/>
    <col min="5638" max="5638" width="14.28515625" style="779" customWidth="1"/>
    <col min="5639" max="5640" width="8.85546875" style="779" customWidth="1"/>
    <col min="5641" max="5641" width="15.42578125" style="779" customWidth="1"/>
    <col min="5642" max="5642" width="9.140625" style="779"/>
    <col min="5643" max="5643" width="9.7109375" style="779" customWidth="1"/>
    <col min="5644" max="5644" width="12.5703125" style="779" customWidth="1"/>
    <col min="5645" max="5645" width="15.42578125" style="779" customWidth="1"/>
    <col min="5646" max="5647" width="12" style="779" customWidth="1"/>
    <col min="5648" max="5648" width="24.42578125" style="779" customWidth="1"/>
    <col min="5649" max="5888" width="9.140625" style="779"/>
    <col min="5889" max="5889" width="5.140625" style="779" customWidth="1"/>
    <col min="5890" max="5890" width="22.85546875" style="779" customWidth="1"/>
    <col min="5891" max="5891" width="18.85546875" style="779" customWidth="1"/>
    <col min="5892" max="5892" width="18.42578125" style="779" customWidth="1"/>
    <col min="5893" max="5893" width="18.5703125" style="779" customWidth="1"/>
    <col min="5894" max="5894" width="14.28515625" style="779" customWidth="1"/>
    <col min="5895" max="5896" width="8.85546875" style="779" customWidth="1"/>
    <col min="5897" max="5897" width="15.42578125" style="779" customWidth="1"/>
    <col min="5898" max="5898" width="9.140625" style="779"/>
    <col min="5899" max="5899" width="9.7109375" style="779" customWidth="1"/>
    <col min="5900" max="5900" width="12.5703125" style="779" customWidth="1"/>
    <col min="5901" max="5901" width="15.42578125" style="779" customWidth="1"/>
    <col min="5902" max="5903" width="12" style="779" customWidth="1"/>
    <col min="5904" max="5904" width="24.42578125" style="779" customWidth="1"/>
    <col min="5905" max="6144" width="9.140625" style="779"/>
    <col min="6145" max="6145" width="5.140625" style="779" customWidth="1"/>
    <col min="6146" max="6146" width="22.85546875" style="779" customWidth="1"/>
    <col min="6147" max="6147" width="18.85546875" style="779" customWidth="1"/>
    <col min="6148" max="6148" width="18.42578125" style="779" customWidth="1"/>
    <col min="6149" max="6149" width="18.5703125" style="779" customWidth="1"/>
    <col min="6150" max="6150" width="14.28515625" style="779" customWidth="1"/>
    <col min="6151" max="6152" width="8.85546875" style="779" customWidth="1"/>
    <col min="6153" max="6153" width="15.42578125" style="779" customWidth="1"/>
    <col min="6154" max="6154" width="9.140625" style="779"/>
    <col min="6155" max="6155" width="9.7109375" style="779" customWidth="1"/>
    <col min="6156" max="6156" width="12.5703125" style="779" customWidth="1"/>
    <col min="6157" max="6157" width="15.42578125" style="779" customWidth="1"/>
    <col min="6158" max="6159" width="12" style="779" customWidth="1"/>
    <col min="6160" max="6160" width="24.42578125" style="779" customWidth="1"/>
    <col min="6161" max="6400" width="9.140625" style="779"/>
    <col min="6401" max="6401" width="5.140625" style="779" customWidth="1"/>
    <col min="6402" max="6402" width="22.85546875" style="779" customWidth="1"/>
    <col min="6403" max="6403" width="18.85546875" style="779" customWidth="1"/>
    <col min="6404" max="6404" width="18.42578125" style="779" customWidth="1"/>
    <col min="6405" max="6405" width="18.5703125" style="779" customWidth="1"/>
    <col min="6406" max="6406" width="14.28515625" style="779" customWidth="1"/>
    <col min="6407" max="6408" width="8.85546875" style="779" customWidth="1"/>
    <col min="6409" max="6409" width="15.42578125" style="779" customWidth="1"/>
    <col min="6410" max="6410" width="9.140625" style="779"/>
    <col min="6411" max="6411" width="9.7109375" style="779" customWidth="1"/>
    <col min="6412" max="6412" width="12.5703125" style="779" customWidth="1"/>
    <col min="6413" max="6413" width="15.42578125" style="779" customWidth="1"/>
    <col min="6414" max="6415" width="12" style="779" customWidth="1"/>
    <col min="6416" max="6416" width="24.42578125" style="779" customWidth="1"/>
    <col min="6417" max="6656" width="9.140625" style="779"/>
    <col min="6657" max="6657" width="5.140625" style="779" customWidth="1"/>
    <col min="6658" max="6658" width="22.85546875" style="779" customWidth="1"/>
    <col min="6659" max="6659" width="18.85546875" style="779" customWidth="1"/>
    <col min="6660" max="6660" width="18.42578125" style="779" customWidth="1"/>
    <col min="6661" max="6661" width="18.5703125" style="779" customWidth="1"/>
    <col min="6662" max="6662" width="14.28515625" style="779" customWidth="1"/>
    <col min="6663" max="6664" width="8.85546875" style="779" customWidth="1"/>
    <col min="6665" max="6665" width="15.42578125" style="779" customWidth="1"/>
    <col min="6666" max="6666" width="9.140625" style="779"/>
    <col min="6667" max="6667" width="9.7109375" style="779" customWidth="1"/>
    <col min="6668" max="6668" width="12.5703125" style="779" customWidth="1"/>
    <col min="6669" max="6669" width="15.42578125" style="779" customWidth="1"/>
    <col min="6670" max="6671" width="12" style="779" customWidth="1"/>
    <col min="6672" max="6672" width="24.42578125" style="779" customWidth="1"/>
    <col min="6673" max="6912" width="9.140625" style="779"/>
    <col min="6913" max="6913" width="5.140625" style="779" customWidth="1"/>
    <col min="6914" max="6914" width="22.85546875" style="779" customWidth="1"/>
    <col min="6915" max="6915" width="18.85546875" style="779" customWidth="1"/>
    <col min="6916" max="6916" width="18.42578125" style="779" customWidth="1"/>
    <col min="6917" max="6917" width="18.5703125" style="779" customWidth="1"/>
    <col min="6918" max="6918" width="14.28515625" style="779" customWidth="1"/>
    <col min="6919" max="6920" width="8.85546875" style="779" customWidth="1"/>
    <col min="6921" max="6921" width="15.42578125" style="779" customWidth="1"/>
    <col min="6922" max="6922" width="9.140625" style="779"/>
    <col min="6923" max="6923" width="9.7109375" style="779" customWidth="1"/>
    <col min="6924" max="6924" width="12.5703125" style="779" customWidth="1"/>
    <col min="6925" max="6925" width="15.42578125" style="779" customWidth="1"/>
    <col min="6926" max="6927" width="12" style="779" customWidth="1"/>
    <col min="6928" max="6928" width="24.42578125" style="779" customWidth="1"/>
    <col min="6929" max="7168" width="9.140625" style="779"/>
    <col min="7169" max="7169" width="5.140625" style="779" customWidth="1"/>
    <col min="7170" max="7170" width="22.85546875" style="779" customWidth="1"/>
    <col min="7171" max="7171" width="18.85546875" style="779" customWidth="1"/>
    <col min="7172" max="7172" width="18.42578125" style="779" customWidth="1"/>
    <col min="7173" max="7173" width="18.5703125" style="779" customWidth="1"/>
    <col min="7174" max="7174" width="14.28515625" style="779" customWidth="1"/>
    <col min="7175" max="7176" width="8.85546875" style="779" customWidth="1"/>
    <col min="7177" max="7177" width="15.42578125" style="779" customWidth="1"/>
    <col min="7178" max="7178" width="9.140625" style="779"/>
    <col min="7179" max="7179" width="9.7109375" style="779" customWidth="1"/>
    <col min="7180" max="7180" width="12.5703125" style="779" customWidth="1"/>
    <col min="7181" max="7181" width="15.42578125" style="779" customWidth="1"/>
    <col min="7182" max="7183" width="12" style="779" customWidth="1"/>
    <col min="7184" max="7184" width="24.42578125" style="779" customWidth="1"/>
    <col min="7185" max="7424" width="9.140625" style="779"/>
    <col min="7425" max="7425" width="5.140625" style="779" customWidth="1"/>
    <col min="7426" max="7426" width="22.85546875" style="779" customWidth="1"/>
    <col min="7427" max="7427" width="18.85546875" style="779" customWidth="1"/>
    <col min="7428" max="7428" width="18.42578125" style="779" customWidth="1"/>
    <col min="7429" max="7429" width="18.5703125" style="779" customWidth="1"/>
    <col min="7430" max="7430" width="14.28515625" style="779" customWidth="1"/>
    <col min="7431" max="7432" width="8.85546875" style="779" customWidth="1"/>
    <col min="7433" max="7433" width="15.42578125" style="779" customWidth="1"/>
    <col min="7434" max="7434" width="9.140625" style="779"/>
    <col min="7435" max="7435" width="9.7109375" style="779" customWidth="1"/>
    <col min="7436" max="7436" width="12.5703125" style="779" customWidth="1"/>
    <col min="7437" max="7437" width="15.42578125" style="779" customWidth="1"/>
    <col min="7438" max="7439" width="12" style="779" customWidth="1"/>
    <col min="7440" max="7440" width="24.42578125" style="779" customWidth="1"/>
    <col min="7441" max="7680" width="9.140625" style="779"/>
    <col min="7681" max="7681" width="5.140625" style="779" customWidth="1"/>
    <col min="7682" max="7682" width="22.85546875" style="779" customWidth="1"/>
    <col min="7683" max="7683" width="18.85546875" style="779" customWidth="1"/>
    <col min="7684" max="7684" width="18.42578125" style="779" customWidth="1"/>
    <col min="7685" max="7685" width="18.5703125" style="779" customWidth="1"/>
    <col min="7686" max="7686" width="14.28515625" style="779" customWidth="1"/>
    <col min="7687" max="7688" width="8.85546875" style="779" customWidth="1"/>
    <col min="7689" max="7689" width="15.42578125" style="779" customWidth="1"/>
    <col min="7690" max="7690" width="9.140625" style="779"/>
    <col min="7691" max="7691" width="9.7109375" style="779" customWidth="1"/>
    <col min="7692" max="7692" width="12.5703125" style="779" customWidth="1"/>
    <col min="7693" max="7693" width="15.42578125" style="779" customWidth="1"/>
    <col min="7694" max="7695" width="12" style="779" customWidth="1"/>
    <col min="7696" max="7696" width="24.42578125" style="779" customWidth="1"/>
    <col min="7697" max="7936" width="9.140625" style="779"/>
    <col min="7937" max="7937" width="5.140625" style="779" customWidth="1"/>
    <col min="7938" max="7938" width="22.85546875" style="779" customWidth="1"/>
    <col min="7939" max="7939" width="18.85546875" style="779" customWidth="1"/>
    <col min="7940" max="7940" width="18.42578125" style="779" customWidth="1"/>
    <col min="7941" max="7941" width="18.5703125" style="779" customWidth="1"/>
    <col min="7942" max="7942" width="14.28515625" style="779" customWidth="1"/>
    <col min="7943" max="7944" width="8.85546875" style="779" customWidth="1"/>
    <col min="7945" max="7945" width="15.42578125" style="779" customWidth="1"/>
    <col min="7946" max="7946" width="9.140625" style="779"/>
    <col min="7947" max="7947" width="9.7109375" style="779" customWidth="1"/>
    <col min="7948" max="7948" width="12.5703125" style="779" customWidth="1"/>
    <col min="7949" max="7949" width="15.42578125" style="779" customWidth="1"/>
    <col min="7950" max="7951" width="12" style="779" customWidth="1"/>
    <col min="7952" max="7952" width="24.42578125" style="779" customWidth="1"/>
    <col min="7953" max="8192" width="9.140625" style="779"/>
    <col min="8193" max="8193" width="5.140625" style="779" customWidth="1"/>
    <col min="8194" max="8194" width="22.85546875" style="779" customWidth="1"/>
    <col min="8195" max="8195" width="18.85546875" style="779" customWidth="1"/>
    <col min="8196" max="8196" width="18.42578125" style="779" customWidth="1"/>
    <col min="8197" max="8197" width="18.5703125" style="779" customWidth="1"/>
    <col min="8198" max="8198" width="14.28515625" style="779" customWidth="1"/>
    <col min="8199" max="8200" width="8.85546875" style="779" customWidth="1"/>
    <col min="8201" max="8201" width="15.42578125" style="779" customWidth="1"/>
    <col min="8202" max="8202" width="9.140625" style="779"/>
    <col min="8203" max="8203" width="9.7109375" style="779" customWidth="1"/>
    <col min="8204" max="8204" width="12.5703125" style="779" customWidth="1"/>
    <col min="8205" max="8205" width="15.42578125" style="779" customWidth="1"/>
    <col min="8206" max="8207" width="12" style="779" customWidth="1"/>
    <col min="8208" max="8208" width="24.42578125" style="779" customWidth="1"/>
    <col min="8209" max="8448" width="9.140625" style="779"/>
    <col min="8449" max="8449" width="5.140625" style="779" customWidth="1"/>
    <col min="8450" max="8450" width="22.85546875" style="779" customWidth="1"/>
    <col min="8451" max="8451" width="18.85546875" style="779" customWidth="1"/>
    <col min="8452" max="8452" width="18.42578125" style="779" customWidth="1"/>
    <col min="8453" max="8453" width="18.5703125" style="779" customWidth="1"/>
    <col min="8454" max="8454" width="14.28515625" style="779" customWidth="1"/>
    <col min="8455" max="8456" width="8.85546875" style="779" customWidth="1"/>
    <col min="8457" max="8457" width="15.42578125" style="779" customWidth="1"/>
    <col min="8458" max="8458" width="9.140625" style="779"/>
    <col min="8459" max="8459" width="9.7109375" style="779" customWidth="1"/>
    <col min="8460" max="8460" width="12.5703125" style="779" customWidth="1"/>
    <col min="8461" max="8461" width="15.42578125" style="779" customWidth="1"/>
    <col min="8462" max="8463" width="12" style="779" customWidth="1"/>
    <col min="8464" max="8464" width="24.42578125" style="779" customWidth="1"/>
    <col min="8465" max="8704" width="9.140625" style="779"/>
    <col min="8705" max="8705" width="5.140625" style="779" customWidth="1"/>
    <col min="8706" max="8706" width="22.85546875" style="779" customWidth="1"/>
    <col min="8707" max="8707" width="18.85546875" style="779" customWidth="1"/>
    <col min="8708" max="8708" width="18.42578125" style="779" customWidth="1"/>
    <col min="8709" max="8709" width="18.5703125" style="779" customWidth="1"/>
    <col min="8710" max="8710" width="14.28515625" style="779" customWidth="1"/>
    <col min="8711" max="8712" width="8.85546875" style="779" customWidth="1"/>
    <col min="8713" max="8713" width="15.42578125" style="779" customWidth="1"/>
    <col min="8714" max="8714" width="9.140625" style="779"/>
    <col min="8715" max="8715" width="9.7109375" style="779" customWidth="1"/>
    <col min="8716" max="8716" width="12.5703125" style="779" customWidth="1"/>
    <col min="8717" max="8717" width="15.42578125" style="779" customWidth="1"/>
    <col min="8718" max="8719" width="12" style="779" customWidth="1"/>
    <col min="8720" max="8720" width="24.42578125" style="779" customWidth="1"/>
    <col min="8721" max="8960" width="9.140625" style="779"/>
    <col min="8961" max="8961" width="5.140625" style="779" customWidth="1"/>
    <col min="8962" max="8962" width="22.85546875" style="779" customWidth="1"/>
    <col min="8963" max="8963" width="18.85546875" style="779" customWidth="1"/>
    <col min="8964" max="8964" width="18.42578125" style="779" customWidth="1"/>
    <col min="8965" max="8965" width="18.5703125" style="779" customWidth="1"/>
    <col min="8966" max="8966" width="14.28515625" style="779" customWidth="1"/>
    <col min="8967" max="8968" width="8.85546875" style="779" customWidth="1"/>
    <col min="8969" max="8969" width="15.42578125" style="779" customWidth="1"/>
    <col min="8970" max="8970" width="9.140625" style="779"/>
    <col min="8971" max="8971" width="9.7109375" style="779" customWidth="1"/>
    <col min="8972" max="8972" width="12.5703125" style="779" customWidth="1"/>
    <col min="8973" max="8973" width="15.42578125" style="779" customWidth="1"/>
    <col min="8974" max="8975" width="12" style="779" customWidth="1"/>
    <col min="8976" max="8976" width="24.42578125" style="779" customWidth="1"/>
    <col min="8977" max="9216" width="9.140625" style="779"/>
    <col min="9217" max="9217" width="5.140625" style="779" customWidth="1"/>
    <col min="9218" max="9218" width="22.85546875" style="779" customWidth="1"/>
    <col min="9219" max="9219" width="18.85546875" style="779" customWidth="1"/>
    <col min="9220" max="9220" width="18.42578125" style="779" customWidth="1"/>
    <col min="9221" max="9221" width="18.5703125" style="779" customWidth="1"/>
    <col min="9222" max="9222" width="14.28515625" style="779" customWidth="1"/>
    <col min="9223" max="9224" width="8.85546875" style="779" customWidth="1"/>
    <col min="9225" max="9225" width="15.42578125" style="779" customWidth="1"/>
    <col min="9226" max="9226" width="9.140625" style="779"/>
    <col min="9227" max="9227" width="9.7109375" style="779" customWidth="1"/>
    <col min="9228" max="9228" width="12.5703125" style="779" customWidth="1"/>
    <col min="9229" max="9229" width="15.42578125" style="779" customWidth="1"/>
    <col min="9230" max="9231" width="12" style="779" customWidth="1"/>
    <col min="9232" max="9232" width="24.42578125" style="779" customWidth="1"/>
    <col min="9233" max="9472" width="9.140625" style="779"/>
    <col min="9473" max="9473" width="5.140625" style="779" customWidth="1"/>
    <col min="9474" max="9474" width="22.85546875" style="779" customWidth="1"/>
    <col min="9475" max="9475" width="18.85546875" style="779" customWidth="1"/>
    <col min="9476" max="9476" width="18.42578125" style="779" customWidth="1"/>
    <col min="9477" max="9477" width="18.5703125" style="779" customWidth="1"/>
    <col min="9478" max="9478" width="14.28515625" style="779" customWidth="1"/>
    <col min="9479" max="9480" width="8.85546875" style="779" customWidth="1"/>
    <col min="9481" max="9481" width="15.42578125" style="779" customWidth="1"/>
    <col min="9482" max="9482" width="9.140625" style="779"/>
    <col min="9483" max="9483" width="9.7109375" style="779" customWidth="1"/>
    <col min="9484" max="9484" width="12.5703125" style="779" customWidth="1"/>
    <col min="9485" max="9485" width="15.42578125" style="779" customWidth="1"/>
    <col min="9486" max="9487" width="12" style="779" customWidth="1"/>
    <col min="9488" max="9488" width="24.42578125" style="779" customWidth="1"/>
    <col min="9489" max="9728" width="9.140625" style="779"/>
    <col min="9729" max="9729" width="5.140625" style="779" customWidth="1"/>
    <col min="9730" max="9730" width="22.85546875" style="779" customWidth="1"/>
    <col min="9731" max="9731" width="18.85546875" style="779" customWidth="1"/>
    <col min="9732" max="9732" width="18.42578125" style="779" customWidth="1"/>
    <col min="9733" max="9733" width="18.5703125" style="779" customWidth="1"/>
    <col min="9734" max="9734" width="14.28515625" style="779" customWidth="1"/>
    <col min="9735" max="9736" width="8.85546875" style="779" customWidth="1"/>
    <col min="9737" max="9737" width="15.42578125" style="779" customWidth="1"/>
    <col min="9738" max="9738" width="9.140625" style="779"/>
    <col min="9739" max="9739" width="9.7109375" style="779" customWidth="1"/>
    <col min="9740" max="9740" width="12.5703125" style="779" customWidth="1"/>
    <col min="9741" max="9741" width="15.42578125" style="779" customWidth="1"/>
    <col min="9742" max="9743" width="12" style="779" customWidth="1"/>
    <col min="9744" max="9744" width="24.42578125" style="779" customWidth="1"/>
    <col min="9745" max="9984" width="9.140625" style="779"/>
    <col min="9985" max="9985" width="5.140625" style="779" customWidth="1"/>
    <col min="9986" max="9986" width="22.85546875" style="779" customWidth="1"/>
    <col min="9987" max="9987" width="18.85546875" style="779" customWidth="1"/>
    <col min="9988" max="9988" width="18.42578125" style="779" customWidth="1"/>
    <col min="9989" max="9989" width="18.5703125" style="779" customWidth="1"/>
    <col min="9990" max="9990" width="14.28515625" style="779" customWidth="1"/>
    <col min="9991" max="9992" width="8.85546875" style="779" customWidth="1"/>
    <col min="9993" max="9993" width="15.42578125" style="779" customWidth="1"/>
    <col min="9994" max="9994" width="9.140625" style="779"/>
    <col min="9995" max="9995" width="9.7109375" style="779" customWidth="1"/>
    <col min="9996" max="9996" width="12.5703125" style="779" customWidth="1"/>
    <col min="9997" max="9997" width="15.42578125" style="779" customWidth="1"/>
    <col min="9998" max="9999" width="12" style="779" customWidth="1"/>
    <col min="10000" max="10000" width="24.42578125" style="779" customWidth="1"/>
    <col min="10001" max="10240" width="9.140625" style="779"/>
    <col min="10241" max="10241" width="5.140625" style="779" customWidth="1"/>
    <col min="10242" max="10242" width="22.85546875" style="779" customWidth="1"/>
    <col min="10243" max="10243" width="18.85546875" style="779" customWidth="1"/>
    <col min="10244" max="10244" width="18.42578125" style="779" customWidth="1"/>
    <col min="10245" max="10245" width="18.5703125" style="779" customWidth="1"/>
    <col min="10246" max="10246" width="14.28515625" style="779" customWidth="1"/>
    <col min="10247" max="10248" width="8.85546875" style="779" customWidth="1"/>
    <col min="10249" max="10249" width="15.42578125" style="779" customWidth="1"/>
    <col min="10250" max="10250" width="9.140625" style="779"/>
    <col min="10251" max="10251" width="9.7109375" style="779" customWidth="1"/>
    <col min="10252" max="10252" width="12.5703125" style="779" customWidth="1"/>
    <col min="10253" max="10253" width="15.42578125" style="779" customWidth="1"/>
    <col min="10254" max="10255" width="12" style="779" customWidth="1"/>
    <col min="10256" max="10256" width="24.42578125" style="779" customWidth="1"/>
    <col min="10257" max="10496" width="9.140625" style="779"/>
    <col min="10497" max="10497" width="5.140625" style="779" customWidth="1"/>
    <col min="10498" max="10498" width="22.85546875" style="779" customWidth="1"/>
    <col min="10499" max="10499" width="18.85546875" style="779" customWidth="1"/>
    <col min="10500" max="10500" width="18.42578125" style="779" customWidth="1"/>
    <col min="10501" max="10501" width="18.5703125" style="779" customWidth="1"/>
    <col min="10502" max="10502" width="14.28515625" style="779" customWidth="1"/>
    <col min="10503" max="10504" width="8.85546875" style="779" customWidth="1"/>
    <col min="10505" max="10505" width="15.42578125" style="779" customWidth="1"/>
    <col min="10506" max="10506" width="9.140625" style="779"/>
    <col min="10507" max="10507" width="9.7109375" style="779" customWidth="1"/>
    <col min="10508" max="10508" width="12.5703125" style="779" customWidth="1"/>
    <col min="10509" max="10509" width="15.42578125" style="779" customWidth="1"/>
    <col min="10510" max="10511" width="12" style="779" customWidth="1"/>
    <col min="10512" max="10512" width="24.42578125" style="779" customWidth="1"/>
    <col min="10513" max="10752" width="9.140625" style="779"/>
    <col min="10753" max="10753" width="5.140625" style="779" customWidth="1"/>
    <col min="10754" max="10754" width="22.85546875" style="779" customWidth="1"/>
    <col min="10755" max="10755" width="18.85546875" style="779" customWidth="1"/>
    <col min="10756" max="10756" width="18.42578125" style="779" customWidth="1"/>
    <col min="10757" max="10757" width="18.5703125" style="779" customWidth="1"/>
    <col min="10758" max="10758" width="14.28515625" style="779" customWidth="1"/>
    <col min="10759" max="10760" width="8.85546875" style="779" customWidth="1"/>
    <col min="10761" max="10761" width="15.42578125" style="779" customWidth="1"/>
    <col min="10762" max="10762" width="9.140625" style="779"/>
    <col min="10763" max="10763" width="9.7109375" style="779" customWidth="1"/>
    <col min="10764" max="10764" width="12.5703125" style="779" customWidth="1"/>
    <col min="10765" max="10765" width="15.42578125" style="779" customWidth="1"/>
    <col min="10766" max="10767" width="12" style="779" customWidth="1"/>
    <col min="10768" max="10768" width="24.42578125" style="779" customWidth="1"/>
    <col min="10769" max="11008" width="9.140625" style="779"/>
    <col min="11009" max="11009" width="5.140625" style="779" customWidth="1"/>
    <col min="11010" max="11010" width="22.85546875" style="779" customWidth="1"/>
    <col min="11011" max="11011" width="18.85546875" style="779" customWidth="1"/>
    <col min="11012" max="11012" width="18.42578125" style="779" customWidth="1"/>
    <col min="11013" max="11013" width="18.5703125" style="779" customWidth="1"/>
    <col min="11014" max="11014" width="14.28515625" style="779" customWidth="1"/>
    <col min="11015" max="11016" width="8.85546875" style="779" customWidth="1"/>
    <col min="11017" max="11017" width="15.42578125" style="779" customWidth="1"/>
    <col min="11018" max="11018" width="9.140625" style="779"/>
    <col min="11019" max="11019" width="9.7109375" style="779" customWidth="1"/>
    <col min="11020" max="11020" width="12.5703125" style="779" customWidth="1"/>
    <col min="11021" max="11021" width="15.42578125" style="779" customWidth="1"/>
    <col min="11022" max="11023" width="12" style="779" customWidth="1"/>
    <col min="11024" max="11024" width="24.42578125" style="779" customWidth="1"/>
    <col min="11025" max="11264" width="9.140625" style="779"/>
    <col min="11265" max="11265" width="5.140625" style="779" customWidth="1"/>
    <col min="11266" max="11266" width="22.85546875" style="779" customWidth="1"/>
    <col min="11267" max="11267" width="18.85546875" style="779" customWidth="1"/>
    <col min="11268" max="11268" width="18.42578125" style="779" customWidth="1"/>
    <col min="11269" max="11269" width="18.5703125" style="779" customWidth="1"/>
    <col min="11270" max="11270" width="14.28515625" style="779" customWidth="1"/>
    <col min="11271" max="11272" width="8.85546875" style="779" customWidth="1"/>
    <col min="11273" max="11273" width="15.42578125" style="779" customWidth="1"/>
    <col min="11274" max="11274" width="9.140625" style="779"/>
    <col min="11275" max="11275" width="9.7109375" style="779" customWidth="1"/>
    <col min="11276" max="11276" width="12.5703125" style="779" customWidth="1"/>
    <col min="11277" max="11277" width="15.42578125" style="779" customWidth="1"/>
    <col min="11278" max="11279" width="12" style="779" customWidth="1"/>
    <col min="11280" max="11280" width="24.42578125" style="779" customWidth="1"/>
    <col min="11281" max="11520" width="9.140625" style="779"/>
    <col min="11521" max="11521" width="5.140625" style="779" customWidth="1"/>
    <col min="11522" max="11522" width="22.85546875" style="779" customWidth="1"/>
    <col min="11523" max="11523" width="18.85546875" style="779" customWidth="1"/>
    <col min="11524" max="11524" width="18.42578125" style="779" customWidth="1"/>
    <col min="11525" max="11525" width="18.5703125" style="779" customWidth="1"/>
    <col min="11526" max="11526" width="14.28515625" style="779" customWidth="1"/>
    <col min="11527" max="11528" width="8.85546875" style="779" customWidth="1"/>
    <col min="11529" max="11529" width="15.42578125" style="779" customWidth="1"/>
    <col min="11530" max="11530" width="9.140625" style="779"/>
    <col min="11531" max="11531" width="9.7109375" style="779" customWidth="1"/>
    <col min="11532" max="11532" width="12.5703125" style="779" customWidth="1"/>
    <col min="11533" max="11533" width="15.42578125" style="779" customWidth="1"/>
    <col min="11534" max="11535" width="12" style="779" customWidth="1"/>
    <col min="11536" max="11536" width="24.42578125" style="779" customWidth="1"/>
    <col min="11537" max="11776" width="9.140625" style="779"/>
    <col min="11777" max="11777" width="5.140625" style="779" customWidth="1"/>
    <col min="11778" max="11778" width="22.85546875" style="779" customWidth="1"/>
    <col min="11779" max="11779" width="18.85546875" style="779" customWidth="1"/>
    <col min="11780" max="11780" width="18.42578125" style="779" customWidth="1"/>
    <col min="11781" max="11781" width="18.5703125" style="779" customWidth="1"/>
    <col min="11782" max="11782" width="14.28515625" style="779" customWidth="1"/>
    <col min="11783" max="11784" width="8.85546875" style="779" customWidth="1"/>
    <col min="11785" max="11785" width="15.42578125" style="779" customWidth="1"/>
    <col min="11786" max="11786" width="9.140625" style="779"/>
    <col min="11787" max="11787" width="9.7109375" style="779" customWidth="1"/>
    <col min="11788" max="11788" width="12.5703125" style="779" customWidth="1"/>
    <col min="11789" max="11789" width="15.42578125" style="779" customWidth="1"/>
    <col min="11790" max="11791" width="12" style="779" customWidth="1"/>
    <col min="11792" max="11792" width="24.42578125" style="779" customWidth="1"/>
    <col min="11793" max="12032" width="9.140625" style="779"/>
    <col min="12033" max="12033" width="5.140625" style="779" customWidth="1"/>
    <col min="12034" max="12034" width="22.85546875" style="779" customWidth="1"/>
    <col min="12035" max="12035" width="18.85546875" style="779" customWidth="1"/>
    <col min="12036" max="12036" width="18.42578125" style="779" customWidth="1"/>
    <col min="12037" max="12037" width="18.5703125" style="779" customWidth="1"/>
    <col min="12038" max="12038" width="14.28515625" style="779" customWidth="1"/>
    <col min="12039" max="12040" width="8.85546875" style="779" customWidth="1"/>
    <col min="12041" max="12041" width="15.42578125" style="779" customWidth="1"/>
    <col min="12042" max="12042" width="9.140625" style="779"/>
    <col min="12043" max="12043" width="9.7109375" style="779" customWidth="1"/>
    <col min="12044" max="12044" width="12.5703125" style="779" customWidth="1"/>
    <col min="12045" max="12045" width="15.42578125" style="779" customWidth="1"/>
    <col min="12046" max="12047" width="12" style="779" customWidth="1"/>
    <col min="12048" max="12048" width="24.42578125" style="779" customWidth="1"/>
    <col min="12049" max="12288" width="9.140625" style="779"/>
    <col min="12289" max="12289" width="5.140625" style="779" customWidth="1"/>
    <col min="12290" max="12290" width="22.85546875" style="779" customWidth="1"/>
    <col min="12291" max="12291" width="18.85546875" style="779" customWidth="1"/>
    <col min="12292" max="12292" width="18.42578125" style="779" customWidth="1"/>
    <col min="12293" max="12293" width="18.5703125" style="779" customWidth="1"/>
    <col min="12294" max="12294" width="14.28515625" style="779" customWidth="1"/>
    <col min="12295" max="12296" width="8.85546875" style="779" customWidth="1"/>
    <col min="12297" max="12297" width="15.42578125" style="779" customWidth="1"/>
    <col min="12298" max="12298" width="9.140625" style="779"/>
    <col min="12299" max="12299" width="9.7109375" style="779" customWidth="1"/>
    <col min="12300" max="12300" width="12.5703125" style="779" customWidth="1"/>
    <col min="12301" max="12301" width="15.42578125" style="779" customWidth="1"/>
    <col min="12302" max="12303" width="12" style="779" customWidth="1"/>
    <col min="12304" max="12304" width="24.42578125" style="779" customWidth="1"/>
    <col min="12305" max="12544" width="9.140625" style="779"/>
    <col min="12545" max="12545" width="5.140625" style="779" customWidth="1"/>
    <col min="12546" max="12546" width="22.85546875" style="779" customWidth="1"/>
    <col min="12547" max="12547" width="18.85546875" style="779" customWidth="1"/>
    <col min="12548" max="12548" width="18.42578125" style="779" customWidth="1"/>
    <col min="12549" max="12549" width="18.5703125" style="779" customWidth="1"/>
    <col min="12550" max="12550" width="14.28515625" style="779" customWidth="1"/>
    <col min="12551" max="12552" width="8.85546875" style="779" customWidth="1"/>
    <col min="12553" max="12553" width="15.42578125" style="779" customWidth="1"/>
    <col min="12554" max="12554" width="9.140625" style="779"/>
    <col min="12555" max="12555" width="9.7109375" style="779" customWidth="1"/>
    <col min="12556" max="12556" width="12.5703125" style="779" customWidth="1"/>
    <col min="12557" max="12557" width="15.42578125" style="779" customWidth="1"/>
    <col min="12558" max="12559" width="12" style="779" customWidth="1"/>
    <col min="12560" max="12560" width="24.42578125" style="779" customWidth="1"/>
    <col min="12561" max="12800" width="9.140625" style="779"/>
    <col min="12801" max="12801" width="5.140625" style="779" customWidth="1"/>
    <col min="12802" max="12802" width="22.85546875" style="779" customWidth="1"/>
    <col min="12803" max="12803" width="18.85546875" style="779" customWidth="1"/>
    <col min="12804" max="12804" width="18.42578125" style="779" customWidth="1"/>
    <col min="12805" max="12805" width="18.5703125" style="779" customWidth="1"/>
    <col min="12806" max="12806" width="14.28515625" style="779" customWidth="1"/>
    <col min="12807" max="12808" width="8.85546875" style="779" customWidth="1"/>
    <col min="12809" max="12809" width="15.42578125" style="779" customWidth="1"/>
    <col min="12810" max="12810" width="9.140625" style="779"/>
    <col min="12811" max="12811" width="9.7109375" style="779" customWidth="1"/>
    <col min="12812" max="12812" width="12.5703125" style="779" customWidth="1"/>
    <col min="12813" max="12813" width="15.42578125" style="779" customWidth="1"/>
    <col min="12814" max="12815" width="12" style="779" customWidth="1"/>
    <col min="12816" max="12816" width="24.42578125" style="779" customWidth="1"/>
    <col min="12817" max="13056" width="9.140625" style="779"/>
    <col min="13057" max="13057" width="5.140625" style="779" customWidth="1"/>
    <col min="13058" max="13058" width="22.85546875" style="779" customWidth="1"/>
    <col min="13059" max="13059" width="18.85546875" style="779" customWidth="1"/>
    <col min="13060" max="13060" width="18.42578125" style="779" customWidth="1"/>
    <col min="13061" max="13061" width="18.5703125" style="779" customWidth="1"/>
    <col min="13062" max="13062" width="14.28515625" style="779" customWidth="1"/>
    <col min="13063" max="13064" width="8.85546875" style="779" customWidth="1"/>
    <col min="13065" max="13065" width="15.42578125" style="779" customWidth="1"/>
    <col min="13066" max="13066" width="9.140625" style="779"/>
    <col min="13067" max="13067" width="9.7109375" style="779" customWidth="1"/>
    <col min="13068" max="13068" width="12.5703125" style="779" customWidth="1"/>
    <col min="13069" max="13069" width="15.42578125" style="779" customWidth="1"/>
    <col min="13070" max="13071" width="12" style="779" customWidth="1"/>
    <col min="13072" max="13072" width="24.42578125" style="779" customWidth="1"/>
    <col min="13073" max="13312" width="9.140625" style="779"/>
    <col min="13313" max="13313" width="5.140625" style="779" customWidth="1"/>
    <col min="13314" max="13314" width="22.85546875" style="779" customWidth="1"/>
    <col min="13315" max="13315" width="18.85546875" style="779" customWidth="1"/>
    <col min="13316" max="13316" width="18.42578125" style="779" customWidth="1"/>
    <col min="13317" max="13317" width="18.5703125" style="779" customWidth="1"/>
    <col min="13318" max="13318" width="14.28515625" style="779" customWidth="1"/>
    <col min="13319" max="13320" width="8.85546875" style="779" customWidth="1"/>
    <col min="13321" max="13321" width="15.42578125" style="779" customWidth="1"/>
    <col min="13322" max="13322" width="9.140625" style="779"/>
    <col min="13323" max="13323" width="9.7109375" style="779" customWidth="1"/>
    <col min="13324" max="13324" width="12.5703125" style="779" customWidth="1"/>
    <col min="13325" max="13325" width="15.42578125" style="779" customWidth="1"/>
    <col min="13326" max="13327" width="12" style="779" customWidth="1"/>
    <col min="13328" max="13328" width="24.42578125" style="779" customWidth="1"/>
    <col min="13329" max="13568" width="9.140625" style="779"/>
    <col min="13569" max="13569" width="5.140625" style="779" customWidth="1"/>
    <col min="13570" max="13570" width="22.85546875" style="779" customWidth="1"/>
    <col min="13571" max="13571" width="18.85546875" style="779" customWidth="1"/>
    <col min="13572" max="13572" width="18.42578125" style="779" customWidth="1"/>
    <col min="13573" max="13573" width="18.5703125" style="779" customWidth="1"/>
    <col min="13574" max="13574" width="14.28515625" style="779" customWidth="1"/>
    <col min="13575" max="13576" width="8.85546875" style="779" customWidth="1"/>
    <col min="13577" max="13577" width="15.42578125" style="779" customWidth="1"/>
    <col min="13578" max="13578" width="9.140625" style="779"/>
    <col min="13579" max="13579" width="9.7109375" style="779" customWidth="1"/>
    <col min="13580" max="13580" width="12.5703125" style="779" customWidth="1"/>
    <col min="13581" max="13581" width="15.42578125" style="779" customWidth="1"/>
    <col min="13582" max="13583" width="12" style="779" customWidth="1"/>
    <col min="13584" max="13584" width="24.42578125" style="779" customWidth="1"/>
    <col min="13585" max="13824" width="9.140625" style="779"/>
    <col min="13825" max="13825" width="5.140625" style="779" customWidth="1"/>
    <col min="13826" max="13826" width="22.85546875" style="779" customWidth="1"/>
    <col min="13827" max="13827" width="18.85546875" style="779" customWidth="1"/>
    <col min="13828" max="13828" width="18.42578125" style="779" customWidth="1"/>
    <col min="13829" max="13829" width="18.5703125" style="779" customWidth="1"/>
    <col min="13830" max="13830" width="14.28515625" style="779" customWidth="1"/>
    <col min="13831" max="13832" width="8.85546875" style="779" customWidth="1"/>
    <col min="13833" max="13833" width="15.42578125" style="779" customWidth="1"/>
    <col min="13834" max="13834" width="9.140625" style="779"/>
    <col min="13835" max="13835" width="9.7109375" style="779" customWidth="1"/>
    <col min="13836" max="13836" width="12.5703125" style="779" customWidth="1"/>
    <col min="13837" max="13837" width="15.42578125" style="779" customWidth="1"/>
    <col min="13838" max="13839" width="12" style="779" customWidth="1"/>
    <col min="13840" max="13840" width="24.42578125" style="779" customWidth="1"/>
    <col min="13841" max="14080" width="9.140625" style="779"/>
    <col min="14081" max="14081" width="5.140625" style="779" customWidth="1"/>
    <col min="14082" max="14082" width="22.85546875" style="779" customWidth="1"/>
    <col min="14083" max="14083" width="18.85546875" style="779" customWidth="1"/>
    <col min="14084" max="14084" width="18.42578125" style="779" customWidth="1"/>
    <col min="14085" max="14085" width="18.5703125" style="779" customWidth="1"/>
    <col min="14086" max="14086" width="14.28515625" style="779" customWidth="1"/>
    <col min="14087" max="14088" width="8.85546875" style="779" customWidth="1"/>
    <col min="14089" max="14089" width="15.42578125" style="779" customWidth="1"/>
    <col min="14090" max="14090" width="9.140625" style="779"/>
    <col min="14091" max="14091" width="9.7109375" style="779" customWidth="1"/>
    <col min="14092" max="14092" width="12.5703125" style="779" customWidth="1"/>
    <col min="14093" max="14093" width="15.42578125" style="779" customWidth="1"/>
    <col min="14094" max="14095" width="12" style="779" customWidth="1"/>
    <col min="14096" max="14096" width="24.42578125" style="779" customWidth="1"/>
    <col min="14097" max="14336" width="9.140625" style="779"/>
    <col min="14337" max="14337" width="5.140625" style="779" customWidth="1"/>
    <col min="14338" max="14338" width="22.85546875" style="779" customWidth="1"/>
    <col min="14339" max="14339" width="18.85546875" style="779" customWidth="1"/>
    <col min="14340" max="14340" width="18.42578125" style="779" customWidth="1"/>
    <col min="14341" max="14341" width="18.5703125" style="779" customWidth="1"/>
    <col min="14342" max="14342" width="14.28515625" style="779" customWidth="1"/>
    <col min="14343" max="14344" width="8.85546875" style="779" customWidth="1"/>
    <col min="14345" max="14345" width="15.42578125" style="779" customWidth="1"/>
    <col min="14346" max="14346" width="9.140625" style="779"/>
    <col min="14347" max="14347" width="9.7109375" style="779" customWidth="1"/>
    <col min="14348" max="14348" width="12.5703125" style="779" customWidth="1"/>
    <col min="14349" max="14349" width="15.42578125" style="779" customWidth="1"/>
    <col min="14350" max="14351" width="12" style="779" customWidth="1"/>
    <col min="14352" max="14352" width="24.42578125" style="779" customWidth="1"/>
    <col min="14353" max="14592" width="9.140625" style="779"/>
    <col min="14593" max="14593" width="5.140625" style="779" customWidth="1"/>
    <col min="14594" max="14594" width="22.85546875" style="779" customWidth="1"/>
    <col min="14595" max="14595" width="18.85546875" style="779" customWidth="1"/>
    <col min="14596" max="14596" width="18.42578125" style="779" customWidth="1"/>
    <col min="14597" max="14597" width="18.5703125" style="779" customWidth="1"/>
    <col min="14598" max="14598" width="14.28515625" style="779" customWidth="1"/>
    <col min="14599" max="14600" width="8.85546875" style="779" customWidth="1"/>
    <col min="14601" max="14601" width="15.42578125" style="779" customWidth="1"/>
    <col min="14602" max="14602" width="9.140625" style="779"/>
    <col min="14603" max="14603" width="9.7109375" style="779" customWidth="1"/>
    <col min="14604" max="14604" width="12.5703125" style="779" customWidth="1"/>
    <col min="14605" max="14605" width="15.42578125" style="779" customWidth="1"/>
    <col min="14606" max="14607" width="12" style="779" customWidth="1"/>
    <col min="14608" max="14608" width="24.42578125" style="779" customWidth="1"/>
    <col min="14609" max="14848" width="9.140625" style="779"/>
    <col min="14849" max="14849" width="5.140625" style="779" customWidth="1"/>
    <col min="14850" max="14850" width="22.85546875" style="779" customWidth="1"/>
    <col min="14851" max="14851" width="18.85546875" style="779" customWidth="1"/>
    <col min="14852" max="14852" width="18.42578125" style="779" customWidth="1"/>
    <col min="14853" max="14853" width="18.5703125" style="779" customWidth="1"/>
    <col min="14854" max="14854" width="14.28515625" style="779" customWidth="1"/>
    <col min="14855" max="14856" width="8.85546875" style="779" customWidth="1"/>
    <col min="14857" max="14857" width="15.42578125" style="779" customWidth="1"/>
    <col min="14858" max="14858" width="9.140625" style="779"/>
    <col min="14859" max="14859" width="9.7109375" style="779" customWidth="1"/>
    <col min="14860" max="14860" width="12.5703125" style="779" customWidth="1"/>
    <col min="14861" max="14861" width="15.42578125" style="779" customWidth="1"/>
    <col min="14862" max="14863" width="12" style="779" customWidth="1"/>
    <col min="14864" max="14864" width="24.42578125" style="779" customWidth="1"/>
    <col min="14865" max="15104" width="9.140625" style="779"/>
    <col min="15105" max="15105" width="5.140625" style="779" customWidth="1"/>
    <col min="15106" max="15106" width="22.85546875" style="779" customWidth="1"/>
    <col min="15107" max="15107" width="18.85546875" style="779" customWidth="1"/>
    <col min="15108" max="15108" width="18.42578125" style="779" customWidth="1"/>
    <col min="15109" max="15109" width="18.5703125" style="779" customWidth="1"/>
    <col min="15110" max="15110" width="14.28515625" style="779" customWidth="1"/>
    <col min="15111" max="15112" width="8.85546875" style="779" customWidth="1"/>
    <col min="15113" max="15113" width="15.42578125" style="779" customWidth="1"/>
    <col min="15114" max="15114" width="9.140625" style="779"/>
    <col min="15115" max="15115" width="9.7109375" style="779" customWidth="1"/>
    <col min="15116" max="15116" width="12.5703125" style="779" customWidth="1"/>
    <col min="15117" max="15117" width="15.42578125" style="779" customWidth="1"/>
    <col min="15118" max="15119" width="12" style="779" customWidth="1"/>
    <col min="15120" max="15120" width="24.42578125" style="779" customWidth="1"/>
    <col min="15121" max="15360" width="9.140625" style="779"/>
    <col min="15361" max="15361" width="5.140625" style="779" customWidth="1"/>
    <col min="15362" max="15362" width="22.85546875" style="779" customWidth="1"/>
    <col min="15363" max="15363" width="18.85546875" style="779" customWidth="1"/>
    <col min="15364" max="15364" width="18.42578125" style="779" customWidth="1"/>
    <col min="15365" max="15365" width="18.5703125" style="779" customWidth="1"/>
    <col min="15366" max="15366" width="14.28515625" style="779" customWidth="1"/>
    <col min="15367" max="15368" width="8.85546875" style="779" customWidth="1"/>
    <col min="15369" max="15369" width="15.42578125" style="779" customWidth="1"/>
    <col min="15370" max="15370" width="9.140625" style="779"/>
    <col min="15371" max="15371" width="9.7109375" style="779" customWidth="1"/>
    <col min="15372" max="15372" width="12.5703125" style="779" customWidth="1"/>
    <col min="15373" max="15373" width="15.42578125" style="779" customWidth="1"/>
    <col min="15374" max="15375" width="12" style="779" customWidth="1"/>
    <col min="15376" max="15376" width="24.42578125" style="779" customWidth="1"/>
    <col min="15377" max="15616" width="9.140625" style="779"/>
    <col min="15617" max="15617" width="5.140625" style="779" customWidth="1"/>
    <col min="15618" max="15618" width="22.85546875" style="779" customWidth="1"/>
    <col min="15619" max="15619" width="18.85546875" style="779" customWidth="1"/>
    <col min="15620" max="15620" width="18.42578125" style="779" customWidth="1"/>
    <col min="15621" max="15621" width="18.5703125" style="779" customWidth="1"/>
    <col min="15622" max="15622" width="14.28515625" style="779" customWidth="1"/>
    <col min="15623" max="15624" width="8.85546875" style="779" customWidth="1"/>
    <col min="15625" max="15625" width="15.42578125" style="779" customWidth="1"/>
    <col min="15626" max="15626" width="9.140625" style="779"/>
    <col min="15627" max="15627" width="9.7109375" style="779" customWidth="1"/>
    <col min="15628" max="15628" width="12.5703125" style="779" customWidth="1"/>
    <col min="15629" max="15629" width="15.42578125" style="779" customWidth="1"/>
    <col min="15630" max="15631" width="12" style="779" customWidth="1"/>
    <col min="15632" max="15632" width="24.42578125" style="779" customWidth="1"/>
    <col min="15633" max="15872" width="9.140625" style="779"/>
    <col min="15873" max="15873" width="5.140625" style="779" customWidth="1"/>
    <col min="15874" max="15874" width="22.85546875" style="779" customWidth="1"/>
    <col min="15875" max="15875" width="18.85546875" style="779" customWidth="1"/>
    <col min="15876" max="15876" width="18.42578125" style="779" customWidth="1"/>
    <col min="15877" max="15877" width="18.5703125" style="779" customWidth="1"/>
    <col min="15878" max="15878" width="14.28515625" style="779" customWidth="1"/>
    <col min="15879" max="15880" width="8.85546875" style="779" customWidth="1"/>
    <col min="15881" max="15881" width="15.42578125" style="779" customWidth="1"/>
    <col min="15882" max="15882" width="9.140625" style="779"/>
    <col min="15883" max="15883" width="9.7109375" style="779" customWidth="1"/>
    <col min="15884" max="15884" width="12.5703125" style="779" customWidth="1"/>
    <col min="15885" max="15885" width="15.42578125" style="779" customWidth="1"/>
    <col min="15886" max="15887" width="12" style="779" customWidth="1"/>
    <col min="15888" max="15888" width="24.42578125" style="779" customWidth="1"/>
    <col min="15889" max="16128" width="9.140625" style="779"/>
    <col min="16129" max="16129" width="5.140625" style="779" customWidth="1"/>
    <col min="16130" max="16130" width="22.85546875" style="779" customWidth="1"/>
    <col min="16131" max="16131" width="18.85546875" style="779" customWidth="1"/>
    <col min="16132" max="16132" width="18.42578125" style="779" customWidth="1"/>
    <col min="16133" max="16133" width="18.5703125" style="779" customWidth="1"/>
    <col min="16134" max="16134" width="14.28515625" style="779" customWidth="1"/>
    <col min="16135" max="16136" width="8.85546875" style="779" customWidth="1"/>
    <col min="16137" max="16137" width="15.42578125" style="779" customWidth="1"/>
    <col min="16138" max="16138" width="9.140625" style="779"/>
    <col min="16139" max="16139" width="9.7109375" style="779" customWidth="1"/>
    <col min="16140" max="16140" width="12.5703125" style="779" customWidth="1"/>
    <col min="16141" max="16141" width="15.42578125" style="779" customWidth="1"/>
    <col min="16142" max="16143" width="12" style="779" customWidth="1"/>
    <col min="16144" max="16144" width="24.42578125" style="779" customWidth="1"/>
    <col min="16145" max="16384" width="9.140625" style="779"/>
  </cols>
  <sheetData>
    <row r="1" spans="1:16" ht="15">
      <c r="A1" s="780" t="s">
        <v>836</v>
      </c>
      <c r="P1" s="454" t="s">
        <v>835</v>
      </c>
    </row>
    <row r="2" spans="1:16" ht="15">
      <c r="D2" s="780"/>
    </row>
    <row r="3" spans="1:16" ht="15">
      <c r="A3" s="797" t="s">
        <v>814</v>
      </c>
      <c r="D3" s="780"/>
    </row>
    <row r="4" spans="1:16" ht="15">
      <c r="F4" s="797"/>
      <c r="G4" s="797"/>
      <c r="H4" s="797"/>
      <c r="I4" s="797"/>
      <c r="J4" s="797"/>
      <c r="K4" s="797"/>
      <c r="L4" s="797"/>
      <c r="M4" s="797"/>
      <c r="N4" s="797"/>
    </row>
    <row r="6" spans="1:16" ht="17.25" customHeight="1">
      <c r="A6" s="1062" t="s">
        <v>815</v>
      </c>
      <c r="B6" s="1062" t="s">
        <v>816</v>
      </c>
      <c r="C6" s="1062" t="s">
        <v>817</v>
      </c>
      <c r="D6" s="1062" t="s">
        <v>818</v>
      </c>
      <c r="E6" s="1062" t="s">
        <v>819</v>
      </c>
      <c r="F6" s="1062" t="s">
        <v>820</v>
      </c>
      <c r="G6" s="1064" t="s">
        <v>821</v>
      </c>
      <c r="H6" s="1065"/>
      <c r="I6" s="1062" t="s">
        <v>822</v>
      </c>
      <c r="J6" s="1066" t="s">
        <v>823</v>
      </c>
      <c r="K6" s="1067"/>
      <c r="L6" s="1062" t="s">
        <v>824</v>
      </c>
      <c r="M6" s="1062" t="s">
        <v>825</v>
      </c>
      <c r="N6" s="1064" t="s">
        <v>826</v>
      </c>
      <c r="O6" s="1065"/>
      <c r="P6" s="1062" t="s">
        <v>497</v>
      </c>
    </row>
    <row r="7" spans="1:16" ht="25.5">
      <c r="A7" s="1063"/>
      <c r="B7" s="1063"/>
      <c r="C7" s="1063"/>
      <c r="D7" s="1063"/>
      <c r="E7" s="1063"/>
      <c r="F7" s="1063"/>
      <c r="G7" s="781" t="s">
        <v>827</v>
      </c>
      <c r="H7" s="781" t="s">
        <v>828</v>
      </c>
      <c r="I7" s="1063"/>
      <c r="J7" s="782">
        <v>2018</v>
      </c>
      <c r="K7" s="782" t="s">
        <v>829</v>
      </c>
      <c r="L7" s="1063"/>
      <c r="M7" s="1063"/>
      <c r="N7" s="783" t="s">
        <v>830</v>
      </c>
      <c r="O7" s="783" t="s">
        <v>831</v>
      </c>
      <c r="P7" s="1063"/>
    </row>
    <row r="8" spans="1:16">
      <c r="A8" s="784" t="s">
        <v>764</v>
      </c>
      <c r="B8" s="784"/>
      <c r="C8" s="784"/>
      <c r="D8" s="785"/>
      <c r="E8" s="784"/>
      <c r="F8" s="786"/>
      <c r="G8" s="787"/>
      <c r="H8" s="787"/>
      <c r="I8" s="786"/>
      <c r="J8" s="786"/>
      <c r="K8" s="786"/>
      <c r="L8" s="787"/>
      <c r="M8" s="788"/>
      <c r="N8" s="788"/>
      <c r="O8" s="787"/>
      <c r="P8" s="788"/>
    </row>
    <row r="9" spans="1:16">
      <c r="A9" s="784" t="s">
        <v>527</v>
      </c>
      <c r="B9" s="784"/>
      <c r="C9" s="784"/>
      <c r="D9" s="785"/>
      <c r="E9" s="784"/>
      <c r="F9" s="786"/>
      <c r="G9" s="787"/>
      <c r="H9" s="787"/>
      <c r="I9" s="786"/>
      <c r="J9" s="786"/>
      <c r="K9" s="786"/>
      <c r="L9" s="787"/>
      <c r="M9" s="788"/>
      <c r="N9" s="788"/>
      <c r="O9" s="787"/>
      <c r="P9" s="788"/>
    </row>
    <row r="10" spans="1:16">
      <c r="A10" s="784" t="s">
        <v>528</v>
      </c>
      <c r="B10" s="784"/>
      <c r="C10" s="784"/>
      <c r="D10" s="785"/>
      <c r="E10" s="784"/>
      <c r="F10" s="786"/>
      <c r="G10" s="787"/>
      <c r="H10" s="787"/>
      <c r="I10" s="786"/>
      <c r="J10" s="786"/>
      <c r="K10" s="786"/>
      <c r="L10" s="787"/>
      <c r="M10" s="788"/>
      <c r="N10" s="788"/>
      <c r="O10" s="787"/>
      <c r="P10" s="788"/>
    </row>
    <row r="11" spans="1:16">
      <c r="A11" s="784" t="s">
        <v>529</v>
      </c>
      <c r="B11" s="784"/>
      <c r="C11" s="784"/>
      <c r="D11" s="785"/>
      <c r="E11" s="784"/>
      <c r="F11" s="786"/>
      <c r="G11" s="787"/>
      <c r="H11" s="787"/>
      <c r="I11" s="786"/>
      <c r="J11" s="786"/>
      <c r="K11" s="786"/>
      <c r="L11" s="787"/>
      <c r="M11" s="788"/>
      <c r="N11" s="788"/>
      <c r="O11" s="787"/>
      <c r="P11" s="788"/>
    </row>
    <row r="12" spans="1:16">
      <c r="A12" s="784" t="s">
        <v>530</v>
      </c>
      <c r="B12" s="784"/>
      <c r="C12" s="784"/>
      <c r="D12" s="785"/>
      <c r="E12" s="784"/>
      <c r="F12" s="786"/>
      <c r="G12" s="787"/>
      <c r="H12" s="787"/>
      <c r="I12" s="786"/>
      <c r="J12" s="786"/>
      <c r="K12" s="786"/>
      <c r="L12" s="787"/>
      <c r="M12" s="788"/>
      <c r="N12" s="788"/>
      <c r="O12" s="787"/>
      <c r="P12" s="788"/>
    </row>
    <row r="13" spans="1:16">
      <c r="A13" s="784" t="s">
        <v>782</v>
      </c>
      <c r="B13" s="784"/>
      <c r="C13" s="784"/>
      <c r="D13" s="785"/>
      <c r="E13" s="784"/>
      <c r="F13" s="786"/>
      <c r="G13" s="787"/>
      <c r="H13" s="787"/>
      <c r="I13" s="786"/>
      <c r="J13" s="786"/>
      <c r="K13" s="786"/>
      <c r="L13" s="787"/>
      <c r="M13" s="788"/>
      <c r="N13" s="788"/>
      <c r="O13" s="787"/>
      <c r="P13" s="788"/>
    </row>
    <row r="14" spans="1:16">
      <c r="A14" s="784" t="s">
        <v>783</v>
      </c>
      <c r="B14" s="784"/>
      <c r="C14" s="784"/>
      <c r="D14" s="785"/>
      <c r="E14" s="784"/>
      <c r="F14" s="786"/>
      <c r="G14" s="787"/>
      <c r="H14" s="787"/>
      <c r="I14" s="786"/>
      <c r="J14" s="786"/>
      <c r="K14" s="786"/>
      <c r="L14" s="787"/>
      <c r="M14" s="788"/>
      <c r="N14" s="788"/>
      <c r="O14" s="787"/>
      <c r="P14" s="788"/>
    </row>
    <row r="15" spans="1:16">
      <c r="A15" s="784" t="s">
        <v>784</v>
      </c>
      <c r="B15" s="784"/>
      <c r="C15" s="784"/>
      <c r="D15" s="785"/>
      <c r="E15" s="784"/>
      <c r="F15" s="786"/>
      <c r="G15" s="787"/>
      <c r="H15" s="787"/>
      <c r="I15" s="786"/>
      <c r="J15" s="786"/>
      <c r="K15" s="786"/>
      <c r="L15" s="787"/>
      <c r="M15" s="788"/>
      <c r="N15" s="788"/>
      <c r="O15" s="787"/>
      <c r="P15" s="788"/>
    </row>
    <row r="16" spans="1:16">
      <c r="A16" s="784" t="s">
        <v>536</v>
      </c>
      <c r="B16" s="784"/>
      <c r="C16" s="784"/>
      <c r="D16" s="785"/>
      <c r="E16" s="784"/>
      <c r="F16" s="786"/>
      <c r="G16" s="787"/>
      <c r="H16" s="787"/>
      <c r="I16" s="786"/>
      <c r="J16" s="786"/>
      <c r="K16" s="786"/>
      <c r="L16" s="787"/>
      <c r="M16" s="788"/>
      <c r="N16" s="788"/>
      <c r="O16" s="787"/>
      <c r="P16" s="788"/>
    </row>
    <row r="17" spans="1:16">
      <c r="A17" s="784" t="s">
        <v>540</v>
      </c>
      <c r="B17" s="784"/>
      <c r="C17" s="784"/>
      <c r="D17" s="785"/>
      <c r="E17" s="784"/>
      <c r="F17" s="786"/>
      <c r="G17" s="787"/>
      <c r="H17" s="787"/>
      <c r="I17" s="786"/>
      <c r="J17" s="786"/>
      <c r="K17" s="786"/>
      <c r="L17" s="787"/>
      <c r="M17" s="788"/>
      <c r="N17" s="788"/>
      <c r="O17" s="787"/>
      <c r="P17" s="788"/>
    </row>
    <row r="18" spans="1:16">
      <c r="A18" s="784" t="s">
        <v>543</v>
      </c>
      <c r="B18" s="784"/>
      <c r="C18" s="784"/>
      <c r="D18" s="785"/>
      <c r="E18" s="784"/>
      <c r="F18" s="786"/>
      <c r="G18" s="787"/>
      <c r="H18" s="787"/>
      <c r="I18" s="786"/>
      <c r="J18" s="786"/>
      <c r="K18" s="786"/>
      <c r="L18" s="787"/>
      <c r="M18" s="788"/>
      <c r="N18" s="788"/>
      <c r="O18" s="787"/>
      <c r="P18" s="788"/>
    </row>
    <row r="19" spans="1:16">
      <c r="A19" s="784" t="s">
        <v>545</v>
      </c>
      <c r="B19" s="784"/>
      <c r="C19" s="784"/>
      <c r="D19" s="785"/>
      <c r="E19" s="784"/>
      <c r="F19" s="786"/>
      <c r="G19" s="787"/>
      <c r="H19" s="787"/>
      <c r="I19" s="786"/>
      <c r="J19" s="786"/>
      <c r="K19" s="786"/>
      <c r="L19" s="787"/>
      <c r="M19" s="788"/>
      <c r="N19" s="788"/>
      <c r="O19" s="787"/>
      <c r="P19" s="788"/>
    </row>
    <row r="20" spans="1:16">
      <c r="A20" s="784" t="s">
        <v>785</v>
      </c>
      <c r="B20" s="784"/>
      <c r="C20" s="784"/>
      <c r="D20" s="785"/>
      <c r="E20" s="784"/>
      <c r="F20" s="786"/>
      <c r="G20" s="787"/>
      <c r="H20" s="787"/>
      <c r="I20" s="786"/>
      <c r="J20" s="786"/>
      <c r="K20" s="786"/>
      <c r="L20" s="787"/>
      <c r="M20" s="788"/>
      <c r="N20" s="788"/>
      <c r="O20" s="787"/>
      <c r="P20" s="788"/>
    </row>
    <row r="21" spans="1:16">
      <c r="A21" s="784" t="s">
        <v>548</v>
      </c>
      <c r="B21" s="784"/>
      <c r="C21" s="784"/>
      <c r="D21" s="785"/>
      <c r="E21" s="784"/>
      <c r="F21" s="786"/>
      <c r="G21" s="787"/>
      <c r="H21" s="787"/>
      <c r="I21" s="786"/>
      <c r="J21" s="786"/>
      <c r="K21" s="786"/>
      <c r="L21" s="787"/>
      <c r="M21" s="788"/>
      <c r="N21" s="788"/>
      <c r="O21" s="787"/>
      <c r="P21" s="788"/>
    </row>
    <row r="22" spans="1:16">
      <c r="A22" s="784" t="s">
        <v>786</v>
      </c>
      <c r="B22" s="784"/>
      <c r="C22" s="784"/>
      <c r="D22" s="785"/>
      <c r="E22" s="784"/>
      <c r="F22" s="786"/>
      <c r="G22" s="787"/>
      <c r="H22" s="787"/>
      <c r="I22" s="786"/>
      <c r="J22" s="786"/>
      <c r="K22" s="786"/>
      <c r="L22" s="787"/>
      <c r="M22" s="788"/>
      <c r="N22" s="788"/>
      <c r="O22" s="787"/>
      <c r="P22" s="788"/>
    </row>
    <row r="23" spans="1:16">
      <c r="A23" s="784" t="s">
        <v>787</v>
      </c>
      <c r="B23" s="784"/>
      <c r="C23" s="784"/>
      <c r="D23" s="785"/>
      <c r="E23" s="784"/>
      <c r="F23" s="789"/>
      <c r="G23" s="787"/>
      <c r="H23" s="787"/>
      <c r="I23" s="786"/>
      <c r="J23" s="786"/>
      <c r="K23" s="786"/>
      <c r="L23" s="787"/>
      <c r="M23" s="788"/>
      <c r="N23" s="788"/>
      <c r="O23" s="787"/>
      <c r="P23" s="788"/>
    </row>
    <row r="24" spans="1:16" ht="15">
      <c r="A24" s="790"/>
      <c r="B24" s="790"/>
      <c r="C24" s="790"/>
      <c r="D24" s="791"/>
      <c r="E24" s="791" t="s">
        <v>113</v>
      </c>
      <c r="F24" s="792">
        <f>SUM(F8:F23)</f>
        <v>0</v>
      </c>
      <c r="G24" s="793" t="s">
        <v>505</v>
      </c>
      <c r="H24" s="793" t="s">
        <v>505</v>
      </c>
      <c r="I24" s="793" t="s">
        <v>505</v>
      </c>
      <c r="J24" s="792">
        <f>SUM(J8:J23)</f>
        <v>0</v>
      </c>
      <c r="K24" s="792">
        <f>SUM(K8:K23)</f>
        <v>0</v>
      </c>
      <c r="L24" s="793" t="s">
        <v>505</v>
      </c>
      <c r="M24" s="793" t="s">
        <v>505</v>
      </c>
      <c r="N24" s="794">
        <f>SUM(N8:N23)</f>
        <v>0</v>
      </c>
      <c r="O24" s="793" t="s">
        <v>505</v>
      </c>
      <c r="P24" s="793" t="s">
        <v>505</v>
      </c>
    </row>
    <row r="25" spans="1:16" ht="17.25">
      <c r="A25" s="795">
        <v>1</v>
      </c>
      <c r="B25" s="779" t="s">
        <v>832</v>
      </c>
    </row>
    <row r="26" spans="1:16" ht="17.25">
      <c r="A26" s="795">
        <v>2</v>
      </c>
      <c r="B26" s="779" t="s">
        <v>833</v>
      </c>
    </row>
    <row r="27" spans="1:16" ht="17.25">
      <c r="A27" s="795">
        <v>3</v>
      </c>
      <c r="B27" s="779" t="s">
        <v>834</v>
      </c>
    </row>
    <row r="28" spans="1:16" ht="17.25">
      <c r="A28" s="796"/>
    </row>
    <row r="29" spans="1:16">
      <c r="A29" s="276" t="s">
        <v>837</v>
      </c>
    </row>
  </sheetData>
  <mergeCells count="13">
    <mergeCell ref="L6:L7"/>
    <mergeCell ref="M6:M7"/>
    <mergeCell ref="N6:O6"/>
    <mergeCell ref="P6:P7"/>
    <mergeCell ref="A6:A7"/>
    <mergeCell ref="B6:B7"/>
    <mergeCell ref="C6:C7"/>
    <mergeCell ref="D6:D7"/>
    <mergeCell ref="E6:E7"/>
    <mergeCell ref="F6:F7"/>
    <mergeCell ref="G6:H6"/>
    <mergeCell ref="I6:I7"/>
    <mergeCell ref="J6:K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59999389629810485"/>
  </sheetPr>
  <dimension ref="A1:K15"/>
  <sheetViews>
    <sheetView showZeros="0" zoomScaleNormal="100" workbookViewId="0"/>
  </sheetViews>
  <sheetFormatPr defaultColWidth="9.140625" defaultRowHeight="12.75"/>
  <cols>
    <col min="1" max="1" width="41.7109375" style="80" customWidth="1"/>
    <col min="2" max="2" width="12.28515625" style="80" bestFit="1" customWidth="1"/>
    <col min="3" max="3" width="11.140625" style="80" bestFit="1" customWidth="1"/>
    <col min="4" max="4" width="11.140625" style="80" hidden="1" customWidth="1"/>
    <col min="5" max="7" width="11.140625" style="80" bestFit="1" customWidth="1"/>
    <col min="8" max="8" width="12.140625" style="80" customWidth="1"/>
    <col min="9" max="9" width="10.42578125" style="80" bestFit="1" customWidth="1"/>
    <col min="10" max="10" width="8.140625" style="80" bestFit="1" customWidth="1"/>
    <col min="11" max="11" width="24.140625" style="80" customWidth="1"/>
    <col min="12" max="16384" width="9.140625" style="80"/>
  </cols>
  <sheetData>
    <row r="1" spans="1:11">
      <c r="A1" s="39" t="s">
        <v>0</v>
      </c>
      <c r="G1" s="91"/>
      <c r="J1" s="39" t="s">
        <v>649</v>
      </c>
    </row>
    <row r="2" spans="1:11" ht="12.75" customHeight="1">
      <c r="A2" s="51"/>
      <c r="G2" s="465"/>
      <c r="H2" s="466" t="s">
        <v>640</v>
      </c>
      <c r="I2" s="264"/>
      <c r="J2" s="467"/>
    </row>
    <row r="3" spans="1:11" ht="12.75" customHeight="1">
      <c r="A3" s="72"/>
      <c r="B3" s="1055" t="s">
        <v>375</v>
      </c>
      <c r="C3" s="1055" t="s">
        <v>805</v>
      </c>
      <c r="D3" s="1055" t="s">
        <v>809</v>
      </c>
      <c r="E3" s="1061" t="s">
        <v>806</v>
      </c>
      <c r="F3" s="1055" t="s">
        <v>807</v>
      </c>
      <c r="G3" s="1068" t="s">
        <v>648</v>
      </c>
      <c r="H3" s="1057" t="s">
        <v>642</v>
      </c>
      <c r="I3" s="1054" t="s">
        <v>643</v>
      </c>
      <c r="J3" s="1054"/>
      <c r="K3" s="1054"/>
    </row>
    <row r="4" spans="1:11" ht="29.25" customHeight="1">
      <c r="A4" s="72"/>
      <c r="B4" s="1055"/>
      <c r="C4" s="1055"/>
      <c r="D4" s="1055"/>
      <c r="E4" s="1061"/>
      <c r="F4" s="1055"/>
      <c r="G4" s="1069"/>
      <c r="H4" s="1058"/>
      <c r="I4" s="447" t="s">
        <v>47</v>
      </c>
      <c r="J4" s="447" t="s">
        <v>641</v>
      </c>
      <c r="K4" s="761" t="s">
        <v>798</v>
      </c>
    </row>
    <row r="5" spans="1:11">
      <c r="A5" s="61"/>
      <c r="B5" s="91"/>
      <c r="C5" s="91"/>
      <c r="D5" s="91"/>
      <c r="E5" s="91"/>
      <c r="F5" s="91"/>
      <c r="G5" s="91"/>
    </row>
    <row r="6" spans="1:11">
      <c r="A6" s="110" t="s">
        <v>570</v>
      </c>
      <c r="B6" s="73"/>
      <c r="C6" s="73"/>
      <c r="D6" s="73"/>
      <c r="E6" s="73"/>
      <c r="F6" s="73"/>
      <c r="G6" s="485"/>
      <c r="H6" s="73"/>
      <c r="I6" s="73"/>
      <c r="J6" s="491"/>
      <c r="K6" s="73"/>
    </row>
    <row r="7" spans="1:11">
      <c r="A7" s="110"/>
      <c r="B7" s="73"/>
      <c r="C7" s="73"/>
      <c r="D7" s="73"/>
      <c r="E7" s="73"/>
      <c r="F7" s="73">
        <f t="shared" ref="F7:F15" si="0">C7+E7+D7</f>
        <v>0</v>
      </c>
      <c r="G7" s="486"/>
      <c r="H7" s="489"/>
      <c r="I7" s="489">
        <f t="shared" ref="I7:I15" si="1">IF(H7=0,0,H7-F7)</f>
        <v>0</v>
      </c>
      <c r="J7" s="492" t="str">
        <f t="shared" ref="J7:J15" si="2">IF(F7=0,"",I7/F7)</f>
        <v/>
      </c>
      <c r="K7" s="489"/>
    </row>
    <row r="8" spans="1:11">
      <c r="A8" s="2"/>
      <c r="B8" s="246"/>
      <c r="C8" s="246"/>
      <c r="D8" s="246"/>
      <c r="E8" s="246"/>
      <c r="F8" s="246">
        <f t="shared" si="0"/>
        <v>0</v>
      </c>
      <c r="G8" s="470"/>
      <c r="H8" s="471"/>
      <c r="I8" s="471">
        <f t="shared" si="1"/>
        <v>0</v>
      </c>
      <c r="J8" s="449" t="str">
        <f t="shared" si="2"/>
        <v/>
      </c>
      <c r="K8" s="471"/>
    </row>
    <row r="9" spans="1:11">
      <c r="A9" s="39" t="s">
        <v>1</v>
      </c>
      <c r="B9" s="101"/>
      <c r="C9" s="101"/>
      <c r="D9" s="101"/>
      <c r="E9" s="101"/>
      <c r="F9" s="101"/>
      <c r="G9" s="487"/>
      <c r="H9" s="101"/>
      <c r="I9" s="101"/>
      <c r="J9" s="493"/>
      <c r="K9" s="101"/>
    </row>
    <row r="10" spans="1:11">
      <c r="A10" s="95"/>
      <c r="B10" s="247"/>
      <c r="C10" s="247"/>
      <c r="D10" s="247"/>
      <c r="E10" s="247"/>
      <c r="F10" s="247">
        <f t="shared" si="0"/>
        <v>0</v>
      </c>
      <c r="G10" s="469"/>
      <c r="H10" s="248"/>
      <c r="I10" s="248">
        <f t="shared" si="1"/>
        <v>0</v>
      </c>
      <c r="J10" s="449" t="str">
        <f t="shared" si="2"/>
        <v/>
      </c>
      <c r="K10" s="248"/>
    </row>
    <row r="11" spans="1:11">
      <c r="A11" s="95" t="s">
        <v>178</v>
      </c>
      <c r="B11" s="247">
        <f>B12+B13+B14</f>
        <v>75626.55</v>
      </c>
      <c r="C11" s="247">
        <f>C12+C13+C14</f>
        <v>303447</v>
      </c>
      <c r="D11" s="247"/>
      <c r="E11" s="247"/>
      <c r="F11" s="247">
        <f t="shared" si="0"/>
        <v>303447</v>
      </c>
      <c r="G11" s="488">
        <f>G12+G14+G13</f>
        <v>194571</v>
      </c>
      <c r="H11" s="490">
        <f>H12+H14+H13</f>
        <v>194571</v>
      </c>
      <c r="I11" s="490">
        <f t="shared" si="1"/>
        <v>-108876</v>
      </c>
      <c r="J11" s="494">
        <f t="shared" si="2"/>
        <v>-0.35879741767096068</v>
      </c>
      <c r="K11" s="490"/>
    </row>
    <row r="12" spans="1:11" ht="24">
      <c r="A12" s="109" t="s">
        <v>271</v>
      </c>
      <c r="B12" s="245">
        <v>75626.55</v>
      </c>
      <c r="C12" s="245">
        <v>95622</v>
      </c>
      <c r="D12" s="245"/>
      <c r="E12" s="245"/>
      <c r="F12" s="245">
        <f t="shared" si="0"/>
        <v>95622</v>
      </c>
      <c r="G12" s="488">
        <v>13946</v>
      </c>
      <c r="H12" s="490">
        <v>13946</v>
      </c>
      <c r="I12" s="490">
        <f t="shared" si="1"/>
        <v>-81676</v>
      </c>
      <c r="J12" s="494">
        <f t="shared" si="2"/>
        <v>-0.85415490159168395</v>
      </c>
      <c r="K12" s="490"/>
    </row>
    <row r="13" spans="1:11" ht="24">
      <c r="A13" s="109" t="s">
        <v>258</v>
      </c>
      <c r="B13" s="245"/>
      <c r="C13" s="245">
        <v>180625</v>
      </c>
      <c r="D13" s="245"/>
      <c r="E13" s="245"/>
      <c r="F13" s="245">
        <f t="shared" si="0"/>
        <v>180625</v>
      </c>
      <c r="G13" s="488">
        <v>180625</v>
      </c>
      <c r="H13" s="490">
        <v>180625</v>
      </c>
      <c r="I13" s="490">
        <f t="shared" si="1"/>
        <v>0</v>
      </c>
      <c r="J13" s="494">
        <f t="shared" si="2"/>
        <v>0</v>
      </c>
      <c r="K13" s="490"/>
    </row>
    <row r="14" spans="1:11" ht="24">
      <c r="A14" s="109" t="s">
        <v>259</v>
      </c>
      <c r="B14" s="245"/>
      <c r="C14" s="245">
        <v>27200</v>
      </c>
      <c r="D14" s="245"/>
      <c r="E14" s="245"/>
      <c r="F14" s="245">
        <f t="shared" si="0"/>
        <v>27200</v>
      </c>
      <c r="G14" s="488"/>
      <c r="H14" s="490"/>
      <c r="I14" s="490">
        <f t="shared" si="1"/>
        <v>0</v>
      </c>
      <c r="J14" s="494">
        <f t="shared" si="2"/>
        <v>0</v>
      </c>
      <c r="K14" s="490"/>
    </row>
    <row r="15" spans="1:11">
      <c r="A15" s="109"/>
      <c r="B15" s="245"/>
      <c r="C15" s="245"/>
      <c r="D15" s="245"/>
      <c r="E15" s="245"/>
      <c r="F15" s="245">
        <f t="shared" si="0"/>
        <v>0</v>
      </c>
      <c r="G15" s="469"/>
      <c r="H15" s="248"/>
      <c r="I15" s="248">
        <f t="shared" si="1"/>
        <v>0</v>
      </c>
      <c r="J15" s="449" t="str">
        <f t="shared" si="2"/>
        <v/>
      </c>
      <c r="K15" s="248"/>
    </row>
  </sheetData>
  <mergeCells count="8">
    <mergeCell ref="B3:B4"/>
    <mergeCell ref="C3:C4"/>
    <mergeCell ref="E3:E4"/>
    <mergeCell ref="I3:K3"/>
    <mergeCell ref="D3:D4"/>
    <mergeCell ref="G3:G4"/>
    <mergeCell ref="H3:H4"/>
    <mergeCell ref="F3:F4"/>
  </mergeCells>
  <phoneticPr fontId="30" type="noConversion"/>
  <pageMargins left="1.1811023622047245" right="0.47244094488188981" top="0.47244094488188981" bottom="0.98425196850393704" header="0.51181102362204722" footer="0.51181102362204722"/>
  <pageSetup paperSize="9" scale="75" orientation="portrait" r:id="rId1"/>
  <headerFooter alignWithMargins="0">
    <oddFooter>&amp;C&amp;P/&amp;N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32"/>
  <sheetViews>
    <sheetView showZeros="0" zoomScaleNormal="100" workbookViewId="0"/>
  </sheetViews>
  <sheetFormatPr defaultRowHeight="12.75"/>
  <cols>
    <col min="1" max="1" width="4.28515625" style="264" bestFit="1" customWidth="1"/>
    <col min="2" max="2" width="27.28515625" style="264" customWidth="1"/>
    <col min="3" max="3" width="11.140625" style="264" customWidth="1"/>
    <col min="4" max="4" width="9.85546875" style="264" bestFit="1" customWidth="1"/>
    <col min="5" max="5" width="10.85546875" style="264" bestFit="1" customWidth="1"/>
    <col min="6" max="6" width="8.85546875" style="264" bestFit="1" customWidth="1"/>
    <col min="7" max="7" width="2.7109375" style="264" customWidth="1"/>
    <col min="8" max="8" width="12.7109375" style="264" hidden="1" customWidth="1"/>
    <col min="9" max="9" width="10.140625" style="264" hidden="1" customWidth="1"/>
    <col min="10" max="10" width="0" style="264" hidden="1" customWidth="1"/>
    <col min="11" max="11" width="10.140625" style="264" bestFit="1" customWidth="1"/>
    <col min="12" max="254" width="9.140625" style="264"/>
    <col min="255" max="255" width="4.28515625" style="264" bestFit="1" customWidth="1"/>
    <col min="256" max="256" width="35.42578125" style="264" customWidth="1"/>
    <col min="257" max="259" width="11.140625" style="264" bestFit="1" customWidth="1"/>
    <col min="260" max="260" width="12.7109375" style="264" bestFit="1" customWidth="1"/>
    <col min="261" max="261" width="12.42578125" style="264" customWidth="1"/>
    <col min="262" max="262" width="12.7109375" style="264" customWidth="1"/>
    <col min="263" max="263" width="2.7109375" style="264" customWidth="1"/>
    <col min="264" max="510" width="9.140625" style="264"/>
    <col min="511" max="511" width="4.28515625" style="264" bestFit="1" customWidth="1"/>
    <col min="512" max="512" width="35.42578125" style="264" customWidth="1"/>
    <col min="513" max="515" width="11.140625" style="264" bestFit="1" customWidth="1"/>
    <col min="516" max="516" width="12.7109375" style="264" bestFit="1" customWidth="1"/>
    <col min="517" max="517" width="12.42578125" style="264" customWidth="1"/>
    <col min="518" max="518" width="12.7109375" style="264" customWidth="1"/>
    <col min="519" max="519" width="2.7109375" style="264" customWidth="1"/>
    <col min="520" max="766" width="9.140625" style="264"/>
    <col min="767" max="767" width="4.28515625" style="264" bestFit="1" customWidth="1"/>
    <col min="768" max="768" width="35.42578125" style="264" customWidth="1"/>
    <col min="769" max="771" width="11.140625" style="264" bestFit="1" customWidth="1"/>
    <col min="772" max="772" width="12.7109375" style="264" bestFit="1" customWidth="1"/>
    <col min="773" max="773" width="12.42578125" style="264" customWidth="1"/>
    <col min="774" max="774" width="12.7109375" style="264" customWidth="1"/>
    <col min="775" max="775" width="2.7109375" style="264" customWidth="1"/>
    <col min="776" max="1022" width="9.140625" style="264"/>
    <col min="1023" max="1023" width="4.28515625" style="264" bestFit="1" customWidth="1"/>
    <col min="1024" max="1024" width="35.42578125" style="264" customWidth="1"/>
    <col min="1025" max="1027" width="11.140625" style="264" bestFit="1" customWidth="1"/>
    <col min="1028" max="1028" width="12.7109375" style="264" bestFit="1" customWidth="1"/>
    <col min="1029" max="1029" width="12.42578125" style="264" customWidth="1"/>
    <col min="1030" max="1030" width="12.7109375" style="264" customWidth="1"/>
    <col min="1031" max="1031" width="2.7109375" style="264" customWidth="1"/>
    <col min="1032" max="1278" width="9.140625" style="264"/>
    <col min="1279" max="1279" width="4.28515625" style="264" bestFit="1" customWidth="1"/>
    <col min="1280" max="1280" width="35.42578125" style="264" customWidth="1"/>
    <col min="1281" max="1283" width="11.140625" style="264" bestFit="1" customWidth="1"/>
    <col min="1284" max="1284" width="12.7109375" style="264" bestFit="1" customWidth="1"/>
    <col min="1285" max="1285" width="12.42578125" style="264" customWidth="1"/>
    <col min="1286" max="1286" width="12.7109375" style="264" customWidth="1"/>
    <col min="1287" max="1287" width="2.7109375" style="264" customWidth="1"/>
    <col min="1288" max="1534" width="9.140625" style="264"/>
    <col min="1535" max="1535" width="4.28515625" style="264" bestFit="1" customWidth="1"/>
    <col min="1536" max="1536" width="35.42578125" style="264" customWidth="1"/>
    <col min="1537" max="1539" width="11.140625" style="264" bestFit="1" customWidth="1"/>
    <col min="1540" max="1540" width="12.7109375" style="264" bestFit="1" customWidth="1"/>
    <col min="1541" max="1541" width="12.42578125" style="264" customWidth="1"/>
    <col min="1542" max="1542" width="12.7109375" style="264" customWidth="1"/>
    <col min="1543" max="1543" width="2.7109375" style="264" customWidth="1"/>
    <col min="1544" max="1790" width="9.140625" style="264"/>
    <col min="1791" max="1791" width="4.28515625" style="264" bestFit="1" customWidth="1"/>
    <col min="1792" max="1792" width="35.42578125" style="264" customWidth="1"/>
    <col min="1793" max="1795" width="11.140625" style="264" bestFit="1" customWidth="1"/>
    <col min="1796" max="1796" width="12.7109375" style="264" bestFit="1" customWidth="1"/>
    <col min="1797" max="1797" width="12.42578125" style="264" customWidth="1"/>
    <col min="1798" max="1798" width="12.7109375" style="264" customWidth="1"/>
    <col min="1799" max="1799" width="2.7109375" style="264" customWidth="1"/>
    <col min="1800" max="2046" width="9.140625" style="264"/>
    <col min="2047" max="2047" width="4.28515625" style="264" bestFit="1" customWidth="1"/>
    <col min="2048" max="2048" width="35.42578125" style="264" customWidth="1"/>
    <col min="2049" max="2051" width="11.140625" style="264" bestFit="1" customWidth="1"/>
    <col min="2052" max="2052" width="12.7109375" style="264" bestFit="1" customWidth="1"/>
    <col min="2053" max="2053" width="12.42578125" style="264" customWidth="1"/>
    <col min="2054" max="2054" width="12.7109375" style="264" customWidth="1"/>
    <col min="2055" max="2055" width="2.7109375" style="264" customWidth="1"/>
    <col min="2056" max="2302" width="9.140625" style="264"/>
    <col min="2303" max="2303" width="4.28515625" style="264" bestFit="1" customWidth="1"/>
    <col min="2304" max="2304" width="35.42578125" style="264" customWidth="1"/>
    <col min="2305" max="2307" width="11.140625" style="264" bestFit="1" customWidth="1"/>
    <col min="2308" max="2308" width="12.7109375" style="264" bestFit="1" customWidth="1"/>
    <col min="2309" max="2309" width="12.42578125" style="264" customWidth="1"/>
    <col min="2310" max="2310" width="12.7109375" style="264" customWidth="1"/>
    <col min="2311" max="2311" width="2.7109375" style="264" customWidth="1"/>
    <col min="2312" max="2558" width="9.140625" style="264"/>
    <col min="2559" max="2559" width="4.28515625" style="264" bestFit="1" customWidth="1"/>
    <col min="2560" max="2560" width="35.42578125" style="264" customWidth="1"/>
    <col min="2561" max="2563" width="11.140625" style="264" bestFit="1" customWidth="1"/>
    <col min="2564" max="2564" width="12.7109375" style="264" bestFit="1" customWidth="1"/>
    <col min="2565" max="2565" width="12.42578125" style="264" customWidth="1"/>
    <col min="2566" max="2566" width="12.7109375" style="264" customWidth="1"/>
    <col min="2567" max="2567" width="2.7109375" style="264" customWidth="1"/>
    <col min="2568" max="2814" width="9.140625" style="264"/>
    <col min="2815" max="2815" width="4.28515625" style="264" bestFit="1" customWidth="1"/>
    <col min="2816" max="2816" width="35.42578125" style="264" customWidth="1"/>
    <col min="2817" max="2819" width="11.140625" style="264" bestFit="1" customWidth="1"/>
    <col min="2820" max="2820" width="12.7109375" style="264" bestFit="1" customWidth="1"/>
    <col min="2821" max="2821" width="12.42578125" style="264" customWidth="1"/>
    <col min="2822" max="2822" width="12.7109375" style="264" customWidth="1"/>
    <col min="2823" max="2823" width="2.7109375" style="264" customWidth="1"/>
    <col min="2824" max="3070" width="9.140625" style="264"/>
    <col min="3071" max="3071" width="4.28515625" style="264" bestFit="1" customWidth="1"/>
    <col min="3072" max="3072" width="35.42578125" style="264" customWidth="1"/>
    <col min="3073" max="3075" width="11.140625" style="264" bestFit="1" customWidth="1"/>
    <col min="3076" max="3076" width="12.7109375" style="264" bestFit="1" customWidth="1"/>
    <col min="3077" max="3077" width="12.42578125" style="264" customWidth="1"/>
    <col min="3078" max="3078" width="12.7109375" style="264" customWidth="1"/>
    <col min="3079" max="3079" width="2.7109375" style="264" customWidth="1"/>
    <col min="3080" max="3326" width="9.140625" style="264"/>
    <col min="3327" max="3327" width="4.28515625" style="264" bestFit="1" customWidth="1"/>
    <col min="3328" max="3328" width="35.42578125" style="264" customWidth="1"/>
    <col min="3329" max="3331" width="11.140625" style="264" bestFit="1" customWidth="1"/>
    <col min="3332" max="3332" width="12.7109375" style="264" bestFit="1" customWidth="1"/>
    <col min="3333" max="3333" width="12.42578125" style="264" customWidth="1"/>
    <col min="3334" max="3334" width="12.7109375" style="264" customWidth="1"/>
    <col min="3335" max="3335" width="2.7109375" style="264" customWidth="1"/>
    <col min="3336" max="3582" width="9.140625" style="264"/>
    <col min="3583" max="3583" width="4.28515625" style="264" bestFit="1" customWidth="1"/>
    <col min="3584" max="3584" width="35.42578125" style="264" customWidth="1"/>
    <col min="3585" max="3587" width="11.140625" style="264" bestFit="1" customWidth="1"/>
    <col min="3588" max="3588" width="12.7109375" style="264" bestFit="1" customWidth="1"/>
    <col min="3589" max="3589" width="12.42578125" style="264" customWidth="1"/>
    <col min="3590" max="3590" width="12.7109375" style="264" customWidth="1"/>
    <col min="3591" max="3591" width="2.7109375" style="264" customWidth="1"/>
    <col min="3592" max="3838" width="9.140625" style="264"/>
    <col min="3839" max="3839" width="4.28515625" style="264" bestFit="1" customWidth="1"/>
    <col min="3840" max="3840" width="35.42578125" style="264" customWidth="1"/>
    <col min="3841" max="3843" width="11.140625" style="264" bestFit="1" customWidth="1"/>
    <col min="3844" max="3844" width="12.7109375" style="264" bestFit="1" customWidth="1"/>
    <col min="3845" max="3845" width="12.42578125" style="264" customWidth="1"/>
    <col min="3846" max="3846" width="12.7109375" style="264" customWidth="1"/>
    <col min="3847" max="3847" width="2.7109375" style="264" customWidth="1"/>
    <col min="3848" max="4094" width="9.140625" style="264"/>
    <col min="4095" max="4095" width="4.28515625" style="264" bestFit="1" customWidth="1"/>
    <col min="4096" max="4096" width="35.42578125" style="264" customWidth="1"/>
    <col min="4097" max="4099" width="11.140625" style="264" bestFit="1" customWidth="1"/>
    <col min="4100" max="4100" width="12.7109375" style="264" bestFit="1" customWidth="1"/>
    <col min="4101" max="4101" width="12.42578125" style="264" customWidth="1"/>
    <col min="4102" max="4102" width="12.7109375" style="264" customWidth="1"/>
    <col min="4103" max="4103" width="2.7109375" style="264" customWidth="1"/>
    <col min="4104" max="4350" width="9.140625" style="264"/>
    <col min="4351" max="4351" width="4.28515625" style="264" bestFit="1" customWidth="1"/>
    <col min="4352" max="4352" width="35.42578125" style="264" customWidth="1"/>
    <col min="4353" max="4355" width="11.140625" style="264" bestFit="1" customWidth="1"/>
    <col min="4356" max="4356" width="12.7109375" style="264" bestFit="1" customWidth="1"/>
    <col min="4357" max="4357" width="12.42578125" style="264" customWidth="1"/>
    <col min="4358" max="4358" width="12.7109375" style="264" customWidth="1"/>
    <col min="4359" max="4359" width="2.7109375" style="264" customWidth="1"/>
    <col min="4360" max="4606" width="9.140625" style="264"/>
    <col min="4607" max="4607" width="4.28515625" style="264" bestFit="1" customWidth="1"/>
    <col min="4608" max="4608" width="35.42578125" style="264" customWidth="1"/>
    <col min="4609" max="4611" width="11.140625" style="264" bestFit="1" customWidth="1"/>
    <col min="4612" max="4612" width="12.7109375" style="264" bestFit="1" customWidth="1"/>
    <col min="4613" max="4613" width="12.42578125" style="264" customWidth="1"/>
    <col min="4614" max="4614" width="12.7109375" style="264" customWidth="1"/>
    <col min="4615" max="4615" width="2.7109375" style="264" customWidth="1"/>
    <col min="4616" max="4862" width="9.140625" style="264"/>
    <col min="4863" max="4863" width="4.28515625" style="264" bestFit="1" customWidth="1"/>
    <col min="4864" max="4864" width="35.42578125" style="264" customWidth="1"/>
    <col min="4865" max="4867" width="11.140625" style="264" bestFit="1" customWidth="1"/>
    <col min="4868" max="4868" width="12.7109375" style="264" bestFit="1" customWidth="1"/>
    <col min="4869" max="4869" width="12.42578125" style="264" customWidth="1"/>
    <col min="4870" max="4870" width="12.7109375" style="264" customWidth="1"/>
    <col min="4871" max="4871" width="2.7109375" style="264" customWidth="1"/>
    <col min="4872" max="5118" width="9.140625" style="264"/>
    <col min="5119" max="5119" width="4.28515625" style="264" bestFit="1" customWidth="1"/>
    <col min="5120" max="5120" width="35.42578125" style="264" customWidth="1"/>
    <col min="5121" max="5123" width="11.140625" style="264" bestFit="1" customWidth="1"/>
    <col min="5124" max="5124" width="12.7109375" style="264" bestFit="1" customWidth="1"/>
    <col min="5125" max="5125" width="12.42578125" style="264" customWidth="1"/>
    <col min="5126" max="5126" width="12.7109375" style="264" customWidth="1"/>
    <col min="5127" max="5127" width="2.7109375" style="264" customWidth="1"/>
    <col min="5128" max="5374" width="9.140625" style="264"/>
    <col min="5375" max="5375" width="4.28515625" style="264" bestFit="1" customWidth="1"/>
    <col min="5376" max="5376" width="35.42578125" style="264" customWidth="1"/>
    <col min="5377" max="5379" width="11.140625" style="264" bestFit="1" customWidth="1"/>
    <col min="5380" max="5380" width="12.7109375" style="264" bestFit="1" customWidth="1"/>
    <col min="5381" max="5381" width="12.42578125" style="264" customWidth="1"/>
    <col min="5382" max="5382" width="12.7109375" style="264" customWidth="1"/>
    <col min="5383" max="5383" width="2.7109375" style="264" customWidth="1"/>
    <col min="5384" max="5630" width="9.140625" style="264"/>
    <col min="5631" max="5631" width="4.28515625" style="264" bestFit="1" customWidth="1"/>
    <col min="5632" max="5632" width="35.42578125" style="264" customWidth="1"/>
    <col min="5633" max="5635" width="11.140625" style="264" bestFit="1" customWidth="1"/>
    <col min="5636" max="5636" width="12.7109375" style="264" bestFit="1" customWidth="1"/>
    <col min="5637" max="5637" width="12.42578125" style="264" customWidth="1"/>
    <col min="5638" max="5638" width="12.7109375" style="264" customWidth="1"/>
    <col min="5639" max="5639" width="2.7109375" style="264" customWidth="1"/>
    <col min="5640" max="5886" width="9.140625" style="264"/>
    <col min="5887" max="5887" width="4.28515625" style="264" bestFit="1" customWidth="1"/>
    <col min="5888" max="5888" width="35.42578125" style="264" customWidth="1"/>
    <col min="5889" max="5891" width="11.140625" style="264" bestFit="1" customWidth="1"/>
    <col min="5892" max="5892" width="12.7109375" style="264" bestFit="1" customWidth="1"/>
    <col min="5893" max="5893" width="12.42578125" style="264" customWidth="1"/>
    <col min="5894" max="5894" width="12.7109375" style="264" customWidth="1"/>
    <col min="5895" max="5895" width="2.7109375" style="264" customWidth="1"/>
    <col min="5896" max="6142" width="9.140625" style="264"/>
    <col min="6143" max="6143" width="4.28515625" style="264" bestFit="1" customWidth="1"/>
    <col min="6144" max="6144" width="35.42578125" style="264" customWidth="1"/>
    <col min="6145" max="6147" width="11.140625" style="264" bestFit="1" customWidth="1"/>
    <col min="6148" max="6148" width="12.7109375" style="264" bestFit="1" customWidth="1"/>
    <col min="6149" max="6149" width="12.42578125" style="264" customWidth="1"/>
    <col min="6150" max="6150" width="12.7109375" style="264" customWidth="1"/>
    <col min="6151" max="6151" width="2.7109375" style="264" customWidth="1"/>
    <col min="6152" max="6398" width="9.140625" style="264"/>
    <col min="6399" max="6399" width="4.28515625" style="264" bestFit="1" customWidth="1"/>
    <col min="6400" max="6400" width="35.42578125" style="264" customWidth="1"/>
    <col min="6401" max="6403" width="11.140625" style="264" bestFit="1" customWidth="1"/>
    <col min="6404" max="6404" width="12.7109375" style="264" bestFit="1" customWidth="1"/>
    <col min="6405" max="6405" width="12.42578125" style="264" customWidth="1"/>
    <col min="6406" max="6406" width="12.7109375" style="264" customWidth="1"/>
    <col min="6407" max="6407" width="2.7109375" style="264" customWidth="1"/>
    <col min="6408" max="6654" width="9.140625" style="264"/>
    <col min="6655" max="6655" width="4.28515625" style="264" bestFit="1" customWidth="1"/>
    <col min="6656" max="6656" width="35.42578125" style="264" customWidth="1"/>
    <col min="6657" max="6659" width="11.140625" style="264" bestFit="1" customWidth="1"/>
    <col min="6660" max="6660" width="12.7109375" style="264" bestFit="1" customWidth="1"/>
    <col min="6661" max="6661" width="12.42578125" style="264" customWidth="1"/>
    <col min="6662" max="6662" width="12.7109375" style="264" customWidth="1"/>
    <col min="6663" max="6663" width="2.7109375" style="264" customWidth="1"/>
    <col min="6664" max="6910" width="9.140625" style="264"/>
    <col min="6911" max="6911" width="4.28515625" style="264" bestFit="1" customWidth="1"/>
    <col min="6912" max="6912" width="35.42578125" style="264" customWidth="1"/>
    <col min="6913" max="6915" width="11.140625" style="264" bestFit="1" customWidth="1"/>
    <col min="6916" max="6916" width="12.7109375" style="264" bestFit="1" customWidth="1"/>
    <col min="6917" max="6917" width="12.42578125" style="264" customWidth="1"/>
    <col min="6918" max="6918" width="12.7109375" style="264" customWidth="1"/>
    <col min="6919" max="6919" width="2.7109375" style="264" customWidth="1"/>
    <col min="6920" max="7166" width="9.140625" style="264"/>
    <col min="7167" max="7167" width="4.28515625" style="264" bestFit="1" customWidth="1"/>
    <col min="7168" max="7168" width="35.42578125" style="264" customWidth="1"/>
    <col min="7169" max="7171" width="11.140625" style="264" bestFit="1" customWidth="1"/>
    <col min="7172" max="7172" width="12.7109375" style="264" bestFit="1" customWidth="1"/>
    <col min="7173" max="7173" width="12.42578125" style="264" customWidth="1"/>
    <col min="7174" max="7174" width="12.7109375" style="264" customWidth="1"/>
    <col min="7175" max="7175" width="2.7109375" style="264" customWidth="1"/>
    <col min="7176" max="7422" width="9.140625" style="264"/>
    <col min="7423" max="7423" width="4.28515625" style="264" bestFit="1" customWidth="1"/>
    <col min="7424" max="7424" width="35.42578125" style="264" customWidth="1"/>
    <col min="7425" max="7427" width="11.140625" style="264" bestFit="1" customWidth="1"/>
    <col min="7428" max="7428" width="12.7109375" style="264" bestFit="1" customWidth="1"/>
    <col min="7429" max="7429" width="12.42578125" style="264" customWidth="1"/>
    <col min="7430" max="7430" width="12.7109375" style="264" customWidth="1"/>
    <col min="7431" max="7431" width="2.7109375" style="264" customWidth="1"/>
    <col min="7432" max="7678" width="9.140625" style="264"/>
    <col min="7679" max="7679" width="4.28515625" style="264" bestFit="1" customWidth="1"/>
    <col min="7680" max="7680" width="35.42578125" style="264" customWidth="1"/>
    <col min="7681" max="7683" width="11.140625" style="264" bestFit="1" customWidth="1"/>
    <col min="7684" max="7684" width="12.7109375" style="264" bestFit="1" customWidth="1"/>
    <col min="7685" max="7685" width="12.42578125" style="264" customWidth="1"/>
    <col min="7686" max="7686" width="12.7109375" style="264" customWidth="1"/>
    <col min="7687" max="7687" width="2.7109375" style="264" customWidth="1"/>
    <col min="7688" max="7934" width="9.140625" style="264"/>
    <col min="7935" max="7935" width="4.28515625" style="264" bestFit="1" customWidth="1"/>
    <col min="7936" max="7936" width="35.42578125" style="264" customWidth="1"/>
    <col min="7937" max="7939" width="11.140625" style="264" bestFit="1" customWidth="1"/>
    <col min="7940" max="7940" width="12.7109375" style="264" bestFit="1" customWidth="1"/>
    <col min="7941" max="7941" width="12.42578125" style="264" customWidth="1"/>
    <col min="7942" max="7942" width="12.7109375" style="264" customWidth="1"/>
    <col min="7943" max="7943" width="2.7109375" style="264" customWidth="1"/>
    <col min="7944" max="8190" width="9.140625" style="264"/>
    <col min="8191" max="8191" width="4.28515625" style="264" bestFit="1" customWidth="1"/>
    <col min="8192" max="8192" width="35.42578125" style="264" customWidth="1"/>
    <col min="8193" max="8195" width="11.140625" style="264" bestFit="1" customWidth="1"/>
    <col min="8196" max="8196" width="12.7109375" style="264" bestFit="1" customWidth="1"/>
    <col min="8197" max="8197" width="12.42578125" style="264" customWidth="1"/>
    <col min="8198" max="8198" width="12.7109375" style="264" customWidth="1"/>
    <col min="8199" max="8199" width="2.7109375" style="264" customWidth="1"/>
    <col min="8200" max="8446" width="9.140625" style="264"/>
    <col min="8447" max="8447" width="4.28515625" style="264" bestFit="1" customWidth="1"/>
    <col min="8448" max="8448" width="35.42578125" style="264" customWidth="1"/>
    <col min="8449" max="8451" width="11.140625" style="264" bestFit="1" customWidth="1"/>
    <col min="8452" max="8452" width="12.7109375" style="264" bestFit="1" customWidth="1"/>
    <col min="8453" max="8453" width="12.42578125" style="264" customWidth="1"/>
    <col min="8454" max="8454" width="12.7109375" style="264" customWidth="1"/>
    <col min="8455" max="8455" width="2.7109375" style="264" customWidth="1"/>
    <col min="8456" max="8702" width="9.140625" style="264"/>
    <col min="8703" max="8703" width="4.28515625" style="264" bestFit="1" customWidth="1"/>
    <col min="8704" max="8704" width="35.42578125" style="264" customWidth="1"/>
    <col min="8705" max="8707" width="11.140625" style="264" bestFit="1" customWidth="1"/>
    <col min="8708" max="8708" width="12.7109375" style="264" bestFit="1" customWidth="1"/>
    <col min="8709" max="8709" width="12.42578125" style="264" customWidth="1"/>
    <col min="8710" max="8710" width="12.7109375" style="264" customWidth="1"/>
    <col min="8711" max="8711" width="2.7109375" style="264" customWidth="1"/>
    <col min="8712" max="8958" width="9.140625" style="264"/>
    <col min="8959" max="8959" width="4.28515625" style="264" bestFit="1" customWidth="1"/>
    <col min="8960" max="8960" width="35.42578125" style="264" customWidth="1"/>
    <col min="8961" max="8963" width="11.140625" style="264" bestFit="1" customWidth="1"/>
    <col min="8964" max="8964" width="12.7109375" style="264" bestFit="1" customWidth="1"/>
    <col min="8965" max="8965" width="12.42578125" style="264" customWidth="1"/>
    <col min="8966" max="8966" width="12.7109375" style="264" customWidth="1"/>
    <col min="8967" max="8967" width="2.7109375" style="264" customWidth="1"/>
    <col min="8968" max="9214" width="9.140625" style="264"/>
    <col min="9215" max="9215" width="4.28515625" style="264" bestFit="1" customWidth="1"/>
    <col min="9216" max="9216" width="35.42578125" style="264" customWidth="1"/>
    <col min="9217" max="9219" width="11.140625" style="264" bestFit="1" customWidth="1"/>
    <col min="9220" max="9220" width="12.7109375" style="264" bestFit="1" customWidth="1"/>
    <col min="9221" max="9221" width="12.42578125" style="264" customWidth="1"/>
    <col min="9222" max="9222" width="12.7109375" style="264" customWidth="1"/>
    <col min="9223" max="9223" width="2.7109375" style="264" customWidth="1"/>
    <col min="9224" max="9470" width="9.140625" style="264"/>
    <col min="9471" max="9471" width="4.28515625" style="264" bestFit="1" customWidth="1"/>
    <col min="9472" max="9472" width="35.42578125" style="264" customWidth="1"/>
    <col min="9473" max="9475" width="11.140625" style="264" bestFit="1" customWidth="1"/>
    <col min="9476" max="9476" width="12.7109375" style="264" bestFit="1" customWidth="1"/>
    <col min="9477" max="9477" width="12.42578125" style="264" customWidth="1"/>
    <col min="9478" max="9478" width="12.7109375" style="264" customWidth="1"/>
    <col min="9479" max="9479" width="2.7109375" style="264" customWidth="1"/>
    <col min="9480" max="9726" width="9.140625" style="264"/>
    <col min="9727" max="9727" width="4.28515625" style="264" bestFit="1" customWidth="1"/>
    <col min="9728" max="9728" width="35.42578125" style="264" customWidth="1"/>
    <col min="9729" max="9731" width="11.140625" style="264" bestFit="1" customWidth="1"/>
    <col min="9732" max="9732" width="12.7109375" style="264" bestFit="1" customWidth="1"/>
    <col min="9733" max="9733" width="12.42578125" style="264" customWidth="1"/>
    <col min="9734" max="9734" width="12.7109375" style="264" customWidth="1"/>
    <col min="9735" max="9735" width="2.7109375" style="264" customWidth="1"/>
    <col min="9736" max="9982" width="9.140625" style="264"/>
    <col min="9983" max="9983" width="4.28515625" style="264" bestFit="1" customWidth="1"/>
    <col min="9984" max="9984" width="35.42578125" style="264" customWidth="1"/>
    <col min="9985" max="9987" width="11.140625" style="264" bestFit="1" customWidth="1"/>
    <col min="9988" max="9988" width="12.7109375" style="264" bestFit="1" customWidth="1"/>
    <col min="9989" max="9989" width="12.42578125" style="264" customWidth="1"/>
    <col min="9990" max="9990" width="12.7109375" style="264" customWidth="1"/>
    <col min="9991" max="9991" width="2.7109375" style="264" customWidth="1"/>
    <col min="9992" max="10238" width="9.140625" style="264"/>
    <col min="10239" max="10239" width="4.28515625" style="264" bestFit="1" customWidth="1"/>
    <col min="10240" max="10240" width="35.42578125" style="264" customWidth="1"/>
    <col min="10241" max="10243" width="11.140625" style="264" bestFit="1" customWidth="1"/>
    <col min="10244" max="10244" width="12.7109375" style="264" bestFit="1" customWidth="1"/>
    <col min="10245" max="10245" width="12.42578125" style="264" customWidth="1"/>
    <col min="10246" max="10246" width="12.7109375" style="264" customWidth="1"/>
    <col min="10247" max="10247" width="2.7109375" style="264" customWidth="1"/>
    <col min="10248" max="10494" width="9.140625" style="264"/>
    <col min="10495" max="10495" width="4.28515625" style="264" bestFit="1" customWidth="1"/>
    <col min="10496" max="10496" width="35.42578125" style="264" customWidth="1"/>
    <col min="10497" max="10499" width="11.140625" style="264" bestFit="1" customWidth="1"/>
    <col min="10500" max="10500" width="12.7109375" style="264" bestFit="1" customWidth="1"/>
    <col min="10501" max="10501" width="12.42578125" style="264" customWidth="1"/>
    <col min="10502" max="10502" width="12.7109375" style="264" customWidth="1"/>
    <col min="10503" max="10503" width="2.7109375" style="264" customWidth="1"/>
    <col min="10504" max="10750" width="9.140625" style="264"/>
    <col min="10751" max="10751" width="4.28515625" style="264" bestFit="1" customWidth="1"/>
    <col min="10752" max="10752" width="35.42578125" style="264" customWidth="1"/>
    <col min="10753" max="10755" width="11.140625" style="264" bestFit="1" customWidth="1"/>
    <col min="10756" max="10756" width="12.7109375" style="264" bestFit="1" customWidth="1"/>
    <col min="10757" max="10757" width="12.42578125" style="264" customWidth="1"/>
    <col min="10758" max="10758" width="12.7109375" style="264" customWidth="1"/>
    <col min="10759" max="10759" width="2.7109375" style="264" customWidth="1"/>
    <col min="10760" max="11006" width="9.140625" style="264"/>
    <col min="11007" max="11007" width="4.28515625" style="264" bestFit="1" customWidth="1"/>
    <col min="11008" max="11008" width="35.42578125" style="264" customWidth="1"/>
    <col min="11009" max="11011" width="11.140625" style="264" bestFit="1" customWidth="1"/>
    <col min="11012" max="11012" width="12.7109375" style="264" bestFit="1" customWidth="1"/>
    <col min="11013" max="11013" width="12.42578125" style="264" customWidth="1"/>
    <col min="11014" max="11014" width="12.7109375" style="264" customWidth="1"/>
    <col min="11015" max="11015" width="2.7109375" style="264" customWidth="1"/>
    <col min="11016" max="11262" width="9.140625" style="264"/>
    <col min="11263" max="11263" width="4.28515625" style="264" bestFit="1" customWidth="1"/>
    <col min="11264" max="11264" width="35.42578125" style="264" customWidth="1"/>
    <col min="11265" max="11267" width="11.140625" style="264" bestFit="1" customWidth="1"/>
    <col min="11268" max="11268" width="12.7109375" style="264" bestFit="1" customWidth="1"/>
    <col min="11269" max="11269" width="12.42578125" style="264" customWidth="1"/>
    <col min="11270" max="11270" width="12.7109375" style="264" customWidth="1"/>
    <col min="11271" max="11271" width="2.7109375" style="264" customWidth="1"/>
    <col min="11272" max="11518" width="9.140625" style="264"/>
    <col min="11519" max="11519" width="4.28515625" style="264" bestFit="1" customWidth="1"/>
    <col min="11520" max="11520" width="35.42578125" style="264" customWidth="1"/>
    <col min="11521" max="11523" width="11.140625" style="264" bestFit="1" customWidth="1"/>
    <col min="11524" max="11524" width="12.7109375" style="264" bestFit="1" customWidth="1"/>
    <col min="11525" max="11525" width="12.42578125" style="264" customWidth="1"/>
    <col min="11526" max="11526" width="12.7109375" style="264" customWidth="1"/>
    <col min="11527" max="11527" width="2.7109375" style="264" customWidth="1"/>
    <col min="11528" max="11774" width="9.140625" style="264"/>
    <col min="11775" max="11775" width="4.28515625" style="264" bestFit="1" customWidth="1"/>
    <col min="11776" max="11776" width="35.42578125" style="264" customWidth="1"/>
    <col min="11777" max="11779" width="11.140625" style="264" bestFit="1" customWidth="1"/>
    <col min="11780" max="11780" width="12.7109375" style="264" bestFit="1" customWidth="1"/>
    <col min="11781" max="11781" width="12.42578125" style="264" customWidth="1"/>
    <col min="11782" max="11782" width="12.7109375" style="264" customWidth="1"/>
    <col min="11783" max="11783" width="2.7109375" style="264" customWidth="1"/>
    <col min="11784" max="12030" width="9.140625" style="264"/>
    <col min="12031" max="12031" width="4.28515625" style="264" bestFit="1" customWidth="1"/>
    <col min="12032" max="12032" width="35.42578125" style="264" customWidth="1"/>
    <col min="12033" max="12035" width="11.140625" style="264" bestFit="1" customWidth="1"/>
    <col min="12036" max="12036" width="12.7109375" style="264" bestFit="1" customWidth="1"/>
    <col min="12037" max="12037" width="12.42578125" style="264" customWidth="1"/>
    <col min="12038" max="12038" width="12.7109375" style="264" customWidth="1"/>
    <col min="12039" max="12039" width="2.7109375" style="264" customWidth="1"/>
    <col min="12040" max="12286" width="9.140625" style="264"/>
    <col min="12287" max="12287" width="4.28515625" style="264" bestFit="1" customWidth="1"/>
    <col min="12288" max="12288" width="35.42578125" style="264" customWidth="1"/>
    <col min="12289" max="12291" width="11.140625" style="264" bestFit="1" customWidth="1"/>
    <col min="12292" max="12292" width="12.7109375" style="264" bestFit="1" customWidth="1"/>
    <col min="12293" max="12293" width="12.42578125" style="264" customWidth="1"/>
    <col min="12294" max="12294" width="12.7109375" style="264" customWidth="1"/>
    <col min="12295" max="12295" width="2.7109375" style="264" customWidth="1"/>
    <col min="12296" max="12542" width="9.140625" style="264"/>
    <col min="12543" max="12543" width="4.28515625" style="264" bestFit="1" customWidth="1"/>
    <col min="12544" max="12544" width="35.42578125" style="264" customWidth="1"/>
    <col min="12545" max="12547" width="11.140625" style="264" bestFit="1" customWidth="1"/>
    <col min="12548" max="12548" width="12.7109375" style="264" bestFit="1" customWidth="1"/>
    <col min="12549" max="12549" width="12.42578125" style="264" customWidth="1"/>
    <col min="12550" max="12550" width="12.7109375" style="264" customWidth="1"/>
    <col min="12551" max="12551" width="2.7109375" style="264" customWidth="1"/>
    <col min="12552" max="12798" width="9.140625" style="264"/>
    <col min="12799" max="12799" width="4.28515625" style="264" bestFit="1" customWidth="1"/>
    <col min="12800" max="12800" width="35.42578125" style="264" customWidth="1"/>
    <col min="12801" max="12803" width="11.140625" style="264" bestFit="1" customWidth="1"/>
    <col min="12804" max="12804" width="12.7109375" style="264" bestFit="1" customWidth="1"/>
    <col min="12805" max="12805" width="12.42578125" style="264" customWidth="1"/>
    <col min="12806" max="12806" width="12.7109375" style="264" customWidth="1"/>
    <col min="12807" max="12807" width="2.7109375" style="264" customWidth="1"/>
    <col min="12808" max="13054" width="9.140625" style="264"/>
    <col min="13055" max="13055" width="4.28515625" style="264" bestFit="1" customWidth="1"/>
    <col min="13056" max="13056" width="35.42578125" style="264" customWidth="1"/>
    <col min="13057" max="13059" width="11.140625" style="264" bestFit="1" customWidth="1"/>
    <col min="13060" max="13060" width="12.7109375" style="264" bestFit="1" customWidth="1"/>
    <col min="13061" max="13061" width="12.42578125" style="264" customWidth="1"/>
    <col min="13062" max="13062" width="12.7109375" style="264" customWidth="1"/>
    <col min="13063" max="13063" width="2.7109375" style="264" customWidth="1"/>
    <col min="13064" max="13310" width="9.140625" style="264"/>
    <col min="13311" max="13311" width="4.28515625" style="264" bestFit="1" customWidth="1"/>
    <col min="13312" max="13312" width="35.42578125" style="264" customWidth="1"/>
    <col min="13313" max="13315" width="11.140625" style="264" bestFit="1" customWidth="1"/>
    <col min="13316" max="13316" width="12.7109375" style="264" bestFit="1" customWidth="1"/>
    <col min="13317" max="13317" width="12.42578125" style="264" customWidth="1"/>
    <col min="13318" max="13318" width="12.7109375" style="264" customWidth="1"/>
    <col min="13319" max="13319" width="2.7109375" style="264" customWidth="1"/>
    <col min="13320" max="13566" width="9.140625" style="264"/>
    <col min="13567" max="13567" width="4.28515625" style="264" bestFit="1" customWidth="1"/>
    <col min="13568" max="13568" width="35.42578125" style="264" customWidth="1"/>
    <col min="13569" max="13571" width="11.140625" style="264" bestFit="1" customWidth="1"/>
    <col min="13572" max="13572" width="12.7109375" style="264" bestFit="1" customWidth="1"/>
    <col min="13573" max="13573" width="12.42578125" style="264" customWidth="1"/>
    <col min="13574" max="13574" width="12.7109375" style="264" customWidth="1"/>
    <col min="13575" max="13575" width="2.7109375" style="264" customWidth="1"/>
    <col min="13576" max="13822" width="9.140625" style="264"/>
    <col min="13823" max="13823" width="4.28515625" style="264" bestFit="1" customWidth="1"/>
    <col min="13824" max="13824" width="35.42578125" style="264" customWidth="1"/>
    <col min="13825" max="13827" width="11.140625" style="264" bestFit="1" customWidth="1"/>
    <col min="13828" max="13828" width="12.7109375" style="264" bestFit="1" customWidth="1"/>
    <col min="13829" max="13829" width="12.42578125" style="264" customWidth="1"/>
    <col min="13830" max="13830" width="12.7109375" style="264" customWidth="1"/>
    <col min="13831" max="13831" width="2.7109375" style="264" customWidth="1"/>
    <col min="13832" max="14078" width="9.140625" style="264"/>
    <col min="14079" max="14079" width="4.28515625" style="264" bestFit="1" customWidth="1"/>
    <col min="14080" max="14080" width="35.42578125" style="264" customWidth="1"/>
    <col min="14081" max="14083" width="11.140625" style="264" bestFit="1" customWidth="1"/>
    <col min="14084" max="14084" width="12.7109375" style="264" bestFit="1" customWidth="1"/>
    <col min="14085" max="14085" width="12.42578125" style="264" customWidth="1"/>
    <col min="14086" max="14086" width="12.7109375" style="264" customWidth="1"/>
    <col min="14087" max="14087" width="2.7109375" style="264" customWidth="1"/>
    <col min="14088" max="14334" width="9.140625" style="264"/>
    <col min="14335" max="14335" width="4.28515625" style="264" bestFit="1" customWidth="1"/>
    <col min="14336" max="14336" width="35.42578125" style="264" customWidth="1"/>
    <col min="14337" max="14339" width="11.140625" style="264" bestFit="1" customWidth="1"/>
    <col min="14340" max="14340" width="12.7109375" style="264" bestFit="1" customWidth="1"/>
    <col min="14341" max="14341" width="12.42578125" style="264" customWidth="1"/>
    <col min="14342" max="14342" width="12.7109375" style="264" customWidth="1"/>
    <col min="14343" max="14343" width="2.7109375" style="264" customWidth="1"/>
    <col min="14344" max="14590" width="9.140625" style="264"/>
    <col min="14591" max="14591" width="4.28515625" style="264" bestFit="1" customWidth="1"/>
    <col min="14592" max="14592" width="35.42578125" style="264" customWidth="1"/>
    <col min="14593" max="14595" width="11.140625" style="264" bestFit="1" customWidth="1"/>
    <col min="14596" max="14596" width="12.7109375" style="264" bestFit="1" customWidth="1"/>
    <col min="14597" max="14597" width="12.42578125" style="264" customWidth="1"/>
    <col min="14598" max="14598" width="12.7109375" style="264" customWidth="1"/>
    <col min="14599" max="14599" width="2.7109375" style="264" customWidth="1"/>
    <col min="14600" max="14846" width="9.140625" style="264"/>
    <col min="14847" max="14847" width="4.28515625" style="264" bestFit="1" customWidth="1"/>
    <col min="14848" max="14848" width="35.42578125" style="264" customWidth="1"/>
    <col min="14849" max="14851" width="11.140625" style="264" bestFit="1" customWidth="1"/>
    <col min="14852" max="14852" width="12.7109375" style="264" bestFit="1" customWidth="1"/>
    <col min="14853" max="14853" width="12.42578125" style="264" customWidth="1"/>
    <col min="14854" max="14854" width="12.7109375" style="264" customWidth="1"/>
    <col min="14855" max="14855" width="2.7109375" style="264" customWidth="1"/>
    <col min="14856" max="15102" width="9.140625" style="264"/>
    <col min="15103" max="15103" width="4.28515625" style="264" bestFit="1" customWidth="1"/>
    <col min="15104" max="15104" width="35.42578125" style="264" customWidth="1"/>
    <col min="15105" max="15107" width="11.140625" style="264" bestFit="1" customWidth="1"/>
    <col min="15108" max="15108" width="12.7109375" style="264" bestFit="1" customWidth="1"/>
    <col min="15109" max="15109" width="12.42578125" style="264" customWidth="1"/>
    <col min="15110" max="15110" width="12.7109375" style="264" customWidth="1"/>
    <col min="15111" max="15111" width="2.7109375" style="264" customWidth="1"/>
    <col min="15112" max="15358" width="9.140625" style="264"/>
    <col min="15359" max="15359" width="4.28515625" style="264" bestFit="1" customWidth="1"/>
    <col min="15360" max="15360" width="35.42578125" style="264" customWidth="1"/>
    <col min="15361" max="15363" width="11.140625" style="264" bestFit="1" customWidth="1"/>
    <col min="15364" max="15364" width="12.7109375" style="264" bestFit="1" customWidth="1"/>
    <col min="15365" max="15365" width="12.42578125" style="264" customWidth="1"/>
    <col min="15366" max="15366" width="12.7109375" style="264" customWidth="1"/>
    <col min="15367" max="15367" width="2.7109375" style="264" customWidth="1"/>
    <col min="15368" max="15614" width="9.140625" style="264"/>
    <col min="15615" max="15615" width="4.28515625" style="264" bestFit="1" customWidth="1"/>
    <col min="15616" max="15616" width="35.42578125" style="264" customWidth="1"/>
    <col min="15617" max="15619" width="11.140625" style="264" bestFit="1" customWidth="1"/>
    <col min="15620" max="15620" width="12.7109375" style="264" bestFit="1" customWidth="1"/>
    <col min="15621" max="15621" width="12.42578125" style="264" customWidth="1"/>
    <col min="15622" max="15622" width="12.7109375" style="264" customWidth="1"/>
    <col min="15623" max="15623" width="2.7109375" style="264" customWidth="1"/>
    <col min="15624" max="15870" width="9.140625" style="264"/>
    <col min="15871" max="15871" width="4.28515625" style="264" bestFit="1" customWidth="1"/>
    <col min="15872" max="15872" width="35.42578125" style="264" customWidth="1"/>
    <col min="15873" max="15875" width="11.140625" style="264" bestFit="1" customWidth="1"/>
    <col min="15876" max="15876" width="12.7109375" style="264" bestFit="1" customWidth="1"/>
    <col min="15877" max="15877" width="12.42578125" style="264" customWidth="1"/>
    <col min="15878" max="15878" width="12.7109375" style="264" customWidth="1"/>
    <col min="15879" max="15879" width="2.7109375" style="264" customWidth="1"/>
    <col min="15880" max="16126" width="9.140625" style="264"/>
    <col min="16127" max="16127" width="4.28515625" style="264" bestFit="1" customWidth="1"/>
    <col min="16128" max="16128" width="35.42578125" style="264" customWidth="1"/>
    <col min="16129" max="16131" width="11.140625" style="264" bestFit="1" customWidth="1"/>
    <col min="16132" max="16132" width="12.7109375" style="264" bestFit="1" customWidth="1"/>
    <col min="16133" max="16133" width="12.42578125" style="264" customWidth="1"/>
    <col min="16134" max="16134" width="12.7109375" style="264" customWidth="1"/>
    <col min="16135" max="16135" width="2.7109375" style="264" customWidth="1"/>
    <col min="16136" max="16384" width="9.140625" style="264"/>
  </cols>
  <sheetData>
    <row r="1" spans="1:13" ht="15.75">
      <c r="A1" s="707" t="s">
        <v>788</v>
      </c>
    </row>
    <row r="2" spans="1:13" ht="15.75">
      <c r="B2" s="707"/>
    </row>
    <row r="3" spans="1:13" ht="15.75">
      <c r="A3" s="708"/>
      <c r="B3" s="708"/>
      <c r="C3" s="708"/>
      <c r="D3" s="708"/>
      <c r="E3" s="708"/>
      <c r="F3" s="709" t="s">
        <v>47</v>
      </c>
      <c r="H3" s="1070" t="s">
        <v>774</v>
      </c>
      <c r="I3" s="1070"/>
    </row>
    <row r="4" spans="1:13" ht="15">
      <c r="A4" s="710" t="s">
        <v>775</v>
      </c>
      <c r="B4" s="711" t="s">
        <v>776</v>
      </c>
      <c r="C4" s="1071" t="s">
        <v>789</v>
      </c>
      <c r="D4" s="1073" t="s">
        <v>777</v>
      </c>
      <c r="E4" s="1074"/>
      <c r="F4" s="1075"/>
      <c r="H4" s="1076"/>
      <c r="I4" s="1076"/>
    </row>
    <row r="5" spans="1:13" ht="45">
      <c r="A5" s="712" t="s">
        <v>778</v>
      </c>
      <c r="B5" s="713"/>
      <c r="C5" s="1072"/>
      <c r="D5" s="714" t="s">
        <v>779</v>
      </c>
      <c r="E5" s="714" t="s">
        <v>780</v>
      </c>
      <c r="F5" s="714" t="s">
        <v>781</v>
      </c>
      <c r="H5" s="1077"/>
      <c r="I5" s="1077"/>
    </row>
    <row r="6" spans="1:13">
      <c r="A6" s="718" t="s">
        <v>784</v>
      </c>
      <c r="B6" s="718" t="s">
        <v>214</v>
      </c>
      <c r="C6" s="715">
        <v>48965243</v>
      </c>
      <c r="D6" s="715">
        <v>14653365</v>
      </c>
      <c r="E6" s="715">
        <v>34117307</v>
      </c>
      <c r="F6" s="715">
        <v>194571</v>
      </c>
      <c r="G6" s="716"/>
      <c r="H6" s="715"/>
      <c r="I6" s="715"/>
      <c r="J6" s="717"/>
      <c r="K6" s="717"/>
      <c r="L6" s="717"/>
      <c r="M6" s="717"/>
    </row>
    <row r="7" spans="1:13">
      <c r="A7" s="716"/>
    </row>
    <row r="8" spans="1:13">
      <c r="A8" s="716"/>
    </row>
    <row r="9" spans="1:13">
      <c r="A9" s="716"/>
    </row>
    <row r="10" spans="1:13">
      <c r="A10" s="716"/>
    </row>
    <row r="11" spans="1:13">
      <c r="A11" s="716"/>
    </row>
    <row r="12" spans="1:13">
      <c r="A12" s="716"/>
    </row>
    <row r="13" spans="1:13">
      <c r="A13" s="716"/>
    </row>
    <row r="14" spans="1:13">
      <c r="A14" s="716"/>
    </row>
    <row r="15" spans="1:13">
      <c r="A15" s="716"/>
    </row>
    <row r="16" spans="1:13">
      <c r="A16" s="716"/>
    </row>
    <row r="17" spans="1:1">
      <c r="A17" s="716"/>
    </row>
    <row r="18" spans="1:1">
      <c r="A18" s="716"/>
    </row>
    <row r="19" spans="1:1">
      <c r="A19" s="716"/>
    </row>
    <row r="20" spans="1:1">
      <c r="A20" s="716"/>
    </row>
    <row r="21" spans="1:1">
      <c r="A21" s="716"/>
    </row>
    <row r="22" spans="1:1">
      <c r="A22" s="716"/>
    </row>
    <row r="23" spans="1:1">
      <c r="A23" s="716"/>
    </row>
    <row r="24" spans="1:1">
      <c r="A24" s="716"/>
    </row>
    <row r="25" spans="1:1">
      <c r="A25" s="716"/>
    </row>
    <row r="26" spans="1:1">
      <c r="A26" s="716"/>
    </row>
    <row r="27" spans="1:1">
      <c r="A27" s="716"/>
    </row>
    <row r="28" spans="1:1">
      <c r="A28" s="716"/>
    </row>
    <row r="29" spans="1:1">
      <c r="A29" s="716"/>
    </row>
    <row r="30" spans="1:1">
      <c r="A30" s="716"/>
    </row>
    <row r="31" spans="1:1">
      <c r="A31" s="716"/>
    </row>
    <row r="32" spans="1:1">
      <c r="A32" s="716"/>
    </row>
  </sheetData>
  <mergeCells count="5">
    <mergeCell ref="H3:I3"/>
    <mergeCell ref="C4:C5"/>
    <mergeCell ref="D4:F4"/>
    <mergeCell ref="H4:H5"/>
    <mergeCell ref="I4:I5"/>
  </mergeCells>
  <pageMargins left="1.1811023622047245" right="0.47244094488188981" top="0.31496062992125984" bottom="0.35433070866141736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8</vt:i4>
      </vt:variant>
    </vt:vector>
  </HeadingPairs>
  <TitlesOfParts>
    <vt:vector size="30" baseType="lpstr">
      <vt:lpstr>Koondvorm (1)</vt:lpstr>
      <vt:lpstr>1 KOONDEELARVE</vt:lpstr>
      <vt:lpstr>6 RAHAKÄIVE</vt:lpstr>
      <vt:lpstr>2 TULUDE KOOND</vt:lpstr>
      <vt:lpstr>Sheet2</vt:lpstr>
      <vt:lpstr>Omatulud (3)</vt:lpstr>
      <vt:lpstr>Üüritulu (3a)</vt:lpstr>
      <vt:lpstr>Toetused (4)</vt:lpstr>
      <vt:lpstr>Piirsumma</vt:lpstr>
      <vt:lpstr>Kulud (5)</vt:lpstr>
      <vt:lpstr>Lisanduvad kulud (5a)</vt:lpstr>
      <vt:lpstr>Vähenevad kulud (5b)</vt:lpstr>
      <vt:lpstr>Inv koond - põhitaotlus (6a)</vt:lpstr>
      <vt:lpstr>Inv koond - lisa (6a-lisa)</vt:lpstr>
      <vt:lpstr>5 FIN.TEH</vt:lpstr>
      <vt:lpstr>7 LIIGENDUS</vt:lpstr>
      <vt:lpstr>Inv infokaart (6b)</vt:lpstr>
      <vt:lpstr>Inv infokaardi lisa(6c)</vt:lpstr>
      <vt:lpstr>Koosseisunimestik(STA) 8c</vt:lpstr>
      <vt:lpstr>Planeerimine(STA) 8d</vt:lpstr>
      <vt:lpstr>välisprojektid (7)</vt:lpstr>
      <vt:lpstr>Valdkonnad</vt:lpstr>
      <vt:lpstr>'2 TULUDE KOOND'!Print_Titles</vt:lpstr>
      <vt:lpstr>'Inv koond - lisa (6a-lisa)'!Print_Titles</vt:lpstr>
      <vt:lpstr>'Inv koond - põhitaotlus (6a)'!Print_Titles</vt:lpstr>
      <vt:lpstr>'Kulud (5)'!Print_Titles</vt:lpstr>
      <vt:lpstr>'Lisanduvad kulud (5a)'!Print_Titles</vt:lpstr>
      <vt:lpstr>'Omatulud (3)'!Print_Titles</vt:lpstr>
      <vt:lpstr>'Toetused (4)'!Print_Titles</vt:lpstr>
      <vt:lpstr>'Vähenevad kulud (5b)'!Print_Titles</vt:lpstr>
    </vt:vector>
  </TitlesOfParts>
  <Company>Tallinna Linnakantselei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valler</dc:creator>
  <cp:lastModifiedBy>Maarja Valler</cp:lastModifiedBy>
  <cp:lastPrinted>2018-06-04T07:19:13Z</cp:lastPrinted>
  <dcterms:created xsi:type="dcterms:W3CDTF">2011-11-17T06:19:29Z</dcterms:created>
  <dcterms:modified xsi:type="dcterms:W3CDTF">2018-07-16T08:55:51Z</dcterms:modified>
</cp:coreProperties>
</file>