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19\Määruse eelnõu\Linnaosakogudele\"/>
    </mc:Choice>
  </mc:AlternateContent>
  <bookViews>
    <workbookView xWindow="-15" yWindow="45" windowWidth="11520" windowHeight="6825"/>
  </bookViews>
  <sheets>
    <sheet name="1 KOONDEELARVE" sheetId="5" r:id="rId1"/>
    <sheet name="2 TULUDE KOOND" sheetId="6" state="hidden" r:id="rId2"/>
    <sheet name="2.1 LK TULUD" sheetId="7" state="hidden" r:id="rId3"/>
    <sheet name="Sheet2" sheetId="15" state="hidden" r:id="rId4"/>
    <sheet name="2.2 OMATULUD" sheetId="4" r:id="rId5"/>
    <sheet name="2.3 TOETUSED" sheetId="12" state="hidden" r:id="rId6"/>
    <sheet name="3 KULUD" sheetId="8" r:id="rId7"/>
    <sheet name="4 INVEST" sheetId="61" r:id="rId8"/>
    <sheet name="Valdkonnad" sheetId="17" state="hidden" r:id="rId9"/>
  </sheets>
  <externalReferences>
    <externalReference r:id="rId10"/>
    <externalReference r:id="rId11"/>
  </externalReferences>
  <definedNames>
    <definedName name="_xlnm._FilterDatabase" localSheetId="0" hidden="1">'1 KOONDEELARVE'!$A$7:$D$80</definedName>
    <definedName name="_xlnm._FilterDatabase" localSheetId="2" hidden="1">'2.1 LK TULUD'!$A$4:$E$72</definedName>
    <definedName name="_xlnm._FilterDatabase" localSheetId="5" hidden="1">'2.3 TOETUSED'!$A$8:$E$129</definedName>
    <definedName name="_xlnm._FilterDatabase" localSheetId="6" hidden="1">'3 KULUD'!$C$4:$J$84</definedName>
    <definedName name="_xlnm._FilterDatabase" localSheetId="7" hidden="1">'4 INVEST'!$B$5:$F$251</definedName>
    <definedName name="a">'[1]8 KULUD'!#REF!</definedName>
    <definedName name="ee">OFFSET(job_levels_range,0,0,COUNTA(job_levels_range),1)</definedName>
    <definedName name="job_levels">OFFSET(job_levels_range,0,0,COUNTA(job_levels_range),1)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nn">OFFSET(job_names_range,0,0,COUNTA(job_names_range),1)</definedName>
    <definedName name="OLE_LINK1" localSheetId="6">'3 KULUD'!#REF!</definedName>
    <definedName name="_xlnm.Print_Titles" localSheetId="1">'2 TULUDE KOOND'!$5:$5</definedName>
    <definedName name="_xlnm.Print_Titles" localSheetId="2">'2.1 LK TULUD'!$3:$4</definedName>
    <definedName name="_xlnm.Print_Titles" localSheetId="4">'2.2 OMATULUD'!$3:$4</definedName>
    <definedName name="_xlnm.Print_Titles" localSheetId="5">'2.3 TOETUSED'!$3:$4</definedName>
    <definedName name="_xlnm.Print_Titles" localSheetId="6">'3 KULUD'!$3:$4</definedName>
    <definedName name="_xlnm.Print_Titles" localSheetId="7">'4 INVEST'!$5:$5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E247" i="61" l="1"/>
  <c r="D247" i="61"/>
  <c r="E246" i="61"/>
  <c r="D246" i="61"/>
  <c r="E244" i="61"/>
  <c r="D244" i="61"/>
  <c r="E234" i="61"/>
  <c r="D234" i="61"/>
  <c r="E230" i="61"/>
  <c r="D230" i="61"/>
  <c r="E222" i="61"/>
  <c r="D222" i="61"/>
  <c r="E219" i="61"/>
  <c r="D219" i="61"/>
  <c r="E216" i="61"/>
  <c r="D216" i="61"/>
  <c r="E213" i="61"/>
  <c r="D213" i="61"/>
  <c r="D212" i="61"/>
  <c r="D211" i="61"/>
  <c r="D210" i="61" s="1"/>
  <c r="D209" i="61" s="1"/>
  <c r="E182" i="61"/>
  <c r="D182" i="61"/>
  <c r="E180" i="61"/>
  <c r="E169" i="61" s="1"/>
  <c r="E179" i="61"/>
  <c r="D179" i="61"/>
  <c r="E176" i="61"/>
  <c r="D176" i="61"/>
  <c r="E172" i="61"/>
  <c r="D172" i="61"/>
  <c r="E171" i="61"/>
  <c r="D171" i="61"/>
  <c r="E170" i="61"/>
  <c r="D170" i="61"/>
  <c r="D169" i="61"/>
  <c r="E163" i="61"/>
  <c r="D163" i="61"/>
  <c r="E161" i="61"/>
  <c r="E162" i="61" s="1"/>
  <c r="D160" i="61"/>
  <c r="E159" i="61"/>
  <c r="E151" i="61"/>
  <c r="A151" i="61" s="1"/>
  <c r="D151" i="61"/>
  <c r="E144" i="61"/>
  <c r="E141" i="61"/>
  <c r="D141" i="61"/>
  <c r="E127" i="61"/>
  <c r="D127" i="61"/>
  <c r="E121" i="61"/>
  <c r="E120" i="61" s="1"/>
  <c r="D121" i="61"/>
  <c r="D120" i="61" s="1"/>
  <c r="A119" i="61"/>
  <c r="E117" i="61"/>
  <c r="D117" i="61"/>
  <c r="A115" i="61"/>
  <c r="E114" i="61"/>
  <c r="D114" i="61"/>
  <c r="E105" i="61"/>
  <c r="E104" i="61" s="1"/>
  <c r="D105" i="61"/>
  <c r="D104" i="61" s="1"/>
  <c r="E101" i="61"/>
  <c r="D101" i="61"/>
  <c r="D100" i="61" s="1"/>
  <c r="E100" i="61"/>
  <c r="E88" i="61"/>
  <c r="D88" i="61"/>
  <c r="E86" i="61"/>
  <c r="E79" i="61" s="1"/>
  <c r="D86" i="61"/>
  <c r="D79" i="61" s="1"/>
  <c r="E80" i="61"/>
  <c r="A80" i="61" s="1"/>
  <c r="D80" i="61"/>
  <c r="A74" i="61"/>
  <c r="E68" i="61"/>
  <c r="E65" i="61" s="1"/>
  <c r="D68" i="61"/>
  <c r="D65" i="61" s="1"/>
  <c r="E61" i="61"/>
  <c r="E60" i="61"/>
  <c r="E58" i="61"/>
  <c r="D58" i="61"/>
  <c r="D57" i="61" s="1"/>
  <c r="E55" i="61"/>
  <c r="D55" i="61"/>
  <c r="E50" i="61"/>
  <c r="D50" i="61"/>
  <c r="E48" i="61"/>
  <c r="E47" i="61"/>
  <c r="E46" i="61"/>
  <c r="D46" i="61"/>
  <c r="D44" i="61"/>
  <c r="D42" i="61"/>
  <c r="D41" i="61" s="1"/>
  <c r="E41" i="61"/>
  <c r="E33" i="61"/>
  <c r="E32" i="61" s="1"/>
  <c r="E31" i="61"/>
  <c r="E30" i="61"/>
  <c r="D28" i="61"/>
  <c r="E24" i="61"/>
  <c r="E19" i="61"/>
  <c r="E15" i="61"/>
  <c r="D15" i="61"/>
  <c r="E14" i="61"/>
  <c r="E57" i="61" l="1"/>
  <c r="E29" i="61"/>
  <c r="D13" i="61"/>
  <c r="E28" i="61"/>
  <c r="E13" i="61" s="1"/>
  <c r="E40" i="61"/>
  <c r="D159" i="61"/>
  <c r="D168" i="61"/>
  <c r="D167" i="61" s="1"/>
  <c r="D166" i="61" s="1"/>
  <c r="E210" i="61"/>
  <c r="E209" i="61" s="1"/>
  <c r="A7" i="61"/>
  <c r="D126" i="61"/>
  <c r="E126" i="61"/>
  <c r="E168" i="61"/>
  <c r="E167" i="61" s="1"/>
  <c r="E166" i="61" s="1"/>
  <c r="D40" i="61"/>
  <c r="D10" i="61" l="1"/>
  <c r="E8" i="61"/>
  <c r="E6" i="61"/>
  <c r="E9" i="61"/>
  <c r="E12" i="61"/>
  <c r="D8" i="61"/>
  <c r="E10" i="61"/>
  <c r="D6" i="61"/>
  <c r="D11" i="61"/>
  <c r="D9" i="61"/>
  <c r="E11" i="61"/>
  <c r="D12" i="61"/>
  <c r="E7" i="61" l="1"/>
  <c r="D7" i="61"/>
  <c r="G84" i="8" l="1"/>
  <c r="G83" i="8"/>
  <c r="G82" i="8"/>
  <c r="G81" i="8"/>
  <c r="G80" i="8"/>
  <c r="G79" i="8"/>
  <c r="G78" i="8"/>
  <c r="G77" i="8"/>
  <c r="G76" i="8"/>
  <c r="G75" i="8"/>
  <c r="G74" i="8"/>
  <c r="G73" i="8"/>
  <c r="G71" i="8"/>
  <c r="G70" i="8"/>
  <c r="G69" i="8"/>
  <c r="G68" i="8"/>
  <c r="G67" i="8"/>
  <c r="G66" i="8"/>
  <c r="G65" i="8"/>
  <c r="G64" i="8"/>
  <c r="G62" i="8"/>
  <c r="G60" i="8"/>
  <c r="G59" i="8"/>
  <c r="G58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0" i="8"/>
  <c r="G39" i="8"/>
  <c r="G38" i="8"/>
  <c r="G37" i="8"/>
  <c r="G36" i="8"/>
  <c r="G35" i="8"/>
  <c r="G33" i="8"/>
  <c r="G32" i="8"/>
  <c r="G31" i="8"/>
  <c r="G30" i="8"/>
  <c r="G29" i="8"/>
  <c r="G27" i="8"/>
  <c r="G25" i="8"/>
  <c r="G24" i="8"/>
  <c r="G23" i="8"/>
  <c r="G22" i="8"/>
  <c r="G21" i="8"/>
  <c r="G18" i="8"/>
  <c r="G17" i="8"/>
  <c r="G16" i="8"/>
  <c r="G15" i="8"/>
  <c r="G13" i="8"/>
  <c r="G8" i="8"/>
  <c r="G6" i="8"/>
  <c r="G5" i="8"/>
  <c r="E22" i="12" l="1"/>
  <c r="H22" i="12" s="1"/>
  <c r="G22" i="12"/>
  <c r="E23" i="12"/>
  <c r="G23" i="12"/>
  <c r="H23" i="12"/>
  <c r="D12" i="12" l="1"/>
  <c r="E12" i="12" s="1"/>
  <c r="E13" i="12"/>
  <c r="E14" i="12"/>
  <c r="E15" i="12"/>
  <c r="I68" i="8" l="1"/>
  <c r="J67" i="8" l="1"/>
  <c r="I67" i="8"/>
  <c r="J68" i="8"/>
  <c r="E23" i="4" l="1"/>
  <c r="E25" i="4"/>
  <c r="E26" i="4"/>
  <c r="E56" i="4"/>
  <c r="E54" i="4" s="1"/>
  <c r="E61" i="4"/>
  <c r="E58" i="4"/>
  <c r="E46" i="4"/>
  <c r="E42" i="4"/>
  <c r="E37" i="4"/>
  <c r="E31" i="4"/>
  <c r="E22" i="4"/>
  <c r="E18" i="4"/>
  <c r="E15" i="4"/>
  <c r="E13" i="4"/>
  <c r="E11" i="4"/>
  <c r="E8" i="4"/>
  <c r="E24" i="4" l="1"/>
  <c r="E7" i="4" s="1"/>
  <c r="E30" i="4"/>
  <c r="E41" i="4"/>
  <c r="E53" i="4"/>
  <c r="E5" i="4" l="1"/>
  <c r="F7" i="7" l="1"/>
  <c r="D57" i="8" l="1"/>
  <c r="G57" i="8" s="1"/>
  <c r="D41" i="8"/>
  <c r="E41" i="8"/>
  <c r="F41" i="8"/>
  <c r="D34" i="8"/>
  <c r="D28" i="8"/>
  <c r="E34" i="8"/>
  <c r="F34" i="8"/>
  <c r="E28" i="8"/>
  <c r="F28" i="8"/>
  <c r="D20" i="8"/>
  <c r="E20" i="8"/>
  <c r="E19" i="8" s="1"/>
  <c r="F20" i="8"/>
  <c r="F19" i="8" s="1"/>
  <c r="D14" i="8"/>
  <c r="E14" i="8"/>
  <c r="F14" i="8"/>
  <c r="D63" i="8"/>
  <c r="G63" i="8" s="1"/>
  <c r="D72" i="8"/>
  <c r="G72" i="8" s="1"/>
  <c r="E61" i="8"/>
  <c r="F61" i="8"/>
  <c r="F9" i="12"/>
  <c r="D12" i="8"/>
  <c r="E12" i="8"/>
  <c r="F12" i="8"/>
  <c r="F98" i="12"/>
  <c r="F61" i="7"/>
  <c r="F83" i="7" s="1"/>
  <c r="F58" i="7"/>
  <c r="F32" i="12"/>
  <c r="F116" i="12"/>
  <c r="F62" i="12"/>
  <c r="H57" i="6"/>
  <c r="H51" i="6"/>
  <c r="F19" i="12"/>
  <c r="F10" i="12" s="1"/>
  <c r="F10" i="7"/>
  <c r="F9" i="7" s="1"/>
  <c r="F70" i="7"/>
  <c r="F84" i="7" s="1"/>
  <c r="F50" i="7"/>
  <c r="F6" i="7"/>
  <c r="E10" i="6" s="1"/>
  <c r="G56" i="6"/>
  <c r="G49" i="6"/>
  <c r="H49" i="6" s="1"/>
  <c r="G47" i="6"/>
  <c r="H47" i="6" s="1"/>
  <c r="G42" i="6"/>
  <c r="H42" i="6" s="1"/>
  <c r="G37" i="6"/>
  <c r="H37" i="6" s="1"/>
  <c r="G34" i="6"/>
  <c r="H34" i="6" s="1"/>
  <c r="G20" i="6"/>
  <c r="H20" i="6" s="1"/>
  <c r="G18" i="6"/>
  <c r="H18" i="6" s="1"/>
  <c r="G17" i="6"/>
  <c r="H17" i="6" s="1"/>
  <c r="G12" i="6"/>
  <c r="H12" i="6" s="1"/>
  <c r="G8" i="6"/>
  <c r="H8" i="6" s="1"/>
  <c r="F53" i="6"/>
  <c r="E41" i="6"/>
  <c r="G41" i="6" s="1"/>
  <c r="E45" i="6"/>
  <c r="G45" i="6" s="1"/>
  <c r="F79" i="7"/>
  <c r="F80" i="7"/>
  <c r="F31" i="7"/>
  <c r="F33" i="7"/>
  <c r="F17" i="7"/>
  <c r="F85" i="7" s="1"/>
  <c r="F88" i="7"/>
  <c r="F89" i="7"/>
  <c r="F77" i="7"/>
  <c r="B15" i="4"/>
  <c r="B18" i="4"/>
  <c r="B22" i="4"/>
  <c r="B24" i="4"/>
  <c r="B8" i="4"/>
  <c r="B11" i="4"/>
  <c r="B13" i="4"/>
  <c r="B31" i="4"/>
  <c r="B37" i="4"/>
  <c r="B30" i="4" s="1"/>
  <c r="B42" i="4"/>
  <c r="B47" i="4"/>
  <c r="B46" i="4" s="1"/>
  <c r="B54" i="4"/>
  <c r="D54" i="4" s="1"/>
  <c r="B58" i="4"/>
  <c r="B61" i="4"/>
  <c r="F104" i="12"/>
  <c r="F31" i="12"/>
  <c r="F130" i="12"/>
  <c r="E133" i="12"/>
  <c r="H133" i="12" s="1"/>
  <c r="F117" i="12"/>
  <c r="F112" i="12"/>
  <c r="E124" i="12"/>
  <c r="F87" i="12"/>
  <c r="F86" i="12"/>
  <c r="D65" i="12"/>
  <c r="F65" i="12"/>
  <c r="H77" i="12"/>
  <c r="E77" i="12"/>
  <c r="C62" i="12"/>
  <c r="E62" i="12" s="1"/>
  <c r="F51" i="12"/>
  <c r="H59" i="12"/>
  <c r="G59" i="12"/>
  <c r="H58" i="12"/>
  <c r="G58" i="12"/>
  <c r="H57" i="12"/>
  <c r="G57" i="12"/>
  <c r="E135" i="12"/>
  <c r="E134" i="12"/>
  <c r="H134" i="12" s="1"/>
  <c r="E132" i="12"/>
  <c r="G132" i="12" s="1"/>
  <c r="H132" i="12" s="1"/>
  <c r="E131" i="12"/>
  <c r="E129" i="12"/>
  <c r="H129" i="12" s="1"/>
  <c r="E128" i="12"/>
  <c r="G128" i="12" s="1"/>
  <c r="E127" i="12"/>
  <c r="E126" i="12"/>
  <c r="G126" i="12" s="1"/>
  <c r="H126" i="12" s="1"/>
  <c r="E125" i="12"/>
  <c r="E123" i="12"/>
  <c r="G123" i="12" s="1"/>
  <c r="H123" i="12" s="1"/>
  <c r="E122" i="12"/>
  <c r="E121" i="12"/>
  <c r="E120" i="12"/>
  <c r="G120" i="12" s="1"/>
  <c r="E119" i="12"/>
  <c r="G119" i="12" s="1"/>
  <c r="H119" i="12" s="1"/>
  <c r="E118" i="12"/>
  <c r="G118" i="12" s="1"/>
  <c r="H118" i="12" s="1"/>
  <c r="E116" i="12"/>
  <c r="E115" i="12"/>
  <c r="E114" i="12"/>
  <c r="G114" i="12" s="1"/>
  <c r="E113" i="12"/>
  <c r="E110" i="12"/>
  <c r="H110" i="12" s="1"/>
  <c r="E109" i="12"/>
  <c r="G109" i="12" s="1"/>
  <c r="E108" i="12"/>
  <c r="E106" i="12"/>
  <c r="H106" i="12" s="1"/>
  <c r="E105" i="12"/>
  <c r="G105" i="12" s="1"/>
  <c r="H105" i="12" s="1"/>
  <c r="E102" i="12"/>
  <c r="H102" i="12" s="1"/>
  <c r="E101" i="12"/>
  <c r="G101" i="12" s="1"/>
  <c r="H101" i="12" s="1"/>
  <c r="E100" i="12"/>
  <c r="E99" i="12"/>
  <c r="G99" i="12" s="1"/>
  <c r="H99" i="12" s="1"/>
  <c r="E97" i="12"/>
  <c r="H97" i="12" s="1"/>
  <c r="E95" i="12"/>
  <c r="H95" i="12" s="1"/>
  <c r="E94" i="12"/>
  <c r="H94" i="12" s="1"/>
  <c r="E93" i="12"/>
  <c r="H93" i="12" s="1"/>
  <c r="E92" i="12"/>
  <c r="G92" i="12" s="1"/>
  <c r="H92" i="12" s="1"/>
  <c r="E91" i="12"/>
  <c r="E89" i="12"/>
  <c r="E88" i="12"/>
  <c r="E86" i="12"/>
  <c r="E84" i="12"/>
  <c r="E83" i="12"/>
  <c r="E81" i="12"/>
  <c r="H81" i="12" s="1"/>
  <c r="E80" i="12"/>
  <c r="G80" i="12" s="1"/>
  <c r="E78" i="12"/>
  <c r="H78" i="12" s="1"/>
  <c r="E76" i="12"/>
  <c r="G76" i="12" s="1"/>
  <c r="E75" i="12"/>
  <c r="G75" i="12" s="1"/>
  <c r="H75" i="12" s="1"/>
  <c r="E73" i="12"/>
  <c r="G73" i="12" s="1"/>
  <c r="H73" i="12" s="1"/>
  <c r="E72" i="12"/>
  <c r="G72" i="12" s="1"/>
  <c r="H72" i="12" s="1"/>
  <c r="E71" i="12"/>
  <c r="G71" i="12" s="1"/>
  <c r="H71" i="12" s="1"/>
  <c r="E69" i="12"/>
  <c r="E68" i="12"/>
  <c r="E67" i="12"/>
  <c r="G67" i="12" s="1"/>
  <c r="E66" i="12"/>
  <c r="E64" i="12"/>
  <c r="H64" i="12" s="1"/>
  <c r="E63" i="12"/>
  <c r="G63" i="12" s="1"/>
  <c r="H63" i="12" s="1"/>
  <c r="E61" i="12"/>
  <c r="E56" i="12"/>
  <c r="E55" i="12"/>
  <c r="E54" i="12"/>
  <c r="E53" i="12"/>
  <c r="G53" i="12" s="1"/>
  <c r="H53" i="12" s="1"/>
  <c r="E52" i="12"/>
  <c r="G52" i="12" s="1"/>
  <c r="E50" i="12"/>
  <c r="H50" i="12" s="1"/>
  <c r="E49" i="12"/>
  <c r="E47" i="12"/>
  <c r="H47" i="12" s="1"/>
  <c r="E46" i="12"/>
  <c r="G46" i="12" s="1"/>
  <c r="E45" i="12"/>
  <c r="E43" i="12"/>
  <c r="H43" i="12" s="1"/>
  <c r="E40" i="12"/>
  <c r="H40" i="12" s="1"/>
  <c r="E39" i="12"/>
  <c r="E37" i="12"/>
  <c r="H37" i="12" s="1"/>
  <c r="E36" i="12"/>
  <c r="E35" i="12"/>
  <c r="G35" i="12" s="1"/>
  <c r="H35" i="12" s="1"/>
  <c r="E33" i="12"/>
  <c r="H33" i="12" s="1"/>
  <c r="E30" i="12"/>
  <c r="H30" i="12" s="1"/>
  <c r="E28" i="12"/>
  <c r="H28" i="12" s="1"/>
  <c r="E27" i="12"/>
  <c r="G27" i="12" s="1"/>
  <c r="E26" i="12"/>
  <c r="H26" i="12" s="1"/>
  <c r="E20" i="12"/>
  <c r="G20" i="12" s="1"/>
  <c r="E19" i="12"/>
  <c r="H19" i="12" s="1"/>
  <c r="E18" i="12"/>
  <c r="G18" i="12" s="1"/>
  <c r="E17" i="12"/>
  <c r="E16" i="12"/>
  <c r="G16" i="12" s="1"/>
  <c r="H16" i="12" s="1"/>
  <c r="E11" i="12"/>
  <c r="G11" i="12" s="1"/>
  <c r="E7" i="12"/>
  <c r="H7" i="12" s="1"/>
  <c r="D130" i="12"/>
  <c r="D111" i="12"/>
  <c r="D107" i="12"/>
  <c r="D90" i="12"/>
  <c r="D87" i="12"/>
  <c r="E87" i="12" s="1"/>
  <c r="D79" i="12"/>
  <c r="D51" i="12"/>
  <c r="D34" i="12"/>
  <c r="D29" i="12" s="1"/>
  <c r="D25" i="12"/>
  <c r="E25" i="12" s="1"/>
  <c r="D9" i="12"/>
  <c r="D65" i="4"/>
  <c r="F65" i="4" s="1"/>
  <c r="D64" i="4"/>
  <c r="F64" i="4" s="1"/>
  <c r="D63" i="4"/>
  <c r="F63" i="4" s="1"/>
  <c r="D62" i="4"/>
  <c r="C61" i="4"/>
  <c r="D60" i="4"/>
  <c r="D59" i="4"/>
  <c r="F59" i="4" s="1"/>
  <c r="C58" i="4"/>
  <c r="D57" i="4"/>
  <c r="F57" i="4" s="1"/>
  <c r="D56" i="4"/>
  <c r="F56" i="4" s="1"/>
  <c r="G56" i="4" s="1"/>
  <c r="D55" i="4"/>
  <c r="D52" i="4"/>
  <c r="F52" i="4" s="1"/>
  <c r="D51" i="4"/>
  <c r="F51" i="4" s="1"/>
  <c r="G51" i="4" s="1"/>
  <c r="D50" i="4"/>
  <c r="D49" i="4"/>
  <c r="D48" i="4"/>
  <c r="G48" i="4" s="1"/>
  <c r="C46" i="4"/>
  <c r="D45" i="4"/>
  <c r="F45" i="4" s="1"/>
  <c r="D44" i="4"/>
  <c r="F44" i="4" s="1"/>
  <c r="G44" i="4" s="1"/>
  <c r="D43" i="4"/>
  <c r="C42" i="4"/>
  <c r="C41" i="4" s="1"/>
  <c r="D40" i="4"/>
  <c r="G40" i="4" s="1"/>
  <c r="D39" i="4"/>
  <c r="D38" i="4"/>
  <c r="C37" i="4"/>
  <c r="D36" i="4"/>
  <c r="D35" i="4"/>
  <c r="D34" i="4"/>
  <c r="F34" i="4" s="1"/>
  <c r="D33" i="4"/>
  <c r="D32" i="4"/>
  <c r="C31" i="4"/>
  <c r="D29" i="4"/>
  <c r="D28" i="4"/>
  <c r="D27" i="4"/>
  <c r="D26" i="4"/>
  <c r="D25" i="4"/>
  <c r="F25" i="4" s="1"/>
  <c r="C24" i="4"/>
  <c r="D23" i="4"/>
  <c r="F23" i="4" s="1"/>
  <c r="C22" i="4"/>
  <c r="D22" i="4" s="1"/>
  <c r="F22" i="4" s="1"/>
  <c r="G22" i="4" s="1"/>
  <c r="D21" i="4"/>
  <c r="F21" i="4" s="1"/>
  <c r="D20" i="4"/>
  <c r="F20" i="4" s="1"/>
  <c r="G20" i="4" s="1"/>
  <c r="D19" i="4"/>
  <c r="C18" i="4"/>
  <c r="D17" i="4"/>
  <c r="D16" i="4"/>
  <c r="C15" i="4"/>
  <c r="D15" i="4" s="1"/>
  <c r="F15" i="4" s="1"/>
  <c r="D14" i="4"/>
  <c r="C13" i="4"/>
  <c r="D12" i="4"/>
  <c r="F12" i="4" s="1"/>
  <c r="G12" i="4" s="1"/>
  <c r="C11" i="4"/>
  <c r="D10" i="4"/>
  <c r="F10" i="4" s="1"/>
  <c r="D9" i="4"/>
  <c r="C8" i="4"/>
  <c r="D6" i="4"/>
  <c r="G6" i="4" s="1"/>
  <c r="E79" i="7"/>
  <c r="G79" i="7"/>
  <c r="B79" i="7"/>
  <c r="C79" i="7"/>
  <c r="D79" i="7"/>
  <c r="D64" i="7"/>
  <c r="D57" i="7"/>
  <c r="D56" i="7" s="1"/>
  <c r="D48" i="7"/>
  <c r="D44" i="7" s="1"/>
  <c r="D37" i="7" s="1"/>
  <c r="D39" i="7"/>
  <c r="D33" i="7"/>
  <c r="D31" i="7"/>
  <c r="D83" i="7" s="1"/>
  <c r="D27" i="7"/>
  <c r="D14" i="7"/>
  <c r="D13" i="7" s="1"/>
  <c r="D12" i="7" s="1"/>
  <c r="D9" i="7"/>
  <c r="E9" i="7" s="1"/>
  <c r="B11" i="6" s="1"/>
  <c r="D11" i="6" s="1"/>
  <c r="D6" i="7"/>
  <c r="D77" i="7"/>
  <c r="D80" i="7"/>
  <c r="D85" i="7"/>
  <c r="D88" i="7"/>
  <c r="D99" i="7"/>
  <c r="C9" i="12"/>
  <c r="C130" i="12"/>
  <c r="C117" i="12"/>
  <c r="E117" i="12" s="1"/>
  <c r="C112" i="12"/>
  <c r="E112" i="12" s="1"/>
  <c r="C107" i="12"/>
  <c r="E107" i="12" s="1"/>
  <c r="C104" i="12"/>
  <c r="E104" i="12" s="1"/>
  <c r="C98" i="12"/>
  <c r="E98" i="12" s="1"/>
  <c r="C90" i="12"/>
  <c r="C85" i="12"/>
  <c r="E85" i="12" s="1"/>
  <c r="C79" i="12"/>
  <c r="F79" i="12"/>
  <c r="C74" i="12"/>
  <c r="E74" i="12" s="1"/>
  <c r="G74" i="12" s="1"/>
  <c r="C70" i="12"/>
  <c r="E70" i="12" s="1"/>
  <c r="C51" i="12"/>
  <c r="C48" i="12"/>
  <c r="E48" i="12" s="1"/>
  <c r="G48" i="12"/>
  <c r="C44" i="12"/>
  <c r="E44" i="12" s="1"/>
  <c r="F44" i="12"/>
  <c r="C38" i="12"/>
  <c r="E38" i="12" s="1"/>
  <c r="C34" i="12"/>
  <c r="C32" i="12"/>
  <c r="E32" i="12" s="1"/>
  <c r="C10" i="12"/>
  <c r="E97" i="7"/>
  <c r="E96" i="7"/>
  <c r="E95" i="7"/>
  <c r="E94" i="7"/>
  <c r="E93" i="7"/>
  <c r="E92" i="7"/>
  <c r="E91" i="7"/>
  <c r="E90" i="7"/>
  <c r="E87" i="7"/>
  <c r="E86" i="7"/>
  <c r="E82" i="7"/>
  <c r="E81" i="7"/>
  <c r="E78" i="7"/>
  <c r="E76" i="7"/>
  <c r="E75" i="7"/>
  <c r="E74" i="7"/>
  <c r="E73" i="7"/>
  <c r="E71" i="7"/>
  <c r="E70" i="7"/>
  <c r="E68" i="7"/>
  <c r="E67" i="7"/>
  <c r="E66" i="7"/>
  <c r="G66" i="7" s="1"/>
  <c r="H66" i="7" s="1"/>
  <c r="E63" i="7"/>
  <c r="E62" i="7"/>
  <c r="B41" i="6" s="1"/>
  <c r="D41" i="6" s="1"/>
  <c r="E61" i="7"/>
  <c r="B40" i="6" s="1"/>
  <c r="E60" i="7"/>
  <c r="E59" i="7"/>
  <c r="E58" i="7"/>
  <c r="G58" i="7" s="1"/>
  <c r="H58" i="7" s="1"/>
  <c r="E55" i="7"/>
  <c r="E54" i="7"/>
  <c r="G54" i="7" s="1"/>
  <c r="H54" i="7" s="1"/>
  <c r="E51" i="7"/>
  <c r="E50" i="7"/>
  <c r="E47" i="7"/>
  <c r="E46" i="7"/>
  <c r="E43" i="7"/>
  <c r="E42" i="7"/>
  <c r="E41" i="7"/>
  <c r="E40" i="7"/>
  <c r="G40" i="7" s="1"/>
  <c r="H40" i="7" s="1"/>
  <c r="E38" i="7"/>
  <c r="E35" i="7"/>
  <c r="E34" i="7"/>
  <c r="E32" i="7"/>
  <c r="G32" i="7" s="1"/>
  <c r="H32" i="7" s="1"/>
  <c r="E29" i="7"/>
  <c r="E28" i="7"/>
  <c r="E26" i="7"/>
  <c r="E25" i="7"/>
  <c r="E23" i="7"/>
  <c r="E22" i="7"/>
  <c r="E21" i="7"/>
  <c r="E20" i="7"/>
  <c r="G20" i="7" s="1"/>
  <c r="H20" i="7" s="1"/>
  <c r="E18" i="7"/>
  <c r="E15" i="7"/>
  <c r="E11" i="7"/>
  <c r="E10" i="7"/>
  <c r="E8" i="7"/>
  <c r="C89" i="7"/>
  <c r="C88" i="7"/>
  <c r="C80" i="7"/>
  <c r="C77" i="7"/>
  <c r="C69" i="7"/>
  <c r="E69" i="7" s="1"/>
  <c r="B48" i="6" s="1"/>
  <c r="D48" i="6" s="1"/>
  <c r="C65" i="7"/>
  <c r="E65" i="7" s="1"/>
  <c r="B44" i="6" s="1"/>
  <c r="D44" i="6" s="1"/>
  <c r="C57" i="7"/>
  <c r="E57" i="7" s="1"/>
  <c r="B39" i="6" s="1"/>
  <c r="C53" i="7"/>
  <c r="E53" i="7" s="1"/>
  <c r="C45" i="7"/>
  <c r="E45" i="7" s="1"/>
  <c r="C39" i="7"/>
  <c r="C33" i="7"/>
  <c r="C31" i="7"/>
  <c r="C24" i="7"/>
  <c r="C19" i="7"/>
  <c r="E19" i="7" s="1"/>
  <c r="C17" i="7"/>
  <c r="E17" i="7" s="1"/>
  <c r="C14" i="7"/>
  <c r="E14" i="7" s="1"/>
  <c r="G14" i="7" s="1"/>
  <c r="H14" i="7" s="1"/>
  <c r="C9" i="7"/>
  <c r="C7" i="7"/>
  <c r="E7" i="7" s="1"/>
  <c r="G7" i="7" s="1"/>
  <c r="H7" i="7" s="1"/>
  <c r="G7" i="12"/>
  <c r="G17" i="12"/>
  <c r="G28" i="12"/>
  <c r="G30" i="12"/>
  <c r="G33" i="12"/>
  <c r="G37" i="12"/>
  <c r="G38" i="12"/>
  <c r="G39" i="12"/>
  <c r="G40" i="12"/>
  <c r="G43" i="12"/>
  <c r="G45" i="12"/>
  <c r="G47" i="12"/>
  <c r="G49" i="12"/>
  <c r="H49" i="12" s="1"/>
  <c r="G50" i="12"/>
  <c r="G54" i="12"/>
  <c r="G55" i="12"/>
  <c r="G64" i="12"/>
  <c r="G66" i="12"/>
  <c r="G68" i="12"/>
  <c r="G69" i="12"/>
  <c r="G70" i="12"/>
  <c r="G78" i="12"/>
  <c r="G81" i="12"/>
  <c r="G83" i="12"/>
  <c r="G84" i="12"/>
  <c r="G85" i="12"/>
  <c r="G91" i="12"/>
  <c r="G93" i="12"/>
  <c r="G94" i="12"/>
  <c r="G95" i="12"/>
  <c r="G97" i="12"/>
  <c r="G100" i="12"/>
  <c r="G102" i="12"/>
  <c r="G106" i="12"/>
  <c r="G108" i="12"/>
  <c r="G110" i="12"/>
  <c r="G113" i="12"/>
  <c r="G115" i="12"/>
  <c r="H115" i="12" s="1"/>
  <c r="G116" i="12"/>
  <c r="G121" i="12"/>
  <c r="G122" i="12"/>
  <c r="G129" i="12"/>
  <c r="G131" i="12"/>
  <c r="G134" i="12"/>
  <c r="G135" i="12"/>
  <c r="H135" i="12"/>
  <c r="F107" i="12"/>
  <c r="F103" i="12"/>
  <c r="F90" i="12"/>
  <c r="F34" i="12"/>
  <c r="F29" i="12" s="1"/>
  <c r="E55" i="6" s="1"/>
  <c r="F26" i="12"/>
  <c r="F25" i="12" s="1"/>
  <c r="F65" i="7"/>
  <c r="E44" i="6" s="1"/>
  <c r="F57" i="7"/>
  <c r="E39" i="6" s="1"/>
  <c r="F53" i="7"/>
  <c r="E36" i="6" s="1"/>
  <c r="F45" i="7"/>
  <c r="F44" i="7" s="1"/>
  <c r="E31" i="6" s="1"/>
  <c r="G32" i="6" s="1"/>
  <c r="F39" i="7"/>
  <c r="E30" i="6" s="1"/>
  <c r="G30" i="6" s="1"/>
  <c r="F24" i="7"/>
  <c r="E19" i="6"/>
  <c r="G19" i="6" s="1"/>
  <c r="F19" i="7"/>
  <c r="E16" i="6" s="1"/>
  <c r="G16" i="6" s="1"/>
  <c r="F13" i="7"/>
  <c r="E14" i="6" s="1"/>
  <c r="G14" i="6" s="1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7" i="7"/>
  <c r="G87" i="7"/>
  <c r="H86" i="7"/>
  <c r="G86" i="7"/>
  <c r="H82" i="7"/>
  <c r="G82" i="7"/>
  <c r="H81" i="7"/>
  <c r="G81" i="7"/>
  <c r="H78" i="7"/>
  <c r="G78" i="7"/>
  <c r="H76" i="7"/>
  <c r="G76" i="7"/>
  <c r="H75" i="7"/>
  <c r="G75" i="7"/>
  <c r="H74" i="7"/>
  <c r="G74" i="7"/>
  <c r="H73" i="7"/>
  <c r="G73" i="7"/>
  <c r="H71" i="7"/>
  <c r="G71" i="7"/>
  <c r="H68" i="7"/>
  <c r="G68" i="7"/>
  <c r="H63" i="7"/>
  <c r="G63" i="7"/>
  <c r="H60" i="7"/>
  <c r="G60" i="7"/>
  <c r="G59" i="7"/>
  <c r="H59" i="7" s="1"/>
  <c r="H55" i="7"/>
  <c r="G55" i="7"/>
  <c r="H51" i="7"/>
  <c r="G51" i="7"/>
  <c r="G50" i="7"/>
  <c r="H50" i="7" s="1"/>
  <c r="G47" i="7"/>
  <c r="H47" i="7" s="1"/>
  <c r="G46" i="7"/>
  <c r="H46" i="7" s="1"/>
  <c r="H43" i="7"/>
  <c r="G43" i="7"/>
  <c r="H42" i="7"/>
  <c r="G42" i="7"/>
  <c r="G41" i="7"/>
  <c r="H41" i="7" s="1"/>
  <c r="H38" i="7"/>
  <c r="G38" i="7"/>
  <c r="H35" i="7"/>
  <c r="G35" i="7"/>
  <c r="G34" i="7"/>
  <c r="H34" i="7" s="1"/>
  <c r="H29" i="7"/>
  <c r="G29" i="7"/>
  <c r="G28" i="7"/>
  <c r="H28" i="7" s="1"/>
  <c r="G26" i="7"/>
  <c r="H26" i="7" s="1"/>
  <c r="G25" i="7"/>
  <c r="H25" i="7" s="1"/>
  <c r="H23" i="7"/>
  <c r="G23" i="7"/>
  <c r="H22" i="7"/>
  <c r="G22" i="7"/>
  <c r="H21" i="7"/>
  <c r="G21" i="7"/>
  <c r="H18" i="7"/>
  <c r="G18" i="7"/>
  <c r="H15" i="7"/>
  <c r="G15" i="7"/>
  <c r="G11" i="7"/>
  <c r="H11" i="7"/>
  <c r="G8" i="7"/>
  <c r="H8" i="7"/>
  <c r="B56" i="6"/>
  <c r="D56" i="6" s="1"/>
  <c r="C7" i="17"/>
  <c r="B130" i="12"/>
  <c r="B112" i="12"/>
  <c r="B111" i="12" s="1"/>
  <c r="B107" i="12"/>
  <c r="B79" i="12"/>
  <c r="B82" i="12"/>
  <c r="B90" i="12"/>
  <c r="B65" i="12"/>
  <c r="B89" i="7"/>
  <c r="B62" i="12"/>
  <c r="B51" i="12"/>
  <c r="B98" i="12"/>
  <c r="B103" i="12"/>
  <c r="B48" i="12"/>
  <c r="B44" i="12"/>
  <c r="B31" i="12"/>
  <c r="B24" i="12"/>
  <c r="B41" i="12"/>
  <c r="B99" i="7"/>
  <c r="B72" i="7"/>
  <c r="B84" i="7"/>
  <c r="B77" i="7"/>
  <c r="B80" i="7"/>
  <c r="B83" i="7"/>
  <c r="B85" i="7"/>
  <c r="B88" i="7"/>
  <c r="C12" i="17"/>
  <c r="C13" i="17"/>
  <c r="C18" i="17"/>
  <c r="C21" i="17"/>
  <c r="C22" i="17"/>
  <c r="B31" i="17"/>
  <c r="D31" i="17" s="1"/>
  <c r="B29" i="17"/>
  <c r="D29" i="17" s="1"/>
  <c r="B27" i="17"/>
  <c r="D27" i="17" s="1"/>
  <c r="B26" i="17"/>
  <c r="D26" i="17" s="1"/>
  <c r="B24" i="17"/>
  <c r="D24" i="17" s="1"/>
  <c r="C10" i="17"/>
  <c r="C19" i="17"/>
  <c r="C4" i="17"/>
  <c r="C20" i="17"/>
  <c r="C17" i="17"/>
  <c r="C14" i="17"/>
  <c r="C11" i="17"/>
  <c r="C16" i="17"/>
  <c r="C15" i="17"/>
  <c r="C6" i="17"/>
  <c r="C23" i="17"/>
  <c r="C30" i="17"/>
  <c r="C32" i="17"/>
  <c r="C5" i="17"/>
  <c r="D40" i="6"/>
  <c r="C8" i="17"/>
  <c r="C9" i="17"/>
  <c r="C44" i="7"/>
  <c r="C85" i="7"/>
  <c r="C13" i="7"/>
  <c r="C64" i="7"/>
  <c r="E64" i="7" s="1"/>
  <c r="G64" i="7" s="1"/>
  <c r="H64" i="7" s="1"/>
  <c r="F30" i="7"/>
  <c r="H54" i="12"/>
  <c r="F64" i="7"/>
  <c r="D89" i="7"/>
  <c r="J29" i="8"/>
  <c r="J25" i="8"/>
  <c r="J55" i="8"/>
  <c r="H76" i="12"/>
  <c r="B25" i="17"/>
  <c r="D25" i="17" s="1"/>
  <c r="G44" i="6"/>
  <c r="G124" i="12"/>
  <c r="H124" i="12" s="1"/>
  <c r="I46" i="8"/>
  <c r="I64" i="8"/>
  <c r="J64" i="8" s="1"/>
  <c r="I81" i="8"/>
  <c r="G14" i="8" l="1"/>
  <c r="G41" i="8"/>
  <c r="D8" i="4"/>
  <c r="D37" i="4"/>
  <c r="F37" i="4" s="1"/>
  <c r="G34" i="8"/>
  <c r="G12" i="8"/>
  <c r="D19" i="8"/>
  <c r="G19" i="8" s="1"/>
  <c r="G20" i="8"/>
  <c r="G28" i="8"/>
  <c r="J36" i="8"/>
  <c r="J62" i="8"/>
  <c r="J69" i="8"/>
  <c r="I75" i="8"/>
  <c r="J75" i="8" s="1"/>
  <c r="J84" i="8"/>
  <c r="J39" i="8"/>
  <c r="J24" i="8"/>
  <c r="J32" i="8"/>
  <c r="J46" i="8"/>
  <c r="J50" i="8"/>
  <c r="J76" i="8"/>
  <c r="J17" i="8"/>
  <c r="J33" i="8"/>
  <c r="J47" i="8"/>
  <c r="J51" i="8"/>
  <c r="J59" i="8"/>
  <c r="J65" i="8"/>
  <c r="J71" i="8"/>
  <c r="I77" i="8"/>
  <c r="J77" i="8" s="1"/>
  <c r="J81" i="8"/>
  <c r="J45" i="8"/>
  <c r="J13" i="8"/>
  <c r="J18" i="8"/>
  <c r="J21" i="8"/>
  <c r="J27" i="8"/>
  <c r="J35" i="8"/>
  <c r="J40" i="8"/>
  <c r="J52" i="8"/>
  <c r="J56" i="8"/>
  <c r="J60" i="8"/>
  <c r="J74" i="8"/>
  <c r="J78" i="8"/>
  <c r="J83" i="8"/>
  <c r="J5" i="8"/>
  <c r="I52" i="8"/>
  <c r="E26" i="8"/>
  <c r="E7" i="8" s="1"/>
  <c r="E11" i="8" s="1"/>
  <c r="I76" i="8"/>
  <c r="I27" i="8"/>
  <c r="I71" i="8"/>
  <c r="F26" i="8"/>
  <c r="F7" i="8" s="1"/>
  <c r="F11" i="8" s="1"/>
  <c r="G133" i="12"/>
  <c r="H91" i="12"/>
  <c r="C103" i="12"/>
  <c r="E103" i="12" s="1"/>
  <c r="H83" i="12"/>
  <c r="H45" i="12"/>
  <c r="H113" i="12"/>
  <c r="D24" i="12"/>
  <c r="H121" i="12"/>
  <c r="H68" i="12"/>
  <c r="E130" i="12"/>
  <c r="H55" i="12"/>
  <c r="H116" i="12"/>
  <c r="G107" i="12"/>
  <c r="H107" i="12" s="1"/>
  <c r="H131" i="12"/>
  <c r="H69" i="12"/>
  <c r="H17" i="12"/>
  <c r="E79" i="12"/>
  <c r="G79" i="12" s="1"/>
  <c r="H79" i="12" s="1"/>
  <c r="H39" i="12"/>
  <c r="G86" i="12"/>
  <c r="H86" i="12" s="1"/>
  <c r="F24" i="12"/>
  <c r="C31" i="12"/>
  <c r="E31" i="12" s="1"/>
  <c r="G31" i="12" s="1"/>
  <c r="H31" i="12" s="1"/>
  <c r="H38" i="12"/>
  <c r="E9" i="12"/>
  <c r="G9" i="12" s="1"/>
  <c r="H9" i="12" s="1"/>
  <c r="H122" i="12"/>
  <c r="G87" i="12"/>
  <c r="H87" i="12" s="1"/>
  <c r="G26" i="12"/>
  <c r="H100" i="12"/>
  <c r="H84" i="12"/>
  <c r="E10" i="12"/>
  <c r="G10" i="12" s="1"/>
  <c r="H10" i="12" s="1"/>
  <c r="H48" i="12"/>
  <c r="H85" i="12"/>
  <c r="F82" i="12"/>
  <c r="F42" i="12" s="1"/>
  <c r="F111" i="12"/>
  <c r="F96" i="12" s="1"/>
  <c r="H74" i="12"/>
  <c r="H46" i="12"/>
  <c r="H66" i="12"/>
  <c r="G44" i="12"/>
  <c r="H44" i="12" s="1"/>
  <c r="E51" i="12"/>
  <c r="E90" i="12"/>
  <c r="H52" i="12"/>
  <c r="H108" i="12"/>
  <c r="D82" i="12"/>
  <c r="D42" i="12" s="1"/>
  <c r="B6" i="12"/>
  <c r="G19" i="12"/>
  <c r="E34" i="12"/>
  <c r="G34" i="12" s="1"/>
  <c r="H34" i="12" s="1"/>
  <c r="H70" i="12"/>
  <c r="D8" i="12"/>
  <c r="D96" i="12"/>
  <c r="D39" i="6"/>
  <c r="B38" i="6"/>
  <c r="D38" i="6" s="1"/>
  <c r="E13" i="7"/>
  <c r="G13" i="7" s="1"/>
  <c r="H13" i="7" s="1"/>
  <c r="C56" i="7"/>
  <c r="E56" i="7" s="1"/>
  <c r="E85" i="7"/>
  <c r="G85" i="7" s="1"/>
  <c r="H85" i="7" s="1"/>
  <c r="E39" i="7"/>
  <c r="G39" i="7" s="1"/>
  <c r="H39" i="7" s="1"/>
  <c r="D84" i="7"/>
  <c r="C52" i="7"/>
  <c r="E52" i="7" s="1"/>
  <c r="E44" i="7"/>
  <c r="E43" i="6"/>
  <c r="E88" i="7"/>
  <c r="G88" i="7" s="1"/>
  <c r="H88" i="7" s="1"/>
  <c r="D42" i="4"/>
  <c r="F42" i="4" s="1"/>
  <c r="F6" i="4"/>
  <c r="G64" i="4"/>
  <c r="C30" i="4"/>
  <c r="D46" i="4"/>
  <c r="F46" i="4" s="1"/>
  <c r="G46" i="4" s="1"/>
  <c r="D11" i="4"/>
  <c r="F11" i="4" s="1"/>
  <c r="G11" i="4" s="1"/>
  <c r="D31" i="4"/>
  <c r="F31" i="4" s="1"/>
  <c r="G31" i="4" s="1"/>
  <c r="F40" i="4"/>
  <c r="D47" i="4"/>
  <c r="F47" i="4" s="1"/>
  <c r="D61" i="4"/>
  <c r="F61" i="4" s="1"/>
  <c r="G65" i="4"/>
  <c r="B53" i="4"/>
  <c r="D58" i="4"/>
  <c r="F58" i="4" s="1"/>
  <c r="G58" i="4" s="1"/>
  <c r="D13" i="4"/>
  <c r="F13" i="4" s="1"/>
  <c r="G13" i="4" s="1"/>
  <c r="C7" i="4"/>
  <c r="F29" i="4"/>
  <c r="G29" i="4"/>
  <c r="C53" i="4"/>
  <c r="B7" i="4"/>
  <c r="B28" i="17"/>
  <c r="D28" i="17" s="1"/>
  <c r="I79" i="8"/>
  <c r="J79" i="8" s="1"/>
  <c r="I48" i="8"/>
  <c r="J48" i="8" s="1"/>
  <c r="I54" i="8"/>
  <c r="J54" i="8" s="1"/>
  <c r="I58" i="8"/>
  <c r="J58" i="8" s="1"/>
  <c r="I69" i="8"/>
  <c r="I60" i="8"/>
  <c r="I24" i="8"/>
  <c r="I56" i="8"/>
  <c r="I65" i="8"/>
  <c r="I18" i="8"/>
  <c r="I50" i="8"/>
  <c r="I16" i="8"/>
  <c r="J16" i="8" s="1"/>
  <c r="J42" i="8"/>
  <c r="I42" i="8"/>
  <c r="I15" i="8"/>
  <c r="J15" i="8" s="1"/>
  <c r="I17" i="8"/>
  <c r="I25" i="8"/>
  <c r="I43" i="8"/>
  <c r="J43" i="8" s="1"/>
  <c r="I47" i="8"/>
  <c r="I49" i="8"/>
  <c r="J49" i="8" s="1"/>
  <c r="I51" i="8"/>
  <c r="I53" i="8"/>
  <c r="J53" i="8" s="1"/>
  <c r="I55" i="8"/>
  <c r="I57" i="8"/>
  <c r="J57" i="8" s="1"/>
  <c r="I59" i="8"/>
  <c r="I62" i="8"/>
  <c r="I66" i="8"/>
  <c r="J66" i="8" s="1"/>
  <c r="I70" i="8"/>
  <c r="J70" i="8" s="1"/>
  <c r="I74" i="8"/>
  <c r="I78" i="8"/>
  <c r="I80" i="8"/>
  <c r="J80" i="8" s="1"/>
  <c r="J6" i="8"/>
  <c r="I6" i="8"/>
  <c r="D61" i="8"/>
  <c r="G61" i="8" s="1"/>
  <c r="G32" i="12"/>
  <c r="H32" i="12" s="1"/>
  <c r="G51" i="12"/>
  <c r="H51" i="12" s="1"/>
  <c r="G90" i="12"/>
  <c r="H90" i="12" s="1"/>
  <c r="G112" i="12"/>
  <c r="H112" i="12" s="1"/>
  <c r="G62" i="12"/>
  <c r="H62" i="12" s="1"/>
  <c r="H56" i="6"/>
  <c r="G98" i="12"/>
  <c r="H98" i="12" s="1"/>
  <c r="G104" i="12"/>
  <c r="H104" i="12" s="1"/>
  <c r="G130" i="12"/>
  <c r="H130" i="12" s="1"/>
  <c r="F8" i="12"/>
  <c r="E53" i="6"/>
  <c r="G103" i="12"/>
  <c r="H103" i="12" s="1"/>
  <c r="H128" i="12"/>
  <c r="C111" i="12"/>
  <c r="E111" i="12" s="1"/>
  <c r="C65" i="12"/>
  <c r="E65" i="12" s="1"/>
  <c r="C8" i="12"/>
  <c r="H11" i="12"/>
  <c r="H27" i="12"/>
  <c r="H80" i="12"/>
  <c r="H109" i="12"/>
  <c r="F55" i="6"/>
  <c r="G55" i="6" s="1"/>
  <c r="G117" i="12"/>
  <c r="H117" i="12" s="1"/>
  <c r="H18" i="12"/>
  <c r="H20" i="12"/>
  <c r="H67" i="12"/>
  <c r="H114" i="12"/>
  <c r="H120" i="12"/>
  <c r="G25" i="12"/>
  <c r="H25" i="12" s="1"/>
  <c r="C82" i="12"/>
  <c r="D30" i="4"/>
  <c r="F30" i="4" s="1"/>
  <c r="G30" i="4" s="1"/>
  <c r="F48" i="4"/>
  <c r="D18" i="4"/>
  <c r="F18" i="4" s="1"/>
  <c r="G18" i="4" s="1"/>
  <c r="B41" i="4"/>
  <c r="D41" i="4" s="1"/>
  <c r="F41" i="4" s="1"/>
  <c r="G41" i="4" s="1"/>
  <c r="D24" i="4"/>
  <c r="F24" i="4" s="1"/>
  <c r="G24" i="4" s="1"/>
  <c r="G42" i="4"/>
  <c r="G23" i="4"/>
  <c r="F32" i="4"/>
  <c r="G32" i="4" s="1"/>
  <c r="G21" i="4"/>
  <c r="G63" i="4"/>
  <c r="F27" i="4"/>
  <c r="G27" i="4" s="1"/>
  <c r="F49" i="4"/>
  <c r="G49" i="4" s="1"/>
  <c r="F55" i="4"/>
  <c r="G55" i="4" s="1"/>
  <c r="E11" i="6"/>
  <c r="G11" i="6" s="1"/>
  <c r="H11" i="6" s="1"/>
  <c r="I11" i="6" s="1"/>
  <c r="F5" i="7"/>
  <c r="B16" i="6"/>
  <c r="D16" i="6" s="1"/>
  <c r="H16" i="6" s="1"/>
  <c r="I16" i="6" s="1"/>
  <c r="G19" i="7"/>
  <c r="H19" i="7" s="1"/>
  <c r="G53" i="7"/>
  <c r="H53" i="7" s="1"/>
  <c r="B36" i="6"/>
  <c r="D98" i="7"/>
  <c r="D100" i="7" s="1"/>
  <c r="H41" i="6"/>
  <c r="I41" i="6" s="1"/>
  <c r="H57" i="7"/>
  <c r="G70" i="7"/>
  <c r="H70" i="7" s="1"/>
  <c r="G17" i="7"/>
  <c r="H17" i="7" s="1"/>
  <c r="G45" i="7"/>
  <c r="H45" i="7" s="1"/>
  <c r="E77" i="7"/>
  <c r="G77" i="7" s="1"/>
  <c r="H77" i="7" s="1"/>
  <c r="D30" i="7"/>
  <c r="F69" i="7"/>
  <c r="G69" i="7" s="1"/>
  <c r="H69" i="7" s="1"/>
  <c r="F99" i="7"/>
  <c r="G57" i="7"/>
  <c r="C84" i="7"/>
  <c r="E84" i="7" s="1"/>
  <c r="G84" i="7" s="1"/>
  <c r="H84" i="7" s="1"/>
  <c r="C6" i="7"/>
  <c r="F52" i="7"/>
  <c r="G52" i="7" s="1"/>
  <c r="H52" i="7" s="1"/>
  <c r="G62" i="7"/>
  <c r="H62" i="7" s="1"/>
  <c r="E31" i="7"/>
  <c r="G31" i="7" s="1"/>
  <c r="H31" i="7" s="1"/>
  <c r="E80" i="7"/>
  <c r="G80" i="7" s="1"/>
  <c r="H80" i="7" s="1"/>
  <c r="B14" i="6"/>
  <c r="F37" i="7"/>
  <c r="C99" i="7"/>
  <c r="E99" i="7" s="1"/>
  <c r="F16" i="7"/>
  <c r="D5" i="7"/>
  <c r="H44" i="6"/>
  <c r="I44" i="6" s="1"/>
  <c r="G44" i="7"/>
  <c r="H44" i="7" s="1"/>
  <c r="B31" i="6"/>
  <c r="E15" i="6"/>
  <c r="F12" i="7"/>
  <c r="G36" i="6"/>
  <c r="E35" i="6"/>
  <c r="G35" i="6" s="1"/>
  <c r="D24" i="7"/>
  <c r="E27" i="7"/>
  <c r="G27" i="7" s="1"/>
  <c r="H27" i="7" s="1"/>
  <c r="E48" i="6"/>
  <c r="G48" i="6" s="1"/>
  <c r="E40" i="6"/>
  <c r="G40" i="6" s="1"/>
  <c r="G61" i="7"/>
  <c r="H61" i="7" s="1"/>
  <c r="E29" i="6"/>
  <c r="D14" i="6"/>
  <c r="H14" i="6" s="1"/>
  <c r="I14" i="6" s="1"/>
  <c r="E24" i="6"/>
  <c r="G30" i="7"/>
  <c r="H30" i="7" s="1"/>
  <c r="E89" i="7"/>
  <c r="G89" i="7" s="1"/>
  <c r="H89" i="7" s="1"/>
  <c r="G9" i="7"/>
  <c r="H9" i="7" s="1"/>
  <c r="F98" i="7"/>
  <c r="G39" i="6"/>
  <c r="E38" i="6"/>
  <c r="G38" i="6" s="1"/>
  <c r="H38" i="6" s="1"/>
  <c r="I38" i="6" s="1"/>
  <c r="E33" i="7"/>
  <c r="G33" i="7" s="1"/>
  <c r="H33" i="7" s="1"/>
  <c r="C30" i="7"/>
  <c r="E30" i="7" s="1"/>
  <c r="B24" i="6" s="1"/>
  <c r="C83" i="7"/>
  <c r="E83" i="7" s="1"/>
  <c r="G83" i="7" s="1"/>
  <c r="H83" i="7" s="1"/>
  <c r="B45" i="6"/>
  <c r="G67" i="7"/>
  <c r="H67" i="7" s="1"/>
  <c r="G65" i="7"/>
  <c r="H65" i="7" s="1"/>
  <c r="F56" i="7"/>
  <c r="C37" i="7"/>
  <c r="E24" i="7"/>
  <c r="B98" i="7"/>
  <c r="B100" i="7" s="1"/>
  <c r="H79" i="7"/>
  <c r="G99" i="7"/>
  <c r="H99" i="7" s="1"/>
  <c r="C16" i="7"/>
  <c r="G10" i="7"/>
  <c r="H10" i="7" s="1"/>
  <c r="G52" i="4"/>
  <c r="G10" i="4"/>
  <c r="G25" i="4"/>
  <c r="F26" i="4"/>
  <c r="G26" i="4" s="1"/>
  <c r="F16" i="4"/>
  <c r="G16" i="4" s="1"/>
  <c r="F33" i="4"/>
  <c r="G33" i="4" s="1"/>
  <c r="F38" i="4"/>
  <c r="G38" i="4" s="1"/>
  <c r="F54" i="4"/>
  <c r="G54" i="4" s="1"/>
  <c r="F8" i="4"/>
  <c r="G8" i="4" s="1"/>
  <c r="G37" i="4"/>
  <c r="G36" i="4"/>
  <c r="F36" i="4"/>
  <c r="F14" i="4"/>
  <c r="G14" i="4" s="1"/>
  <c r="F17" i="4"/>
  <c r="G17" i="4" s="1"/>
  <c r="G15" i="4"/>
  <c r="F9" i="4"/>
  <c r="G9" i="4" s="1"/>
  <c r="F43" i="4"/>
  <c r="G43" i="4" s="1"/>
  <c r="F62" i="4"/>
  <c r="G62" i="4" s="1"/>
  <c r="F39" i="4"/>
  <c r="G39" i="4" s="1"/>
  <c r="G59" i="4"/>
  <c r="F19" i="4"/>
  <c r="G19" i="4" s="1"/>
  <c r="F28" i="4"/>
  <c r="G28" i="4" s="1"/>
  <c r="G34" i="4"/>
  <c r="F50" i="4"/>
  <c r="G50" i="4" s="1"/>
  <c r="G57" i="4"/>
  <c r="F60" i="4"/>
  <c r="G60" i="4" s="1"/>
  <c r="F35" i="4"/>
  <c r="G35" i="4" s="1"/>
  <c r="G45" i="4"/>
  <c r="E9" i="6"/>
  <c r="G10" i="6"/>
  <c r="I30" i="8"/>
  <c r="J30" i="8" s="1"/>
  <c r="I32" i="8"/>
  <c r="I73" i="8"/>
  <c r="J73" i="8" s="1"/>
  <c r="I23" i="8"/>
  <c r="J23" i="8" s="1"/>
  <c r="I39" i="8"/>
  <c r="I13" i="8"/>
  <c r="I29" i="8"/>
  <c r="I31" i="8"/>
  <c r="J31" i="8" s="1"/>
  <c r="I72" i="8"/>
  <c r="J72" i="8" s="1"/>
  <c r="I8" i="8"/>
  <c r="J8" i="8" s="1"/>
  <c r="I22" i="8"/>
  <c r="J22" i="8" s="1"/>
  <c r="I38" i="8"/>
  <c r="J38" i="8" s="1"/>
  <c r="I45" i="8"/>
  <c r="I83" i="8"/>
  <c r="I44" i="8"/>
  <c r="J44" i="8" s="1"/>
  <c r="I21" i="8"/>
  <c r="I33" i="8"/>
  <c r="I35" i="8"/>
  <c r="I37" i="8"/>
  <c r="J37" i="8" s="1"/>
  <c r="I40" i="8"/>
  <c r="I82" i="8"/>
  <c r="J82" i="8" s="1"/>
  <c r="I36" i="8"/>
  <c r="I5" i="8"/>
  <c r="I84" i="8"/>
  <c r="D26" i="8"/>
  <c r="G26" i="8" s="1"/>
  <c r="D7" i="4" l="1"/>
  <c r="I34" i="8"/>
  <c r="J34" i="8" s="1"/>
  <c r="I41" i="8"/>
  <c r="J41" i="8" s="1"/>
  <c r="I14" i="8"/>
  <c r="J14" i="8" s="1"/>
  <c r="I63" i="8"/>
  <c r="J63" i="8" s="1"/>
  <c r="I20" i="8"/>
  <c r="J20" i="8" s="1"/>
  <c r="F9" i="8"/>
  <c r="C29" i="12"/>
  <c r="D41" i="12"/>
  <c r="D6" i="12" s="1"/>
  <c r="C96" i="12"/>
  <c r="E96" i="12" s="1"/>
  <c r="G96" i="12" s="1"/>
  <c r="H96" i="12" s="1"/>
  <c r="E82" i="12"/>
  <c r="G82" i="12" s="1"/>
  <c r="G111" i="12"/>
  <c r="H111" i="12" s="1"/>
  <c r="B30" i="6"/>
  <c r="D30" i="6" s="1"/>
  <c r="H30" i="6" s="1"/>
  <c r="I30" i="6" s="1"/>
  <c r="G47" i="4"/>
  <c r="C5" i="4"/>
  <c r="D53" i="4"/>
  <c r="F53" i="4" s="1"/>
  <c r="G53" i="4" s="1"/>
  <c r="G61" i="4"/>
  <c r="I12" i="8"/>
  <c r="J12" i="8" s="1"/>
  <c r="F41" i="12"/>
  <c r="F6" i="12" s="1"/>
  <c r="F54" i="6"/>
  <c r="F52" i="6" s="1"/>
  <c r="E8" i="12"/>
  <c r="E54" i="6"/>
  <c r="G65" i="12"/>
  <c r="H65" i="12" s="1"/>
  <c r="C42" i="12"/>
  <c r="E52" i="6"/>
  <c r="G53" i="6"/>
  <c r="H82" i="12"/>
  <c r="E29" i="12"/>
  <c r="C24" i="12"/>
  <c r="E24" i="12" s="1"/>
  <c r="B5" i="4"/>
  <c r="D72" i="7"/>
  <c r="D101" i="7" s="1"/>
  <c r="C5" i="7"/>
  <c r="E5" i="7" s="1"/>
  <c r="G5" i="7" s="1"/>
  <c r="H5" i="7" s="1"/>
  <c r="E6" i="7"/>
  <c r="B35" i="6"/>
  <c r="D35" i="6" s="1"/>
  <c r="H35" i="6" s="1"/>
  <c r="I35" i="6" s="1"/>
  <c r="D36" i="6"/>
  <c r="H36" i="6" s="1"/>
  <c r="I36" i="6" s="1"/>
  <c r="G24" i="7"/>
  <c r="H24" i="7" s="1"/>
  <c r="B19" i="6"/>
  <c r="D19" i="6" s="1"/>
  <c r="C98" i="7"/>
  <c r="D45" i="6"/>
  <c r="H45" i="6" s="1"/>
  <c r="I45" i="6" s="1"/>
  <c r="B43" i="6"/>
  <c r="G25" i="6"/>
  <c r="E21" i="6"/>
  <c r="F72" i="7"/>
  <c r="E37" i="7"/>
  <c r="G37" i="7" s="1"/>
  <c r="H37" i="7" s="1"/>
  <c r="C36" i="7"/>
  <c r="G56" i="7"/>
  <c r="H56" i="7" s="1"/>
  <c r="H39" i="6"/>
  <c r="I39" i="6" s="1"/>
  <c r="D32" i="6"/>
  <c r="H32" i="6" s="1"/>
  <c r="I32" i="6" s="1"/>
  <c r="B29" i="6"/>
  <c r="E16" i="7"/>
  <c r="C12" i="7"/>
  <c r="B21" i="6"/>
  <c r="D25" i="6"/>
  <c r="F100" i="7"/>
  <c r="H40" i="6"/>
  <c r="I40" i="6" s="1"/>
  <c r="H48" i="6"/>
  <c r="I48" i="6" s="1"/>
  <c r="G15" i="6"/>
  <c r="E13" i="6"/>
  <c r="G13" i="6" s="1"/>
  <c r="F7" i="4"/>
  <c r="G7" i="4" s="1"/>
  <c r="G9" i="6"/>
  <c r="E7" i="6"/>
  <c r="I61" i="8"/>
  <c r="J61" i="8" s="1"/>
  <c r="E9" i="8"/>
  <c r="I19" i="8"/>
  <c r="J19" i="8" s="1"/>
  <c r="I28" i="8"/>
  <c r="J28" i="8" s="1"/>
  <c r="D7" i="8"/>
  <c r="G7" i="8" s="1"/>
  <c r="B54" i="6" l="1"/>
  <c r="G54" i="6"/>
  <c r="G29" i="12"/>
  <c r="H29" i="12" s="1"/>
  <c r="B53" i="6"/>
  <c r="C41" i="12"/>
  <c r="E42" i="12"/>
  <c r="G52" i="6"/>
  <c r="B55" i="6"/>
  <c r="D55" i="6" s="1"/>
  <c r="G24" i="12"/>
  <c r="H24" i="12" s="1"/>
  <c r="G8" i="12"/>
  <c r="H8" i="12" s="1"/>
  <c r="D10" i="8"/>
  <c r="D5" i="4"/>
  <c r="H25" i="6"/>
  <c r="I25" i="6" s="1"/>
  <c r="G6" i="7"/>
  <c r="H6" i="7" s="1"/>
  <c r="B10" i="6"/>
  <c r="B15" i="6"/>
  <c r="G16" i="7"/>
  <c r="H16" i="7" s="1"/>
  <c r="H19" i="6"/>
  <c r="I19" i="6" s="1"/>
  <c r="E12" i="7"/>
  <c r="G12" i="7" s="1"/>
  <c r="H12" i="7" s="1"/>
  <c r="C72" i="7"/>
  <c r="E72" i="7" s="1"/>
  <c r="G72" i="7" s="1"/>
  <c r="H72" i="7" s="1"/>
  <c r="C100" i="7"/>
  <c r="E100" i="7" s="1"/>
  <c r="E101" i="7" s="1"/>
  <c r="E98" i="7"/>
  <c r="G98" i="7" s="1"/>
  <c r="H98" i="7" s="1"/>
  <c r="G7" i="6"/>
  <c r="E50" i="6"/>
  <c r="E58" i="6" s="1"/>
  <c r="I26" i="8"/>
  <c r="J26" i="8" s="1"/>
  <c r="D11" i="8" l="1"/>
  <c r="G11" i="8" s="1"/>
  <c r="G10" i="8"/>
  <c r="F5" i="4"/>
  <c r="G5" i="4" s="1"/>
  <c r="E41" i="12"/>
  <c r="C6" i="12"/>
  <c r="E6" i="12" s="1"/>
  <c r="H55" i="6"/>
  <c r="I55" i="6" s="1"/>
  <c r="D53" i="6"/>
  <c r="B52" i="6"/>
  <c r="C54" i="6"/>
  <c r="G42" i="12"/>
  <c r="H42" i="12" s="1"/>
  <c r="C17" i="15"/>
  <c r="C14" i="15"/>
  <c r="C6" i="15"/>
  <c r="C10" i="15"/>
  <c r="C19" i="15"/>
  <c r="C4" i="15"/>
  <c r="D16" i="15"/>
  <c r="D10" i="6"/>
  <c r="H10" i="6" s="1"/>
  <c r="I10" i="6" s="1"/>
  <c r="B9" i="6"/>
  <c r="D9" i="6" s="1"/>
  <c r="G100" i="7"/>
  <c r="H100" i="7" s="1"/>
  <c r="D15" i="6"/>
  <c r="H15" i="6" s="1"/>
  <c r="I15" i="6" s="1"/>
  <c r="B13" i="6"/>
  <c r="C13" i="15"/>
  <c r="C5" i="15"/>
  <c r="C11" i="15"/>
  <c r="C7" i="15"/>
  <c r="C18" i="15"/>
  <c r="C8" i="15"/>
  <c r="C9" i="15"/>
  <c r="C15" i="15"/>
  <c r="C16" i="15"/>
  <c r="C12" i="15"/>
  <c r="I7" i="8"/>
  <c r="J7" i="8" s="1"/>
  <c r="D9" i="8"/>
  <c r="G9" i="8" s="1"/>
  <c r="D14" i="15" l="1"/>
  <c r="H53" i="6"/>
  <c r="I53" i="6" s="1"/>
  <c r="C52" i="6"/>
  <c r="D54" i="6"/>
  <c r="G6" i="12"/>
  <c r="H6" i="12" s="1"/>
  <c r="D52" i="6"/>
  <c r="H52" i="6" s="1"/>
  <c r="I52" i="6" s="1"/>
  <c r="G41" i="12"/>
  <c r="H41" i="12" s="1"/>
  <c r="C3" i="15"/>
  <c r="C20" i="15" s="1"/>
  <c r="C21" i="15" s="1"/>
  <c r="I10" i="8"/>
  <c r="J10" i="8" s="1"/>
  <c r="D6" i="15"/>
  <c r="D11" i="15"/>
  <c r="D15" i="15"/>
  <c r="D9" i="15"/>
  <c r="G4" i="15"/>
  <c r="D12" i="15"/>
  <c r="D8" i="15"/>
  <c r="G17" i="15"/>
  <c r="F14" i="15"/>
  <c r="F18" i="15"/>
  <c r="G5" i="15"/>
  <c r="G13" i="15"/>
  <c r="G8" i="15"/>
  <c r="F15" i="15"/>
  <c r="F27" i="6" s="1"/>
  <c r="G27" i="6" s="1"/>
  <c r="G18" i="15"/>
  <c r="D17" i="15"/>
  <c r="D5" i="15"/>
  <c r="D13" i="15"/>
  <c r="D10" i="15"/>
  <c r="D7" i="15"/>
  <c r="D18" i="15"/>
  <c r="D19" i="15"/>
  <c r="D4" i="15"/>
  <c r="F16" i="15"/>
  <c r="F24" i="6" s="1"/>
  <c r="G7" i="15"/>
  <c r="G6" i="15"/>
  <c r="F8" i="15"/>
  <c r="G11" i="15"/>
  <c r="G9" i="15"/>
  <c r="G19" i="15"/>
  <c r="G12" i="15"/>
  <c r="F6" i="15"/>
  <c r="F5" i="15"/>
  <c r="F17" i="15"/>
  <c r="F23" i="6" s="1"/>
  <c r="G23" i="6" s="1"/>
  <c r="G14" i="15"/>
  <c r="F4" i="15"/>
  <c r="G16" i="15"/>
  <c r="G10" i="15"/>
  <c r="F10" i="15"/>
  <c r="F13" i="15"/>
  <c r="F9" i="15"/>
  <c r="H9" i="6"/>
  <c r="I9" i="6" s="1"/>
  <c r="D13" i="6"/>
  <c r="B7" i="6"/>
  <c r="E9" i="15"/>
  <c r="E16" i="15"/>
  <c r="C24" i="6" s="1"/>
  <c r="E19" i="15"/>
  <c r="C46" i="6" s="1"/>
  <c r="E13" i="15"/>
  <c r="E15" i="15"/>
  <c r="C27" i="6" s="1"/>
  <c r="D27" i="6" s="1"/>
  <c r="D59" i="6"/>
  <c r="E10" i="15"/>
  <c r="E7" i="15"/>
  <c r="E12" i="15"/>
  <c r="E5" i="15"/>
  <c r="E6" i="15"/>
  <c r="E4" i="15"/>
  <c r="E17" i="15"/>
  <c r="C23" i="6" s="1"/>
  <c r="D23" i="6" s="1"/>
  <c r="E8" i="15"/>
  <c r="E18" i="15"/>
  <c r="I9" i="8"/>
  <c r="J9" i="8" s="1"/>
  <c r="D3" i="15" l="1"/>
  <c r="D20" i="15" s="1"/>
  <c r="D21" i="15" s="1"/>
  <c r="H54" i="6"/>
  <c r="I54" i="6" s="1"/>
  <c r="F12" i="15"/>
  <c r="G3" i="15"/>
  <c r="G15" i="15"/>
  <c r="F11" i="15"/>
  <c r="F19" i="15"/>
  <c r="F46" i="6" s="1"/>
  <c r="G46" i="6" s="1"/>
  <c r="F7" i="15"/>
  <c r="E14" i="15"/>
  <c r="C31" i="6" s="1"/>
  <c r="E11" i="15"/>
  <c r="E3" i="15" s="1"/>
  <c r="B50" i="6"/>
  <c r="B58" i="6" s="1"/>
  <c r="D7" i="6"/>
  <c r="H7" i="6" s="1"/>
  <c r="I7" i="6" s="1"/>
  <c r="H13" i="6"/>
  <c r="I13" i="6" s="1"/>
  <c r="H27" i="6"/>
  <c r="I27" i="6" s="1"/>
  <c r="G59" i="6"/>
  <c r="H23" i="6"/>
  <c r="I23" i="6" s="1"/>
  <c r="G24" i="6"/>
  <c r="G26" i="6"/>
  <c r="D24" i="6"/>
  <c r="D26" i="6"/>
  <c r="C43" i="6"/>
  <c r="D43" i="6" s="1"/>
  <c r="D46" i="6"/>
  <c r="F31" i="6"/>
  <c r="I11" i="8"/>
  <c r="J11" i="8" s="1"/>
  <c r="F3" i="15" l="1"/>
  <c r="F20" i="15" s="1"/>
  <c r="F21" i="15" s="1"/>
  <c r="F43" i="6"/>
  <c r="G43" i="6" s="1"/>
  <c r="G20" i="15"/>
  <c r="G21" i="15" s="1"/>
  <c r="D33" i="6"/>
  <c r="D31" i="6"/>
  <c r="C29" i="6"/>
  <c r="D29" i="6" s="1"/>
  <c r="H26" i="6"/>
  <c r="I26" i="6" s="1"/>
  <c r="E20" i="15"/>
  <c r="E21" i="15" s="1"/>
  <c r="C22" i="6"/>
  <c r="H24" i="6"/>
  <c r="I24" i="6" s="1"/>
  <c r="F29" i="6"/>
  <c r="G29" i="6" s="1"/>
  <c r="G31" i="6"/>
  <c r="G33" i="6"/>
  <c r="H46" i="6"/>
  <c r="I46" i="6" s="1"/>
  <c r="B13" i="17"/>
  <c r="D13" i="17" s="1"/>
  <c r="B22" i="17"/>
  <c r="D22" i="17" s="1"/>
  <c r="B3" i="17"/>
  <c r="D3" i="17" s="1"/>
  <c r="B15" i="17"/>
  <c r="D15" i="17" s="1"/>
  <c r="B5" i="17"/>
  <c r="D5" i="17" s="1"/>
  <c r="B14" i="17"/>
  <c r="D14" i="17" s="1"/>
  <c r="B12" i="17"/>
  <c r="D12" i="17" s="1"/>
  <c r="B21" i="17"/>
  <c r="D21" i="17" s="1"/>
  <c r="B11" i="17"/>
  <c r="D11" i="17" s="1"/>
  <c r="B18" i="17"/>
  <c r="D18" i="17" s="1"/>
  <c r="B8" i="17"/>
  <c r="D8" i="17" s="1"/>
  <c r="B17" i="17"/>
  <c r="D17" i="17" s="1"/>
  <c r="B19" i="17"/>
  <c r="D19" i="17" s="1"/>
  <c r="B9" i="17" l="1"/>
  <c r="D9" i="17" s="1"/>
  <c r="B10" i="17"/>
  <c r="D10" i="17" s="1"/>
  <c r="B6" i="17"/>
  <c r="D6" i="17" s="1"/>
  <c r="B16" i="17"/>
  <c r="D16" i="17" s="1"/>
  <c r="B20" i="17"/>
  <c r="D20" i="17" s="1"/>
  <c r="B4" i="17"/>
  <c r="D4" i="17" s="1"/>
  <c r="B7" i="17"/>
  <c r="D7" i="17" s="1"/>
  <c r="H43" i="6"/>
  <c r="I43" i="6" s="1"/>
  <c r="F22" i="6"/>
  <c r="G22" i="6" s="1"/>
  <c r="H33" i="6"/>
  <c r="I33" i="6" s="1"/>
  <c r="H31" i="6"/>
  <c r="I31" i="6" s="1"/>
  <c r="C21" i="6"/>
  <c r="D22" i="6"/>
  <c r="H29" i="6"/>
  <c r="I29" i="6" s="1"/>
  <c r="B23" i="17" l="1"/>
  <c r="D23" i="17" s="1"/>
  <c r="F21" i="6"/>
  <c r="G21" i="6" s="1"/>
  <c r="G50" i="6" s="1"/>
  <c r="G58" i="6" s="1"/>
  <c r="H22" i="6"/>
  <c r="I22" i="6" s="1"/>
  <c r="D21" i="6"/>
  <c r="C50" i="6"/>
  <c r="C58" i="6" s="1"/>
  <c r="B30" i="17" l="1"/>
  <c r="D30" i="17" s="1"/>
  <c r="F50" i="6"/>
  <c r="F58" i="6" s="1"/>
  <c r="D50" i="6"/>
  <c r="H21" i="6"/>
  <c r="I21" i="6" s="1"/>
  <c r="G61" i="6"/>
  <c r="G60" i="6"/>
  <c r="B32" i="17" l="1"/>
  <c r="D32" i="17" s="1"/>
  <c r="D58" i="6"/>
  <c r="H50" i="6"/>
  <c r="I50" i="6" s="1"/>
  <c r="D60" i="6" l="1"/>
  <c r="D61" i="6"/>
  <c r="H58" i="6"/>
  <c r="I58" i="6" s="1"/>
</calcChain>
</file>

<file path=xl/comments1.xml><?xml version="1.0" encoding="utf-8"?>
<comments xmlns="http://schemas.openxmlformats.org/spreadsheetml/2006/main">
  <authors>
    <author>Maarja Valler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21.08 +40000 vt 7 k täitmist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16.10 lisatud Toom-Kooli 9</t>
        </r>
      </text>
    </comment>
  </commentList>
</comments>
</file>

<file path=xl/sharedStrings.xml><?xml version="1.0" encoding="utf-8"?>
<sst xmlns="http://schemas.openxmlformats.org/spreadsheetml/2006/main" count="1070" uniqueCount="537">
  <si>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</si>
  <si>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</si>
  <si>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</si>
  <si>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</si>
  <si>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</si>
  <si>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</si>
  <si>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</si>
  <si>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</si>
  <si>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RE</t>
  </si>
  <si>
    <t>Tulud majandustegevusest</t>
  </si>
  <si>
    <t>Võlalt arvestatud intressitulu</t>
  </si>
  <si>
    <t>KOKKU</t>
  </si>
  <si>
    <t>€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</si>
  <si>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</si>
  <si>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</si>
  <si>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</si>
  <si>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</si>
  <si>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</si>
  <si>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</si>
  <si>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</si>
  <si>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</si>
  <si>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</si>
  <si>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</si>
  <si>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</si>
  <si>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</si>
  <si>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</si>
  <si>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</si>
  <si>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</si>
  <si>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</si>
  <si>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</si>
  <si>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</si>
  <si>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</si>
  <si>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</si>
  <si>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</si>
  <si>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</si>
  <si>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</si>
  <si>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</si>
  <si>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</si>
  <si>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</si>
  <si>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</si>
  <si>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</si>
  <si>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</si>
  <si>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</si>
  <si>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</si>
  <si>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</si>
  <si>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</si>
  <si>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</si>
  <si>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</si>
  <si>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</si>
  <si>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</si>
  <si>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</si>
  <si>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</si>
  <si>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</si>
  <si>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</si>
  <si>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</si>
  <si>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</si>
  <si>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</si>
  <si>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</si>
  <si>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</si>
  <si>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</si>
  <si>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</si>
  <si>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</si>
  <si>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</si>
  <si>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</si>
  <si>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</si>
  <si>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</si>
  <si>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</si>
  <si>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</si>
  <si>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</si>
  <si>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</si>
  <si>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</si>
  <si>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</si>
  <si>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</si>
  <si>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</si>
  <si>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</si>
  <si>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</si>
  <si>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</si>
  <si>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</si>
  <si>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</si>
  <si>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</si>
  <si>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</si>
  <si>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</si>
  <si>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</si>
  <si>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</si>
  <si>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</si>
  <si>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</si>
  <si>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</si>
  <si>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</si>
  <si>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</si>
  <si>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</si>
  <si>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</si>
  <si>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</si>
  <si>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</si>
  <si>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</si>
  <si>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</si>
  <si>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</si>
  <si>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</si>
  <si>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</si>
  <si>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</si>
  <si>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</si>
  <si>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</si>
  <si>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</si>
  <si>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</si>
  <si>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Toetus välisprojektide kaasfinantseerimiseks</t>
  </si>
  <si>
    <t>välisprojektide kaasfinantseerimine</t>
  </si>
  <si>
    <t>SE</t>
  </si>
  <si>
    <t>Kasum/kahjum varude müügist</t>
  </si>
  <si>
    <t>sh teede ja tänavate korrashoid</t>
  </si>
  <si>
    <t>Kultuuriameti haldusala</t>
  </si>
  <si>
    <t>OT</t>
  </si>
  <si>
    <t>MUUTUSED VARADES</t>
  </si>
  <si>
    <t>MUUTUSED KOHUSTUSTES</t>
  </si>
  <si>
    <t>äriruumide üüritulu</t>
  </si>
  <si>
    <t>kommunaalteenused</t>
  </si>
  <si>
    <t>teenused</t>
  </si>
  <si>
    <t>huviringi osalustasu</t>
  </si>
  <si>
    <t>tehniliste vahendite ja inventari laenutamine</t>
  </si>
  <si>
    <t>piletitulu</t>
  </si>
  <si>
    <t>noortekeskuse muud tasulised teenused</t>
  </si>
  <si>
    <t>noortelaagri teenused</t>
  </si>
  <si>
    <t>ringitasu</t>
  </si>
  <si>
    <t>kultuuriasutuse ruumide kasutamine üritusteks</t>
  </si>
  <si>
    <t>reklaamitulu</t>
  </si>
  <si>
    <t>spordiasutuse tasulised teenused</t>
  </si>
  <si>
    <t>eluruumide üüritulu</t>
  </si>
  <si>
    <t>hooldustasu</t>
  </si>
  <si>
    <t>linnarajatiste reklaamitulu</t>
  </si>
  <si>
    <t>tulu kaubandustegevusest</t>
  </si>
  <si>
    <t>kliendi osalustasu koduteenuste osutamisel</t>
  </si>
  <si>
    <t>muud tulud</t>
  </si>
  <si>
    <t>20. Nõmme Linnaosa Valitsuse haldusala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</si>
  <si>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</si>
  <si>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</si>
  <si>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</si>
  <si>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</si>
  <si>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</si>
  <si>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</si>
  <si>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</si>
  <si>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</si>
  <si>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</si>
  <si>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</si>
  <si>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</si>
  <si>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Tootegrupp: eakate hoolekanne</t>
  </si>
  <si>
    <t>Tootegrupp: laste hoolekanne</t>
  </si>
  <si>
    <t>Sotsiaalhoolekanne</t>
  </si>
  <si>
    <t>Mittetulundustegevuse toetamine</t>
  </si>
  <si>
    <t>Tervishoid</t>
  </si>
  <si>
    <t>Äriruumide majandamine</t>
  </si>
  <si>
    <t>Ettevõtlusameti haldusala</t>
  </si>
  <si>
    <t>Kommunaalameti haldusala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</si>
  <si>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</si>
  <si>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</si>
  <si>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</si>
  <si>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</si>
  <si>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</si>
  <si>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</si>
  <si>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</si>
  <si>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Piirkondlikud sündmused, projektid ja mittetulundustegevuse toetamine</t>
  </si>
  <si>
    <t>Sotsiaaltoetused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</si>
  <si>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</si>
  <si>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</si>
  <si>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</si>
  <si>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</si>
  <si>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</si>
  <si>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</si>
  <si>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</si>
  <si>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</si>
  <si>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muud tasulised teenused</t>
  </si>
  <si>
    <t>ruumide kasutamine üritusteks</t>
  </si>
  <si>
    <t>hoolekandeasutuse ruumide kasutamine üritusteks</t>
  </si>
  <si>
    <t>muu vara üür ja rent</t>
  </si>
  <si>
    <t>noortekeskuse ruumide kasutamine üritusteks</t>
  </si>
  <si>
    <t>Eriilmeliste lasteaiakohtade loomine Tallinna linna lasteasutustes</t>
  </si>
  <si>
    <t>Nutikad loomaaiad. Rahvusvaheline teenustepakett loovaks õppimiseks Kesk-Läänemere Regiooni loomaaedades (SmartZoos)</t>
  </si>
  <si>
    <t>Tallinna Männikäbi Lasteaia hoone energiatõhususe parandamine</t>
  </si>
  <si>
    <t>Sitsi Lasteaia hoone energiatõhususe parandamine</t>
  </si>
  <si>
    <t>Järveotsa tee 33 hoone rekonstrueerimine lasteaiaks</t>
  </si>
  <si>
    <t>Tallinna Keskraamatukogule teavikute soetamine</t>
  </si>
  <si>
    <t>Tallinna linna puuetega inimeste transpordi infosüsteem PIT2</t>
  </si>
  <si>
    <t>Tallinna ligipääsetavuse infosüsteemi lähteülesande koostamine</t>
  </si>
  <si>
    <t>20.1. Nõmme Linnaosa Valitsus</t>
  </si>
  <si>
    <t>muuseumi piletitulu</t>
  </si>
  <si>
    <t>muuseumi muu teenus</t>
  </si>
  <si>
    <t>sauna piletitulu</t>
  </si>
  <si>
    <t>20.2. Nõmme Kultuurikeskus</t>
  </si>
  <si>
    <t>20.3. Nõmme Vaba Aja Keskus</t>
  </si>
  <si>
    <t>20.4. Nõmme Sotsiaalmaja</t>
  </si>
  <si>
    <t>Kommunaalamet</t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</si>
  <si>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</si>
  <si>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</si>
  <si>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t>Ööpäevane üldhoolduse teenus (Nõmme Sotsiaalmaja)</t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</si>
  <si>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</si>
  <si>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</si>
  <si>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</si>
  <si>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Sotsiaaleluaseme teenus</t>
    </r>
    <r>
      <rPr>
        <sz val="8"/>
        <rFont val="Arial"/>
        <family val="2"/>
        <charset val="186"/>
      </rPr>
      <t xml:space="preserve"> (Nõmme Sotsiaalmaja)</t>
    </r>
  </si>
  <si>
    <t>Saunateenuse korraldamine</t>
  </si>
  <si>
    <t xml:space="preserve">Paljassaare põik 5 ja Mustjõe tn 40 jäätmejaama ehitamine ja multiliftkonteinerite soetamine </t>
  </si>
  <si>
    <t>Reidi tee ehitus Tallinnas</t>
  </si>
  <si>
    <t>Viru keskuse bussiterminali remont</t>
  </si>
  <si>
    <t>NSB CoRe - Läänemere-Balti transpordikoridor kui regiooni ühendaja</t>
  </si>
  <si>
    <t>FLOW</t>
  </si>
  <si>
    <t>FinEst Link - Soome-Eesti Transpordiühendus</t>
  </si>
  <si>
    <t>FinEstSmartMobility - Helsingi Läänesadama - Tallinna Vanasadama vahelise liikuvuse parandamine nutikate lahenduste abil</t>
  </si>
  <si>
    <t>Energia teekaardid - R4E</t>
  </si>
  <si>
    <t>BLASTIC - plastijäätmete teekond Läänemerre</t>
  </si>
  <si>
    <t>NATTOURS - jätkusuutlikud loodusrajad linnades, kasutades uusi IT-lahendusi</t>
  </si>
  <si>
    <t>INTHERWASTE - piirkondadevaheline jäätmemajanduse keskkonda integreerimine Euroopa kultuuripärandiga linnades</t>
  </si>
  <si>
    <t>Läänemere linnade uurimislabor (Baltic Urban Lab)</t>
  </si>
  <si>
    <t>Pelguranna tn 31 tugikodu rajamine</t>
  </si>
  <si>
    <t>Välisrahastusega teede ja tänavate rekonstrueerimine</t>
  </si>
  <si>
    <t>sh Haabersti ristmiku rekonstrueerimine Tallinnas</t>
  </si>
  <si>
    <t>Gonsiori tänava rekonstrueerimine Tallinnas</t>
  </si>
  <si>
    <t>Vanasadama ja kesklinna vahelise liikuvuskeskkonna arendamine</t>
  </si>
  <si>
    <t>Linnapiirkondade kergliiklusteede ehitamine</t>
  </si>
  <si>
    <t>sh Viljandi mnt kergliiklustee</t>
  </si>
  <si>
    <t>Filtri teed Kadrioruga ja Ülemiste ühisterminaliga ühendav kergliiklustee</t>
  </si>
  <si>
    <t>Ülemiste järve liikumisrada (Tartu mnt lõigus Lennujaama tee – Vana-Tartu mnt)</t>
  </si>
  <si>
    <t>Vana-Kalamaja tänava rekonstrueerimine</t>
  </si>
  <si>
    <t>Heakord</t>
  </si>
  <si>
    <t>Tööturul võrdväärset osalemist toetav intervallhoiuteenus Tallinnas ja Viimsis</t>
  </si>
  <si>
    <t>MUUTUS MUUDES KOHUSTUSTES KOKKU</t>
  </si>
  <si>
    <t>MUUTUS RAHAS</t>
  </si>
  <si>
    <t>Hoiuste muutus</t>
  </si>
  <si>
    <t>MUUTUS FINANTSVARADES KOKKU</t>
  </si>
  <si>
    <t>Koolieelsed lasteasutused</t>
  </si>
  <si>
    <t>KULTUUR</t>
  </si>
  <si>
    <t>Mustpeade Maja restaureerimine</t>
  </si>
  <si>
    <t>Tallinna Filharmoonia pillifond</t>
  </si>
  <si>
    <t>Muinsuskaitsealased investeeringud</t>
  </si>
  <si>
    <t>linnamüüri korrastamine ja kujundamine</t>
  </si>
  <si>
    <t>Pirita kloostrivaremete korrastamine</t>
  </si>
  <si>
    <t>Maade ja asjaõiguste omandamine</t>
  </si>
  <si>
    <t>HEAKORD</t>
  </si>
  <si>
    <t>Tallinna linna hooldus-, heakorra- ja haljastustööde infosüsteemi loomine</t>
  </si>
  <si>
    <t>Kalmistute investeeringud</t>
  </si>
  <si>
    <t>Linnamööbli soetamine (prügikastid, pingid jm)</t>
  </si>
  <si>
    <t>LINNAMAJANDUS</t>
  </si>
  <si>
    <t>Ühiselamu tüüpi hoonete renoveerimine</t>
  </si>
  <si>
    <t>sh Paagi tn 10</t>
  </si>
  <si>
    <t>Tallinna Linnahalli rekonstrueerimine</t>
  </si>
  <si>
    <t>Geoinfosüsteemide arendamine ja soetused</t>
  </si>
  <si>
    <t>LINNA TUGITEENUSED</t>
  </si>
  <si>
    <t>Palga korrektsiooni reserv</t>
  </si>
  <si>
    <t>Tallinna Kesklinna Valitsuse haldusala</t>
  </si>
  <si>
    <t>SOTSIAALHOOLEKANNE</t>
  </si>
  <si>
    <t>Paagi tn 10 korterelamu rekonstrueerimine</t>
  </si>
  <si>
    <t>SOHJOA - keskkonnasõbralikule ja isesõitvale viimase miili ühistranspordile üleminek Läänemere regioonis</t>
  </si>
  <si>
    <t>SUMBA - jätkusuutlik linnaliikuvus ja pendelränne Läänemere linnades</t>
  </si>
  <si>
    <t>CREATE - liiklusummikute vähendamine Euroopas: transpordi efektiivsuse edendamine</t>
  </si>
  <si>
    <t>Tehnovõrgud</t>
  </si>
  <si>
    <t>E-TICKETING - Eesti ja Soome elektrooniliste piletisüsteemide ristkasutuse loomine</t>
  </si>
  <si>
    <t>Tallinna Loomaaia projekt „Pilvemets“</t>
  </si>
  <si>
    <t>peale selle amortisatsioon</t>
  </si>
  <si>
    <t>Freight TAILS - linnade kauba- ja raskeveokite liikumise logistika</t>
  </si>
  <si>
    <t>Loomaaia liigikaitse labori naaritsaaedikute kompleksi ehitus ja DNA-labori sisustus</t>
  </si>
  <si>
    <t>Smart-up BSR - nutika spetsialiseerumise edendamine Läänemere regioonis innovatsioonikeskuste koordineeritud tegevuse kaudu</t>
  </si>
  <si>
    <t>sadamaala kergliiklustee lõigus Kalaranna tn – Reidi tee</t>
  </si>
  <si>
    <t>Esialgne eelarve</t>
  </si>
  <si>
    <t>Täpsustatud eelarve</t>
  </si>
  <si>
    <t>NOORSOOTÖÖ</t>
  </si>
  <si>
    <t>LINNAOSADE RESERVFONDID</t>
  </si>
  <si>
    <t>Linna juhtimine</t>
  </si>
  <si>
    <t>Linna tugiteenused</t>
  </si>
  <si>
    <t>Haridus</t>
  </si>
  <si>
    <t>Kultuur</t>
  </si>
  <si>
    <t>Sport ja vaba aeg</t>
  </si>
  <si>
    <t>Noorsootöö</t>
  </si>
  <si>
    <t>Linnamajandus</t>
  </si>
  <si>
    <t>Muu majandus</t>
  </si>
  <si>
    <t>Ettevõtluskeskkond</t>
  </si>
  <si>
    <t>Linnatransport</t>
  </si>
  <si>
    <t>Teed ja tänavad</t>
  </si>
  <si>
    <t>Muud kommunaalkulud</t>
  </si>
  <si>
    <t>Keskkonnakaitse</t>
  </si>
  <si>
    <t>Linnaplaneerimine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</si>
  <si>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</si>
  <si>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</si>
  <si>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</si>
  <si>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</si>
  <si>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</si>
  <si>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</si>
  <si>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</si>
  <si>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</si>
  <si>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</si>
  <si>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</si>
  <si>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</si>
  <si>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</si>
  <si>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</si>
  <si>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</si>
  <si>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</si>
  <si>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</si>
  <si>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</si>
  <si>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</si>
  <si>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</si>
  <si>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</si>
  <si>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Palga korrektsiooni reservi jaotus</t>
  </si>
  <si>
    <t>Esiaglne eelarve</t>
  </si>
  <si>
    <t>2017 tegelik</t>
  </si>
  <si>
    <t>LK</t>
  </si>
  <si>
    <t>KL</t>
  </si>
  <si>
    <t>N</t>
  </si>
  <si>
    <t>LM</t>
  </si>
  <si>
    <t>MM</t>
  </si>
  <si>
    <t>KR</t>
  </si>
  <si>
    <t>Tallinna Arte Gümnaasiumi tervikrenoveerimine</t>
  </si>
  <si>
    <t>H</t>
  </si>
  <si>
    <t>XXX</t>
  </si>
  <si>
    <t>PT</t>
  </si>
  <si>
    <t>P</t>
  </si>
  <si>
    <t>Kultuur ja muinsuskaitse</t>
  </si>
  <si>
    <t>Loomaaia liigikaitse labori naaritsaaedikute kompleksi ehitus ja DNA labori sisustus</t>
  </si>
  <si>
    <t>Tallinna Loomaaia investeeringud</t>
  </si>
  <si>
    <t>Keskraamatukogu teavikute soetamine</t>
  </si>
  <si>
    <t>Tallinna Keskraamatukogu investeeringud</t>
  </si>
  <si>
    <t>Vene Kultuurikeskuse renoveerimine</t>
  </si>
  <si>
    <t>Muuseumide investeeringud</t>
  </si>
  <si>
    <t xml:space="preserve">sh Tallinna Linnamuuseumi Vene tn 17 katuse remonttööd ja ekspositsiooni uuendamine </t>
  </si>
  <si>
    <t>(KL)</t>
  </si>
  <si>
    <t>Mustamäe Kultuurikeskus Kaja ja linnaosa haldushoone ehitamine</t>
  </si>
  <si>
    <t>Spordirajatiste rajamine linnaosadesse</t>
  </si>
  <si>
    <t>Muud</t>
  </si>
  <si>
    <t>Tallinna Kiirabi meditsiinivarustuse soetamine jm investeeringud</t>
  </si>
  <si>
    <t>(KR)</t>
  </si>
  <si>
    <t>Turgude arendamine</t>
  </si>
  <si>
    <t>Linnaasutuste ligipääsetavuse parendamine</t>
  </si>
  <si>
    <t>Tehnoloogilise lahenduse prototüübi loomine maa-aluste rajatiste 3D andmeseireks</t>
  </si>
  <si>
    <t>LM/PT</t>
  </si>
  <si>
    <t>Jäätmejaamadesse konteinerite soetamine</t>
  </si>
  <si>
    <t>Suletud ohtlike jäätmete kogumispunktide asendamiseks mobiilse kogumispunkti soetamine</t>
  </si>
  <si>
    <t>Linna asutustesse (sh koolidesse ja lasteaedadesse) liigiti kogumist võimaldavate prügiurnide soetamine</t>
  </si>
  <si>
    <t>Elanikele soodsa hinnaga sobiva prügiurni pakkumine teavitava lävekampaania käigus</t>
  </si>
  <si>
    <t>Vanasadama ja kesklinna vahelise liikuvuskeskkonna arendamine, sh Peatänav</t>
  </si>
  <si>
    <t>KL/LM</t>
  </si>
  <si>
    <t>Sadamaala kergliiklustee lõigus Kalaranna tn - Reidi tee</t>
  </si>
  <si>
    <t>KL/PT</t>
  </si>
  <si>
    <t>Vabaõhukooli tee rekonstrueerimine lõigul Rahvakooli teest kuni Hunditubaka teeni</t>
  </si>
  <si>
    <t>terviseraja ehitamine Õismäe rabasse</t>
  </si>
  <si>
    <t>KL ?</t>
  </si>
  <si>
    <t>Müügimaks</t>
  </si>
  <si>
    <t>Annetused</t>
  </si>
  <si>
    <t>MUUTUS FINANTSVARADES (V.A RAHAS)</t>
  </si>
  <si>
    <t>Sissemakse osakapitali</t>
  </si>
  <si>
    <t>Linna kaubamärk</t>
  </si>
  <si>
    <t>annetused</t>
  </si>
  <si>
    <t>tegevuskuludeks</t>
  </si>
  <si>
    <t>Erivajadustega inimeste eluaseme füüsiline kohandamine</t>
  </si>
  <si>
    <t>Säästlike ja kliimakindlate linna sademeveesüsteemide arendamine (LIFE UrbanStorm)</t>
  </si>
  <si>
    <t>Parku4SUMP</t>
  </si>
  <si>
    <t>HUPMOBILE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</si>
  <si>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</si>
  <si>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</si>
  <si>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</si>
  <si>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HEAWATER</t>
  </si>
  <si>
    <t>Linna uue haldushoone projekteerimine, ehitamine ja sisustamine</t>
  </si>
  <si>
    <t>Salme Kultuurikeskuse renoveerimine, ümberehitustööd ja sisustus</t>
  </si>
  <si>
    <t>Tondi Põhikool</t>
  </si>
  <si>
    <t>Linnateater</t>
  </si>
  <si>
    <t>Kalevi staadion</t>
  </si>
  <si>
    <t>TOETUSED KOKKU</t>
  </si>
  <si>
    <t>Tähtsamad objektid</t>
  </si>
  <si>
    <t>Teede kapitaalremont ja rekonstrueerimine</t>
  </si>
  <si>
    <t>Muud objektid</t>
  </si>
  <si>
    <t>Kergliiklusteede ja terviseradade rajamine</t>
  </si>
  <si>
    <t>Tallinna Saksa Gümnaasiumi tervikrenoveerimine</t>
  </si>
  <si>
    <t>Tallinna Loomaaia projekt "Pilvemets"</t>
  </si>
  <si>
    <t>Tallinna Loomaaia tiigriorg</t>
  </si>
  <si>
    <t>Tallinna Linnateatri arendusprojekt</t>
  </si>
  <si>
    <t>Tallinna Botaanikaaia investeeringud</t>
  </si>
  <si>
    <t>majandushoone ehitamine</t>
  </si>
  <si>
    <t>Mustamäe Päevakeskuse (Ehitajate tee 82) hoone renoveerimine ja õueala korrastamine</t>
  </si>
  <si>
    <t>Iru Hooldekodu õenduskodu projekteerimine ja ehitamine</t>
  </si>
  <si>
    <t>Tallinna Haigla uue hoone projekteerimine</t>
  </si>
  <si>
    <t>Sõpruse pst 5 (sh Kristiine Tegevuskeskus)</t>
  </si>
  <si>
    <t>Mustamäe linnaosas 4 mänguväljaku rekonstrueerimine</t>
  </si>
  <si>
    <t>Linnaasutuste hoonete renoveerimistööd ja projekteerimine</t>
  </si>
  <si>
    <t>Lasnamäe Sotsiaalkeskuse juurdeehitus</t>
  </si>
  <si>
    <t>Mustamäe Laste Loomingu Maja tervikrenoveerimine ja sisustus</t>
  </si>
  <si>
    <t>sh Toompea tugimüüri korrastamine</t>
  </si>
  <si>
    <t>Põhja-Tallinna linnaosa põlvkondade maja (Kari tn 13) ehitamine, sh Tallinna Kopli Noortemaja uued ruumid</t>
  </si>
  <si>
    <t>sh Pelguranna tn 31 hoone</t>
  </si>
  <si>
    <t xml:space="preserve"> Peterburi mnt 11 hoone</t>
  </si>
  <si>
    <t>Tallinna Vaimse Tervise Keskuse renoveerimine</t>
  </si>
  <si>
    <t>Ühistranspordipeatustesse reaalajainfotabloode paigaldamine</t>
  </si>
  <si>
    <t>Tallinna kinnisvararegistri arendamine</t>
  </si>
  <si>
    <t>%</t>
  </si>
  <si>
    <t>2018 esialgne eelarve</t>
  </si>
  <si>
    <t>2018 täpsustatud eelarve</t>
  </si>
  <si>
    <t>kultuuri muu teenus</t>
  </si>
  <si>
    <t>huviasutuse piletitulu</t>
  </si>
  <si>
    <t>Kahjuhüvitised</t>
  </si>
  <si>
    <t>Gonsiori tänava rekonstrueerimine</t>
  </si>
  <si>
    <t>Põhja- ja Baltimaade avaliku halduse mobiilsusprogramm</t>
  </si>
  <si>
    <t>E-klienditoimik koduhooldusele ja koduõendusele-eelanalüüs ja lähteülesande koostamine</t>
  </si>
  <si>
    <t>CoastNet LIFE - rannikuelupaikade taastamine</t>
  </si>
  <si>
    <t>Väljamakse osakapitalist</t>
  </si>
  <si>
    <t>Laenude andmine</t>
  </si>
  <si>
    <t>II alagrupp: lastekaitse korralduslikud meetmed, sh:</t>
  </si>
  <si>
    <t>Koduteenuse kvaliteedihüpe</t>
  </si>
  <si>
    <t>Ligipääsetavuse infosüsteemi loomine</t>
  </si>
  <si>
    <t>Samm Eesti tööellu</t>
  </si>
  <si>
    <t>Teadmiste ja kogemuste jagamine liikluse korraldamisel</t>
  </si>
  <si>
    <t>Päikeseelektrit tootvate teekatendite arendamine ja kasutuselevõtt</t>
  </si>
  <si>
    <t>Katariina kai slipi projekteerimine ja rajamine</t>
  </si>
  <si>
    <t>Nõmme Spordikeskuse välibasseinide renoveerimine</t>
  </si>
  <si>
    <t>Ühisveevärgi ja kanalisatsiooni ehitus</t>
  </si>
  <si>
    <t>Eriilmeliste lasteaiakohad Tallinna linna lasteasutustes (jätkuprojekt)</t>
  </si>
  <si>
    <t>MUUTUS LAENUNÕUETES KOKKU</t>
  </si>
  <si>
    <t>MUUTUS MUUDES NÕUETES KOKKU</t>
  </si>
  <si>
    <t>MUUTUSED NÕUETES</t>
  </si>
  <si>
    <t>Kasum/kahjum vara müügist</t>
  </si>
  <si>
    <t>lisaeelarve</t>
  </si>
  <si>
    <t>Lasnamäe Spordikompleksi peahoone välisfassaadi renoveerimine</t>
  </si>
  <si>
    <t>Veeremi pesulaseadmete vahetus (Tallinna Linnatranspordi AS)</t>
  </si>
  <si>
    <t>Lisaeelarve</t>
  </si>
  <si>
    <t>2018 lisaeelarve</t>
  </si>
  <si>
    <t>EELK Mustamäe Maarja Magdaleena kiriku oreli soetamine (Mustamäe Kiriku Sihtasutus)</t>
  </si>
  <si>
    <t>Staadionite taristu uuendamine</t>
  </si>
  <si>
    <t>2019 eelnõu</t>
  </si>
  <si>
    <t>LINNAKASSA TULUD</t>
  </si>
  <si>
    <t>tegevuskulud välisrahastuse kaasfinantseerimise arvelt</t>
  </si>
  <si>
    <t>Eelnõu</t>
  </si>
  <si>
    <t>INVESTEERIMISTEGEVUS</t>
  </si>
  <si>
    <t>Vabaduse väljaku infoekraani soetamine</t>
  </si>
  <si>
    <t>Liikluskorraldusvahendite (elektroonilised liiklusmärgid, foorikontrollerid, fooripead, liiklusjärelvalve seadmed) ja kandurite uuendamine</t>
  </si>
  <si>
    <t>sh Metalli tn / Endla tn ristmiku ülekäigurada</t>
  </si>
  <si>
    <t>J. Smuuli tee / Liikuri tn ristmik ja ülekäigurada</t>
  </si>
  <si>
    <t xml:space="preserve">Narva mnt / Turba tn ristmik ja ülekäigurada </t>
  </si>
  <si>
    <t>Fooriobjektide rajamine</t>
  </si>
  <si>
    <t>Jäätmejaamade ehitamine ja soetused (MTÜ Keskkonnateenused)</t>
  </si>
  <si>
    <r>
      <t>Kadrioru Pargi majandushoone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projekteerimine</t>
    </r>
  </si>
  <si>
    <t>Jalgrattaparklate ja liikumisväljakute rajamine koolide juurde</t>
  </si>
  <si>
    <t>Spordisaalide ja staadionite arendamine</t>
  </si>
  <si>
    <t>Haridusasutuste (v.a koolieelsete lasteasutuste) remonttööd, soetused ja tuleohutusnõuete täitmine</t>
  </si>
  <si>
    <t>Täitmine</t>
  </si>
  <si>
    <t>Muutus (2019 vs 2018 täpsustatud eelarve)</t>
  </si>
  <si>
    <t>juhtumipõhine investeeringutoetus, sh</t>
  </si>
  <si>
    <t>Suur-Sõjamäe tn (Kesk-Sõjamäe tn – J. Smuuli tee)</t>
  </si>
  <si>
    <t>Tehnika tn jalakäijate ülekäiguradade erivalgustuse rajamine</t>
  </si>
  <si>
    <t>Narva mnt ja Pärnamäe tee ristmik</t>
  </si>
  <si>
    <t>Antav sihtfinantseerimine</t>
  </si>
  <si>
    <t>Objekti ja projekti nimetus</t>
  </si>
  <si>
    <t>Katte- allikas*</t>
  </si>
  <si>
    <t>Kogu-maksumus**</t>
  </si>
  <si>
    <t>KATTEALLIKAD</t>
  </si>
  <si>
    <t>Tallinna Tondi Põhikooli ehitus</t>
  </si>
  <si>
    <t>Tallinna Nõmme Gümnaasiumi spordihoone projekteerimine ja ehitus</t>
  </si>
  <si>
    <t>Lasnamäe Põhikooli projekteerimine ja tervikrenoveerimine</t>
  </si>
  <si>
    <t xml:space="preserve">sh Tallinna Mustamäe Humanitaargümnaasiumi staadioni (Tammsaare tee 147) rajamine </t>
  </si>
  <si>
    <t>Tallinna Huvikeskus "Kullo" renoveerimis- ja ehitustööd</t>
  </si>
  <si>
    <t xml:space="preserve">Tallinna Männikäbi Lasteaia tervikrenoveerimine ja energiasääst </t>
  </si>
  <si>
    <t>Sitsi Lasteaia tervikrenoveerimine ja energiasääst</t>
  </si>
  <si>
    <t>Tallinna Padriku Lasteaia parkla valgustuse välja ehitamine</t>
  </si>
  <si>
    <t>Lasteaedade renoveerimine, remonttööd, soetused, tuleohutusnõuete täitmine ja territooriumide korrastamine (piirdeaiad, välisvalgustus, krundisisesed teed ja parkimisplatsid)</t>
  </si>
  <si>
    <t>G. Otsa, K. Pätsi ja J. Krossi mälestusmärkide rajamine</t>
  </si>
  <si>
    <t xml:space="preserve">Nõmme jaamaülema pronkskuju püstitamine </t>
  </si>
  <si>
    <t>sh palmimaja rekonstrueerimine</t>
  </si>
  <si>
    <t>vetesüsteemi ja väliekspositsiooni (alpinaarium, rosaarium, salikaarium) rekonstrueerimine</t>
  </si>
  <si>
    <t>Jaama tn 18 raudteejaama hoone (Nõmme muuseum)</t>
  </si>
  <si>
    <t>Laululavaesise platsi asfalteerimine</t>
  </si>
  <si>
    <t>Linna kultuurivaldkonna asutuste remonttööd ja soetused</t>
  </si>
  <si>
    <t>Kalevi Keskstaadioni investeeringud (MTÜ Eesti Spordiselts Kalev)</t>
  </si>
  <si>
    <t>Spordiasutuste remonttööd ja soetused</t>
  </si>
  <si>
    <t>Käo Tugikeskuse renoveerimine (Maleva keskuse hoone)</t>
  </si>
  <si>
    <t>Põhja-Tallinna Sotsiaalkeskuse (Sõle tn 61a) remont ja ümberehitustööd</t>
  </si>
  <si>
    <t>Linnaüleste ja piirkondlike sotsiaalasutuste remonttööd ja soetused</t>
  </si>
  <si>
    <t>Tallinna Lastekodu imikute ja puuetega laste maja (Sõpruse pst 248) renoveerimine</t>
  </si>
  <si>
    <t>Pähkli peremajade (Pähkli tn 15) renoveerimine</t>
  </si>
  <si>
    <t>Maleva tn 18 munitsipaalelamu projekteerimine, ehitamine ja sisustamine</t>
  </si>
  <si>
    <t>Muud linnaasutuste remonttööd ja soetused</t>
  </si>
  <si>
    <t>Mänguväljakute rajamine ja rekonstrueerimine</t>
  </si>
  <si>
    <t xml:space="preserve">sh Vabaduse pargi peremänguväljaku rajamine </t>
  </si>
  <si>
    <t>Männipargi peremänguväljaku ja pargiala projekteerimine ja rekonstrueerimine</t>
  </si>
  <si>
    <t>Stroomi ranna peremänguväljaku rekonstrueerimine</t>
  </si>
  <si>
    <t>Tanuma tn mänguväljaku rajamine</t>
  </si>
  <si>
    <t>Koerte jalutusväljakute rajamine ja rekonstrueerimine</t>
  </si>
  <si>
    <t>sh Punane tn 17 haljasalale koerte jalutusväljaku projekteerimine ja ehitus</t>
  </si>
  <si>
    <t>Vormsi tn 5 ja Ehte tn 14 koerte jalutusväljakute rekonstrueerimine</t>
  </si>
  <si>
    <t>sh Siselinna uue kalmistuhoone (kolumbaarium ja kontorihoone) ehitamine</t>
  </si>
  <si>
    <t>Siselinna ja Pärnamäe kalmistute piirdeaedade renoveerimine</t>
  </si>
  <si>
    <t>KL/P</t>
  </si>
  <si>
    <t>Pargid ja rohealad</t>
  </si>
  <si>
    <t>sh Priisle pargi arendamine</t>
  </si>
  <si>
    <t>Poolamäe pargi projekteerimine</t>
  </si>
  <si>
    <t>Kakumäe asumi külaplatsi rajamine</t>
  </si>
  <si>
    <t>Haabersti metsa puhkeala rajamine</t>
  </si>
  <si>
    <t>sh Mustjõe tn 40 jäätmejaam</t>
  </si>
  <si>
    <t>sh Reidi tee ehitus Tallinnas</t>
  </si>
  <si>
    <t>sh Tulika tn (Paldiski mnt - Endla tn)</t>
  </si>
  <si>
    <t>Poska tn (Vesivärava tn - Narva mnt)</t>
  </si>
  <si>
    <t>Kadaka tee (Ehitajate tee - Akadeemia tee)</t>
  </si>
  <si>
    <t>Ehitajate tee suusatunnel</t>
  </si>
  <si>
    <t>Koidu tn (Paldiski mnt - Endla tn), sh ristmik</t>
  </si>
  <si>
    <t>Roosikrantsi tn</t>
  </si>
  <si>
    <t>Suur-Sõjamäe tn (Kesk-Sõjamäe tn - J. Smuuli tee)</t>
  </si>
  <si>
    <t>Pae asumi jalakäijate promenaad</t>
  </si>
  <si>
    <t>Pärnamäe tee ja Muuga tee ristmik</t>
  </si>
  <si>
    <t>P. Pinna tn</t>
  </si>
  <si>
    <t>Tähetorni tn (Paldiski mnt - Kadaka pst)</t>
  </si>
  <si>
    <t>H/N</t>
  </si>
  <si>
    <t xml:space="preserve">Betooni tn </t>
  </si>
  <si>
    <t>Raja tn (Akadeemia tee - Üliõpilaste tee)</t>
  </si>
  <si>
    <t>Valdeku tn (Vabaduse pst - Pärnu mnt)</t>
  </si>
  <si>
    <t xml:space="preserve">Hiiu-Suurtüki tn </t>
  </si>
  <si>
    <t>Teelise tn T1 kinnistule busside tagasipöörde rajamine</t>
  </si>
  <si>
    <t>Tedre tn (Mooni tn - Sõpruse pst)</t>
  </si>
  <si>
    <t>Laagna tee sildade renoveerimine</t>
  </si>
  <si>
    <t xml:space="preserve">Muude sildade ja viaduktide kapitaalremont </t>
  </si>
  <si>
    <t>Ühistranspordipeatuste ja -platvormide rajamine</t>
  </si>
  <si>
    <t>Ühistranspordipeatuste ja -radade rekonstrueerimine</t>
  </si>
  <si>
    <t>Teekünnised</t>
  </si>
  <si>
    <t>Järgnevate aastate projekteerimistööd</t>
  </si>
  <si>
    <t>Kvartalisisesed teed ja kõnniteed</t>
  </si>
  <si>
    <t>sh Viljandi mnt kergliiklustee (Pärnu mnt -Valdeku tn)</t>
  </si>
  <si>
    <t>sh Kloostrimetsa tee kergliiklus- ja kõnnitee rajamine kuni Pirita keskuseni</t>
  </si>
  <si>
    <t>Toetus riigimaantee nr 4 Tallinn - Pärnu - Ikla 13,0 - 16,0 km Tallinna piir - Topi sõlm ehituseks</t>
  </si>
  <si>
    <t>Saue vald</t>
  </si>
  <si>
    <t>Tänavavalgustuse ehitamine ja renoveerimine</t>
  </si>
  <si>
    <t>Tallinna Linnaarhiivi Tolli tn 8 hoone keldriruumide ümberehitamine arhiivihoidlaks</t>
  </si>
  <si>
    <t>* Katteallikad:</t>
  </si>
  <si>
    <t>LE – linnaeelarve vahendite arvelt tehtavad kulutused, sisaldavad ka võetavat laenu</t>
  </si>
  <si>
    <t>OT – omatulude arvelt tehtavad kulutused</t>
  </si>
  <si>
    <t>RE – riigieelarve vahenditest tehtavad kulutused</t>
  </si>
  <si>
    <t>SE – sihtotstarbeliste eraldiste arvelt tehtavad kulutused</t>
  </si>
  <si>
    <t>VR – välisrahastuse arvelt tehtavad kulutused</t>
  </si>
  <si>
    <t>** Kogumaksumus on ilma sisendkäibemaksuta.</t>
  </si>
  <si>
    <t>INVESTEERIMISTEGEVUSE EELARVE 2019</t>
  </si>
  <si>
    <t>LINNAOSA***</t>
  </si>
  <si>
    <t>*** Linnaosa</t>
  </si>
  <si>
    <t>H - Haabersti</t>
  </si>
  <si>
    <t>KL - Kesklinn</t>
  </si>
  <si>
    <t>KR - Kristiine</t>
  </si>
  <si>
    <t>LM - Lasnamäe</t>
  </si>
  <si>
    <t>MM - Mustamäe</t>
  </si>
  <si>
    <t>N - Nõmme</t>
  </si>
  <si>
    <t>P - Pirita</t>
  </si>
  <si>
    <t>PT - Põhja-Tallinn</t>
  </si>
  <si>
    <t>Mitut linnaosa hõlmav investeering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</si>
</sst>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0"/>
    <numFmt numFmtId="167" formatCode="#,##0.0"/>
    <numFmt numFmtId="168" formatCode="_-* #,##0.00\ _k_r_-;\-* #,##0.00\ _k_r_-;_-* \-??\ _k_r_-;_-@_-"/>
    <numFmt numFmtId="169" formatCode="0.0%"/>
  </numFmts>
  <fonts count="9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color rgb="FFFF0000"/>
      <name val="Arial"/>
      <family val="2"/>
      <charset val="186"/>
    </font>
    <font>
      <sz val="8"/>
      <color rgb="FF0070C0"/>
      <name val="Arial"/>
      <family val="2"/>
      <charset val="186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sz val="11"/>
      <name val="Arial"/>
      <family val="2"/>
      <charset val="186"/>
    </font>
    <font>
      <sz val="9"/>
      <color rgb="FF000000"/>
      <name val="Arial"/>
      <family val="2"/>
      <charset val="186"/>
    </font>
    <font>
      <b/>
      <i/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B0F0"/>
      <name val="Arial"/>
      <family val="2"/>
      <charset val="186"/>
    </font>
    <font>
      <sz val="9"/>
      <color rgb="FF00B0F0"/>
      <name val="Arial"/>
      <family val="2"/>
      <charset val="186"/>
    </font>
    <font>
      <b/>
      <sz val="8"/>
      <name val="Times New Roman"/>
      <family val="1"/>
      <charset val="186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6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9" fillId="0" borderId="0"/>
    <xf numFmtId="0" fontId="49" fillId="0" borderId="0"/>
    <xf numFmtId="0" fontId="50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56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62" fillId="3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74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6" fillId="25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69" fillId="7" borderId="1" applyNumberFormat="0" applyAlignment="0" applyProtection="0"/>
    <xf numFmtId="0" fontId="70" fillId="0" borderId="6" applyNumberFormat="0" applyFill="0" applyAlignment="0" applyProtection="0"/>
    <xf numFmtId="0" fontId="71" fillId="22" borderId="0" applyNumberFormat="0" applyBorder="0" applyAlignment="0" applyProtection="0"/>
    <xf numFmtId="0" fontId="14" fillId="0" borderId="0"/>
    <xf numFmtId="0" fontId="14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7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60" fillId="23" borderId="7" applyNumberFormat="0" applyFont="0" applyAlignment="0" applyProtection="0"/>
    <xf numFmtId="0" fontId="72" fillId="20" borderId="8" applyNumberFormat="0" applyAlignment="0" applyProtection="0"/>
    <xf numFmtId="9" fontId="14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59" fillId="0" borderId="0"/>
    <xf numFmtId="0" fontId="13" fillId="0" borderId="0"/>
    <xf numFmtId="0" fontId="14" fillId="0" borderId="0"/>
    <xf numFmtId="0" fontId="14" fillId="0" borderId="0"/>
    <xf numFmtId="9" fontId="81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1" fillId="0" borderId="0"/>
    <xf numFmtId="0" fontId="49" fillId="0" borderId="0"/>
    <xf numFmtId="0" fontId="5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93" fillId="36" borderId="0" applyNumberFormat="0" applyBorder="0" applyAlignment="0" applyProtection="0"/>
    <xf numFmtId="0" fontId="94" fillId="37" borderId="0" applyNumberFormat="0" applyBorder="0" applyAlignment="0" applyProtection="0"/>
    <xf numFmtId="0" fontId="7" fillId="38" borderId="0" applyNumberFormat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95" fillId="0" borderId="0"/>
    <xf numFmtId="9" fontId="14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808">
    <xf numFmtId="0" fontId="0" fillId="0" borderId="0" xfId="0"/>
    <xf numFmtId="0" fontId="28" fillId="0" borderId="0" xfId="0" applyFont="1" applyFill="1" applyBorder="1"/>
    <xf numFmtId="0" fontId="35" fillId="0" borderId="0" xfId="0" applyFont="1" applyFill="1"/>
    <xf numFmtId="0" fontId="14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Alignment="1">
      <alignment vertical="top"/>
    </xf>
    <xf numFmtId="0" fontId="14" fillId="0" borderId="0" xfId="0" applyFont="1" applyFill="1"/>
    <xf numFmtId="3" fontId="35" fillId="0" borderId="0" xfId="0" applyNumberFormat="1" applyFont="1" applyFill="1" applyBorder="1"/>
    <xf numFmtId="0" fontId="14" fillId="0" borderId="0" xfId="0" applyFont="1" applyFill="1" applyAlignment="1">
      <alignment horizontal="left" indent="2"/>
    </xf>
    <xf numFmtId="0" fontId="14" fillId="0" borderId="0" xfId="0" applyFont="1" applyFill="1" applyBorder="1" applyAlignment="1">
      <alignment horizontal="left" indent="2"/>
    </xf>
    <xf numFmtId="3" fontId="34" fillId="0" borderId="0" xfId="0" applyNumberFormat="1" applyFont="1" applyFill="1" applyBorder="1" applyAlignment="1"/>
    <xf numFmtId="3" fontId="14" fillId="0" borderId="0" xfId="0" applyNumberFormat="1" applyFont="1" applyFill="1" applyAlignment="1"/>
    <xf numFmtId="3" fontId="35" fillId="0" borderId="0" xfId="0" applyNumberFormat="1" applyFont="1" applyFill="1" applyAlignment="1"/>
    <xf numFmtId="0" fontId="40" fillId="0" borderId="0" xfId="0" applyFont="1" applyFill="1"/>
    <xf numFmtId="14" fontId="35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41" fillId="0" borderId="0" xfId="0" applyFont="1" applyFill="1" applyAlignment="1">
      <alignment horizontal="left" indent="2"/>
    </xf>
    <xf numFmtId="3" fontId="41" fillId="0" borderId="0" xfId="0" applyNumberFormat="1" applyFont="1" applyFill="1"/>
    <xf numFmtId="3" fontId="0" fillId="0" borderId="0" xfId="0" applyNumberFormat="1"/>
    <xf numFmtId="0" fontId="36" fillId="0" borderId="0" xfId="0" applyFont="1" applyFill="1" applyAlignment="1">
      <alignment horizontal="left" indent="4"/>
    </xf>
    <xf numFmtId="3" fontId="36" fillId="0" borderId="0" xfId="0" applyNumberFormat="1" applyFont="1" applyFill="1"/>
    <xf numFmtId="0" fontId="36" fillId="0" borderId="0" xfId="0" applyFont="1" applyFill="1" applyAlignment="1">
      <alignment horizontal="left" wrapText="1" indent="4"/>
    </xf>
    <xf numFmtId="0" fontId="36" fillId="0" borderId="0" xfId="35" applyNumberFormat="1" applyFont="1" applyFill="1" applyBorder="1" applyAlignment="1" applyProtection="1">
      <alignment horizontal="left" indent="6"/>
    </xf>
    <xf numFmtId="0" fontId="35" fillId="0" borderId="0" xfId="0" applyFont="1" applyFill="1" applyAlignment="1">
      <alignment horizontal="left" indent="1"/>
    </xf>
    <xf numFmtId="0" fontId="41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indent="4"/>
    </xf>
    <xf numFmtId="0" fontId="43" fillId="0" borderId="10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41" fillId="0" borderId="0" xfId="0" applyFont="1" applyFill="1" applyAlignment="1">
      <alignment horizontal="left" indent="1"/>
    </xf>
    <xf numFmtId="0" fontId="14" fillId="0" borderId="0" xfId="0" applyFont="1"/>
    <xf numFmtId="9" fontId="38" fillId="0" borderId="0" xfId="0" applyNumberFormat="1" applyFont="1"/>
    <xf numFmtId="0" fontId="40" fillId="0" borderId="0" xfId="0" applyFont="1"/>
    <xf numFmtId="0" fontId="0" fillId="0" borderId="0" xfId="0" applyAlignment="1">
      <alignment horizontal="right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Border="1"/>
    <xf numFmtId="3" fontId="28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 indent="1"/>
    </xf>
    <xf numFmtId="3" fontId="28" fillId="0" borderId="0" xfId="0" applyNumberFormat="1" applyFont="1" applyFill="1" applyBorder="1" applyAlignment="1">
      <alignment horizontal="left"/>
    </xf>
    <xf numFmtId="0" fontId="28" fillId="0" borderId="0" xfId="0" quotePrefix="1" applyFont="1" applyFill="1" applyBorder="1"/>
    <xf numFmtId="3" fontId="28" fillId="0" borderId="0" xfId="0" quotePrefix="1" applyNumberFormat="1" applyFont="1" applyFill="1" applyBorder="1"/>
    <xf numFmtId="2" fontId="36" fillId="0" borderId="0" xfId="0" applyNumberFormat="1" applyFont="1" applyFill="1" applyBorder="1" applyAlignment="1">
      <alignment horizontal="left" indent="2"/>
    </xf>
    <xf numFmtId="3" fontId="36" fillId="0" borderId="0" xfId="0" applyNumberFormat="1" applyFont="1" applyFill="1" applyBorder="1" applyAlignment="1">
      <alignment horizontal="left" indent="2"/>
    </xf>
    <xf numFmtId="3" fontId="35" fillId="0" borderId="0" xfId="0" applyNumberFormat="1" applyFont="1" applyFill="1"/>
    <xf numFmtId="0" fontId="35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14" fillId="0" borderId="0" xfId="0" applyFont="1" applyFill="1" applyBorder="1"/>
    <xf numFmtId="0" fontId="46" fillId="0" borderId="0" xfId="0" applyFont="1" applyFill="1" applyBorder="1"/>
    <xf numFmtId="3" fontId="46" fillId="0" borderId="0" xfId="0" applyNumberFormat="1" applyFont="1" applyFill="1" applyBorder="1"/>
    <xf numFmtId="3" fontId="14" fillId="0" borderId="0" xfId="0" applyNumberFormat="1" applyFont="1" applyFill="1" applyBorder="1"/>
    <xf numFmtId="3" fontId="36" fillId="0" borderId="0" xfId="0" applyNumberFormat="1" applyFont="1" applyFill="1" applyBorder="1"/>
    <xf numFmtId="0" fontId="47" fillId="0" borderId="0" xfId="0" applyFont="1" applyFill="1" applyBorder="1"/>
    <xf numFmtId="3" fontId="47" fillId="0" borderId="0" xfId="0" applyNumberFormat="1" applyFont="1" applyFill="1" applyBorder="1"/>
    <xf numFmtId="0" fontId="48" fillId="0" borderId="0" xfId="0" applyFont="1" applyFill="1" applyBorder="1" applyAlignment="1">
      <alignment horizontal="left" indent="2"/>
    </xf>
    <xf numFmtId="2" fontId="48" fillId="0" borderId="0" xfId="0" applyNumberFormat="1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167" fontId="40" fillId="0" borderId="0" xfId="36" applyNumberFormat="1" applyFont="1" applyFill="1" applyBorder="1" applyAlignment="1">
      <alignment horizontal="left" wrapText="1"/>
    </xf>
    <xf numFmtId="3" fontId="35" fillId="0" borderId="0" xfId="0" applyNumberFormat="1" applyFont="1"/>
    <xf numFmtId="0" fontId="52" fillId="0" borderId="0" xfId="0" applyFont="1" applyBorder="1"/>
    <xf numFmtId="0" fontId="33" fillId="0" borderId="0" xfId="0" applyFont="1" applyBorder="1"/>
    <xf numFmtId="0" fontId="35" fillId="0" borderId="0" xfId="0" applyFont="1"/>
    <xf numFmtId="3" fontId="14" fillId="0" borderId="0" xfId="0" applyNumberFormat="1" applyFont="1"/>
    <xf numFmtId="0" fontId="53" fillId="0" borderId="0" xfId="0" applyFont="1" applyFill="1" applyBorder="1"/>
    <xf numFmtId="3" fontId="44" fillId="0" borderId="0" xfId="0" applyNumberFormat="1" applyFont="1" applyBorder="1" applyAlignment="1"/>
    <xf numFmtId="3" fontId="35" fillId="0" borderId="0" xfId="0" applyNumberFormat="1" applyFont="1" applyBorder="1" applyAlignment="1"/>
    <xf numFmtId="0" fontId="52" fillId="0" borderId="0" xfId="0" applyFont="1" applyBorder="1" applyAlignment="1">
      <alignment horizontal="left" wrapText="1"/>
    </xf>
    <xf numFmtId="3" fontId="52" fillId="0" borderId="0" xfId="0" applyNumberFormat="1" applyFont="1" applyBorder="1" applyAlignment="1"/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Border="1"/>
    <xf numFmtId="0" fontId="47" fillId="0" borderId="0" xfId="0" applyFont="1" applyFill="1" applyBorder="1" applyAlignment="1">
      <alignment horizontal="left" indent="1"/>
    </xf>
    <xf numFmtId="0" fontId="52" fillId="0" borderId="0" xfId="0" applyFont="1" applyBorder="1" applyAlignment="1">
      <alignment horizontal="left" indent="4"/>
    </xf>
    <xf numFmtId="0" fontId="35" fillId="0" borderId="0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3"/>
    </xf>
    <xf numFmtId="3" fontId="42" fillId="0" borderId="0" xfId="0" applyNumberFormat="1" applyFont="1" applyFill="1"/>
    <xf numFmtId="3" fontId="43" fillId="0" borderId="10" xfId="0" applyNumberFormat="1" applyFont="1" applyFill="1" applyBorder="1"/>
    <xf numFmtId="3" fontId="43" fillId="0" borderId="0" xfId="0" applyNumberFormat="1" applyFont="1" applyFill="1" applyBorder="1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47" fillId="0" borderId="0" xfId="0" applyFont="1" applyFill="1"/>
    <xf numFmtId="0" fontId="52" fillId="0" borderId="0" xfId="0" applyFont="1" applyFill="1" applyBorder="1" applyAlignment="1">
      <alignment wrapText="1"/>
    </xf>
    <xf numFmtId="3" fontId="0" fillId="0" borderId="0" xfId="0" applyNumberFormat="1" applyFill="1"/>
    <xf numFmtId="3" fontId="14" fillId="0" borderId="0" xfId="0" applyNumberFormat="1" applyFont="1" applyFill="1"/>
    <xf numFmtId="14" fontId="35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4" fillId="0" borderId="0" xfId="0" applyFont="1" applyBorder="1" applyAlignment="1">
      <alignment horizontal="left" indent="1"/>
    </xf>
    <xf numFmtId="0" fontId="44" fillId="0" borderId="0" xfId="0" applyFont="1" applyBorder="1" applyAlignment="1">
      <alignment horizontal="left" indent="2"/>
    </xf>
    <xf numFmtId="0" fontId="52" fillId="0" borderId="0" xfId="0" applyFont="1" applyBorder="1" applyAlignment="1">
      <alignment horizontal="left" indent="3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vertical="top"/>
    </xf>
    <xf numFmtId="3" fontId="14" fillId="0" borderId="0" xfId="0" applyNumberFormat="1" applyFont="1" applyBorder="1" applyAlignment="1"/>
    <xf numFmtId="0" fontId="14" fillId="0" borderId="0" xfId="0" applyFont="1" applyFill="1" applyBorder="1" applyAlignment="1" applyProtection="1">
      <alignment horizontal="left" vertical="top" wrapText="1" indent="4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/>
    <xf numFmtId="0" fontId="14" fillId="0" borderId="0" xfId="0" applyFont="1" applyFill="1" applyBorder="1" applyAlignment="1">
      <alignment horizontal="left" indent="3"/>
    </xf>
    <xf numFmtId="0" fontId="35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/>
    <xf numFmtId="3" fontId="47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wrapText="1" indent="3"/>
    </xf>
    <xf numFmtId="3" fontId="35" fillId="0" borderId="0" xfId="0" applyNumberFormat="1" applyFont="1" applyFill="1" applyBorder="1" applyAlignment="1"/>
    <xf numFmtId="3" fontId="44" fillId="0" borderId="0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36" fillId="0" borderId="0" xfId="0" applyNumberFormat="1" applyFont="1" applyFill="1" applyAlignment="1">
      <alignment horizontal="left" vertical="top" indent="3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wrapText="1"/>
    </xf>
    <xf numFmtId="3" fontId="76" fillId="0" borderId="0" xfId="0" applyNumberFormat="1" applyFont="1"/>
    <xf numFmtId="0" fontId="52" fillId="0" borderId="0" xfId="0" applyFont="1" applyBorder="1" applyAlignment="1">
      <alignment horizontal="left" wrapText="1" indent="4"/>
    </xf>
    <xf numFmtId="0" fontId="52" fillId="0" borderId="0" xfId="50" applyFont="1" applyBorder="1" applyAlignment="1">
      <alignment wrapText="1"/>
    </xf>
    <xf numFmtId="0" fontId="33" fillId="0" borderId="0" xfId="0" applyFont="1" applyBorder="1" applyAlignment="1">
      <alignment horizontal="left" wrapText="1" indent="1"/>
    </xf>
    <xf numFmtId="0" fontId="33" fillId="0" borderId="0" xfId="0" applyFont="1" applyBorder="1" applyAlignment="1">
      <alignment horizontal="left" wrapText="1" indent="2"/>
    </xf>
    <xf numFmtId="0" fontId="35" fillId="0" borderId="0" xfId="0" applyFont="1" applyBorder="1"/>
    <xf numFmtId="0" fontId="36" fillId="0" borderId="0" xfId="0" applyFont="1" applyFill="1" applyAlignment="1">
      <alignment horizontal="left" wrapText="1" indent="6"/>
    </xf>
    <xf numFmtId="3" fontId="36" fillId="0" borderId="0" xfId="0" applyNumberFormat="1" applyFont="1" applyFill="1" applyAlignment="1"/>
    <xf numFmtId="0" fontId="80" fillId="0" borderId="0" xfId="36" applyNumberFormat="1" applyFont="1" applyFill="1" applyBorder="1" applyAlignment="1" applyProtection="1">
      <alignment horizontal="left" vertical="top" indent="1"/>
    </xf>
    <xf numFmtId="0" fontId="78" fillId="0" borderId="0" xfId="0" applyNumberFormat="1" applyFont="1" applyFill="1" applyAlignment="1">
      <alignment horizontal="left" vertical="top"/>
    </xf>
    <xf numFmtId="0" fontId="79" fillId="0" borderId="0" xfId="36" applyNumberFormat="1" applyFont="1" applyFill="1" applyBorder="1" applyAlignment="1" applyProtection="1">
      <alignment horizontal="left" vertical="top"/>
    </xf>
    <xf numFmtId="0" fontId="80" fillId="0" borderId="0" xfId="36" applyNumberFormat="1" applyFont="1" applyFill="1" applyBorder="1" applyAlignment="1" applyProtection="1">
      <alignment horizontal="left" vertical="top" wrapText="1" indent="2"/>
    </xf>
    <xf numFmtId="0" fontId="47" fillId="0" borderId="0" xfId="43" applyFont="1" applyFill="1" applyBorder="1" applyAlignment="1">
      <alignment horizontal="left" vertical="top"/>
    </xf>
    <xf numFmtId="0" fontId="48" fillId="0" borderId="0" xfId="43" applyFont="1" applyFill="1" applyBorder="1" applyAlignment="1">
      <alignment horizontal="left" vertical="top" indent="3"/>
    </xf>
    <xf numFmtId="0" fontId="46" fillId="0" borderId="0" xfId="43" applyFont="1" applyFill="1" applyBorder="1" applyAlignment="1">
      <alignment horizontal="left" vertical="top"/>
    </xf>
    <xf numFmtId="0" fontId="48" fillId="0" borderId="0" xfId="43" applyFont="1" applyFill="1" applyBorder="1" applyAlignment="1">
      <alignment horizontal="left" vertical="top" wrapText="1" indent="3"/>
    </xf>
    <xf numFmtId="0" fontId="58" fillId="0" borderId="0" xfId="43" applyFont="1" applyFill="1" applyBorder="1" applyAlignment="1">
      <alignment horizontal="left" vertical="top"/>
    </xf>
    <xf numFmtId="3" fontId="46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/>
    </xf>
    <xf numFmtId="3" fontId="48" fillId="0" borderId="0" xfId="43" applyNumberFormat="1" applyFont="1" applyFill="1" applyBorder="1" applyAlignment="1">
      <alignment vertical="top" wrapText="1"/>
    </xf>
    <xf numFmtId="3" fontId="48" fillId="0" borderId="0" xfId="43" applyNumberFormat="1" applyFont="1" applyFill="1" applyBorder="1" applyAlignment="1">
      <alignment vertical="top"/>
    </xf>
    <xf numFmtId="3" fontId="58" fillId="0" borderId="0" xfId="43" applyNumberFormat="1" applyFont="1" applyFill="1" applyBorder="1" applyAlignment="1">
      <alignment vertical="top"/>
    </xf>
    <xf numFmtId="0" fontId="51" fillId="0" borderId="0" xfId="36" applyNumberFormat="1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2"/>
    </xf>
    <xf numFmtId="3" fontId="33" fillId="0" borderId="0" xfId="43" applyNumberFormat="1" applyFont="1" applyBorder="1" applyAlignment="1">
      <alignment wrapText="1"/>
    </xf>
    <xf numFmtId="49" fontId="45" fillId="0" borderId="0" xfId="37" applyNumberFormat="1" applyFont="1" applyFill="1" applyBorder="1" applyAlignment="1">
      <alignment horizontal="left" wrapText="1" indent="1"/>
    </xf>
    <xf numFmtId="0" fontId="42" fillId="0" borderId="0" xfId="0" applyNumberFormat="1" applyFont="1" applyFill="1" applyAlignment="1">
      <alignment horizontal="left" vertical="top" indent="1"/>
    </xf>
    <xf numFmtId="0" fontId="51" fillId="0" borderId="0" xfId="36" applyNumberFormat="1" applyFont="1" applyFill="1" applyBorder="1" applyAlignment="1" applyProtection="1">
      <alignment horizontal="left" vertical="top" indent="2"/>
    </xf>
    <xf numFmtId="0" fontId="42" fillId="0" borderId="0" xfId="0" applyNumberFormat="1" applyFont="1" applyFill="1" applyAlignment="1">
      <alignment horizontal="left" vertical="top" wrapText="1" indent="1"/>
    </xf>
    <xf numFmtId="0" fontId="43" fillId="0" borderId="0" xfId="36" applyNumberFormat="1" applyFont="1" applyFill="1" applyBorder="1" applyAlignment="1" applyProtection="1">
      <alignment horizontal="left" vertical="top"/>
    </xf>
    <xf numFmtId="0" fontId="40" fillId="0" borderId="0" xfId="36" applyNumberFormat="1" applyFont="1" applyFill="1" applyBorder="1" applyAlignment="1" applyProtection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/>
    </xf>
    <xf numFmtId="0" fontId="36" fillId="0" borderId="0" xfId="36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1"/>
    </xf>
    <xf numFmtId="0" fontId="40" fillId="0" borderId="0" xfId="0" applyNumberFormat="1" applyFont="1" applyFill="1" applyAlignment="1">
      <alignment horizontal="left" vertical="top"/>
    </xf>
    <xf numFmtId="0" fontId="51" fillId="0" borderId="0" xfId="36" applyNumberFormat="1" applyFont="1" applyFill="1" applyBorder="1" applyAlignment="1" applyProtection="1">
      <alignment horizontal="left" vertical="top" indent="3"/>
    </xf>
    <xf numFmtId="0" fontId="33" fillId="0" borderId="0" xfId="36" applyNumberFormat="1" applyFont="1" applyFill="1" applyBorder="1" applyAlignment="1" applyProtection="1">
      <alignment horizontal="left" vertical="top" indent="2"/>
    </xf>
    <xf numFmtId="0" fontId="44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indent="2"/>
    </xf>
    <xf numFmtId="0" fontId="14" fillId="0" borderId="0" xfId="31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>
      <alignment horizontal="left" vertical="top"/>
    </xf>
    <xf numFmtId="0" fontId="14" fillId="0" borderId="0" xfId="0" applyNumberFormat="1" applyFont="1" applyFill="1" applyAlignment="1">
      <alignment horizontal="left" vertical="top"/>
    </xf>
    <xf numFmtId="0" fontId="36" fillId="0" borderId="0" xfId="0" applyNumberFormat="1" applyFont="1" applyFill="1" applyAlignment="1">
      <alignment horizontal="left" indent="1"/>
    </xf>
    <xf numFmtId="49" fontId="45" fillId="0" borderId="0" xfId="0" quotePrefix="1" applyNumberFormat="1" applyFont="1" applyFill="1" applyAlignment="1">
      <alignment horizontal="left" indent="1"/>
    </xf>
    <xf numFmtId="0" fontId="33" fillId="0" borderId="0" xfId="31" applyNumberFormat="1" applyFont="1" applyFill="1" applyBorder="1" applyAlignment="1" applyProtection="1">
      <alignment horizontal="left" vertical="top" wrapText="1" indent="3"/>
    </xf>
    <xf numFmtId="3" fontId="14" fillId="0" borderId="0" xfId="0" applyNumberFormat="1" applyFont="1" applyFill="1" applyAlignment="1">
      <alignment vertical="top"/>
    </xf>
    <xf numFmtId="0" fontId="44" fillId="0" borderId="0" xfId="36" applyNumberFormat="1" applyFont="1" applyFill="1" applyBorder="1" applyAlignment="1" applyProtection="1">
      <alignment horizontal="left" vertical="top"/>
    </xf>
    <xf numFmtId="0" fontId="45" fillId="0" borderId="0" xfId="36" applyNumberFormat="1" applyFont="1" applyFill="1" applyBorder="1" applyAlignment="1" applyProtection="1">
      <alignment horizontal="left" vertical="top" wrapText="1" indent="1"/>
    </xf>
    <xf numFmtId="0" fontId="33" fillId="0" borderId="0" xfId="36" applyNumberFormat="1" applyFont="1" applyFill="1" applyBorder="1" applyAlignment="1" applyProtection="1">
      <alignment horizontal="left" vertical="top" wrapText="1" indent="2"/>
    </xf>
    <xf numFmtId="0" fontId="33" fillId="0" borderId="0" xfId="36" applyNumberFormat="1" applyFont="1" applyFill="1" applyBorder="1" applyAlignment="1" applyProtection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wrapText="1"/>
    </xf>
    <xf numFmtId="0" fontId="44" fillId="0" borderId="0" xfId="36" applyFont="1" applyFill="1" applyBorder="1" applyAlignment="1" applyProtection="1">
      <alignment horizontal="left" vertical="top" wrapText="1"/>
    </xf>
    <xf numFmtId="0" fontId="42" fillId="0" borderId="0" xfId="36" applyNumberFormat="1" applyFont="1" applyFill="1" applyBorder="1" applyAlignment="1" applyProtection="1">
      <alignment horizontal="left" vertical="top" indent="1"/>
    </xf>
    <xf numFmtId="49" fontId="45" fillId="0" borderId="0" xfId="0" quotePrefix="1" applyNumberFormat="1" applyFont="1" applyFill="1" applyAlignment="1">
      <alignment horizontal="left" wrapText="1" indent="1"/>
    </xf>
    <xf numFmtId="0" fontId="36" fillId="0" borderId="0" xfId="36" applyNumberFormat="1" applyFont="1" applyFill="1" applyBorder="1" applyAlignment="1" applyProtection="1">
      <alignment horizontal="left" vertical="top"/>
    </xf>
    <xf numFmtId="0" fontId="44" fillId="0" borderId="0" xfId="0" applyNumberFormat="1" applyFont="1" applyFill="1" applyAlignment="1">
      <alignment horizontal="left" vertical="top"/>
    </xf>
    <xf numFmtId="0" fontId="43" fillId="0" borderId="0" xfId="36" applyNumberFormat="1" applyFont="1" applyFill="1" applyBorder="1" applyAlignment="1">
      <alignment horizontal="left" vertical="top"/>
    </xf>
    <xf numFmtId="0" fontId="44" fillId="0" borderId="0" xfId="37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/>
    </xf>
    <xf numFmtId="0" fontId="51" fillId="0" borderId="0" xfId="36" applyNumberFormat="1" applyFont="1" applyFill="1" applyBorder="1" applyAlignment="1" applyProtection="1">
      <alignment horizontal="left" vertical="top" wrapText="1" indent="1"/>
    </xf>
    <xf numFmtId="0" fontId="43" fillId="0" borderId="0" xfId="36" applyNumberFormat="1" applyFont="1" applyFill="1" applyBorder="1" applyAlignment="1" applyProtection="1">
      <alignment horizontal="left" vertical="top" wrapText="1"/>
    </xf>
    <xf numFmtId="0" fontId="35" fillId="0" borderId="0" xfId="36" applyNumberFormat="1" applyFont="1" applyFill="1" applyBorder="1" applyAlignment="1" applyProtection="1">
      <alignment horizontal="left" vertical="top" wrapText="1"/>
    </xf>
    <xf numFmtId="0" fontId="36" fillId="0" borderId="0" xfId="36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>
      <alignment horizontal="left" vertical="top" wrapText="1"/>
    </xf>
    <xf numFmtId="0" fontId="36" fillId="0" borderId="0" xfId="36" applyNumberFormat="1" applyFont="1" applyFill="1" applyBorder="1" applyAlignment="1" applyProtection="1">
      <alignment horizontal="left" vertical="top" wrapText="1" indent="1"/>
    </xf>
    <xf numFmtId="0" fontId="36" fillId="0" borderId="0" xfId="36" applyNumberFormat="1" applyFont="1" applyFill="1" applyBorder="1" applyAlignment="1" applyProtection="1">
      <alignment horizontal="left" vertical="top" wrapText="1" indent="2"/>
    </xf>
    <xf numFmtId="0" fontId="36" fillId="0" borderId="0" xfId="36" applyNumberFormat="1" applyFont="1" applyFill="1" applyBorder="1" applyAlignment="1" applyProtection="1">
      <alignment horizontal="left" vertical="top" wrapText="1" indent="3"/>
    </xf>
    <xf numFmtId="0" fontId="40" fillId="0" borderId="0" xfId="0" applyNumberFormat="1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>
      <alignment horizontal="left" vertical="top" wrapText="1" indent="1"/>
    </xf>
    <xf numFmtId="0" fontId="35" fillId="0" borderId="0" xfId="0" applyNumberFormat="1" applyFont="1" applyFill="1" applyBorder="1" applyAlignment="1">
      <alignment horizontal="left" vertical="top" wrapText="1" indent="2"/>
    </xf>
    <xf numFmtId="0" fontId="33" fillId="0" borderId="0" xfId="0" applyFont="1" applyFill="1"/>
    <xf numFmtId="0" fontId="45" fillId="0" borderId="0" xfId="37" quotePrefix="1" applyNumberFormat="1" applyFont="1" applyFill="1" applyBorder="1" applyAlignment="1">
      <alignment horizontal="left" wrapText="1" indent="1"/>
    </xf>
    <xf numFmtId="0" fontId="45" fillId="0" borderId="0" xfId="37" applyNumberFormat="1" applyFont="1" applyFill="1" applyBorder="1" applyAlignment="1">
      <alignment horizontal="left" wrapText="1"/>
    </xf>
    <xf numFmtId="0" fontId="51" fillId="0" borderId="0" xfId="36" applyNumberFormat="1" applyFont="1" applyFill="1" applyBorder="1" applyAlignment="1" applyProtection="1">
      <alignment horizontal="left" wrapText="1" indent="1"/>
    </xf>
    <xf numFmtId="0" fontId="33" fillId="0" borderId="0" xfId="36" applyNumberFormat="1" applyFont="1" applyFill="1" applyBorder="1" applyAlignment="1">
      <alignment horizontal="left" vertical="top" wrapText="1" indent="2"/>
    </xf>
    <xf numFmtId="0" fontId="35" fillId="0" borderId="0" xfId="37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vertical="top"/>
    </xf>
    <xf numFmtId="0" fontId="14" fillId="0" borderId="0" xfId="31" applyNumberFormat="1" applyFont="1" applyFill="1" applyBorder="1" applyAlignment="1" applyProtection="1">
      <alignment horizontal="left" vertical="top" wrapText="1" indent="3"/>
    </xf>
    <xf numFmtId="0" fontId="40" fillId="0" borderId="0" xfId="37" applyNumberFormat="1" applyFont="1" applyFill="1" applyBorder="1" applyAlignment="1">
      <alignment horizontal="left" vertical="top"/>
    </xf>
    <xf numFmtId="0" fontId="42" fillId="0" borderId="0" xfId="36" applyNumberFormat="1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 applyProtection="1">
      <alignment horizontal="left" vertical="top" indent="2"/>
    </xf>
    <xf numFmtId="0" fontId="14" fillId="0" borderId="0" xfId="36" applyNumberFormat="1" applyFont="1" applyFill="1" applyBorder="1" applyAlignment="1" applyProtection="1">
      <alignment horizontal="left" vertical="top" indent="2"/>
    </xf>
    <xf numFmtId="0" fontId="44" fillId="0" borderId="0" xfId="36" applyNumberFormat="1" applyFont="1" applyFill="1" applyBorder="1" applyAlignment="1">
      <alignment horizontal="left" vertical="top" wrapText="1"/>
    </xf>
    <xf numFmtId="0" fontId="33" fillId="0" borderId="0" xfId="37" applyFont="1" applyFill="1" applyBorder="1" applyAlignment="1">
      <alignment horizontal="left" vertical="top" wrapText="1" indent="3"/>
    </xf>
    <xf numFmtId="3" fontId="43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 applyProtection="1">
      <alignment vertical="top"/>
    </xf>
    <xf numFmtId="3" fontId="51" fillId="0" borderId="0" xfId="36" applyNumberFormat="1" applyFont="1" applyFill="1" applyBorder="1" applyAlignment="1" applyProtection="1">
      <alignment vertical="top"/>
    </xf>
    <xf numFmtId="3" fontId="14" fillId="0" borderId="0" xfId="37" applyNumberFormat="1" applyFont="1" applyFill="1" applyBorder="1" applyAlignment="1">
      <alignment vertical="top"/>
    </xf>
    <xf numFmtId="3" fontId="51" fillId="0" borderId="0" xfId="36" applyNumberFormat="1" applyFont="1" applyFill="1" applyBorder="1" applyAlignment="1" applyProtection="1">
      <alignment vertical="top" wrapText="1"/>
    </xf>
    <xf numFmtId="3" fontId="45" fillId="0" borderId="0" xfId="36" applyNumberFormat="1" applyFont="1" applyFill="1" applyBorder="1" applyAlignment="1" applyProtection="1">
      <alignment vertical="top"/>
    </xf>
    <xf numFmtId="3" fontId="33" fillId="0" borderId="0" xfId="36" applyNumberFormat="1" applyFont="1" applyFill="1" applyBorder="1" applyAlignment="1" applyProtection="1">
      <alignment vertical="top"/>
    </xf>
    <xf numFmtId="3" fontId="14" fillId="0" borderId="0" xfId="36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Alignment="1">
      <alignment vertical="top"/>
    </xf>
    <xf numFmtId="3" fontId="45" fillId="0" borderId="0" xfId="37" applyNumberFormat="1" applyFont="1" applyFill="1" applyBorder="1" applyAlignment="1">
      <alignment wrapText="1"/>
    </xf>
    <xf numFmtId="3" fontId="14" fillId="0" borderId="0" xfId="31" applyNumberFormat="1" applyFont="1" applyFill="1" applyBorder="1" applyAlignment="1" applyProtection="1">
      <alignment vertical="top" wrapText="1"/>
    </xf>
    <xf numFmtId="3" fontId="33" fillId="0" borderId="0" xfId="31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 applyProtection="1">
      <alignment vertical="top" wrapText="1"/>
    </xf>
    <xf numFmtId="3" fontId="35" fillId="0" borderId="0" xfId="37" applyNumberFormat="1" applyFont="1" applyFill="1" applyBorder="1" applyAlignment="1">
      <alignment vertical="top" wrapText="1"/>
    </xf>
    <xf numFmtId="3" fontId="40" fillId="0" borderId="0" xfId="37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>
      <alignment vertical="top" wrapText="1"/>
    </xf>
    <xf numFmtId="3" fontId="33" fillId="0" borderId="0" xfId="37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/>
    <xf numFmtId="0" fontId="52" fillId="0" borderId="0" xfId="50" applyFont="1" applyBorder="1" applyAlignment="1"/>
    <xf numFmtId="0" fontId="44" fillId="0" borderId="0" xfId="0" applyFont="1" applyFill="1" applyAlignment="1">
      <alignment horizontal="left" indent="6"/>
    </xf>
    <xf numFmtId="0" fontId="36" fillId="0" borderId="0" xfId="0" applyFont="1" applyAlignment="1">
      <alignment horizontal="left" indent="7"/>
    </xf>
    <xf numFmtId="0" fontId="41" fillId="0" borderId="0" xfId="0" applyFont="1" applyFill="1" applyAlignment="1">
      <alignment horizontal="left" indent="4"/>
    </xf>
    <xf numFmtId="0" fontId="36" fillId="0" borderId="0" xfId="0" applyFont="1" applyFill="1" applyAlignment="1">
      <alignment horizontal="left" indent="7"/>
    </xf>
    <xf numFmtId="3" fontId="36" fillId="0" borderId="0" xfId="148" applyNumberFormat="1" applyFont="1" applyFill="1" applyBorder="1" applyAlignment="1">
      <alignment vertical="top"/>
    </xf>
    <xf numFmtId="0" fontId="14" fillId="0" borderId="0" xfId="151" applyFont="1" applyFill="1" applyBorder="1" applyAlignment="1" applyProtection="1">
      <alignment horizontal="left" vertical="top" wrapText="1" indent="4"/>
      <protection locked="0"/>
    </xf>
    <xf numFmtId="0" fontId="52" fillId="0" borderId="0" xfId="151" applyFont="1" applyFill="1" applyBorder="1" applyAlignment="1" applyProtection="1">
      <alignment horizontal="left" vertical="top" wrapText="1"/>
      <protection locked="0"/>
    </xf>
    <xf numFmtId="0" fontId="52" fillId="0" borderId="0" xfId="50" applyFont="1" applyBorder="1" applyAlignment="1">
      <alignment vertical="top" wrapText="1"/>
    </xf>
    <xf numFmtId="16" fontId="47" fillId="0" borderId="0" xfId="43" applyNumberFormat="1" applyFont="1" applyFill="1" applyBorder="1" applyAlignment="1">
      <alignment horizontal="left" vertical="top"/>
    </xf>
    <xf numFmtId="3" fontId="35" fillId="0" borderId="0" xfId="0" applyNumberFormat="1" applyFont="1" applyFill="1" applyBorder="1" applyAlignment="1">
      <alignment vertical="top" wrapText="1"/>
    </xf>
    <xf numFmtId="0" fontId="45" fillId="0" borderId="0" xfId="36" applyFont="1" applyFill="1" applyBorder="1" applyAlignment="1" applyProtection="1">
      <alignment horizontal="left" vertical="top" indent="1"/>
    </xf>
    <xf numFmtId="0" fontId="14" fillId="0" borderId="0" xfId="148" applyFont="1" applyFill="1" applyBorder="1"/>
    <xf numFmtId="3" fontId="35" fillId="0" borderId="0" xfId="148" applyNumberFormat="1" applyFont="1" applyBorder="1"/>
    <xf numFmtId="3" fontId="14" fillId="0" borderId="0" xfId="148" applyNumberFormat="1" applyFont="1" applyBorder="1"/>
    <xf numFmtId="3" fontId="36" fillId="0" borderId="0" xfId="148" applyNumberFormat="1" applyFont="1" applyFill="1" applyBorder="1"/>
    <xf numFmtId="3" fontId="14" fillId="0" borderId="0" xfId="148" applyNumberFormat="1" applyFont="1" applyFill="1" applyBorder="1"/>
    <xf numFmtId="3" fontId="35" fillId="0" borderId="0" xfId="148" applyNumberFormat="1" applyFont="1" applyFill="1" applyBorder="1"/>
    <xf numFmtId="3" fontId="48" fillId="0" borderId="0" xfId="148" applyNumberFormat="1" applyFont="1" applyFill="1" applyBorder="1"/>
    <xf numFmtId="3" fontId="48" fillId="0" borderId="0" xfId="152" applyNumberFormat="1" applyFont="1" applyFill="1" applyBorder="1" applyAlignment="1" applyProtection="1">
      <alignment vertical="top"/>
      <protection locked="0"/>
    </xf>
    <xf numFmtId="0" fontId="52" fillId="0" borderId="0" xfId="0" applyFont="1" applyBorder="1" applyAlignment="1">
      <alignment wrapText="1"/>
    </xf>
    <xf numFmtId="0" fontId="52" fillId="0" borderId="0" xfId="148" applyFont="1" applyBorder="1" applyAlignment="1">
      <alignment wrapText="1"/>
    </xf>
    <xf numFmtId="0" fontId="14" fillId="0" borderId="0" xfId="43" applyFont="1" applyFill="1" applyBorder="1" applyAlignment="1" applyProtection="1">
      <alignment horizontal="left" vertical="top" indent="4"/>
      <protection locked="0"/>
    </xf>
    <xf numFmtId="0" fontId="14" fillId="0" borderId="13" xfId="153" applyFont="1" applyFill="1" applyBorder="1" applyAlignment="1" applyProtection="1">
      <alignment horizontal="right" vertical="top" wrapText="1"/>
      <protection locked="0"/>
    </xf>
    <xf numFmtId="0" fontId="52" fillId="0" borderId="0" xfId="151" applyFont="1" applyFill="1" applyBorder="1" applyAlignment="1">
      <alignment horizontal="left"/>
    </xf>
    <xf numFmtId="0" fontId="14" fillId="0" borderId="12" xfId="153" applyFont="1" applyFill="1" applyBorder="1" applyAlignment="1" applyProtection="1">
      <alignment horizontal="left" vertical="top" wrapText="1"/>
      <protection locked="0"/>
    </xf>
    <xf numFmtId="3" fontId="33" fillId="0" borderId="15" xfId="153" applyNumberFormat="1" applyFont="1" applyFill="1" applyBorder="1" applyAlignment="1" applyProtection="1">
      <alignment vertical="top"/>
      <protection locked="0"/>
    </xf>
    <xf numFmtId="3" fontId="51" fillId="0" borderId="0" xfId="0" applyNumberFormat="1" applyFont="1" applyFill="1" applyBorder="1"/>
    <xf numFmtId="169" fontId="0" fillId="0" borderId="0" xfId="150" applyNumberFormat="1" applyFont="1"/>
    <xf numFmtId="3" fontId="52" fillId="0" borderId="0" xfId="50" applyNumberFormat="1" applyFont="1" applyBorder="1" applyAlignment="1">
      <alignment vertical="top" wrapText="1"/>
    </xf>
    <xf numFmtId="3" fontId="52" fillId="0" borderId="0" xfId="50" applyNumberFormat="1" applyFont="1" applyBorder="1" applyAlignment="1"/>
    <xf numFmtId="3" fontId="52" fillId="0" borderId="0" xfId="50" applyNumberFormat="1" applyFont="1" applyBorder="1" applyAlignment="1">
      <alignment wrapText="1"/>
    </xf>
    <xf numFmtId="3" fontId="52" fillId="0" borderId="0" xfId="0" applyNumberFormat="1" applyFont="1" applyFill="1" applyBorder="1" applyAlignment="1">
      <alignment wrapText="1"/>
    </xf>
    <xf numFmtId="3" fontId="52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 applyProtection="1">
      <alignment vertical="top" wrapText="1"/>
      <protection locked="0"/>
    </xf>
    <xf numFmtId="3" fontId="52" fillId="0" borderId="0" xfId="0" applyNumberFormat="1" applyFont="1" applyFill="1" applyBorder="1" applyAlignment="1" applyProtection="1">
      <alignment vertical="top" wrapText="1"/>
      <protection locked="0"/>
    </xf>
    <xf numFmtId="3" fontId="33" fillId="0" borderId="0" xfId="0" applyNumberFormat="1" applyFont="1" applyFill="1" applyBorder="1" applyAlignment="1" applyProtection="1">
      <alignment vertical="top" wrapText="1"/>
      <protection locked="0"/>
    </xf>
    <xf numFmtId="3" fontId="14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/>
    <xf numFmtId="3" fontId="14" fillId="0" borderId="0" xfId="43" applyNumberFormat="1" applyFont="1" applyFill="1" applyBorder="1" applyAlignment="1" applyProtection="1">
      <alignment vertical="top"/>
      <protection locked="0"/>
    </xf>
    <xf numFmtId="3" fontId="33" fillId="0" borderId="0" xfId="0" applyNumberFormat="1" applyFont="1" applyBorder="1" applyAlignment="1">
      <alignment wrapText="1"/>
    </xf>
    <xf numFmtId="0" fontId="14" fillId="0" borderId="0" xfId="0" applyFont="1" applyBorder="1"/>
    <xf numFmtId="164" fontId="82" fillId="0" borderId="16" xfId="87" applyFont="1" applyFill="1" applyBorder="1" applyAlignment="1">
      <alignment horizontal="right" vertical="top" wrapText="1"/>
    </xf>
    <xf numFmtId="0" fontId="35" fillId="0" borderId="0" xfId="43" applyFont="1" applyFill="1" applyBorder="1" applyAlignment="1">
      <alignment horizontal="left" vertical="top"/>
    </xf>
    <xf numFmtId="0" fontId="14" fillId="0" borderId="0" xfId="36" applyFont="1" applyFill="1" applyBorder="1" applyAlignment="1" applyProtection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14" fillId="0" borderId="0" xfId="156" applyNumberFormat="1" applyFont="1" applyFill="1" applyBorder="1" applyAlignment="1">
      <alignment horizontal="left" vertical="top"/>
    </xf>
    <xf numFmtId="0" fontId="45" fillId="0" borderId="0" xfId="0" applyFont="1" applyFill="1"/>
    <xf numFmtId="3" fontId="45" fillId="29" borderId="0" xfId="0" applyNumberFormat="1" applyFont="1" applyFill="1" applyAlignment="1">
      <alignment horizontal="right" vertical="top"/>
    </xf>
    <xf numFmtId="0" fontId="45" fillId="0" borderId="0" xfId="36" applyFont="1" applyFill="1" applyBorder="1" applyAlignment="1" applyProtection="1">
      <alignment horizontal="right" vertical="top"/>
    </xf>
    <xf numFmtId="3" fontId="35" fillId="0" borderId="0" xfId="0" applyNumberFormat="1" applyFont="1" applyBorder="1"/>
    <xf numFmtId="0" fontId="14" fillId="0" borderId="0" xfId="43"/>
    <xf numFmtId="0" fontId="82" fillId="0" borderId="16" xfId="155" applyNumberFormat="1" applyFont="1" applyFill="1" applyBorder="1" applyAlignment="1">
      <alignment horizontal="right" vertical="top" wrapText="1"/>
    </xf>
    <xf numFmtId="0" fontId="14" fillId="0" borderId="0" xfId="148" applyFill="1" applyBorder="1"/>
    <xf numFmtId="3" fontId="14" fillId="0" borderId="0" xfId="148" applyNumberFormat="1" applyFont="1" applyFill="1" applyBorder="1" applyAlignment="1">
      <alignment vertical="top"/>
    </xf>
    <xf numFmtId="3" fontId="41" fillId="0" borderId="0" xfId="0" applyNumberFormat="1" applyFont="1" applyFill="1" applyAlignment="1"/>
    <xf numFmtId="3" fontId="42" fillId="0" borderId="0" xfId="0" applyNumberFormat="1" applyFont="1" applyFill="1" applyAlignment="1"/>
    <xf numFmtId="3" fontId="46" fillId="0" borderId="0" xfId="148" applyNumberFormat="1" applyFont="1" applyFill="1" applyBorder="1"/>
    <xf numFmtId="3" fontId="47" fillId="0" borderId="0" xfId="148" applyNumberFormat="1" applyFont="1" applyFill="1" applyBorder="1"/>
    <xf numFmtId="0" fontId="47" fillId="0" borderId="0" xfId="148" applyFont="1" applyFill="1" applyBorder="1"/>
    <xf numFmtId="3" fontId="14" fillId="0" borderId="0" xfId="157" applyNumberFormat="1" applyFont="1" applyFill="1" applyBorder="1" applyAlignment="1" applyProtection="1">
      <alignment vertical="top"/>
      <protection locked="0"/>
    </xf>
    <xf numFmtId="4" fontId="14" fillId="0" borderId="0" xfId="148" applyNumberFormat="1" applyFill="1" applyBorder="1"/>
    <xf numFmtId="4" fontId="36" fillId="0" borderId="0" xfId="148" applyNumberFormat="1" applyFont="1" applyFill="1" applyBorder="1"/>
    <xf numFmtId="3" fontId="36" fillId="0" borderId="0" xfId="148" applyNumberFormat="1" applyFont="1" applyFill="1" applyBorder="1" applyAlignment="1"/>
    <xf numFmtId="4" fontId="0" fillId="0" borderId="0" xfId="0" applyNumberFormat="1" applyBorder="1"/>
    <xf numFmtId="3" fontId="54" fillId="0" borderId="0" xfId="0" applyNumberFormat="1" applyFont="1" applyFill="1" applyBorder="1" applyAlignment="1">
      <alignment wrapText="1"/>
    </xf>
    <xf numFmtId="4" fontId="52" fillId="0" borderId="0" xfId="43" applyNumberFormat="1" applyFont="1" applyBorder="1" applyAlignment="1"/>
    <xf numFmtId="4" fontId="33" fillId="0" borderId="0" xfId="43" applyNumberFormat="1" applyFont="1" applyBorder="1" applyAlignment="1">
      <alignment wrapText="1"/>
    </xf>
    <xf numFmtId="3" fontId="47" fillId="0" borderId="0" xfId="43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right" vertical="top"/>
    </xf>
    <xf numFmtId="3" fontId="47" fillId="0" borderId="0" xfId="43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88" fillId="0" borderId="0" xfId="43" applyNumberFormat="1" applyFont="1" applyFill="1" applyBorder="1" applyAlignment="1">
      <alignment vertical="top"/>
    </xf>
    <xf numFmtId="3" fontId="89" fillId="0" borderId="0" xfId="43" applyNumberFormat="1" applyFont="1" applyFill="1" applyBorder="1" applyAlignment="1">
      <alignment vertical="top" wrapText="1"/>
    </xf>
    <xf numFmtId="3" fontId="89" fillId="0" borderId="0" xfId="43" applyNumberFormat="1" applyFont="1" applyFill="1" applyBorder="1" applyAlignment="1">
      <alignment vertical="top"/>
    </xf>
    <xf numFmtId="3" fontId="36" fillId="0" borderId="0" xfId="35" applyNumberFormat="1" applyFont="1" applyFill="1" applyBorder="1" applyAlignment="1">
      <alignment horizontal="right" vertical="top" wrapText="1"/>
    </xf>
    <xf numFmtId="3" fontId="48" fillId="0" borderId="0" xfId="0" applyNumberFormat="1" applyFont="1" applyFill="1" applyBorder="1"/>
    <xf numFmtId="2" fontId="36" fillId="0" borderId="0" xfId="0" applyNumberFormat="1" applyFont="1" applyFill="1" applyBorder="1" applyAlignment="1">
      <alignment horizontal="left" vertical="top" indent="2"/>
    </xf>
    <xf numFmtId="3" fontId="48" fillId="0" borderId="0" xfId="148" applyNumberFormat="1" applyFont="1" applyFill="1" applyBorder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3" fontId="52" fillId="0" borderId="0" xfId="148" applyNumberFormat="1" applyFont="1" applyFill="1" applyBorder="1" applyAlignment="1">
      <alignment wrapText="1"/>
    </xf>
    <xf numFmtId="3" fontId="52" fillId="0" borderId="0" xfId="0" applyNumberFormat="1" applyFont="1" applyFill="1" applyBorder="1" applyAlignment="1"/>
    <xf numFmtId="0" fontId="0" fillId="0" borderId="0" xfId="0" applyFill="1"/>
    <xf numFmtId="3" fontId="91" fillId="0" borderId="0" xfId="0" applyNumberFormat="1" applyFont="1" applyFill="1"/>
    <xf numFmtId="3" fontId="92" fillId="0" borderId="0" xfId="36" applyNumberFormat="1" applyFont="1" applyFill="1" applyBorder="1" applyAlignment="1" applyProtection="1">
      <alignment vertical="top"/>
    </xf>
    <xf numFmtId="3" fontId="52" fillId="0" borderId="0" xfId="164" applyNumberFormat="1" applyFont="1" applyFill="1" applyBorder="1" applyAlignment="1" applyProtection="1">
      <alignment vertical="top"/>
      <protection locked="0"/>
    </xf>
    <xf numFmtId="0" fontId="14" fillId="0" borderId="18" xfId="153" applyFont="1" applyFill="1" applyBorder="1" applyAlignment="1" applyProtection="1">
      <alignment horizontal="left" vertical="top" wrapText="1"/>
      <protection locked="0"/>
    </xf>
    <xf numFmtId="3" fontId="14" fillId="0" borderId="18" xfId="153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Border="1"/>
    <xf numFmtId="0" fontId="33" fillId="0" borderId="18" xfId="153" applyFont="1" applyFill="1" applyBorder="1" applyAlignment="1" applyProtection="1">
      <alignment horizontal="left" vertical="top"/>
      <protection locked="0"/>
    </xf>
    <xf numFmtId="3" fontId="33" fillId="0" borderId="18" xfId="153" applyNumberFormat="1" applyFont="1" applyFill="1" applyBorder="1" applyAlignment="1" applyProtection="1">
      <alignment vertical="top"/>
      <protection locked="0"/>
    </xf>
    <xf numFmtId="0" fontId="33" fillId="0" borderId="18" xfId="153" applyFont="1" applyFill="1" applyBorder="1" applyAlignment="1" applyProtection="1">
      <alignment horizontal="left" vertical="top" wrapText="1" indent="2"/>
      <protection locked="0"/>
    </xf>
    <xf numFmtId="3" fontId="33" fillId="0" borderId="18" xfId="49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>
      <alignment horizontal="left" wrapText="1" indent="4"/>
    </xf>
    <xf numFmtId="9" fontId="35" fillId="0" borderId="0" xfId="150" applyFont="1" applyFill="1" applyBorder="1"/>
    <xf numFmtId="9" fontId="35" fillId="0" borderId="0" xfId="150" applyFont="1" applyFill="1"/>
    <xf numFmtId="169" fontId="14" fillId="0" borderId="0" xfId="150" applyNumberFormat="1" applyFont="1" applyFill="1"/>
    <xf numFmtId="0" fontId="78" fillId="0" borderId="0" xfId="0" applyFont="1" applyBorder="1" applyAlignment="1">
      <alignment horizontal="right"/>
    </xf>
    <xf numFmtId="9" fontId="35" fillId="0" borderId="0" xfId="150" applyFont="1" applyBorder="1"/>
    <xf numFmtId="9" fontId="14" fillId="0" borderId="0" xfId="150" applyFont="1" applyBorder="1"/>
    <xf numFmtId="9" fontId="36" fillId="0" borderId="0" xfId="150" applyFont="1" applyFill="1" applyBorder="1"/>
    <xf numFmtId="9" fontId="14" fillId="0" borderId="0" xfId="150" applyFont="1" applyFill="1" applyBorder="1"/>
    <xf numFmtId="9" fontId="36" fillId="0" borderId="0" xfId="150" applyFont="1" applyFill="1" applyBorder="1" applyAlignment="1">
      <alignment horizontal="right" vertical="top" wrapText="1"/>
    </xf>
    <xf numFmtId="9" fontId="48" fillId="0" borderId="0" xfId="150" applyFont="1" applyFill="1" applyBorder="1"/>
    <xf numFmtId="9" fontId="47" fillId="0" borderId="0" xfId="150" applyFont="1" applyFill="1" applyBorder="1" applyAlignment="1">
      <alignment vertical="top"/>
    </xf>
    <xf numFmtId="9" fontId="48" fillId="0" borderId="0" xfId="150" applyFont="1" applyFill="1" applyBorder="1" applyAlignment="1">
      <alignment vertical="top"/>
    </xf>
    <xf numFmtId="9" fontId="0" fillId="0" borderId="0" xfId="150" applyFont="1" applyFill="1" applyBorder="1"/>
    <xf numFmtId="9" fontId="14" fillId="0" borderId="0" xfId="150" applyFont="1" applyFill="1" applyBorder="1" applyAlignment="1">
      <alignment vertical="top"/>
    </xf>
    <xf numFmtId="9" fontId="46" fillId="0" borderId="0" xfId="150" applyFont="1" applyFill="1" applyBorder="1"/>
    <xf numFmtId="9" fontId="47" fillId="0" borderId="0" xfId="150" applyFont="1" applyFill="1" applyBorder="1"/>
    <xf numFmtId="9" fontId="36" fillId="0" borderId="0" xfId="150" applyFont="1" applyFill="1" applyBorder="1" applyAlignment="1">
      <alignment vertical="top"/>
    </xf>
    <xf numFmtId="9" fontId="0" fillId="0" borderId="0" xfId="150" applyFont="1" applyBorder="1"/>
    <xf numFmtId="0" fontId="46" fillId="0" borderId="0" xfId="0" applyFont="1" applyAlignment="1">
      <alignment horizontal="right"/>
    </xf>
    <xf numFmtId="9" fontId="47" fillId="0" borderId="0" xfId="150" applyFont="1" applyFill="1"/>
    <xf numFmtId="9" fontId="14" fillId="0" borderId="0" xfId="150" applyFont="1" applyBorder="1" applyAlignment="1">
      <alignment horizontal="right"/>
    </xf>
    <xf numFmtId="9" fontId="46" fillId="0" borderId="0" xfId="150" applyFont="1" applyFill="1" applyBorder="1" applyAlignment="1">
      <alignment vertical="top"/>
    </xf>
    <xf numFmtId="9" fontId="48" fillId="0" borderId="0" xfId="150" applyFont="1" applyFill="1" applyBorder="1" applyAlignment="1">
      <alignment vertical="top" wrapText="1"/>
    </xf>
    <xf numFmtId="9" fontId="47" fillId="0" borderId="0" xfId="150" applyFont="1" applyFill="1" applyBorder="1" applyAlignment="1">
      <alignment vertical="center"/>
    </xf>
    <xf numFmtId="9" fontId="14" fillId="0" borderId="0" xfId="150" applyFont="1" applyFill="1" applyBorder="1" applyAlignment="1">
      <alignment horizontal="right" vertical="top"/>
    </xf>
    <xf numFmtId="9" fontId="47" fillId="0" borderId="0" xfId="150" applyFont="1" applyFill="1" applyBorder="1" applyAlignment="1">
      <alignment horizontal="right" vertical="top"/>
    </xf>
    <xf numFmtId="9" fontId="88" fillId="0" borderId="0" xfId="150" applyFont="1" applyFill="1" applyBorder="1" applyAlignment="1">
      <alignment vertical="top"/>
    </xf>
    <xf numFmtId="9" fontId="89" fillId="0" borderId="0" xfId="150" applyFont="1" applyFill="1" applyBorder="1" applyAlignment="1">
      <alignment vertical="top" wrapText="1"/>
    </xf>
    <xf numFmtId="9" fontId="89" fillId="0" borderId="0" xfId="150" applyFont="1" applyFill="1" applyBorder="1" applyAlignment="1">
      <alignment vertical="top"/>
    </xf>
    <xf numFmtId="0" fontId="14" fillId="0" borderId="0" xfId="148" applyFont="1" applyBorder="1" applyAlignment="1">
      <alignment horizontal="right"/>
    </xf>
    <xf numFmtId="0" fontId="46" fillId="0" borderId="0" xfId="148" applyFont="1" applyAlignment="1">
      <alignment horizontal="right"/>
    </xf>
    <xf numFmtId="0" fontId="78" fillId="0" borderId="0" xfId="0" applyFont="1" applyFill="1" applyBorder="1"/>
    <xf numFmtId="3" fontId="14" fillId="0" borderId="0" xfId="0" applyNumberFormat="1" applyFont="1" applyBorder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vertical="top"/>
    </xf>
    <xf numFmtId="9" fontId="35" fillId="0" borderId="0" xfId="150" applyFont="1" applyBorder="1" applyAlignment="1"/>
    <xf numFmtId="9" fontId="14" fillId="0" borderId="0" xfId="150" applyFont="1" applyAlignment="1">
      <alignment horizontal="right"/>
    </xf>
    <xf numFmtId="9" fontId="35" fillId="0" borderId="0" xfId="150" applyFont="1" applyFill="1" applyBorder="1" applyAlignment="1"/>
    <xf numFmtId="9" fontId="14" fillId="0" borderId="0" xfId="150" applyFont="1" applyBorder="1" applyAlignment="1"/>
    <xf numFmtId="9" fontId="14" fillId="0" borderId="0" xfId="150" applyFont="1" applyFill="1" applyBorder="1" applyAlignment="1"/>
    <xf numFmtId="9" fontId="52" fillId="0" borderId="0" xfId="150" applyFont="1" applyBorder="1" applyAlignment="1"/>
    <xf numFmtId="9" fontId="52" fillId="0" borderId="0" xfId="150" applyFont="1" applyBorder="1" applyAlignment="1">
      <alignment wrapText="1"/>
    </xf>
    <xf numFmtId="9" fontId="44" fillId="0" borderId="0" xfId="150" applyFont="1" applyFill="1" applyBorder="1" applyAlignment="1"/>
    <xf numFmtId="9" fontId="52" fillId="0" borderId="0" xfId="150" applyFont="1" applyFill="1" applyBorder="1" applyAlignment="1">
      <alignment wrapText="1"/>
    </xf>
    <xf numFmtId="9" fontId="14" fillId="0" borderId="0" xfId="150" applyFont="1" applyFill="1" applyBorder="1" applyAlignment="1">
      <alignment wrapText="1"/>
    </xf>
    <xf numFmtId="9" fontId="14" fillId="0" borderId="0" xfId="150" applyFont="1" applyFill="1" applyBorder="1" applyAlignment="1" applyProtection="1">
      <alignment vertical="top" wrapText="1"/>
      <protection locked="0"/>
    </xf>
    <xf numFmtId="9" fontId="52" fillId="0" borderId="0" xfId="150" applyFont="1" applyBorder="1" applyAlignment="1">
      <alignment vertical="top" wrapText="1"/>
    </xf>
    <xf numFmtId="9" fontId="52" fillId="0" borderId="0" xfId="150" applyFont="1" applyFill="1" applyBorder="1" applyAlignment="1" applyProtection="1">
      <alignment vertical="top" wrapText="1"/>
      <protection locked="0"/>
    </xf>
    <xf numFmtId="9" fontId="14" fillId="0" borderId="0" xfId="150" applyFont="1" applyBorder="1" applyAlignment="1">
      <alignment vertical="top"/>
    </xf>
    <xf numFmtId="9" fontId="52" fillId="0" borderId="0" xfId="150" applyFont="1" applyFill="1" applyBorder="1" applyAlignment="1"/>
    <xf numFmtId="9" fontId="44" fillId="0" borderId="0" xfId="150" applyFont="1" applyBorder="1" applyAlignment="1"/>
    <xf numFmtId="9" fontId="52" fillId="0" borderId="0" xfId="150" applyFont="1" applyFill="1" applyBorder="1" applyAlignment="1" applyProtection="1">
      <alignment vertical="top"/>
      <protection locked="0"/>
    </xf>
    <xf numFmtId="9" fontId="14" fillId="0" borderId="0" xfId="150" applyFont="1" applyFill="1" applyBorder="1" applyAlignment="1" applyProtection="1">
      <alignment vertical="top"/>
      <protection locked="0"/>
    </xf>
    <xf numFmtId="9" fontId="33" fillId="0" borderId="0" xfId="150" applyFont="1" applyBorder="1" applyAlignment="1">
      <alignment wrapText="1"/>
    </xf>
    <xf numFmtId="9" fontId="54" fillId="0" borderId="0" xfId="150" applyFont="1" applyFill="1" applyBorder="1" applyAlignment="1">
      <alignment wrapText="1"/>
    </xf>
    <xf numFmtId="9" fontId="14" fillId="0" borderId="0" xfId="150" applyFont="1" applyFill="1"/>
    <xf numFmtId="9" fontId="35" fillId="0" borderId="0" xfId="150" applyFont="1" applyFill="1" applyBorder="1" applyAlignment="1" applyProtection="1">
      <alignment vertical="top"/>
    </xf>
    <xf numFmtId="9" fontId="36" fillId="0" borderId="0" xfId="150" applyFont="1" applyFill="1" applyBorder="1" applyAlignment="1" applyProtection="1">
      <alignment vertical="top"/>
    </xf>
    <xf numFmtId="9" fontId="35" fillId="0" borderId="0" xfId="150" applyFont="1" applyFill="1" applyBorder="1" applyAlignment="1">
      <alignment vertical="top"/>
    </xf>
    <xf numFmtId="9" fontId="45" fillId="29" borderId="0" xfId="150" applyFont="1" applyFill="1" applyAlignment="1">
      <alignment horizontal="right" vertical="top"/>
    </xf>
    <xf numFmtId="9" fontId="14" fillId="0" borderId="0" xfId="150" applyFont="1" applyFill="1" applyBorder="1" applyAlignment="1" applyProtection="1">
      <alignment vertical="top"/>
    </xf>
    <xf numFmtId="9" fontId="51" fillId="0" borderId="0" xfId="150" applyFont="1" applyFill="1" applyBorder="1" applyAlignment="1" applyProtection="1">
      <alignment vertical="top"/>
    </xf>
    <xf numFmtId="9" fontId="14" fillId="0" borderId="0" xfId="150" applyFont="1" applyFill="1" applyAlignment="1">
      <alignment vertical="top"/>
    </xf>
    <xf numFmtId="9" fontId="14" fillId="0" borderId="0" xfId="150" applyFont="1" applyFill="1" applyBorder="1" applyAlignment="1" applyProtection="1">
      <alignment vertical="top" wrapText="1"/>
    </xf>
    <xf numFmtId="9" fontId="51" fillId="0" borderId="0" xfId="150" applyFont="1" applyFill="1" applyBorder="1" applyAlignment="1" applyProtection="1">
      <alignment vertical="top" wrapText="1"/>
    </xf>
    <xf numFmtId="9" fontId="35" fillId="0" borderId="0" xfId="150" applyFont="1" applyFill="1" applyAlignment="1">
      <alignment vertical="top"/>
    </xf>
    <xf numFmtId="9" fontId="43" fillId="0" borderId="0" xfId="150" applyFont="1" applyFill="1" applyBorder="1" applyAlignment="1" applyProtection="1">
      <alignment vertical="top"/>
    </xf>
    <xf numFmtId="9" fontId="14" fillId="0" borderId="0" xfId="150" applyFont="1" applyFill="1" applyBorder="1" applyAlignment="1">
      <alignment vertical="top" wrapText="1"/>
    </xf>
    <xf numFmtId="9" fontId="33" fillId="0" borderId="0" xfId="150" applyFont="1" applyFill="1" applyBorder="1" applyAlignment="1" applyProtection="1">
      <alignment vertical="top"/>
    </xf>
    <xf numFmtId="9" fontId="45" fillId="0" borderId="0" xfId="150" applyFont="1" applyFill="1" applyBorder="1" applyAlignment="1">
      <alignment wrapText="1"/>
    </xf>
    <xf numFmtId="9" fontId="45" fillId="0" borderId="0" xfId="150" applyFont="1" applyFill="1" applyBorder="1" applyAlignment="1" applyProtection="1">
      <alignment vertical="top"/>
    </xf>
    <xf numFmtId="9" fontId="35" fillId="0" borderId="0" xfId="150" applyFont="1" applyFill="1" applyBorder="1" applyAlignment="1" applyProtection="1">
      <alignment vertical="top" wrapText="1"/>
    </xf>
    <xf numFmtId="9" fontId="35" fillId="0" borderId="0" xfId="150" applyFont="1" applyFill="1" applyBorder="1" applyAlignment="1">
      <alignment vertical="top" wrapText="1"/>
    </xf>
    <xf numFmtId="9" fontId="33" fillId="0" borderId="0" xfId="150" applyFont="1" applyFill="1" applyBorder="1" applyAlignment="1" applyProtection="1">
      <alignment vertical="top" wrapText="1"/>
    </xf>
    <xf numFmtId="9" fontId="33" fillId="0" borderId="0" xfId="150" applyFont="1" applyFill="1" applyBorder="1" applyAlignment="1">
      <alignment vertical="top" wrapText="1"/>
    </xf>
    <xf numFmtId="9" fontId="40" fillId="0" borderId="0" xfId="150" applyFont="1" applyFill="1" applyBorder="1" applyAlignment="1">
      <alignment vertical="top"/>
    </xf>
    <xf numFmtId="3" fontId="35" fillId="24" borderId="18" xfId="153" applyNumberFormat="1" applyFont="1" applyFill="1" applyBorder="1" applyAlignment="1" applyProtection="1">
      <alignment vertical="top"/>
      <protection locked="0"/>
    </xf>
    <xf numFmtId="3" fontId="33" fillId="0" borderId="18" xfId="148" applyNumberFormat="1" applyFont="1" applyFill="1" applyBorder="1" applyAlignment="1" applyProtection="1">
      <alignment horizontal="right" vertical="top"/>
      <protection locked="0"/>
    </xf>
    <xf numFmtId="3" fontId="14" fillId="0" borderId="18" xfId="49" applyNumberFormat="1" applyFont="1" applyFill="1" applyBorder="1" applyAlignment="1" applyProtection="1">
      <alignment vertical="top"/>
      <protection locked="0"/>
    </xf>
    <xf numFmtId="3" fontId="14" fillId="0" borderId="18" xfId="153" applyNumberFormat="1" applyFont="1" applyFill="1" applyBorder="1" applyAlignment="1" applyProtection="1">
      <alignment horizontal="right" vertical="top"/>
      <protection locked="0"/>
    </xf>
    <xf numFmtId="3" fontId="33" fillId="0" borderId="18" xfId="49" applyNumberFormat="1" applyFont="1" applyFill="1" applyBorder="1" applyAlignment="1" applyProtection="1">
      <alignment horizontal="right" vertical="top"/>
      <protection locked="0"/>
    </xf>
    <xf numFmtId="3" fontId="87" fillId="0" borderId="18" xfId="153" applyNumberFormat="1" applyFont="1" applyFill="1" applyBorder="1" applyAlignment="1" applyProtection="1">
      <alignment vertical="top"/>
      <protection locked="0"/>
    </xf>
    <xf numFmtId="0" fontId="33" fillId="0" borderId="18" xfId="153" applyFont="1" applyFill="1" applyBorder="1" applyAlignment="1" applyProtection="1">
      <alignment horizontal="left" vertical="top" wrapText="1" indent="1"/>
      <protection locked="0"/>
    </xf>
    <xf numFmtId="0" fontId="35" fillId="24" borderId="18" xfId="153" applyFont="1" applyFill="1" applyBorder="1" applyAlignment="1" applyProtection="1">
      <alignment horizontal="left" vertical="top" wrapText="1"/>
      <protection locked="0"/>
    </xf>
    <xf numFmtId="0" fontId="14" fillId="0" borderId="18" xfId="153" applyFont="1" applyFill="1" applyBorder="1" applyAlignment="1" applyProtection="1">
      <alignment horizontal="left" vertical="top" wrapText="1" indent="2"/>
      <protection locked="0"/>
    </xf>
    <xf numFmtId="0" fontId="14" fillId="0" borderId="18" xfId="148" applyFont="1" applyFill="1" applyBorder="1" applyAlignment="1" applyProtection="1">
      <alignment horizontal="left" wrapText="1"/>
      <protection locked="0"/>
    </xf>
    <xf numFmtId="0" fontId="35" fillId="24" borderId="18" xfId="153" applyFont="1" applyFill="1" applyBorder="1" applyAlignment="1" applyProtection="1">
      <alignment horizontal="left" vertical="top"/>
      <protection locked="0"/>
    </xf>
    <xf numFmtId="3" fontId="14" fillId="0" borderId="15" xfId="153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Alignment="1"/>
    <xf numFmtId="3" fontId="33" fillId="0" borderId="0" xfId="0" applyNumberFormat="1" applyFont="1" applyBorder="1" applyAlignment="1"/>
    <xf numFmtId="0" fontId="0" fillId="0" borderId="0" xfId="0" applyBorder="1" applyAlignment="1"/>
    <xf numFmtId="3" fontId="52" fillId="0" borderId="0" xfId="50" applyNumberFormat="1" applyFont="1" applyBorder="1" applyAlignment="1">
      <alignment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3" fontId="52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/>
    <xf numFmtId="3" fontId="52" fillId="0" borderId="0" xfId="148" applyNumberFormat="1" applyFont="1" applyBorder="1" applyAlignment="1"/>
    <xf numFmtId="3" fontId="33" fillId="0" borderId="0" xfId="0" applyNumberFormat="1" applyFont="1" applyFill="1" applyBorder="1" applyAlignment="1" applyProtection="1">
      <alignment vertical="top"/>
      <protection locked="0"/>
    </xf>
    <xf numFmtId="9" fontId="14" fillId="0" borderId="0" xfId="150" applyFont="1"/>
    <xf numFmtId="0" fontId="92" fillId="0" borderId="0" xfId="36" applyNumberFormat="1" applyFont="1" applyFill="1" applyBorder="1" applyAlignment="1" applyProtection="1">
      <alignment horizontal="left" vertical="top" indent="3"/>
    </xf>
    <xf numFmtId="0" fontId="52" fillId="0" borderId="0" xfId="50" applyFont="1" applyBorder="1" applyAlignment="1">
      <alignment vertical="top"/>
    </xf>
    <xf numFmtId="9" fontId="14" fillId="0" borderId="0" xfId="46" applyFont="1" applyBorder="1" applyAlignment="1">
      <alignment vertical="top"/>
    </xf>
    <xf numFmtId="9" fontId="14" fillId="0" borderId="0" xfId="46" applyFont="1" applyFill="1" applyBorder="1" applyAlignment="1" applyProtection="1">
      <alignment vertical="top" wrapText="1"/>
      <protection locked="0"/>
    </xf>
    <xf numFmtId="9" fontId="14" fillId="0" borderId="0" xfId="46" applyFont="1" applyBorder="1"/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9" fontId="52" fillId="0" borderId="0" xfId="46" applyFont="1" applyBorder="1" applyAlignment="1">
      <alignment wrapText="1"/>
    </xf>
    <xf numFmtId="3" fontId="52" fillId="0" borderId="0" xfId="0" applyNumberFormat="1" applyFont="1" applyBorder="1"/>
    <xf numFmtId="9" fontId="52" fillId="0" borderId="0" xfId="46" applyFont="1" applyFill="1" applyBorder="1" applyAlignment="1"/>
    <xf numFmtId="3" fontId="51" fillId="34" borderId="0" xfId="36" applyNumberFormat="1" applyFont="1" applyFill="1" applyBorder="1" applyAlignment="1" applyProtection="1">
      <alignment vertical="top"/>
    </xf>
    <xf numFmtId="0" fontId="14" fillId="0" borderId="18" xfId="153" applyFont="1" applyFill="1" applyBorder="1" applyAlignment="1" applyProtection="1">
      <alignment horizontal="left" vertical="top"/>
      <protection locked="0"/>
    </xf>
    <xf numFmtId="0" fontId="14" fillId="0" borderId="13" xfId="153" applyFont="1" applyFill="1" applyBorder="1" applyAlignment="1" applyProtection="1">
      <alignment horizontal="left" vertical="top" wrapText="1"/>
      <protection locked="0"/>
    </xf>
    <xf numFmtId="0" fontId="33" fillId="0" borderId="17" xfId="153" applyFont="1" applyFill="1" applyBorder="1" applyAlignment="1" applyProtection="1">
      <alignment horizontal="left" vertical="top"/>
      <protection locked="0"/>
    </xf>
    <xf numFmtId="3" fontId="14" fillId="0" borderId="0" xfId="153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3" fontId="33" fillId="0" borderId="0" xfId="0" applyNumberFormat="1" applyFont="1" applyFill="1" applyBorder="1" applyAlignment="1">
      <alignment wrapText="1"/>
    </xf>
    <xf numFmtId="3" fontId="14" fillId="0" borderId="18" xfId="153" applyNumberFormat="1" applyFont="1" applyFill="1" applyBorder="1" applyAlignment="1" applyProtection="1">
      <alignment horizontal="right" vertical="top" wrapText="1"/>
      <protection locked="0"/>
    </xf>
    <xf numFmtId="0" fontId="14" fillId="0" borderId="17" xfId="153" applyFont="1" applyFill="1" applyBorder="1" applyAlignment="1" applyProtection="1">
      <alignment horizontal="left" vertical="top" wrapText="1"/>
      <protection locked="0"/>
    </xf>
    <xf numFmtId="0" fontId="33" fillId="0" borderId="18" xfId="153" applyFont="1" applyFill="1" applyBorder="1" applyAlignment="1" applyProtection="1">
      <alignment horizontal="right" vertical="top" wrapText="1"/>
      <protection locked="0"/>
    </xf>
    <xf numFmtId="0" fontId="55" fillId="0" borderId="0" xfId="0" applyFont="1" applyBorder="1"/>
    <xf numFmtId="4" fontId="36" fillId="0" borderId="0" xfId="148" applyNumberFormat="1" applyFont="1" applyFill="1" applyBorder="1" applyAlignment="1">
      <alignment vertical="top"/>
    </xf>
    <xf numFmtId="2" fontId="48" fillId="0" borderId="0" xfId="0" applyNumberFormat="1" applyFont="1" applyFill="1" applyBorder="1" applyAlignment="1">
      <alignment horizontal="left" vertical="top" wrapText="1" indent="2"/>
    </xf>
    <xf numFmtId="0" fontId="52" fillId="0" borderId="0" xfId="0" applyFont="1" applyBorder="1" applyAlignment="1">
      <alignment horizontal="left" vertical="top" wrapText="1" indent="4"/>
    </xf>
    <xf numFmtId="3" fontId="52" fillId="0" borderId="0" xfId="0" applyNumberFormat="1" applyFont="1" applyBorder="1" applyAlignment="1">
      <alignment vertical="top" wrapText="1"/>
    </xf>
    <xf numFmtId="3" fontId="52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horizontal="left" vertical="top" wrapText="1" indent="2"/>
    </xf>
    <xf numFmtId="3" fontId="33" fillId="0" borderId="0" xfId="0" applyNumberFormat="1" applyFont="1" applyBorder="1" applyAlignment="1">
      <alignment vertical="top" wrapText="1"/>
    </xf>
    <xf numFmtId="3" fontId="33" fillId="0" borderId="0" xfId="0" applyNumberFormat="1" applyFont="1" applyBorder="1" applyAlignment="1">
      <alignment vertical="top"/>
    </xf>
    <xf numFmtId="9" fontId="33" fillId="0" borderId="0" xfId="15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9" fontId="52" fillId="0" borderId="0" xfId="150" applyFont="1" applyFill="1" applyBorder="1" applyAlignment="1">
      <alignment vertical="top" wrapText="1"/>
    </xf>
    <xf numFmtId="9" fontId="0" fillId="0" borderId="0" xfId="150" applyFont="1"/>
    <xf numFmtId="9" fontId="0" fillId="0" borderId="0" xfId="150" applyFont="1" applyAlignment="1">
      <alignment horizontal="right"/>
    </xf>
    <xf numFmtId="14" fontId="40" fillId="0" borderId="0" xfId="0" applyNumberFormat="1" applyFont="1" applyFill="1" applyBorder="1"/>
    <xf numFmtId="14" fontId="46" fillId="0" borderId="0" xfId="0" applyNumberFormat="1" applyFont="1" applyFill="1" applyBorder="1"/>
    <xf numFmtId="3" fontId="33" fillId="40" borderId="18" xfId="153" applyNumberFormat="1" applyFont="1" applyFill="1" applyBorder="1" applyAlignment="1" applyProtection="1">
      <alignment vertical="top"/>
      <protection locked="0"/>
    </xf>
    <xf numFmtId="9" fontId="28" fillId="0" borderId="0" xfId="150" applyFont="1" applyFill="1" applyBorder="1"/>
    <xf numFmtId="9" fontId="0" fillId="0" borderId="0" xfId="150" applyFont="1" applyFill="1"/>
    <xf numFmtId="0" fontId="14" fillId="0" borderId="0" xfId="0" applyFont="1" applyFill="1" applyBorder="1" applyAlignment="1">
      <alignment horizontal="right" indent="1"/>
    </xf>
    <xf numFmtId="3" fontId="14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vertical="center"/>
    </xf>
    <xf numFmtId="9" fontId="14" fillId="0" borderId="0" xfId="150" applyFont="1" applyFill="1" applyBorder="1" applyAlignment="1">
      <alignment vertical="center"/>
    </xf>
    <xf numFmtId="3" fontId="33" fillId="32" borderId="18" xfId="153" applyNumberFormat="1" applyFont="1" applyFill="1" applyBorder="1" applyAlignment="1" applyProtection="1">
      <alignment vertical="top"/>
      <protection locked="0"/>
    </xf>
    <xf numFmtId="3" fontId="33" fillId="0" borderId="18" xfId="148" applyNumberFormat="1" applyFont="1" applyFill="1" applyBorder="1" applyAlignment="1" applyProtection="1">
      <alignment horizontal="left" vertical="top"/>
      <protection locked="0"/>
    </xf>
    <xf numFmtId="3" fontId="33" fillId="0" borderId="18" xfId="49" applyNumberFormat="1" applyFont="1" applyFill="1" applyBorder="1" applyAlignment="1" applyProtection="1">
      <alignment horizontal="left" vertical="top"/>
      <protection locked="0"/>
    </xf>
    <xf numFmtId="3" fontId="33" fillId="0" borderId="18" xfId="153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 applyAlignment="1"/>
    <xf numFmtId="169" fontId="36" fillId="0" borderId="0" xfId="150" applyNumberFormat="1" applyFont="1" applyFill="1" applyBorder="1"/>
    <xf numFmtId="169" fontId="35" fillId="0" borderId="0" xfId="150" applyNumberFormat="1" applyFont="1" applyFill="1" applyBorder="1"/>
    <xf numFmtId="169" fontId="14" fillId="0" borderId="0" xfId="150" applyNumberFormat="1" applyFont="1" applyFill="1" applyAlignment="1"/>
    <xf numFmtId="0" fontId="96" fillId="0" borderId="0" xfId="0" applyFont="1" applyBorder="1"/>
    <xf numFmtId="3" fontId="97" fillId="0" borderId="0" xfId="0" applyNumberFormat="1" applyFont="1" applyBorder="1" applyAlignment="1"/>
    <xf numFmtId="9" fontId="97" fillId="0" borderId="0" xfId="150" applyFont="1" applyBorder="1" applyAlignment="1"/>
    <xf numFmtId="0" fontId="77" fillId="0" borderId="0" xfId="0" applyFont="1"/>
    <xf numFmtId="0" fontId="77" fillId="0" borderId="0" xfId="0" applyFont="1" applyAlignment="1"/>
    <xf numFmtId="3" fontId="43" fillId="0" borderId="10" xfId="0" applyNumberFormat="1" applyFont="1" applyFill="1" applyBorder="1" applyAlignment="1"/>
    <xf numFmtId="3" fontId="43" fillId="0" borderId="0" xfId="0" applyNumberFormat="1" applyFont="1" applyFill="1" applyBorder="1" applyAlignment="1"/>
    <xf numFmtId="9" fontId="14" fillId="0" borderId="0" xfId="150" applyFont="1" applyAlignment="1"/>
    <xf numFmtId="9" fontId="77" fillId="0" borderId="0" xfId="150" applyFont="1" applyAlignment="1"/>
    <xf numFmtId="0" fontId="82" fillId="32" borderId="18" xfId="155" applyNumberFormat="1" applyFont="1" applyFill="1" applyBorder="1" applyAlignment="1">
      <alignment vertical="top" wrapText="1"/>
    </xf>
    <xf numFmtId="164" fontId="82" fillId="30" borderId="11" xfId="87" applyFont="1" applyFill="1" applyBorder="1" applyAlignment="1">
      <alignment horizontal="center" vertical="top" wrapText="1"/>
    </xf>
    <xf numFmtId="164" fontId="82" fillId="30" borderId="14" xfId="87" applyFont="1" applyFill="1" applyBorder="1" applyAlignment="1">
      <alignment horizontal="center" vertical="top" wrapText="1"/>
    </xf>
    <xf numFmtId="164" fontId="82" fillId="39" borderId="17" xfId="87" applyFont="1" applyFill="1" applyBorder="1" applyAlignment="1">
      <alignment horizontal="center" vertical="top" wrapText="1"/>
    </xf>
    <xf numFmtId="0" fontId="82" fillId="39" borderId="18" xfId="155" applyNumberFormat="1" applyFont="1" applyFill="1" applyBorder="1" applyAlignment="1">
      <alignment vertical="top" wrapText="1"/>
    </xf>
    <xf numFmtId="0" fontId="82" fillId="31" borderId="18" xfId="155" applyNumberFormat="1" applyFont="1" applyFill="1" applyBorder="1" applyAlignment="1">
      <alignment vertical="top" wrapText="1"/>
    </xf>
    <xf numFmtId="164" fontId="82" fillId="35" borderId="18" xfId="87" applyFont="1" applyFill="1" applyBorder="1" applyAlignment="1">
      <alignment horizontal="center" vertical="top" wrapText="1"/>
    </xf>
    <xf numFmtId="169" fontId="82" fillId="35" borderId="18" xfId="87" applyNumberFormat="1" applyFont="1" applyFill="1" applyBorder="1" applyAlignment="1">
      <alignment horizontal="center" vertical="top" wrapText="1"/>
    </xf>
    <xf numFmtId="0" fontId="82" fillId="31" borderId="18" xfId="155" applyNumberFormat="1" applyFont="1" applyFill="1" applyBorder="1" applyAlignment="1">
      <alignment horizontal="right" vertical="top" wrapText="1"/>
    </xf>
    <xf numFmtId="164" fontId="82" fillId="30" borderId="18" xfId="87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indent="6"/>
    </xf>
    <xf numFmtId="169" fontId="41" fillId="0" borderId="0" xfId="150" applyNumberFormat="1" applyFont="1" applyFill="1" applyAlignment="1"/>
    <xf numFmtId="169" fontId="36" fillId="0" borderId="0" xfId="150" applyNumberFormat="1" applyFont="1" applyFill="1" applyAlignment="1"/>
    <xf numFmtId="169" fontId="42" fillId="0" borderId="0" xfId="150" applyNumberFormat="1" applyFont="1" applyFill="1" applyAlignment="1"/>
    <xf numFmtId="169" fontId="35" fillId="0" borderId="0" xfId="150" applyNumberFormat="1" applyFont="1" applyFill="1" applyBorder="1" applyAlignment="1"/>
    <xf numFmtId="169" fontId="43" fillId="0" borderId="10" xfId="150" applyNumberFormat="1" applyFont="1" applyFill="1" applyBorder="1" applyAlignment="1"/>
    <xf numFmtId="169" fontId="43" fillId="0" borderId="0" xfId="150" applyNumberFormat="1" applyFont="1" applyFill="1" applyBorder="1" applyAlignment="1"/>
    <xf numFmtId="169" fontId="35" fillId="0" borderId="0" xfId="150" applyNumberFormat="1" applyFont="1" applyFill="1" applyAlignment="1"/>
    <xf numFmtId="0" fontId="82" fillId="30" borderId="18" xfId="87" applyNumberFormat="1" applyFont="1" applyFill="1" applyBorder="1" applyAlignment="1">
      <alignment horizontal="center" vertical="top" wrapText="1"/>
    </xf>
    <xf numFmtId="0" fontId="14" fillId="0" borderId="0" xfId="43" applyFont="1"/>
    <xf numFmtId="0" fontId="14" fillId="0" borderId="0" xfId="43" applyFont="1" applyAlignment="1">
      <alignment horizontal="left"/>
    </xf>
    <xf numFmtId="0" fontId="40" fillId="0" borderId="0" xfId="43" applyFont="1"/>
    <xf numFmtId="3" fontId="14" fillId="0" borderId="0" xfId="43" applyNumberFormat="1" applyFont="1"/>
    <xf numFmtId="0" fontId="54" fillId="0" borderId="0" xfId="43" applyFont="1" applyAlignment="1">
      <alignment horizontal="center"/>
    </xf>
    <xf numFmtId="0" fontId="35" fillId="0" borderId="0" xfId="43" applyFont="1"/>
    <xf numFmtId="0" fontId="52" fillId="0" borderId="0" xfId="43" applyFont="1" applyAlignment="1">
      <alignment horizontal="right"/>
    </xf>
    <xf numFmtId="0" fontId="14" fillId="0" borderId="0" xfId="43" applyFont="1" applyAlignment="1">
      <alignment wrapText="1"/>
    </xf>
    <xf numFmtId="0" fontId="35" fillId="0" borderId="18" xfId="43" applyFont="1" applyFill="1" applyBorder="1" applyAlignment="1" applyProtection="1">
      <alignment horizontal="left" vertical="top" wrapText="1"/>
    </xf>
    <xf numFmtId="0" fontId="35" fillId="0" borderId="18" xfId="43" applyFont="1" applyFill="1" applyBorder="1" applyAlignment="1" applyProtection="1">
      <alignment horizontal="center" vertical="top" wrapText="1"/>
    </xf>
    <xf numFmtId="3" fontId="35" fillId="0" borderId="18" xfId="43" applyNumberFormat="1" applyFont="1" applyFill="1" applyBorder="1" applyAlignment="1" applyProtection="1">
      <alignment horizontal="center" vertical="top" wrapText="1"/>
    </xf>
    <xf numFmtId="0" fontId="35" fillId="0" borderId="18" xfId="151" applyNumberFormat="1" applyFont="1" applyFill="1" applyBorder="1" applyAlignment="1" applyProtection="1">
      <alignment horizontal="center" vertical="top"/>
      <protection locked="0"/>
    </xf>
    <xf numFmtId="0" fontId="35" fillId="28" borderId="18" xfId="151" applyFont="1" applyFill="1" applyBorder="1" applyAlignment="1" applyProtection="1">
      <alignment horizontal="left" vertical="top" wrapText="1"/>
      <protection locked="0"/>
    </xf>
    <xf numFmtId="3" fontId="35" fillId="28" borderId="18" xfId="151" applyNumberFormat="1" applyFont="1" applyFill="1" applyBorder="1" applyAlignment="1" applyProtection="1">
      <alignment vertical="top"/>
      <protection locked="0"/>
    </xf>
    <xf numFmtId="3" fontId="35" fillId="28" borderId="18" xfId="151" applyNumberFormat="1" applyFont="1" applyFill="1" applyBorder="1" applyAlignment="1" applyProtection="1">
      <alignment vertical="top"/>
    </xf>
    <xf numFmtId="0" fontId="14" fillId="0" borderId="12" xfId="151" applyFont="1" applyFill="1" applyBorder="1" applyAlignment="1" applyProtection="1">
      <alignment horizontal="right" vertical="top" wrapText="1"/>
      <protection locked="0"/>
    </xf>
    <xf numFmtId="0" fontId="14" fillId="0" borderId="18" xfId="151" applyFont="1" applyFill="1" applyBorder="1" applyAlignment="1" applyProtection="1">
      <alignment horizontal="left" vertical="top" wrapText="1"/>
    </xf>
    <xf numFmtId="3" fontId="14" fillId="0" borderId="18" xfId="153" applyNumberFormat="1" applyFont="1" applyFill="1" applyBorder="1" applyAlignment="1" applyProtection="1">
      <alignment vertical="top"/>
    </xf>
    <xf numFmtId="0" fontId="14" fillId="0" borderId="17" xfId="151" applyFont="1" applyFill="1" applyBorder="1" applyAlignment="1" applyProtection="1">
      <alignment horizontal="left" vertical="top" wrapText="1"/>
      <protection locked="0"/>
    </xf>
    <xf numFmtId="3" fontId="35" fillId="24" borderId="18" xfId="153" applyNumberFormat="1" applyFont="1" applyFill="1" applyBorder="1" applyAlignment="1" applyProtection="1">
      <alignment vertical="top"/>
    </xf>
    <xf numFmtId="0" fontId="14" fillId="0" borderId="19" xfId="153" applyFont="1" applyFill="1" applyBorder="1" applyAlignment="1" applyProtection="1">
      <alignment horizontal="left" vertical="top"/>
      <protection locked="0"/>
    </xf>
    <xf numFmtId="3" fontId="14" fillId="0" borderId="18" xfId="223" applyNumberFormat="1" applyFont="1" applyFill="1" applyBorder="1" applyAlignment="1" applyProtection="1">
      <alignment vertical="top"/>
      <protection locked="0"/>
    </xf>
    <xf numFmtId="0" fontId="33" fillId="0" borderId="13" xfId="153" applyFont="1" applyFill="1" applyBorder="1" applyAlignment="1" applyProtection="1">
      <alignment horizontal="left" vertical="top" wrapText="1" indent="2"/>
      <protection locked="0"/>
    </xf>
    <xf numFmtId="0" fontId="33" fillId="0" borderId="19" xfId="153" applyFont="1" applyFill="1" applyBorder="1" applyAlignment="1" applyProtection="1">
      <alignment horizontal="left" vertical="top"/>
      <protection locked="0"/>
    </xf>
    <xf numFmtId="0" fontId="33" fillId="0" borderId="17" xfId="153" applyFont="1" applyFill="1" applyBorder="1" applyAlignment="1" applyProtection="1">
      <alignment horizontal="left" vertical="top" wrapText="1" indent="2"/>
      <protection locked="0"/>
    </xf>
    <xf numFmtId="0" fontId="33" fillId="0" borderId="12" xfId="151" applyFont="1" applyFill="1" applyBorder="1" applyAlignment="1" applyProtection="1">
      <alignment horizontal="right" vertical="top" wrapText="1" indent="1"/>
      <protection locked="0"/>
    </xf>
    <xf numFmtId="3" fontId="33" fillId="0" borderId="18" xfId="153" applyNumberFormat="1" applyFont="1" applyFill="1" applyBorder="1" applyAlignment="1" applyProtection="1">
      <alignment vertical="top" wrapText="1"/>
      <protection locked="0"/>
    </xf>
    <xf numFmtId="3" fontId="14" fillId="0" borderId="18" xfId="151" applyNumberFormat="1" applyFont="1" applyFill="1" applyBorder="1" applyAlignment="1" applyProtection="1">
      <alignment horizontal="right" vertical="top"/>
      <protection locked="0"/>
    </xf>
    <xf numFmtId="0" fontId="14" fillId="0" borderId="0" xfId="43" applyFont="1" applyFill="1"/>
    <xf numFmtId="0" fontId="14" fillId="0" borderId="18" xfId="151" applyFont="1" applyFill="1" applyBorder="1" applyAlignment="1" applyProtection="1">
      <alignment horizontal="left" vertical="top" wrapText="1"/>
      <protection locked="0"/>
    </xf>
    <xf numFmtId="0" fontId="14" fillId="0" borderId="18" xfId="151" applyFont="1" applyFill="1" applyBorder="1" applyAlignment="1" applyProtection="1">
      <alignment horizontal="left" vertical="top"/>
      <protection locked="0"/>
    </xf>
    <xf numFmtId="0" fontId="33" fillId="0" borderId="18" xfId="151" applyFont="1" applyFill="1" applyBorder="1" applyAlignment="1" applyProtection="1">
      <alignment horizontal="left" vertical="top"/>
      <protection locked="0"/>
    </xf>
    <xf numFmtId="3" fontId="33" fillId="0" borderId="18" xfId="151" applyNumberFormat="1" applyFont="1" applyFill="1" applyBorder="1" applyAlignment="1" applyProtection="1">
      <alignment horizontal="right" vertical="top"/>
      <protection locked="0"/>
    </xf>
    <xf numFmtId="3" fontId="33" fillId="0" borderId="18" xfId="151" applyNumberFormat="1" applyFont="1" applyFill="1" applyBorder="1" applyAlignment="1" applyProtection="1">
      <alignment vertical="top"/>
      <protection locked="0"/>
    </xf>
    <xf numFmtId="0" fontId="33" fillId="0" borderId="18" xfId="151" applyFont="1" applyFill="1" applyBorder="1" applyAlignment="1" applyProtection="1">
      <alignment horizontal="left" vertical="top" wrapText="1" indent="1"/>
      <protection locked="0"/>
    </xf>
    <xf numFmtId="0" fontId="87" fillId="0" borderId="18" xfId="151" applyFont="1" applyFill="1" applyBorder="1" applyAlignment="1" applyProtection="1">
      <alignment horizontal="left" vertical="top"/>
      <protection locked="0"/>
    </xf>
    <xf numFmtId="0" fontId="14" fillId="0" borderId="18" xfId="151" applyFont="1" applyFill="1" applyBorder="1" applyAlignment="1">
      <alignment vertical="top" wrapText="1"/>
    </xf>
    <xf numFmtId="3" fontId="33" fillId="0" borderId="0" xfId="151" applyNumberFormat="1" applyFont="1" applyFill="1" applyBorder="1"/>
    <xf numFmtId="0" fontId="33" fillId="0" borderId="0" xfId="151" applyFont="1" applyFill="1" applyBorder="1"/>
    <xf numFmtId="0" fontId="14" fillId="0" borderId="0" xfId="151" applyFill="1" applyBorder="1"/>
    <xf numFmtId="0" fontId="14" fillId="0" borderId="18" xfId="224" applyFont="1" applyFill="1" applyBorder="1" applyAlignment="1" applyProtection="1">
      <alignment horizontal="left" vertical="top"/>
      <protection locked="0"/>
    </xf>
    <xf numFmtId="3" fontId="14" fillId="0" borderId="0" xfId="151" applyNumberFormat="1" applyFill="1" applyBorder="1"/>
    <xf numFmtId="0" fontId="14" fillId="0" borderId="0" xfId="151" applyFont="1" applyFill="1" applyBorder="1"/>
    <xf numFmtId="0" fontId="35" fillId="24" borderId="17" xfId="153" applyFont="1" applyFill="1" applyBorder="1" applyAlignment="1" applyProtection="1">
      <alignment horizontal="left" vertical="top" wrapText="1"/>
      <protection locked="0"/>
    </xf>
    <xf numFmtId="0" fontId="33" fillId="0" borderId="17" xfId="223" applyFont="1" applyFill="1" applyBorder="1" applyAlignment="1" applyProtection="1">
      <alignment horizontal="right" vertical="top" wrapText="1" indent="1"/>
      <protection locked="0"/>
    </xf>
    <xf numFmtId="0" fontId="14" fillId="0" borderId="17" xfId="223" applyFont="1" applyFill="1" applyBorder="1" applyAlignment="1" applyProtection="1">
      <alignment horizontal="left" vertical="top" wrapText="1"/>
      <protection locked="0"/>
    </xf>
    <xf numFmtId="0" fontId="33" fillId="0" borderId="18" xfId="151" applyFont="1" applyFill="1" applyBorder="1" applyAlignment="1" applyProtection="1">
      <alignment horizontal="left" vertical="top" wrapText="1" indent="2"/>
      <protection locked="0"/>
    </xf>
    <xf numFmtId="0" fontId="14" fillId="0" borderId="18" xfId="153" applyFont="1" applyFill="1" applyBorder="1" applyAlignment="1" applyProtection="1">
      <alignment horizontal="left"/>
      <protection locked="0"/>
    </xf>
    <xf numFmtId="0" fontId="14" fillId="0" borderId="18" xfId="151" applyFont="1" applyFill="1" applyBorder="1" applyAlignment="1">
      <alignment wrapText="1"/>
    </xf>
    <xf numFmtId="0" fontId="33" fillId="0" borderId="13" xfId="153" applyFont="1" applyFill="1" applyBorder="1" applyAlignment="1" applyProtection="1">
      <alignment horizontal="right" vertical="top" wrapText="1"/>
      <protection locked="0"/>
    </xf>
    <xf numFmtId="3" fontId="33" fillId="0" borderId="18" xfId="151" applyNumberFormat="1" applyFont="1" applyFill="1" applyBorder="1" applyAlignment="1">
      <alignment vertical="top"/>
    </xf>
    <xf numFmtId="0" fontId="87" fillId="0" borderId="18" xfId="153" applyFont="1" applyFill="1" applyBorder="1" applyAlignment="1" applyProtection="1">
      <alignment horizontal="left" vertical="top"/>
      <protection locked="0"/>
    </xf>
    <xf numFmtId="3" fontId="87" fillId="0" borderId="18" xfId="151" applyNumberFormat="1" applyFont="1" applyFill="1" applyBorder="1" applyAlignment="1">
      <alignment vertical="top"/>
    </xf>
    <xf numFmtId="0" fontId="33" fillId="0" borderId="13" xfId="223" applyFont="1" applyFill="1" applyBorder="1" applyAlignment="1" applyProtection="1">
      <alignment horizontal="right" vertical="top" wrapText="1"/>
      <protection locked="0"/>
    </xf>
    <xf numFmtId="0" fontId="33" fillId="0" borderId="18" xfId="223" applyFont="1" applyFill="1" applyBorder="1" applyAlignment="1" applyProtection="1">
      <alignment horizontal="left" vertical="top"/>
      <protection locked="0"/>
    </xf>
    <xf numFmtId="0" fontId="33" fillId="0" borderId="17" xfId="223" applyFont="1" applyFill="1" applyBorder="1" applyAlignment="1" applyProtection="1">
      <alignment horizontal="left" vertical="top" wrapText="1"/>
      <protection locked="0"/>
    </xf>
    <xf numFmtId="0" fontId="14" fillId="0" borderId="13" xfId="153" applyFont="1" applyFill="1" applyBorder="1" applyAlignment="1" applyProtection="1">
      <alignment horizontal="left" vertical="top" wrapText="1" indent="2"/>
      <protection locked="0"/>
    </xf>
    <xf numFmtId="0" fontId="14" fillId="0" borderId="12" xfId="153" applyFont="1" applyFill="1" applyBorder="1" applyAlignment="1" applyProtection="1">
      <alignment horizontal="left" vertical="top" wrapText="1" indent="2"/>
      <protection locked="0"/>
    </xf>
    <xf numFmtId="0" fontId="14" fillId="0" borderId="17" xfId="153" applyFont="1" applyFill="1" applyBorder="1" applyAlignment="1" applyProtection="1">
      <alignment horizontal="left" vertical="top" wrapText="1" indent="2"/>
      <protection locked="0"/>
    </xf>
    <xf numFmtId="0" fontId="33" fillId="0" borderId="12" xfId="153" applyFont="1" applyFill="1" applyBorder="1" applyAlignment="1" applyProtection="1">
      <alignment horizontal="left" vertical="top" wrapText="1" indent="4"/>
      <protection locked="0"/>
    </xf>
    <xf numFmtId="0" fontId="33" fillId="0" borderId="17" xfId="153" applyFont="1" applyFill="1" applyBorder="1" applyAlignment="1" applyProtection="1">
      <alignment horizontal="left" vertical="top" wrapText="1" indent="4"/>
      <protection locked="0"/>
    </xf>
    <xf numFmtId="0" fontId="14" fillId="0" borderId="17" xfId="153" applyFont="1" applyFill="1" applyBorder="1" applyAlignment="1" applyProtection="1">
      <alignment horizontal="left" vertical="top" wrapText="1" indent="4"/>
      <protection locked="0"/>
    </xf>
    <xf numFmtId="3" fontId="87" fillId="0" borderId="18" xfId="151" applyNumberFormat="1" applyFont="1" applyFill="1" applyBorder="1" applyAlignment="1" applyProtection="1">
      <alignment horizontal="right" vertical="top"/>
      <protection locked="0"/>
    </xf>
    <xf numFmtId="3" fontId="87" fillId="0" borderId="18" xfId="151" applyNumberFormat="1" applyFont="1" applyFill="1" applyBorder="1" applyAlignment="1" applyProtection="1">
      <alignment vertical="top"/>
      <protection locked="0"/>
    </xf>
    <xf numFmtId="0" fontId="33" fillId="0" borderId="18" xfId="151" applyFont="1" applyFill="1" applyBorder="1" applyAlignment="1" applyProtection="1">
      <alignment horizontal="left" vertical="top" wrapText="1" indent="4"/>
      <protection locked="0"/>
    </xf>
    <xf numFmtId="0" fontId="86" fillId="0" borderId="18" xfId="151" applyFont="1" applyFill="1" applyBorder="1" applyAlignment="1" applyProtection="1">
      <alignment horizontal="left" vertical="top"/>
      <protection locked="0"/>
    </xf>
    <xf numFmtId="3" fontId="86" fillId="0" borderId="18" xfId="151" applyNumberFormat="1" applyFont="1" applyFill="1" applyBorder="1" applyAlignment="1" applyProtection="1">
      <alignment horizontal="right" vertical="top"/>
      <protection locked="0"/>
    </xf>
    <xf numFmtId="3" fontId="86" fillId="0" borderId="18" xfId="151" applyNumberFormat="1" applyFont="1" applyFill="1" applyBorder="1" applyAlignment="1" applyProtection="1">
      <alignment vertical="top"/>
      <protection locked="0"/>
    </xf>
    <xf numFmtId="3" fontId="14" fillId="0" borderId="18" xfId="151" applyNumberFormat="1" applyFont="1" applyBorder="1" applyAlignment="1">
      <alignment vertical="center" wrapText="1"/>
    </xf>
    <xf numFmtId="3" fontId="33" fillId="0" borderId="18" xfId="151" applyNumberFormat="1" applyFont="1" applyBorder="1" applyAlignment="1">
      <alignment vertical="center" wrapText="1"/>
    </xf>
    <xf numFmtId="0" fontId="33" fillId="0" borderId="12" xfId="153" applyFont="1" applyFill="1" applyBorder="1" applyAlignment="1" applyProtection="1">
      <alignment horizontal="left" vertical="top" wrapText="1"/>
      <protection locked="0"/>
    </xf>
    <xf numFmtId="0" fontId="14" fillId="0" borderId="0" xfId="153" applyFont="1" applyFill="1" applyBorder="1" applyAlignment="1" applyProtection="1">
      <alignment horizontal="left" vertical="top" wrapText="1" indent="1"/>
      <protection locked="0"/>
    </xf>
    <xf numFmtId="0" fontId="90" fillId="0" borderId="0" xfId="153" applyFont="1" applyFill="1" applyBorder="1" applyAlignment="1" applyProtection="1">
      <alignment horizontal="left" vertical="top"/>
      <protection locked="0"/>
    </xf>
    <xf numFmtId="0" fontId="52" fillId="0" borderId="0" xfId="151" applyFont="1" applyFill="1" applyBorder="1" applyAlignment="1" applyProtection="1">
      <alignment horizontal="left" vertical="top"/>
      <protection locked="0"/>
    </xf>
    <xf numFmtId="0" fontId="14" fillId="0" borderId="0" xfId="151" applyFont="1" applyFill="1" applyBorder="1" applyAlignment="1" applyProtection="1">
      <alignment horizontal="left" vertical="top"/>
      <protection locked="0"/>
    </xf>
    <xf numFmtId="3" fontId="14" fillId="0" borderId="0" xfId="151" applyNumberFormat="1" applyFont="1" applyFill="1" applyBorder="1" applyAlignment="1" applyProtection="1">
      <alignment vertical="top"/>
      <protection locked="0"/>
    </xf>
    <xf numFmtId="3" fontId="14" fillId="0" borderId="0" xfId="223" applyNumberFormat="1" applyFont="1" applyFill="1" applyBorder="1" applyAlignment="1" applyProtection="1">
      <alignment vertical="top"/>
      <protection locked="0"/>
    </xf>
    <xf numFmtId="0" fontId="82" fillId="39" borderId="18" xfId="155" applyNumberFormat="1" applyFont="1" applyFill="1" applyBorder="1" applyAlignment="1">
      <alignment horizontal="center" vertical="top" wrapText="1"/>
    </xf>
    <xf numFmtId="3" fontId="14" fillId="0" borderId="0" xfId="43" applyNumberFormat="1" applyFont="1" applyAlignment="1">
      <alignment horizontal="left"/>
    </xf>
    <xf numFmtId="0" fontId="54" fillId="0" borderId="0" xfId="43" applyFont="1" applyAlignment="1">
      <alignment horizontal="left"/>
    </xf>
    <xf numFmtId="0" fontId="52" fillId="0" borderId="0" xfId="43" applyFont="1" applyAlignment="1">
      <alignment horizontal="left"/>
    </xf>
    <xf numFmtId="0" fontId="35" fillId="0" borderId="18" xfId="151" applyNumberFormat="1" applyFont="1" applyFill="1" applyBorder="1" applyAlignment="1" applyProtection="1">
      <alignment horizontal="left" vertical="top"/>
      <protection locked="0"/>
    </xf>
    <xf numFmtId="3" fontId="35" fillId="28" borderId="18" xfId="151" applyNumberFormat="1" applyFont="1" applyFill="1" applyBorder="1" applyAlignment="1" applyProtection="1">
      <alignment horizontal="left" vertical="top"/>
    </xf>
    <xf numFmtId="3" fontId="14" fillId="0" borderId="18" xfId="153" applyNumberFormat="1" applyFont="1" applyFill="1" applyBorder="1" applyAlignment="1" applyProtection="1">
      <alignment horizontal="left" vertical="top"/>
    </xf>
    <xf numFmtId="3" fontId="35" fillId="24" borderId="18" xfId="153" applyNumberFormat="1" applyFont="1" applyFill="1" applyBorder="1" applyAlignment="1" applyProtection="1">
      <alignment horizontal="left" vertical="top"/>
    </xf>
    <xf numFmtId="3" fontId="14" fillId="0" borderId="18" xfId="153" applyNumberFormat="1" applyFont="1" applyFill="1" applyBorder="1" applyAlignment="1" applyProtection="1">
      <alignment horizontal="left" vertical="top"/>
      <protection locked="0"/>
    </xf>
    <xf numFmtId="3" fontId="14" fillId="0" borderId="18" xfId="223" applyNumberFormat="1" applyFont="1" applyFill="1" applyBorder="1" applyAlignment="1" applyProtection="1">
      <alignment horizontal="left" vertical="top"/>
      <protection locked="0"/>
    </xf>
    <xf numFmtId="3" fontId="14" fillId="0" borderId="18" xfId="49" applyNumberFormat="1" applyFont="1" applyFill="1" applyBorder="1" applyAlignment="1" applyProtection="1">
      <alignment horizontal="left" vertical="top"/>
      <protection locked="0"/>
    </xf>
    <xf numFmtId="3" fontId="35" fillId="24" borderId="18" xfId="153" applyNumberFormat="1" applyFont="1" applyFill="1" applyBorder="1" applyAlignment="1" applyProtection="1">
      <alignment horizontal="left" vertical="top"/>
      <protection locked="0"/>
    </xf>
    <xf numFmtId="3" fontId="14" fillId="0" borderId="18" xfId="151" applyNumberFormat="1" applyFont="1" applyFill="1" applyBorder="1" applyAlignment="1" applyProtection="1">
      <alignment horizontal="left" vertical="top"/>
      <protection locked="0"/>
    </xf>
    <xf numFmtId="3" fontId="33" fillId="0" borderId="18" xfId="151" applyNumberFormat="1" applyFont="1" applyFill="1" applyBorder="1" applyAlignment="1" applyProtection="1">
      <alignment horizontal="left" vertical="top"/>
      <protection locked="0"/>
    </xf>
    <xf numFmtId="3" fontId="87" fillId="0" borderId="18" xfId="153" applyNumberFormat="1" applyFont="1" applyFill="1" applyBorder="1" applyAlignment="1" applyProtection="1">
      <alignment horizontal="left" vertical="top"/>
      <protection locked="0"/>
    </xf>
    <xf numFmtId="3" fontId="14" fillId="0" borderId="18" xfId="153" applyNumberFormat="1" applyFont="1" applyFill="1" applyBorder="1" applyAlignment="1" applyProtection="1">
      <alignment horizontal="left" vertical="top" wrapText="1"/>
      <protection locked="0"/>
    </xf>
    <xf numFmtId="3" fontId="33" fillId="0" borderId="18" xfId="151" applyNumberFormat="1" applyFont="1" applyFill="1" applyBorder="1" applyAlignment="1">
      <alignment horizontal="left" vertical="top"/>
    </xf>
    <xf numFmtId="3" fontId="87" fillId="0" borderId="18" xfId="151" applyNumberFormat="1" applyFont="1" applyFill="1" applyBorder="1" applyAlignment="1" applyProtection="1">
      <alignment horizontal="left" vertical="top"/>
      <protection locked="0"/>
    </xf>
    <xf numFmtId="3" fontId="86" fillId="0" borderId="18" xfId="151" applyNumberFormat="1" applyFont="1" applyFill="1" applyBorder="1" applyAlignment="1" applyProtection="1">
      <alignment horizontal="left" vertical="top"/>
      <protection locked="0"/>
    </xf>
    <xf numFmtId="3" fontId="14" fillId="0" borderId="0" xfId="153" applyNumberFormat="1" applyFont="1" applyFill="1" applyBorder="1" applyAlignment="1" applyProtection="1">
      <alignment horizontal="left" vertical="top"/>
      <protection locked="0"/>
    </xf>
    <xf numFmtId="3" fontId="14" fillId="0" borderId="0" xfId="223" applyNumberFormat="1" applyFont="1" applyFill="1" applyBorder="1" applyAlignment="1" applyProtection="1">
      <alignment horizontal="left" vertical="top"/>
      <protection locked="0"/>
    </xf>
    <xf numFmtId="0" fontId="52" fillId="42" borderId="0" xfId="151" applyFont="1" applyFill="1" applyBorder="1" applyAlignment="1" applyProtection="1">
      <alignment horizontal="left" vertical="top" wrapText="1"/>
      <protection locked="0"/>
    </xf>
    <xf numFmtId="0" fontId="52" fillId="39" borderId="0" xfId="151" applyFont="1" applyFill="1" applyBorder="1" applyAlignment="1" applyProtection="1">
      <alignment horizontal="left" vertical="top" wrapText="1"/>
      <protection locked="0"/>
    </xf>
    <xf numFmtId="0" fontId="52" fillId="32" borderId="0" xfId="151" applyFont="1" applyFill="1" applyBorder="1" applyAlignment="1" applyProtection="1">
      <alignment horizontal="left" vertical="top" wrapText="1"/>
      <protection locked="0"/>
    </xf>
    <xf numFmtId="0" fontId="52" fillId="40" borderId="0" xfId="151" applyFont="1" applyFill="1" applyBorder="1" applyAlignment="1" applyProtection="1">
      <alignment horizontal="left" vertical="top" wrapText="1"/>
      <protection locked="0"/>
    </xf>
    <xf numFmtId="0" fontId="52" fillId="33" borderId="0" xfId="151" applyFont="1" applyFill="1" applyBorder="1" applyAlignment="1" applyProtection="1">
      <alignment horizontal="left" vertical="top" wrapText="1"/>
      <protection locked="0"/>
    </xf>
    <xf numFmtId="0" fontId="52" fillId="43" borderId="0" xfId="151" applyFont="1" applyFill="1" applyBorder="1" applyAlignment="1" applyProtection="1">
      <alignment horizontal="left" vertical="top" wrapText="1"/>
      <protection locked="0"/>
    </xf>
    <xf numFmtId="0" fontId="52" fillId="44" borderId="0" xfId="151" applyFont="1" applyFill="1" applyBorder="1" applyAlignment="1" applyProtection="1">
      <alignment horizontal="left" vertical="top" wrapText="1"/>
      <protection locked="0"/>
    </xf>
    <xf numFmtId="0" fontId="52" fillId="41" borderId="0" xfId="151" applyFont="1" applyFill="1" applyBorder="1" applyAlignment="1" applyProtection="1">
      <alignment horizontal="left" vertical="top" wrapText="1"/>
      <protection locked="0"/>
    </xf>
    <xf numFmtId="0" fontId="33" fillId="40" borderId="13" xfId="153" applyFont="1" applyFill="1" applyBorder="1" applyAlignment="1" applyProtection="1">
      <alignment horizontal="left" vertical="top" wrapText="1" indent="2"/>
      <protection locked="0"/>
    </xf>
    <xf numFmtId="0" fontId="33" fillId="40" borderId="18" xfId="153" applyFont="1" applyFill="1" applyBorder="1" applyAlignment="1" applyProtection="1">
      <alignment horizontal="left" vertical="top"/>
      <protection locked="0"/>
    </xf>
    <xf numFmtId="3" fontId="14" fillId="40" borderId="18" xfId="153" applyNumberFormat="1" applyFont="1" applyFill="1" applyBorder="1" applyAlignment="1" applyProtection="1">
      <alignment vertical="top"/>
      <protection locked="0"/>
    </xf>
    <xf numFmtId="3" fontId="14" fillId="40" borderId="18" xfId="153" applyNumberFormat="1" applyFont="1" applyFill="1" applyBorder="1" applyAlignment="1" applyProtection="1">
      <alignment vertical="top"/>
    </xf>
    <xf numFmtId="3" fontId="14" fillId="40" borderId="18" xfId="153" applyNumberFormat="1" applyFont="1" applyFill="1" applyBorder="1" applyAlignment="1" applyProtection="1">
      <alignment horizontal="left" vertical="top"/>
    </xf>
    <xf numFmtId="0" fontId="14" fillId="40" borderId="13" xfId="153" applyFont="1" applyFill="1" applyBorder="1" applyAlignment="1" applyProtection="1">
      <alignment horizontal="left" vertical="top" wrapText="1"/>
      <protection locked="0"/>
    </xf>
    <xf numFmtId="0" fontId="14" fillId="40" borderId="18" xfId="153" applyFont="1" applyFill="1" applyBorder="1" applyAlignment="1" applyProtection="1">
      <alignment horizontal="left" vertical="top"/>
      <protection locked="0"/>
    </xf>
    <xf numFmtId="3" fontId="14" fillId="40" borderId="18" xfId="153" applyNumberFormat="1" applyFont="1" applyFill="1" applyBorder="1" applyAlignment="1" applyProtection="1">
      <alignment horizontal="left" vertical="top"/>
      <protection locked="0"/>
    </xf>
    <xf numFmtId="0" fontId="14" fillId="40" borderId="17" xfId="153" applyFont="1" applyFill="1" applyBorder="1" applyAlignment="1" applyProtection="1">
      <alignment horizontal="left" vertical="top" wrapText="1"/>
      <protection locked="0"/>
    </xf>
    <xf numFmtId="3" fontId="14" fillId="40" borderId="18" xfId="148" applyNumberFormat="1" applyFont="1" applyFill="1" applyBorder="1" applyAlignment="1" applyProtection="1">
      <alignment horizontal="right" vertical="top"/>
      <protection locked="0"/>
    </xf>
    <xf numFmtId="3" fontId="14" fillId="40" borderId="18" xfId="148" applyNumberFormat="1" applyFont="1" applyFill="1" applyBorder="1" applyAlignment="1" applyProtection="1">
      <alignment horizontal="left" vertical="top"/>
      <protection locked="0"/>
    </xf>
    <xf numFmtId="0" fontId="33" fillId="40" borderId="18" xfId="153" applyFont="1" applyFill="1" applyBorder="1" applyAlignment="1" applyProtection="1">
      <alignment horizontal="left" vertical="top" wrapText="1" indent="2"/>
      <protection locked="0"/>
    </xf>
    <xf numFmtId="3" fontId="33" fillId="40" borderId="18" xfId="153" applyNumberFormat="1" applyFont="1" applyFill="1" applyBorder="1" applyAlignment="1" applyProtection="1">
      <alignment horizontal="left" vertical="top"/>
      <protection locked="0"/>
    </xf>
    <xf numFmtId="0" fontId="14" fillId="40" borderId="18" xfId="223" applyFont="1" applyFill="1" applyBorder="1" applyAlignment="1" applyProtection="1">
      <alignment horizontal="left" vertical="top" wrapText="1"/>
      <protection locked="0"/>
    </xf>
    <xf numFmtId="0" fontId="14" fillId="40" borderId="18" xfId="223" applyFont="1" applyFill="1" applyBorder="1" applyAlignment="1" applyProtection="1">
      <alignment horizontal="left" vertical="top"/>
      <protection locked="0"/>
    </xf>
    <xf numFmtId="3" fontId="14" fillId="40" borderId="18" xfId="151" applyNumberFormat="1" applyFont="1" applyFill="1" applyBorder="1" applyAlignment="1">
      <alignment vertical="top"/>
    </xf>
    <xf numFmtId="3" fontId="14" fillId="40" borderId="18" xfId="151" applyNumberFormat="1" applyFont="1" applyFill="1" applyBorder="1" applyAlignment="1">
      <alignment horizontal="left" vertical="top"/>
    </xf>
    <xf numFmtId="0" fontId="33" fillId="40" borderId="18" xfId="151" applyFont="1" applyFill="1" applyBorder="1" applyAlignment="1" applyProtection="1">
      <alignment horizontal="left" vertical="top" wrapText="1" indent="4"/>
      <protection locked="0"/>
    </xf>
    <xf numFmtId="0" fontId="87" fillId="40" borderId="18" xfId="151" applyFont="1" applyFill="1" applyBorder="1" applyAlignment="1" applyProtection="1">
      <alignment horizontal="left" vertical="top"/>
      <protection locked="0"/>
    </xf>
    <xf numFmtId="3" fontId="87" fillId="40" borderId="18" xfId="151" applyNumberFormat="1" applyFont="1" applyFill="1" applyBorder="1" applyAlignment="1" applyProtection="1">
      <alignment horizontal="right" vertical="top"/>
      <protection locked="0"/>
    </xf>
    <xf numFmtId="3" fontId="87" fillId="40" borderId="18" xfId="151" applyNumberFormat="1" applyFont="1" applyFill="1" applyBorder="1" applyAlignment="1" applyProtection="1">
      <alignment vertical="top"/>
      <protection locked="0"/>
    </xf>
    <xf numFmtId="3" fontId="87" fillId="40" borderId="18" xfId="151" applyNumberFormat="1" applyFont="1" applyFill="1" applyBorder="1" applyAlignment="1" applyProtection="1">
      <alignment horizontal="left" vertical="top"/>
      <protection locked="0"/>
    </xf>
    <xf numFmtId="0" fontId="33" fillId="40" borderId="18" xfId="153" applyFont="1" applyFill="1" applyBorder="1" applyAlignment="1" applyProtection="1">
      <alignment horizontal="left" vertical="top" wrapText="1" indent="4"/>
      <protection locked="0"/>
    </xf>
    <xf numFmtId="0" fontId="87" fillId="40" borderId="18" xfId="153" applyFont="1" applyFill="1" applyBorder="1" applyAlignment="1" applyProtection="1">
      <alignment horizontal="left" vertical="top"/>
      <protection locked="0"/>
    </xf>
    <xf numFmtId="3" fontId="87" fillId="40" borderId="18" xfId="153" applyNumberFormat="1" applyFont="1" applyFill="1" applyBorder="1" applyAlignment="1" applyProtection="1">
      <alignment vertical="top"/>
      <protection locked="0"/>
    </xf>
    <xf numFmtId="3" fontId="87" fillId="40" borderId="18" xfId="153" applyNumberFormat="1" applyFont="1" applyFill="1" applyBorder="1" applyAlignment="1" applyProtection="1">
      <alignment horizontal="left" vertical="top"/>
      <protection locked="0"/>
    </xf>
    <xf numFmtId="0" fontId="14" fillId="43" borderId="18" xfId="153" applyFont="1" applyFill="1" applyBorder="1" applyAlignment="1" applyProtection="1">
      <alignment horizontal="left" vertical="top" wrapText="1"/>
      <protection locked="0"/>
    </xf>
    <xf numFmtId="0" fontId="14" fillId="43" borderId="18" xfId="153" applyFont="1" applyFill="1" applyBorder="1" applyAlignment="1" applyProtection="1">
      <alignment horizontal="left" vertical="top"/>
      <protection locked="0"/>
    </xf>
    <xf numFmtId="3" fontId="14" fillId="43" borderId="18" xfId="153" applyNumberFormat="1" applyFont="1" applyFill="1" applyBorder="1" applyAlignment="1" applyProtection="1">
      <alignment vertical="top"/>
      <protection locked="0"/>
    </xf>
    <xf numFmtId="3" fontId="14" fillId="43" borderId="18" xfId="153" applyNumberFormat="1" applyFont="1" applyFill="1" applyBorder="1" applyAlignment="1" applyProtection="1">
      <alignment horizontal="left" vertical="top"/>
      <protection locked="0"/>
    </xf>
    <xf numFmtId="0" fontId="33" fillId="43" borderId="18" xfId="148" applyFont="1" applyFill="1" applyBorder="1" applyAlignment="1" applyProtection="1">
      <alignment horizontal="left" vertical="top" wrapText="1" indent="1"/>
      <protection locked="0"/>
    </xf>
    <xf numFmtId="0" fontId="33" fillId="43" borderId="18" xfId="153" applyFont="1" applyFill="1" applyBorder="1" applyAlignment="1" applyProtection="1">
      <alignment horizontal="left" vertical="top"/>
      <protection locked="0"/>
    </xf>
    <xf numFmtId="3" fontId="33" fillId="43" borderId="18" xfId="153" applyNumberFormat="1" applyFont="1" applyFill="1" applyBorder="1" applyAlignment="1" applyProtection="1">
      <alignment vertical="top"/>
      <protection locked="0"/>
    </xf>
    <xf numFmtId="3" fontId="33" fillId="43" borderId="18" xfId="153" applyNumberFormat="1" applyFont="1" applyFill="1" applyBorder="1" applyAlignment="1" applyProtection="1">
      <alignment horizontal="left" vertical="top"/>
      <protection locked="0"/>
    </xf>
    <xf numFmtId="3" fontId="14" fillId="43" borderId="18" xfId="151" applyNumberFormat="1" applyFont="1" applyFill="1" applyBorder="1" applyAlignment="1" applyProtection="1">
      <alignment horizontal="right" vertical="top"/>
      <protection locked="0"/>
    </xf>
    <xf numFmtId="3" fontId="14" fillId="43" borderId="18" xfId="151" applyNumberFormat="1" applyFont="1" applyFill="1" applyBorder="1" applyAlignment="1" applyProtection="1">
      <alignment horizontal="left" vertical="top"/>
      <protection locked="0"/>
    </xf>
    <xf numFmtId="3" fontId="14" fillId="43" borderId="18" xfId="151" applyNumberFormat="1" applyFont="1" applyFill="1" applyBorder="1" applyAlignment="1" applyProtection="1">
      <alignment horizontal="right"/>
      <protection locked="0"/>
    </xf>
    <xf numFmtId="3" fontId="14" fillId="43" borderId="18" xfId="151" applyNumberFormat="1" applyFont="1" applyFill="1" applyBorder="1" applyAlignment="1" applyProtection="1">
      <alignment horizontal="left"/>
      <protection locked="0"/>
    </xf>
    <xf numFmtId="0" fontId="33" fillId="43" borderId="18" xfId="151" applyFont="1" applyFill="1" applyBorder="1" applyAlignment="1" applyProtection="1">
      <alignment horizontal="left" vertical="top" wrapText="1" indent="1"/>
      <protection locked="0"/>
    </xf>
    <xf numFmtId="0" fontId="87" fillId="43" borderId="18" xfId="151" applyFont="1" applyFill="1" applyBorder="1" applyAlignment="1" applyProtection="1">
      <alignment horizontal="left" vertical="top"/>
      <protection locked="0"/>
    </xf>
    <xf numFmtId="3" fontId="87" fillId="43" borderId="18" xfId="153" applyNumberFormat="1" applyFont="1" applyFill="1" applyBorder="1" applyAlignment="1" applyProtection="1">
      <alignment vertical="top"/>
      <protection locked="0"/>
    </xf>
    <xf numFmtId="3" fontId="87" fillId="43" borderId="18" xfId="153" applyNumberFormat="1" applyFont="1" applyFill="1" applyBorder="1" applyAlignment="1" applyProtection="1">
      <alignment horizontal="left" vertical="top"/>
      <protection locked="0"/>
    </xf>
    <xf numFmtId="0" fontId="33" fillId="43" borderId="18" xfId="153" applyFont="1" applyFill="1" applyBorder="1" applyAlignment="1" applyProtection="1">
      <alignment horizontal="left" vertical="top" wrapText="1" indent="2"/>
      <protection locked="0"/>
    </xf>
    <xf numFmtId="0" fontId="14" fillId="43" borderId="13" xfId="153" applyFont="1" applyFill="1" applyBorder="1" applyAlignment="1" applyProtection="1">
      <alignment horizontal="left" vertical="top" wrapText="1"/>
      <protection locked="0"/>
    </xf>
    <xf numFmtId="0" fontId="14" fillId="43" borderId="18" xfId="151" applyFont="1" applyFill="1" applyBorder="1" applyAlignment="1" applyProtection="1">
      <alignment horizontal="left" vertical="top"/>
      <protection locked="0"/>
    </xf>
    <xf numFmtId="0" fontId="14" fillId="43" borderId="18" xfId="151" applyFont="1" applyFill="1" applyBorder="1" applyAlignment="1">
      <alignment vertical="top" wrapText="1"/>
    </xf>
    <xf numFmtId="3" fontId="14" fillId="43" borderId="15" xfId="153" applyNumberFormat="1" applyFont="1" applyFill="1" applyBorder="1" applyAlignment="1" applyProtection="1">
      <alignment vertical="top"/>
      <protection locked="0"/>
    </xf>
    <xf numFmtId="0" fontId="33" fillId="43" borderId="18" xfId="153" applyFont="1" applyFill="1" applyBorder="1" applyAlignment="1" applyProtection="1">
      <alignment horizontal="left" vertical="top" wrapText="1" indent="1"/>
      <protection locked="0"/>
    </xf>
    <xf numFmtId="0" fontId="86" fillId="43" borderId="18" xfId="153" applyFont="1" applyFill="1" applyBorder="1" applyAlignment="1" applyProtection="1">
      <alignment horizontal="left" vertical="top"/>
      <protection locked="0"/>
    </xf>
    <xf numFmtId="0" fontId="33" fillId="43" borderId="12" xfId="153" applyFont="1" applyFill="1" applyBorder="1" applyAlignment="1" applyProtection="1">
      <alignment horizontal="left" vertical="top" wrapText="1" indent="3"/>
      <protection locked="0"/>
    </xf>
    <xf numFmtId="0" fontId="33" fillId="43" borderId="12" xfId="153" applyFont="1" applyFill="1" applyBorder="1" applyAlignment="1" applyProtection="1">
      <alignment horizontal="left" vertical="top" wrapText="1" indent="4"/>
      <protection locked="0"/>
    </xf>
    <xf numFmtId="0" fontId="33" fillId="43" borderId="17" xfId="153" applyFont="1" applyFill="1" applyBorder="1" applyAlignment="1" applyProtection="1">
      <alignment horizontal="left" vertical="top" wrapText="1" indent="4"/>
      <protection locked="0"/>
    </xf>
    <xf numFmtId="0" fontId="33" fillId="43" borderId="18" xfId="151" applyFont="1" applyFill="1" applyBorder="1" applyAlignment="1" applyProtection="1">
      <alignment horizontal="left" vertical="top" wrapText="1" indent="4"/>
      <protection locked="0"/>
    </xf>
    <xf numFmtId="3" fontId="87" fillId="43" borderId="18" xfId="151" applyNumberFormat="1" applyFont="1" applyFill="1" applyBorder="1" applyAlignment="1" applyProtection="1">
      <alignment horizontal="right" vertical="top"/>
      <protection locked="0"/>
    </xf>
    <xf numFmtId="3" fontId="87" fillId="43" borderId="18" xfId="151" applyNumberFormat="1" applyFont="1" applyFill="1" applyBorder="1" applyAlignment="1" applyProtection="1">
      <alignment vertical="top"/>
      <protection locked="0"/>
    </xf>
    <xf numFmtId="3" fontId="87" fillId="43" borderId="18" xfId="151" applyNumberFormat="1" applyFont="1" applyFill="1" applyBorder="1" applyAlignment="1" applyProtection="1">
      <alignment horizontal="left" vertical="top"/>
      <protection locked="0"/>
    </xf>
    <xf numFmtId="3" fontId="14" fillId="44" borderId="18" xfId="153" applyNumberFormat="1" applyFont="1" applyFill="1" applyBorder="1" applyAlignment="1" applyProtection="1">
      <alignment vertical="top"/>
      <protection locked="0"/>
    </xf>
    <xf numFmtId="3" fontId="14" fillId="44" borderId="18" xfId="153" applyNumberFormat="1" applyFont="1" applyFill="1" applyBorder="1" applyAlignment="1" applyProtection="1">
      <alignment horizontal="left" vertical="top"/>
      <protection locked="0"/>
    </xf>
    <xf numFmtId="3" fontId="33" fillId="44" borderId="18" xfId="153" applyNumberFormat="1" applyFont="1" applyFill="1" applyBorder="1" applyAlignment="1" applyProtection="1">
      <alignment vertical="top"/>
      <protection locked="0"/>
    </xf>
    <xf numFmtId="3" fontId="33" fillId="44" borderId="18" xfId="153" applyNumberFormat="1" applyFont="1" applyFill="1" applyBorder="1" applyAlignment="1" applyProtection="1">
      <alignment horizontal="left" vertical="top"/>
      <protection locked="0"/>
    </xf>
    <xf numFmtId="0" fontId="87" fillId="44" borderId="18" xfId="151" applyFont="1" applyFill="1" applyBorder="1" applyAlignment="1" applyProtection="1">
      <alignment horizontal="left" vertical="top"/>
      <protection locked="0"/>
    </xf>
    <xf numFmtId="3" fontId="87" fillId="44" borderId="18" xfId="153" applyNumberFormat="1" applyFont="1" applyFill="1" applyBorder="1" applyAlignment="1" applyProtection="1">
      <alignment vertical="top"/>
      <protection locked="0"/>
    </xf>
    <xf numFmtId="0" fontId="33" fillId="44" borderId="18" xfId="153" applyFont="1" applyFill="1" applyBorder="1" applyAlignment="1" applyProtection="1">
      <alignment horizontal="left" vertical="top" wrapText="1" indent="2"/>
      <protection locked="0"/>
    </xf>
    <xf numFmtId="0" fontId="14" fillId="44" borderId="18" xfId="151" applyFont="1" applyFill="1" applyBorder="1" applyAlignment="1" applyProtection="1">
      <alignment horizontal="left" vertical="top"/>
      <protection locked="0"/>
    </xf>
    <xf numFmtId="0" fontId="33" fillId="44" borderId="18" xfId="151" applyFont="1" applyFill="1" applyBorder="1" applyAlignment="1" applyProtection="1">
      <alignment horizontal="left" vertical="top" wrapText="1" indent="4"/>
      <protection locked="0"/>
    </xf>
    <xf numFmtId="3" fontId="87" fillId="44" borderId="18" xfId="151" applyNumberFormat="1" applyFont="1" applyFill="1" applyBorder="1" applyAlignment="1" applyProtection="1">
      <alignment horizontal="right" vertical="top"/>
      <protection locked="0"/>
    </xf>
    <xf numFmtId="3" fontId="87" fillId="44" borderId="18" xfId="151" applyNumberFormat="1" applyFont="1" applyFill="1" applyBorder="1" applyAlignment="1" applyProtection="1">
      <alignment vertical="top"/>
      <protection locked="0"/>
    </xf>
    <xf numFmtId="0" fontId="33" fillId="44" borderId="18" xfId="153" applyFont="1" applyFill="1" applyBorder="1" applyAlignment="1" applyProtection="1">
      <alignment horizontal="left" vertical="top" wrapText="1" indent="4"/>
      <protection locked="0"/>
    </xf>
    <xf numFmtId="0" fontId="14" fillId="32" borderId="13" xfId="153" applyFont="1" applyFill="1" applyBorder="1" applyAlignment="1" applyProtection="1">
      <alignment horizontal="left" vertical="top" wrapText="1"/>
      <protection locked="0"/>
    </xf>
    <xf numFmtId="0" fontId="14" fillId="32" borderId="18" xfId="153" applyFont="1" applyFill="1" applyBorder="1" applyAlignment="1" applyProtection="1">
      <alignment horizontal="left" vertical="top"/>
      <protection locked="0"/>
    </xf>
    <xf numFmtId="3" fontId="14" fillId="32" borderId="18" xfId="153" applyNumberFormat="1" applyFont="1" applyFill="1" applyBorder="1" applyAlignment="1" applyProtection="1">
      <alignment vertical="top"/>
      <protection locked="0"/>
    </xf>
    <xf numFmtId="3" fontId="14" fillId="32" borderId="18" xfId="153" applyNumberFormat="1" applyFont="1" applyFill="1" applyBorder="1" applyAlignment="1" applyProtection="1">
      <alignment horizontal="left" vertical="top"/>
      <protection locked="0"/>
    </xf>
    <xf numFmtId="0" fontId="14" fillId="32" borderId="18" xfId="153" applyFont="1" applyFill="1" applyBorder="1" applyAlignment="1" applyProtection="1">
      <alignment horizontal="left" vertical="top" wrapText="1"/>
      <protection locked="0"/>
    </xf>
    <xf numFmtId="0" fontId="33" fillId="32" borderId="18" xfId="153" applyFont="1" applyFill="1" applyBorder="1" applyAlignment="1" applyProtection="1">
      <alignment horizontal="left" vertical="top" wrapText="1" indent="2"/>
      <protection locked="0"/>
    </xf>
    <xf numFmtId="0" fontId="33" fillId="32" borderId="18" xfId="153" applyFont="1" applyFill="1" applyBorder="1" applyAlignment="1" applyProtection="1">
      <alignment horizontal="left" vertical="top"/>
      <protection locked="0"/>
    </xf>
    <xf numFmtId="3" fontId="33" fillId="32" borderId="18" xfId="153" applyNumberFormat="1" applyFont="1" applyFill="1" applyBorder="1" applyAlignment="1" applyProtection="1">
      <alignment horizontal="left" vertical="top"/>
      <protection locked="0"/>
    </xf>
    <xf numFmtId="0" fontId="33" fillId="32" borderId="18" xfId="151" applyFont="1" applyFill="1" applyBorder="1" applyAlignment="1">
      <alignment horizontal="left" indent="1"/>
    </xf>
    <xf numFmtId="0" fontId="87" fillId="32" borderId="18" xfId="153" applyFont="1" applyFill="1" applyBorder="1" applyAlignment="1" applyProtection="1">
      <alignment horizontal="left" vertical="top"/>
      <protection locked="0"/>
    </xf>
    <xf numFmtId="3" fontId="87" fillId="32" borderId="18" xfId="151" applyNumberFormat="1" applyFont="1" applyFill="1" applyBorder="1" applyAlignment="1">
      <alignment vertical="top"/>
    </xf>
    <xf numFmtId="3" fontId="87" fillId="32" borderId="18" xfId="151" applyNumberFormat="1" applyFont="1" applyFill="1" applyBorder="1" applyAlignment="1">
      <alignment horizontal="left" vertical="top"/>
    </xf>
    <xf numFmtId="0" fontId="33" fillId="32" borderId="18" xfId="153" applyFont="1" applyFill="1" applyBorder="1" applyAlignment="1" applyProtection="1">
      <alignment horizontal="left" vertical="top" wrapText="1" indent="3"/>
      <protection locked="0"/>
    </xf>
    <xf numFmtId="0" fontId="87" fillId="32" borderId="18" xfId="151" applyFont="1" applyFill="1" applyBorder="1" applyAlignment="1" applyProtection="1">
      <alignment horizontal="left" vertical="top"/>
      <protection locked="0"/>
    </xf>
    <xf numFmtId="3" fontId="87" fillId="32" borderId="18" xfId="151" applyNumberFormat="1" applyFont="1" applyFill="1" applyBorder="1" applyAlignment="1" applyProtection="1">
      <alignment horizontal="right" vertical="top"/>
      <protection locked="0"/>
    </xf>
    <xf numFmtId="3" fontId="87" fillId="32" borderId="18" xfId="151" applyNumberFormat="1" applyFont="1" applyFill="1" applyBorder="1" applyAlignment="1" applyProtection="1">
      <alignment vertical="top"/>
      <protection locked="0"/>
    </xf>
    <xf numFmtId="3" fontId="87" fillId="32" borderId="18" xfId="151" applyNumberFormat="1" applyFont="1" applyFill="1" applyBorder="1" applyAlignment="1" applyProtection="1">
      <alignment horizontal="left" vertical="top"/>
      <protection locked="0"/>
    </xf>
    <xf numFmtId="0" fontId="33" fillId="32" borderId="18" xfId="151" applyFont="1" applyFill="1" applyBorder="1" applyAlignment="1" applyProtection="1">
      <alignment horizontal="left" vertical="top" wrapText="1" indent="4"/>
      <protection locked="0"/>
    </xf>
    <xf numFmtId="0" fontId="33" fillId="32" borderId="18" xfId="153" applyFont="1" applyFill="1" applyBorder="1" applyAlignment="1" applyProtection="1">
      <alignment horizontal="left" vertical="top" wrapText="1" indent="1"/>
      <protection locked="0"/>
    </xf>
    <xf numFmtId="3" fontId="87" fillId="32" borderId="18" xfId="153" applyNumberFormat="1" applyFont="1" applyFill="1" applyBorder="1" applyAlignment="1" applyProtection="1">
      <alignment vertical="top"/>
      <protection locked="0"/>
    </xf>
    <xf numFmtId="3" fontId="87" fillId="32" borderId="18" xfId="153" applyNumberFormat="1" applyFont="1" applyFill="1" applyBorder="1" applyAlignment="1" applyProtection="1">
      <alignment horizontal="left" vertical="top"/>
      <protection locked="0"/>
    </xf>
    <xf numFmtId="0" fontId="14" fillId="33" borderId="18" xfId="153" applyFont="1" applyFill="1" applyBorder="1" applyAlignment="1" applyProtection="1">
      <alignment horizontal="left" vertical="top" wrapText="1"/>
      <protection locked="0"/>
    </xf>
    <xf numFmtId="0" fontId="14" fillId="33" borderId="18" xfId="153" applyFont="1" applyFill="1" applyBorder="1" applyAlignment="1" applyProtection="1">
      <alignment horizontal="left" vertical="top"/>
      <protection locked="0"/>
    </xf>
    <xf numFmtId="3" fontId="14" fillId="33" borderId="18" xfId="223" applyNumberFormat="1" applyFont="1" applyFill="1" applyBorder="1" applyAlignment="1" applyProtection="1">
      <alignment vertical="top"/>
      <protection locked="0"/>
    </xf>
    <xf numFmtId="3" fontId="14" fillId="33" borderId="18" xfId="153" applyNumberFormat="1" applyFont="1" applyFill="1" applyBorder="1" applyAlignment="1" applyProtection="1">
      <alignment vertical="top"/>
      <protection locked="0"/>
    </xf>
    <xf numFmtId="3" fontId="14" fillId="33" borderId="18" xfId="153" applyNumberFormat="1" applyFont="1" applyFill="1" applyBorder="1" applyAlignment="1" applyProtection="1">
      <alignment horizontal="left" vertical="top"/>
      <protection locked="0"/>
    </xf>
    <xf numFmtId="0" fontId="14" fillId="33" borderId="17" xfId="153" applyFont="1" applyFill="1" applyBorder="1" applyAlignment="1" applyProtection="1">
      <alignment horizontal="left" vertical="top" wrapText="1"/>
      <protection locked="0"/>
    </xf>
    <xf numFmtId="0" fontId="33" fillId="33" borderId="18" xfId="153" applyFont="1" applyFill="1" applyBorder="1" applyAlignment="1" applyProtection="1">
      <alignment horizontal="left" vertical="top" wrapText="1" indent="2"/>
      <protection locked="0"/>
    </xf>
    <xf numFmtId="0" fontId="33" fillId="33" borderId="18" xfId="153" applyFont="1" applyFill="1" applyBorder="1" applyAlignment="1" applyProtection="1">
      <alignment horizontal="left" vertical="top"/>
      <protection locked="0"/>
    </xf>
    <xf numFmtId="3" fontId="33" fillId="33" borderId="18" xfId="153" applyNumberFormat="1" applyFont="1" applyFill="1" applyBorder="1" applyAlignment="1" applyProtection="1">
      <alignment vertical="top"/>
      <protection locked="0"/>
    </xf>
    <xf numFmtId="3" fontId="33" fillId="33" borderId="18" xfId="153" applyNumberFormat="1" applyFont="1" applyFill="1" applyBorder="1" applyAlignment="1" applyProtection="1">
      <alignment horizontal="left" vertical="top"/>
      <protection locked="0"/>
    </xf>
    <xf numFmtId="0" fontId="87" fillId="33" borderId="18" xfId="151" applyFont="1" applyFill="1" applyBorder="1" applyAlignment="1" applyProtection="1">
      <alignment horizontal="left" vertical="top"/>
      <protection locked="0"/>
    </xf>
    <xf numFmtId="0" fontId="33" fillId="33" borderId="18" xfId="151" applyFont="1" applyFill="1" applyBorder="1" applyAlignment="1" applyProtection="1">
      <alignment horizontal="left" vertical="top" wrapText="1" indent="2"/>
      <protection locked="0"/>
    </xf>
    <xf numFmtId="0" fontId="33" fillId="33" borderId="18" xfId="151" applyFont="1" applyFill="1" applyBorder="1" applyAlignment="1" applyProtection="1">
      <alignment horizontal="left" vertical="top" wrapText="1" indent="4"/>
      <protection locked="0"/>
    </xf>
    <xf numFmtId="3" fontId="87" fillId="33" borderId="18" xfId="151" applyNumberFormat="1" applyFont="1" applyFill="1" applyBorder="1" applyAlignment="1" applyProtection="1">
      <alignment horizontal="right" vertical="top"/>
      <protection locked="0"/>
    </xf>
    <xf numFmtId="3" fontId="87" fillId="33" borderId="18" xfId="151" applyNumberFormat="1" applyFont="1" applyFill="1" applyBorder="1" applyAlignment="1" applyProtection="1">
      <alignment vertical="top"/>
      <protection locked="0"/>
    </xf>
    <xf numFmtId="0" fontId="14" fillId="42" borderId="18" xfId="153" applyFont="1" applyFill="1" applyBorder="1" applyAlignment="1" applyProtection="1">
      <alignment horizontal="left" vertical="top" wrapText="1"/>
      <protection locked="0"/>
    </xf>
    <xf numFmtId="0" fontId="14" fillId="42" borderId="18" xfId="153" applyFont="1" applyFill="1" applyBorder="1" applyAlignment="1" applyProtection="1">
      <alignment horizontal="left" vertical="top"/>
      <protection locked="0"/>
    </xf>
    <xf numFmtId="3" fontId="14" fillId="42" borderId="18" xfId="223" applyNumberFormat="1" applyFont="1" applyFill="1" applyBorder="1" applyAlignment="1" applyProtection="1">
      <alignment vertical="top"/>
      <protection locked="0"/>
    </xf>
    <xf numFmtId="3" fontId="14" fillId="42" borderId="18" xfId="153" applyNumberFormat="1" applyFont="1" applyFill="1" applyBorder="1" applyAlignment="1" applyProtection="1">
      <alignment vertical="top"/>
      <protection locked="0"/>
    </xf>
    <xf numFmtId="3" fontId="14" fillId="42" borderId="18" xfId="153" applyNumberFormat="1" applyFont="1" applyFill="1" applyBorder="1" applyAlignment="1" applyProtection="1">
      <alignment horizontal="left" vertical="top"/>
      <protection locked="0"/>
    </xf>
    <xf numFmtId="0" fontId="14" fillId="42" borderId="17" xfId="153" applyFont="1" applyFill="1" applyBorder="1" applyAlignment="1" applyProtection="1">
      <alignment horizontal="left" vertical="top" wrapText="1"/>
      <protection locked="0"/>
    </xf>
    <xf numFmtId="0" fontId="14" fillId="42" borderId="18" xfId="224" applyFont="1" applyFill="1" applyBorder="1" applyAlignment="1" applyProtection="1">
      <alignment horizontal="left" vertical="top"/>
      <protection locked="0"/>
    </xf>
    <xf numFmtId="3" fontId="14" fillId="42" borderId="18" xfId="153" applyNumberFormat="1" applyFont="1" applyFill="1" applyBorder="1" applyAlignment="1" applyProtection="1">
      <alignment horizontal="right" vertical="top" wrapText="1"/>
      <protection locked="0"/>
    </xf>
    <xf numFmtId="3" fontId="14" fillId="42" borderId="18" xfId="224" applyNumberFormat="1" applyFont="1" applyFill="1" applyBorder="1" applyAlignment="1" applyProtection="1">
      <alignment vertical="top"/>
      <protection locked="0"/>
    </xf>
    <xf numFmtId="3" fontId="14" fillId="42" borderId="18" xfId="224" applyNumberFormat="1" applyFont="1" applyFill="1" applyBorder="1" applyAlignment="1" applyProtection="1">
      <alignment horizontal="left" vertical="top"/>
      <protection locked="0"/>
    </xf>
    <xf numFmtId="0" fontId="33" fillId="42" borderId="18" xfId="153" applyFont="1" applyFill="1" applyBorder="1" applyAlignment="1" applyProtection="1">
      <alignment horizontal="left" vertical="top" wrapText="1" indent="2"/>
      <protection locked="0"/>
    </xf>
    <xf numFmtId="0" fontId="33" fillId="42" borderId="18" xfId="153" applyFont="1" applyFill="1" applyBorder="1" applyAlignment="1" applyProtection="1">
      <alignment horizontal="left" vertical="top"/>
      <protection locked="0"/>
    </xf>
    <xf numFmtId="3" fontId="33" fillId="42" borderId="18" xfId="153" applyNumberFormat="1" applyFont="1" applyFill="1" applyBorder="1" applyAlignment="1" applyProtection="1">
      <alignment vertical="top"/>
      <protection locked="0"/>
    </xf>
    <xf numFmtId="3" fontId="33" fillId="42" borderId="18" xfId="153" applyNumberFormat="1" applyFont="1" applyFill="1" applyBorder="1" applyAlignment="1" applyProtection="1">
      <alignment horizontal="left" vertical="top"/>
      <protection locked="0"/>
    </xf>
    <xf numFmtId="0" fontId="33" fillId="42" borderId="18" xfId="151" applyFont="1" applyFill="1" applyBorder="1" applyAlignment="1" applyProtection="1">
      <alignment horizontal="left" vertical="top" wrapText="1" indent="1"/>
      <protection locked="0"/>
    </xf>
    <xf numFmtId="0" fontId="87" fillId="42" borderId="18" xfId="151" applyFont="1" applyFill="1" applyBorder="1" applyAlignment="1" applyProtection="1">
      <alignment horizontal="left" vertical="top"/>
      <protection locked="0"/>
    </xf>
    <xf numFmtId="3" fontId="87" fillId="42" borderId="18" xfId="153" applyNumberFormat="1" applyFont="1" applyFill="1" applyBorder="1" applyAlignment="1" applyProtection="1">
      <alignment vertical="top"/>
      <protection locked="0"/>
    </xf>
    <xf numFmtId="3" fontId="87" fillId="42" borderId="18" xfId="153" applyNumberFormat="1" applyFont="1" applyFill="1" applyBorder="1" applyAlignment="1" applyProtection="1">
      <alignment horizontal="left" vertical="top"/>
      <protection locked="0"/>
    </xf>
    <xf numFmtId="0" fontId="33" fillId="42" borderId="18" xfId="153" applyFont="1" applyFill="1" applyBorder="1" applyAlignment="1" applyProtection="1">
      <alignment horizontal="left" vertical="top" wrapText="1" indent="1"/>
      <protection locked="0"/>
    </xf>
    <xf numFmtId="0" fontId="33" fillId="42" borderId="18" xfId="151" applyFont="1" applyFill="1" applyBorder="1" applyAlignment="1" applyProtection="1">
      <alignment horizontal="left" vertical="top" wrapText="1" indent="4"/>
      <protection locked="0"/>
    </xf>
    <xf numFmtId="3" fontId="87" fillId="42" borderId="18" xfId="151" applyNumberFormat="1" applyFont="1" applyFill="1" applyBorder="1" applyAlignment="1" applyProtection="1">
      <alignment horizontal="right" vertical="top"/>
      <protection locked="0"/>
    </xf>
    <xf numFmtId="3" fontId="87" fillId="42" borderId="18" xfId="151" applyNumberFormat="1" applyFont="1" applyFill="1" applyBorder="1" applyAlignment="1" applyProtection="1">
      <alignment vertical="top"/>
      <protection locked="0"/>
    </xf>
    <xf numFmtId="3" fontId="87" fillId="42" borderId="18" xfId="151" applyNumberFormat="1" applyFont="1" applyFill="1" applyBorder="1" applyAlignment="1" applyProtection="1">
      <alignment horizontal="left" vertical="top"/>
      <protection locked="0"/>
    </xf>
    <xf numFmtId="0" fontId="87" fillId="42" borderId="18" xfId="153" applyFont="1" applyFill="1" applyBorder="1" applyAlignment="1" applyProtection="1">
      <alignment horizontal="left" vertical="top"/>
      <protection locked="0"/>
    </xf>
    <xf numFmtId="3" fontId="14" fillId="33" borderId="15" xfId="153" applyNumberFormat="1" applyFont="1" applyFill="1" applyBorder="1" applyAlignment="1" applyProtection="1">
      <alignment vertical="top"/>
      <protection locked="0"/>
    </xf>
    <xf numFmtId="0" fontId="33" fillId="33" borderId="17" xfId="153" applyFont="1" applyFill="1" applyBorder="1" applyAlignment="1" applyProtection="1">
      <alignment horizontal="left" vertical="top" wrapText="1" indent="2"/>
      <protection locked="0"/>
    </xf>
    <xf numFmtId="0" fontId="76" fillId="33" borderId="17" xfId="224" applyFont="1" applyFill="1" applyBorder="1" applyAlignment="1">
      <alignment vertical="top"/>
    </xf>
    <xf numFmtId="3" fontId="14" fillId="33" borderId="17" xfId="153" applyNumberFormat="1" applyFont="1" applyFill="1" applyBorder="1" applyAlignment="1" applyProtection="1">
      <alignment vertical="top"/>
      <protection locked="0"/>
    </xf>
    <xf numFmtId="3" fontId="14" fillId="33" borderId="17" xfId="153" applyNumberFormat="1" applyFont="1" applyFill="1" applyBorder="1" applyAlignment="1" applyProtection="1">
      <alignment horizontal="left" vertical="top"/>
      <protection locked="0"/>
    </xf>
    <xf numFmtId="0" fontId="14" fillId="33" borderId="18" xfId="49" applyFont="1" applyFill="1" applyBorder="1" applyAlignment="1" applyProtection="1">
      <alignment horizontal="left" vertical="top" wrapText="1"/>
      <protection locked="0"/>
    </xf>
    <xf numFmtId="3" fontId="33" fillId="33" borderId="18" xfId="151" applyNumberFormat="1" applyFont="1" applyFill="1" applyBorder="1" applyAlignment="1" applyProtection="1">
      <alignment horizontal="left" vertical="top"/>
      <protection locked="0"/>
    </xf>
    <xf numFmtId="3" fontId="14" fillId="33" borderId="18" xfId="49" applyNumberFormat="1" applyFont="1" applyFill="1" applyBorder="1" applyAlignment="1" applyProtection="1">
      <alignment vertical="top"/>
      <protection locked="0"/>
    </xf>
    <xf numFmtId="3" fontId="14" fillId="33" borderId="18" xfId="49" applyNumberFormat="1" applyFont="1" applyFill="1" applyBorder="1" applyAlignment="1" applyProtection="1">
      <alignment horizontal="left" vertical="top"/>
      <protection locked="0"/>
    </xf>
    <xf numFmtId="0" fontId="14" fillId="39" borderId="17" xfId="153" applyFont="1" applyFill="1" applyBorder="1" applyAlignment="1" applyProtection="1">
      <alignment horizontal="left" vertical="top" wrapText="1"/>
      <protection locked="0"/>
    </xf>
    <xf numFmtId="0" fontId="14" fillId="39" borderId="18" xfId="153" applyFont="1" applyFill="1" applyBorder="1" applyAlignment="1" applyProtection="1">
      <alignment horizontal="left" vertical="top"/>
      <protection locked="0"/>
    </xf>
    <xf numFmtId="3" fontId="14" fillId="39" borderId="18" xfId="153" applyNumberFormat="1" applyFont="1" applyFill="1" applyBorder="1" applyAlignment="1" applyProtection="1">
      <alignment vertical="top"/>
      <protection locked="0"/>
    </xf>
    <xf numFmtId="3" fontId="14" fillId="39" borderId="18" xfId="153" applyNumberFormat="1" applyFont="1" applyFill="1" applyBorder="1" applyAlignment="1" applyProtection="1">
      <alignment horizontal="left" vertical="top"/>
      <protection locked="0"/>
    </xf>
    <xf numFmtId="0" fontId="14" fillId="39" borderId="18" xfId="153" applyFont="1" applyFill="1" applyBorder="1" applyAlignment="1" applyProtection="1">
      <alignment horizontal="left" vertical="top" wrapText="1"/>
      <protection locked="0"/>
    </xf>
    <xf numFmtId="3" fontId="14" fillId="39" borderId="18" xfId="153" applyNumberFormat="1" applyFont="1" applyFill="1" applyBorder="1" applyAlignment="1" applyProtection="1">
      <alignment horizontal="right" vertical="top" wrapText="1"/>
      <protection locked="0"/>
    </xf>
    <xf numFmtId="0" fontId="14" fillId="39" borderId="18" xfId="224" applyFont="1" applyFill="1" applyBorder="1" applyAlignment="1" applyProtection="1">
      <alignment horizontal="left" vertical="top"/>
      <protection locked="0"/>
    </xf>
    <xf numFmtId="3" fontId="14" fillId="39" borderId="18" xfId="224" applyNumberFormat="1" applyFont="1" applyFill="1" applyBorder="1" applyAlignment="1" applyProtection="1">
      <alignment vertical="top"/>
      <protection locked="0"/>
    </xf>
    <xf numFmtId="3" fontId="14" fillId="39" borderId="18" xfId="224" applyNumberFormat="1" applyFont="1" applyFill="1" applyBorder="1" applyAlignment="1" applyProtection="1">
      <alignment horizontal="left" vertical="top"/>
      <protection locked="0"/>
    </xf>
    <xf numFmtId="0" fontId="33" fillId="39" borderId="18" xfId="153" applyFont="1" applyFill="1" applyBorder="1" applyAlignment="1" applyProtection="1">
      <alignment horizontal="left" vertical="top" wrapText="1" indent="1"/>
      <protection locked="0"/>
    </xf>
    <xf numFmtId="0" fontId="33" fillId="39" borderId="18" xfId="153" applyFont="1" applyFill="1" applyBorder="1" applyAlignment="1" applyProtection="1">
      <alignment horizontal="left" vertical="top"/>
      <protection locked="0"/>
    </xf>
    <xf numFmtId="3" fontId="33" fillId="39" borderId="18" xfId="153" applyNumberFormat="1" applyFont="1" applyFill="1" applyBorder="1" applyAlignment="1" applyProtection="1">
      <alignment vertical="top"/>
      <protection locked="0"/>
    </xf>
    <xf numFmtId="3" fontId="33" fillId="39" borderId="18" xfId="49" applyNumberFormat="1" applyFont="1" applyFill="1" applyBorder="1" applyAlignment="1" applyProtection="1">
      <alignment vertical="top"/>
      <protection locked="0"/>
    </xf>
    <xf numFmtId="3" fontId="33" fillId="39" borderId="18" xfId="49" applyNumberFormat="1" applyFont="1" applyFill="1" applyBorder="1" applyAlignment="1" applyProtection="1">
      <alignment horizontal="left" vertical="top"/>
      <protection locked="0"/>
    </xf>
    <xf numFmtId="0" fontId="33" fillId="39" borderId="18" xfId="151" applyFont="1" applyFill="1" applyBorder="1" applyAlignment="1" applyProtection="1">
      <alignment horizontal="left" vertical="top" wrapText="1" indent="4"/>
      <protection locked="0"/>
    </xf>
    <xf numFmtId="0" fontId="87" fillId="39" borderId="18" xfId="151" applyFont="1" applyFill="1" applyBorder="1" applyAlignment="1" applyProtection="1">
      <alignment horizontal="left" vertical="top"/>
      <protection locked="0"/>
    </xf>
    <xf numFmtId="3" fontId="87" fillId="39" borderId="18" xfId="151" applyNumberFormat="1" applyFont="1" applyFill="1" applyBorder="1" applyAlignment="1" applyProtection="1">
      <alignment horizontal="right" vertical="top"/>
      <protection locked="0"/>
    </xf>
    <xf numFmtId="3" fontId="87" fillId="39" borderId="18" xfId="151" applyNumberFormat="1" applyFont="1" applyFill="1" applyBorder="1" applyAlignment="1" applyProtection="1">
      <alignment vertical="top"/>
      <protection locked="0"/>
    </xf>
    <xf numFmtId="3" fontId="87" fillId="39" borderId="18" xfId="151" applyNumberFormat="1" applyFont="1" applyFill="1" applyBorder="1" applyAlignment="1" applyProtection="1">
      <alignment horizontal="left" vertical="top"/>
      <protection locked="0"/>
    </xf>
    <xf numFmtId="0" fontId="33" fillId="39" borderId="18" xfId="153" applyFont="1" applyFill="1" applyBorder="1" applyAlignment="1" applyProtection="1">
      <alignment horizontal="left" vertical="top" wrapText="1" indent="3"/>
      <protection locked="0"/>
    </xf>
    <xf numFmtId="3" fontId="33" fillId="39" borderId="18" xfId="49" applyNumberFormat="1" applyFont="1" applyFill="1" applyBorder="1" applyAlignment="1" applyProtection="1">
      <alignment horizontal="right" vertical="top"/>
      <protection locked="0"/>
    </xf>
    <xf numFmtId="3" fontId="33" fillId="44" borderId="15" xfId="153" applyNumberFormat="1" applyFont="1" applyFill="1" applyBorder="1" applyAlignment="1" applyProtection="1">
      <alignment vertical="top"/>
      <protection locked="0"/>
    </xf>
    <xf numFmtId="0" fontId="14" fillId="44" borderId="18" xfId="151" applyFont="1" applyFill="1" applyBorder="1" applyAlignment="1" applyProtection="1">
      <alignment horizontal="left" vertical="top" wrapText="1"/>
      <protection locked="0"/>
    </xf>
    <xf numFmtId="0" fontId="14" fillId="44" borderId="18" xfId="224" applyFont="1" applyFill="1" applyBorder="1" applyAlignment="1">
      <alignment vertical="top"/>
    </xf>
    <xf numFmtId="0" fontId="76" fillId="44" borderId="18" xfId="224" applyFont="1" applyFill="1" applyBorder="1" applyAlignment="1">
      <alignment vertical="top"/>
    </xf>
    <xf numFmtId="3" fontId="76" fillId="44" borderId="18" xfId="224" applyNumberFormat="1" applyFont="1" applyFill="1" applyBorder="1" applyAlignment="1">
      <alignment vertical="top"/>
    </xf>
    <xf numFmtId="3" fontId="76" fillId="44" borderId="18" xfId="224" applyNumberFormat="1" applyFont="1" applyFill="1" applyBorder="1" applyAlignment="1">
      <alignment horizontal="left" vertical="top"/>
    </xf>
    <xf numFmtId="3" fontId="33" fillId="44" borderId="18" xfId="151" applyNumberFormat="1" applyFont="1" applyFill="1" applyBorder="1" applyAlignment="1" applyProtection="1">
      <alignment horizontal="left" vertical="top"/>
      <protection locked="0"/>
    </xf>
    <xf numFmtId="0" fontId="33" fillId="44" borderId="18" xfId="153" applyFont="1" applyFill="1" applyBorder="1" applyAlignment="1" applyProtection="1">
      <alignment horizontal="left" vertical="top" wrapText="1" indent="3"/>
      <protection locked="0"/>
    </xf>
    <xf numFmtId="0" fontId="87" fillId="44" borderId="18" xfId="153" applyFont="1" applyFill="1" applyBorder="1" applyAlignment="1" applyProtection="1">
      <alignment horizontal="left" vertical="top"/>
      <protection locked="0"/>
    </xf>
    <xf numFmtId="0" fontId="14" fillId="45" borderId="18" xfId="153" applyFont="1" applyFill="1" applyBorder="1" applyAlignment="1" applyProtection="1">
      <alignment horizontal="left" vertical="top" wrapText="1"/>
      <protection locked="0"/>
    </xf>
    <xf numFmtId="0" fontId="14" fillId="45" borderId="18" xfId="153" applyFont="1" applyFill="1" applyBorder="1" applyAlignment="1" applyProtection="1">
      <alignment horizontal="left" vertical="top"/>
      <protection locked="0"/>
    </xf>
    <xf numFmtId="3" fontId="14" fillId="45" borderId="18" xfId="49" applyNumberFormat="1" applyFont="1" applyFill="1" applyBorder="1" applyAlignment="1" applyProtection="1">
      <alignment vertical="top"/>
      <protection locked="0"/>
    </xf>
    <xf numFmtId="3" fontId="14" fillId="45" borderId="18" xfId="49" applyNumberFormat="1" applyFont="1" applyFill="1" applyBorder="1" applyAlignment="1" applyProtection="1">
      <alignment horizontal="left" vertical="top"/>
      <protection locked="0"/>
    </xf>
    <xf numFmtId="0" fontId="33" fillId="45" borderId="18" xfId="153" applyFont="1" applyFill="1" applyBorder="1" applyAlignment="1" applyProtection="1">
      <alignment horizontal="left" vertical="top" wrapText="1" indent="2"/>
      <protection locked="0"/>
    </xf>
    <xf numFmtId="3" fontId="14" fillId="45" borderId="18" xfId="153" applyNumberFormat="1" applyFont="1" applyFill="1" applyBorder="1" applyAlignment="1" applyProtection="1">
      <alignment vertical="top"/>
      <protection locked="0"/>
    </xf>
    <xf numFmtId="3" fontId="14" fillId="45" borderId="18" xfId="153" applyNumberFormat="1" applyFont="1" applyFill="1" applyBorder="1" applyAlignment="1" applyProtection="1">
      <alignment horizontal="left" vertical="top"/>
      <protection locked="0"/>
    </xf>
    <xf numFmtId="0" fontId="14" fillId="45" borderId="18" xfId="151" applyFont="1" applyFill="1" applyBorder="1" applyAlignment="1">
      <alignment vertical="top" wrapText="1"/>
    </xf>
    <xf numFmtId="0" fontId="33" fillId="45" borderId="18" xfId="153" applyFont="1" applyFill="1" applyBorder="1" applyAlignment="1" applyProtection="1">
      <alignment horizontal="left" vertical="top" wrapText="1" indent="1"/>
      <protection locked="0"/>
    </xf>
    <xf numFmtId="0" fontId="33" fillId="45" borderId="18" xfId="153" applyFont="1" applyFill="1" applyBorder="1" applyAlignment="1" applyProtection="1">
      <alignment horizontal="left" vertical="top"/>
      <protection locked="0"/>
    </xf>
    <xf numFmtId="3" fontId="33" fillId="45" borderId="18" xfId="153" applyNumberFormat="1" applyFont="1" applyFill="1" applyBorder="1" applyAlignment="1" applyProtection="1">
      <alignment vertical="top"/>
      <protection locked="0"/>
    </xf>
    <xf numFmtId="3" fontId="33" fillId="45" borderId="18" xfId="153" applyNumberFormat="1" applyFont="1" applyFill="1" applyBorder="1" applyAlignment="1" applyProtection="1">
      <alignment horizontal="left" vertical="top"/>
      <protection locked="0"/>
    </xf>
    <xf numFmtId="0" fontId="33" fillId="45" borderId="17" xfId="151" applyFont="1" applyFill="1" applyBorder="1" applyAlignment="1" applyProtection="1">
      <alignment horizontal="left" vertical="top" wrapText="1" indent="1"/>
      <protection locked="0"/>
    </xf>
    <xf numFmtId="0" fontId="14" fillId="45" borderId="13" xfId="153" applyFont="1" applyFill="1" applyBorder="1" applyAlignment="1" applyProtection="1">
      <alignment horizontal="left" vertical="top" wrapText="1"/>
      <protection locked="0"/>
    </xf>
    <xf numFmtId="0" fontId="33" fillId="45" borderId="18" xfId="151" applyFont="1" applyFill="1" applyBorder="1" applyAlignment="1">
      <alignment horizontal="left" vertical="top" wrapText="1" indent="2"/>
    </xf>
    <xf numFmtId="0" fontId="14" fillId="45" borderId="18" xfId="151" applyFont="1" applyFill="1" applyBorder="1" applyAlignment="1"/>
    <xf numFmtId="0" fontId="14" fillId="45" borderId="18" xfId="153" applyFont="1" applyFill="1" applyBorder="1" applyAlignment="1" applyProtection="1">
      <alignment horizontal="left"/>
      <protection locked="0"/>
    </xf>
    <xf numFmtId="0" fontId="33" fillId="45" borderId="18" xfId="153" applyFont="1" applyFill="1" applyBorder="1" applyAlignment="1" applyProtection="1">
      <alignment horizontal="left" vertical="top" wrapText="1" indent="4"/>
      <protection locked="0"/>
    </xf>
    <xf numFmtId="3" fontId="33" fillId="45" borderId="18" xfId="49" applyNumberFormat="1" applyFont="1" applyFill="1" applyBorder="1" applyAlignment="1" applyProtection="1">
      <alignment horizontal="right" vertical="top"/>
      <protection locked="0"/>
    </xf>
    <xf numFmtId="0" fontId="52" fillId="46" borderId="0" xfId="151" applyFont="1" applyFill="1" applyBorder="1" applyAlignment="1" applyProtection="1">
      <alignment horizontal="left" vertical="top" wrapText="1"/>
      <protection locked="0"/>
    </xf>
    <xf numFmtId="0" fontId="33" fillId="46" borderId="18" xfId="151" applyFont="1" applyFill="1" applyBorder="1" applyAlignment="1" applyProtection="1">
      <alignment horizontal="left" vertical="top" wrapText="1" indent="2"/>
      <protection locked="0"/>
    </xf>
    <xf numFmtId="0" fontId="87" fillId="46" borderId="18" xfId="151" applyFont="1" applyFill="1" applyBorder="1" applyAlignment="1" applyProtection="1">
      <alignment horizontal="left" vertical="top"/>
      <protection locked="0"/>
    </xf>
    <xf numFmtId="3" fontId="87" fillId="46" borderId="18" xfId="153" applyNumberFormat="1" applyFont="1" applyFill="1" applyBorder="1" applyAlignment="1" applyProtection="1">
      <alignment vertical="top"/>
      <protection locked="0"/>
    </xf>
    <xf numFmtId="3" fontId="87" fillId="46" borderId="18" xfId="153" applyNumberFormat="1" applyFont="1" applyFill="1" applyBorder="1" applyAlignment="1" applyProtection="1">
      <alignment horizontal="left" vertical="top"/>
      <protection locked="0"/>
    </xf>
    <xf numFmtId="0" fontId="33" fillId="46" borderId="18" xfId="153" applyFont="1" applyFill="1" applyBorder="1" applyAlignment="1" applyProtection="1">
      <alignment horizontal="left" vertical="top"/>
      <protection locked="0"/>
    </xf>
    <xf numFmtId="3" fontId="33" fillId="46" borderId="18" xfId="153" applyNumberFormat="1" applyFont="1" applyFill="1" applyBorder="1" applyAlignment="1" applyProtection="1">
      <alignment vertical="top"/>
      <protection locked="0"/>
    </xf>
    <xf numFmtId="3" fontId="33" fillId="46" borderId="18" xfId="153" applyNumberFormat="1" applyFont="1" applyFill="1" applyBorder="1" applyAlignment="1" applyProtection="1">
      <alignment horizontal="left" vertical="top"/>
      <protection locked="0"/>
    </xf>
    <xf numFmtId="0" fontId="33" fillId="46" borderId="18" xfId="153" applyFont="1" applyFill="1" applyBorder="1" applyAlignment="1" applyProtection="1">
      <alignment horizontal="left" vertical="top" wrapText="1" indent="4"/>
      <protection locked="0"/>
    </xf>
    <xf numFmtId="3" fontId="33" fillId="46" borderId="18" xfId="49" applyNumberFormat="1" applyFont="1" applyFill="1" applyBorder="1" applyAlignment="1" applyProtection="1">
      <alignment horizontal="right" vertical="top"/>
      <protection locked="0"/>
    </xf>
    <xf numFmtId="3" fontId="33" fillId="46" borderId="18" xfId="49" applyNumberFormat="1" applyFont="1" applyFill="1" applyBorder="1" applyAlignment="1" applyProtection="1">
      <alignment horizontal="left" vertical="top"/>
      <protection locked="0"/>
    </xf>
    <xf numFmtId="164" fontId="98" fillId="35" borderId="20" xfId="87" applyFont="1" applyFill="1" applyBorder="1" applyAlignment="1">
      <alignment horizontal="center" vertical="top" wrapText="1"/>
    </xf>
    <xf numFmtId="164" fontId="98" fillId="35" borderId="19" xfId="87" applyFont="1" applyFill="1" applyBorder="1" applyAlignment="1">
      <alignment horizontal="center" vertical="top" wrapText="1"/>
    </xf>
    <xf numFmtId="0" fontId="82" fillId="30" borderId="20" xfId="155" applyNumberFormat="1" applyFont="1" applyFill="1" applyBorder="1" applyAlignment="1">
      <alignment horizontal="center" vertical="top" wrapText="1"/>
    </xf>
    <xf numFmtId="0" fontId="82" fillId="30" borderId="16" xfId="155" applyNumberFormat="1" applyFont="1" applyFill="1" applyBorder="1" applyAlignment="1">
      <alignment horizontal="center" vertical="top" wrapText="1"/>
    </xf>
    <xf numFmtId="0" fontId="82" fillId="30" borderId="19" xfId="155" applyNumberFormat="1" applyFont="1" applyFill="1" applyBorder="1" applyAlignment="1">
      <alignment horizontal="center" vertical="top" wrapText="1"/>
    </xf>
    <xf numFmtId="0" fontId="82" fillId="0" borderId="18" xfId="155" applyNumberFormat="1" applyFont="1" applyFill="1" applyBorder="1" applyAlignment="1">
      <alignment horizontal="center" vertical="top" wrapText="1"/>
    </xf>
    <xf numFmtId="164" fontId="82" fillId="0" borderId="13" xfId="87" applyFont="1" applyFill="1" applyBorder="1" applyAlignment="1">
      <alignment horizontal="center" vertical="top" wrapText="1"/>
    </xf>
    <xf numFmtId="164" fontId="82" fillId="0" borderId="17" xfId="87" applyFont="1" applyFill="1" applyBorder="1" applyAlignment="1">
      <alignment horizontal="center" vertical="top" wrapText="1"/>
    </xf>
    <xf numFmtId="0" fontId="82" fillId="30" borderId="18" xfId="87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25">
    <cellStyle name="20% - Accent1" xfId="1" builtinId="30" customBuiltin="1"/>
    <cellStyle name="20% - Accent1 2" xfId="52"/>
    <cellStyle name="20% - Accent1 4" xfId="167"/>
    <cellStyle name="20% - Accent1 4 2" xfId="215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Bad 3" xfId="16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omma 5" xfId="168"/>
    <cellStyle name="Comma 5 2" xfId="216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Good 4" xfId="165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0 2" xfId="203"/>
    <cellStyle name="Normal 11" xfId="147"/>
    <cellStyle name="Normal 11 2" xfId="204"/>
    <cellStyle name="Normal 12" xfId="151"/>
    <cellStyle name="Normal 12 2" xfId="158"/>
    <cellStyle name="Normal 12 2 2" xfId="208"/>
    <cellStyle name="Normal 13" xfId="222"/>
    <cellStyle name="Normal 13 2" xfId="148"/>
    <cellStyle name="Normal 13 2 2" xfId="161"/>
    <cellStyle name="Normal 13 2 2 2" xfId="211"/>
    <cellStyle name="Normal 14" xfId="171"/>
    <cellStyle name="Normal 14 2" xfId="172"/>
    <cellStyle name="Normal 14 2 2" xfId="220"/>
    <cellStyle name="Normal 14 2 3" xfId="224"/>
    <cellStyle name="Normal 14 3" xfId="219"/>
    <cellStyle name="Normal 15" xfId="160"/>
    <cellStyle name="Normal 15 2" xfId="210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176"/>
    <cellStyle name="Normal 2 4 3" xfId="175"/>
    <cellStyle name="Normal 2 5" xfId="103"/>
    <cellStyle name="Normal 2 6" xfId="104"/>
    <cellStyle name="Normal 3" xfId="50"/>
    <cellStyle name="Normal 3 10" xfId="105"/>
    <cellStyle name="Normal 3 10 2" xfId="106"/>
    <cellStyle name="Normal 3 10 2 2" xfId="178"/>
    <cellStyle name="Normal 3 10 3" xfId="177"/>
    <cellStyle name="Normal 3 11" xfId="107"/>
    <cellStyle name="Normal 3 11 2" xfId="108"/>
    <cellStyle name="Normal 3 11 2 2" xfId="180"/>
    <cellStyle name="Normal 3 11 3" xfId="179"/>
    <cellStyle name="Normal 3 12" xfId="109"/>
    <cellStyle name="Normal 3 12 2" xfId="181"/>
    <cellStyle name="Normal 3 13" xfId="110"/>
    <cellStyle name="Normal 3 13 2" xfId="182"/>
    <cellStyle name="Normal 3 14" xfId="163"/>
    <cellStyle name="Normal 3 14 2" xfId="213"/>
    <cellStyle name="Normal 3 15" xfId="173"/>
    <cellStyle name="Normal 3 15 2" xfId="221"/>
    <cellStyle name="Normal 3 2" xfId="111"/>
    <cellStyle name="Normal 3 2 2" xfId="112"/>
    <cellStyle name="Normal 3 2 3" xfId="113"/>
    <cellStyle name="Normal 3 2 3 2" xfId="184"/>
    <cellStyle name="Normal 3 2 4" xfId="183"/>
    <cellStyle name="Normal 3 3" xfId="114"/>
    <cellStyle name="Normal 3 3 2" xfId="115"/>
    <cellStyle name="Normal 3 3 2 2" xfId="186"/>
    <cellStyle name="Normal 3 3 3" xfId="185"/>
    <cellStyle name="Normal 3 4" xfId="116"/>
    <cellStyle name="Normal 3 4 2" xfId="117"/>
    <cellStyle name="Normal 3 4 2 2" xfId="188"/>
    <cellStyle name="Normal 3 4 3" xfId="187"/>
    <cellStyle name="Normal 3 5" xfId="118"/>
    <cellStyle name="Normal 3 5 2" xfId="119"/>
    <cellStyle name="Normal 3 5 2 2" xfId="190"/>
    <cellStyle name="Normal 3 5 3" xfId="189"/>
    <cellStyle name="Normal 3 6" xfId="120"/>
    <cellStyle name="Normal 3 7" xfId="121"/>
    <cellStyle name="Normal 3 8" xfId="122"/>
    <cellStyle name="Normal 3 8 2" xfId="123"/>
    <cellStyle name="Normal 3 8 2 2" xfId="192"/>
    <cellStyle name="Normal 3 8 3" xfId="191"/>
    <cellStyle name="Normal 3 9" xfId="124"/>
    <cellStyle name="Normal 3 9 2" xfId="125"/>
    <cellStyle name="Normal 3 9 2 2" xfId="194"/>
    <cellStyle name="Normal 3 9 3" xfId="193"/>
    <cellStyle name="Normal 4" xfId="126"/>
    <cellStyle name="Normal 4 2" xfId="127"/>
    <cellStyle name="Normal 4 3" xfId="195"/>
    <cellStyle name="Normal 5" xfId="128"/>
    <cellStyle name="Normal 5 2" xfId="129"/>
    <cellStyle name="Normal 5 2 2" xfId="130"/>
    <cellStyle name="Normal 5 2 2 2" xfId="198"/>
    <cellStyle name="Normal 5 2 3" xfId="197"/>
    <cellStyle name="Normal 5 3" xfId="131"/>
    <cellStyle name="Normal 5 3 2" xfId="199"/>
    <cellStyle name="Normal 5 4" xfId="196"/>
    <cellStyle name="Normal 6" xfId="132"/>
    <cellStyle name="Normal 7" xfId="133"/>
    <cellStyle name="Normal 7 2" xfId="134"/>
    <cellStyle name="Normal 7 2 2" xfId="201"/>
    <cellStyle name="Normal 7 3" xfId="200"/>
    <cellStyle name="Normal 8" xfId="135"/>
    <cellStyle name="Normal 8 2" xfId="202"/>
    <cellStyle name="Normal 8 6" xfId="152"/>
    <cellStyle name="Normal 8 6 2" xfId="154"/>
    <cellStyle name="Normal 8 6 2 2" xfId="157"/>
    <cellStyle name="Normal 8 6 2 2 2" xfId="170"/>
    <cellStyle name="Normal 8 6 2 2 2 2" xfId="218"/>
    <cellStyle name="Normal 8 6 2 2 3" xfId="207"/>
    <cellStyle name="Normal 8 6 2 2 4" xfId="164"/>
    <cellStyle name="Normal 8 6 2 2 4 2" xfId="214"/>
    <cellStyle name="Normal 8 6 2 3" xfId="206"/>
    <cellStyle name="Normal 8 6 3" xfId="169"/>
    <cellStyle name="Normal 8 6 3 2" xfId="217"/>
    <cellStyle name="Normal 8 6 3 3" xfId="223"/>
    <cellStyle name="Normal 8 6 4" xfId="205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" xfId="150" builtinId="5"/>
    <cellStyle name="Percent 2" xfId="46"/>
    <cellStyle name="Percent 3" xfId="139"/>
    <cellStyle name="Percent 4" xfId="159"/>
    <cellStyle name="Percent 4 2" xfId="209"/>
    <cellStyle name="Percent 5 2 4" xfId="162"/>
    <cellStyle name="Percent 5 2 4 2" xfId="212"/>
    <cellStyle name="Percent 6" xfId="174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colors>
    <mruColors>
      <color rgb="FFFF0066"/>
      <color rgb="FFFF00FF"/>
      <color rgb="FFFF66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I91"/>
  <sheetViews>
    <sheetView showZeros="0" tabSelected="1" zoomScaleNormal="100" workbookViewId="0">
      <pane ySplit="3" topLeftCell="A4" activePane="bottomLeft" state="frozen"/>
      <selection activeCell="F154" sqref="F154"/>
      <selection pane="bottomLeft"/>
    </sheetView>
  </sheetViews>
  <sheetFormatPr defaultRowHeight="12.75"/>
  <cols>
    <col min="1" max="1" width="47" customWidth="1"/>
    <col min="2" max="2" width="11.7109375" bestFit="1" customWidth="1"/>
    <col min="3" max="3" width="11.28515625" hidden="1" customWidth="1"/>
    <col min="4" max="4" width="11.7109375" style="447" bestFit="1" customWidth="1"/>
    <col min="5" max="5" width="11.7109375" bestFit="1" customWidth="1"/>
    <col min="6" max="6" width="11.7109375" style="81" bestFit="1" customWidth="1"/>
    <col min="7" max="7" width="8.140625" style="447" bestFit="1" customWidth="1"/>
    <col min="8" max="8" width="11.7109375" bestFit="1" customWidth="1"/>
  </cols>
  <sheetData>
    <row r="1" spans="1:7" ht="15">
      <c r="A1" s="12" t="s">
        <v>13</v>
      </c>
      <c r="B1" s="81"/>
    </row>
    <row r="2" spans="1:7">
      <c r="A2" s="13"/>
      <c r="B2" s="14"/>
      <c r="D2" s="448"/>
    </row>
    <row r="3" spans="1:7" ht="25.5" customHeight="1">
      <c r="A3" s="2"/>
      <c r="B3" s="799">
        <v>2018</v>
      </c>
      <c r="C3" s="800"/>
      <c r="D3" s="801"/>
      <c r="E3" s="479">
        <v>2019</v>
      </c>
      <c r="F3" s="797" t="s">
        <v>434</v>
      </c>
      <c r="G3" s="798"/>
    </row>
    <row r="4" spans="1:7" s="81" customFormat="1" ht="25.5" customHeight="1">
      <c r="A4" s="2"/>
      <c r="B4" s="476" t="s">
        <v>257</v>
      </c>
      <c r="C4" s="475" t="s">
        <v>410</v>
      </c>
      <c r="D4" s="477" t="s">
        <v>258</v>
      </c>
      <c r="E4" s="478" t="s">
        <v>420</v>
      </c>
      <c r="F4" s="481" t="s">
        <v>12</v>
      </c>
      <c r="G4" s="482" t="s">
        <v>384</v>
      </c>
    </row>
    <row r="5" spans="1:7" s="81" customFormat="1">
      <c r="A5" s="2"/>
      <c r="B5" s="97"/>
      <c r="C5" s="97"/>
      <c r="D5" s="97"/>
      <c r="G5" s="447"/>
    </row>
    <row r="6" spans="1:7" s="81" customFormat="1">
      <c r="A6" s="2" t="s">
        <v>14</v>
      </c>
      <c r="B6" s="29"/>
      <c r="C6" s="29"/>
      <c r="D6" s="29"/>
      <c r="E6" s="462"/>
      <c r="F6" s="462"/>
      <c r="G6" s="473"/>
    </row>
    <row r="7" spans="1:7" s="81" customFormat="1">
      <c r="A7" s="48"/>
      <c r="B7" s="469"/>
      <c r="C7" s="469"/>
      <c r="D7" s="469"/>
      <c r="E7" s="470"/>
      <c r="F7" s="470"/>
      <c r="G7" s="474"/>
    </row>
    <row r="8" spans="1:7" s="81" customFormat="1">
      <c r="A8" s="15" t="s">
        <v>15</v>
      </c>
      <c r="B8" s="16">
        <v>648181682</v>
      </c>
      <c r="C8" s="16">
        <v>32878391</v>
      </c>
      <c r="D8" s="16">
        <v>681060073</v>
      </c>
      <c r="E8" s="275">
        <v>723797758.54166663</v>
      </c>
      <c r="F8" s="275">
        <v>42737685.541666627</v>
      </c>
      <c r="G8" s="486">
        <v>6.2751711979549013E-2</v>
      </c>
    </row>
    <row r="9" spans="1:7" s="81" customFormat="1">
      <c r="A9" s="18" t="s">
        <v>16</v>
      </c>
      <c r="B9" s="19">
        <v>425830000</v>
      </c>
      <c r="C9" s="19">
        <v>7700000</v>
      </c>
      <c r="D9" s="19">
        <v>433530000</v>
      </c>
      <c r="E9" s="119">
        <v>465000000</v>
      </c>
      <c r="F9" s="119">
        <v>31470000</v>
      </c>
      <c r="G9" s="487">
        <v>7.2590132170784027E-2</v>
      </c>
    </row>
    <row r="10" spans="1:7" s="81" customFormat="1">
      <c r="A10" s="18" t="s">
        <v>17</v>
      </c>
      <c r="B10" s="19">
        <v>11765000</v>
      </c>
      <c r="C10" s="19">
        <v>500000</v>
      </c>
      <c r="D10" s="19">
        <v>12265000</v>
      </c>
      <c r="E10" s="119">
        <v>12400000</v>
      </c>
      <c r="F10" s="119">
        <v>135000</v>
      </c>
      <c r="G10" s="487">
        <v>1.10069302894415E-2</v>
      </c>
    </row>
    <row r="11" spans="1:7" s="81" customFormat="1">
      <c r="A11" s="18" t="s">
        <v>18</v>
      </c>
      <c r="B11" s="19">
        <v>467800</v>
      </c>
      <c r="C11" s="19">
        <v>137000</v>
      </c>
      <c r="D11" s="19">
        <v>604800</v>
      </c>
      <c r="E11" s="119">
        <v>542950</v>
      </c>
      <c r="F11" s="119">
        <v>-61850</v>
      </c>
      <c r="G11" s="487">
        <v>-0.10226521164021164</v>
      </c>
    </row>
    <row r="12" spans="1:7" s="81" customFormat="1">
      <c r="A12" s="18" t="s">
        <v>19</v>
      </c>
      <c r="B12" s="19">
        <v>76128309</v>
      </c>
      <c r="C12" s="19">
        <v>3953046</v>
      </c>
      <c r="D12" s="19">
        <v>80081355</v>
      </c>
      <c r="E12" s="119">
        <v>82376918</v>
      </c>
      <c r="F12" s="119">
        <v>2295563</v>
      </c>
      <c r="G12" s="487">
        <v>2.8665386593421154E-2</v>
      </c>
    </row>
    <row r="13" spans="1:7" s="81" customFormat="1">
      <c r="A13" s="18" t="s">
        <v>20</v>
      </c>
      <c r="B13" s="19">
        <v>854000</v>
      </c>
      <c r="C13" s="19">
        <v>33479</v>
      </c>
      <c r="D13" s="19">
        <v>887479</v>
      </c>
      <c r="E13" s="119">
        <v>797000</v>
      </c>
      <c r="F13" s="119">
        <v>-90479</v>
      </c>
      <c r="G13" s="487">
        <v>-0.10195058136586894</v>
      </c>
    </row>
    <row r="14" spans="1:7" s="81" customFormat="1">
      <c r="A14" s="18" t="s">
        <v>21</v>
      </c>
      <c r="B14" s="19">
        <v>10000</v>
      </c>
      <c r="C14" s="19"/>
      <c r="D14" s="19">
        <v>10000</v>
      </c>
      <c r="E14" s="119">
        <v>6000</v>
      </c>
      <c r="F14" s="119">
        <v>-4000</v>
      </c>
      <c r="G14" s="487">
        <v>-0.4</v>
      </c>
    </row>
    <row r="15" spans="1:7" s="81" customFormat="1">
      <c r="A15" s="18" t="s">
        <v>22</v>
      </c>
      <c r="B15" s="19">
        <v>2824616</v>
      </c>
      <c r="C15" s="19">
        <v>5055</v>
      </c>
      <c r="D15" s="19">
        <v>2829671</v>
      </c>
      <c r="E15" s="119">
        <v>5101500</v>
      </c>
      <c r="F15" s="119">
        <v>2271829</v>
      </c>
      <c r="G15" s="487">
        <v>0.80285976708953088</v>
      </c>
    </row>
    <row r="16" spans="1:7" s="81" customFormat="1">
      <c r="A16" s="18" t="s">
        <v>23</v>
      </c>
      <c r="B16" s="19">
        <v>-813932</v>
      </c>
      <c r="C16" s="19"/>
      <c r="D16" s="19">
        <v>-813932</v>
      </c>
      <c r="E16" s="119">
        <v>-2513925</v>
      </c>
      <c r="F16" s="119">
        <v>-1699993</v>
      </c>
      <c r="G16" s="487">
        <v>2.0886179680857859</v>
      </c>
    </row>
    <row r="17" spans="1:7" s="81" customFormat="1">
      <c r="A17" s="18" t="s">
        <v>24</v>
      </c>
      <c r="B17" s="19">
        <v>-10000</v>
      </c>
      <c r="C17" s="19"/>
      <c r="D17" s="19">
        <v>-10000</v>
      </c>
      <c r="E17" s="119">
        <v>-10000</v>
      </c>
      <c r="F17" s="119">
        <v>0</v>
      </c>
      <c r="G17" s="487">
        <v>0</v>
      </c>
    </row>
    <row r="18" spans="1:7" s="81" customFormat="1">
      <c r="A18" s="18" t="s">
        <v>25</v>
      </c>
      <c r="B18" s="19">
        <v>367000</v>
      </c>
      <c r="C18" s="19">
        <v>3305</v>
      </c>
      <c r="D18" s="19">
        <v>370305</v>
      </c>
      <c r="E18" s="119">
        <v>417000</v>
      </c>
      <c r="F18" s="119">
        <v>46695</v>
      </c>
      <c r="G18" s="487">
        <v>0.12609875643051</v>
      </c>
    </row>
    <row r="19" spans="1:7" s="81" customFormat="1">
      <c r="A19" s="18" t="s">
        <v>26</v>
      </c>
      <c r="B19" s="19">
        <v>7260000</v>
      </c>
      <c r="C19" s="19"/>
      <c r="D19" s="19">
        <v>7260000</v>
      </c>
      <c r="E19" s="119">
        <v>7800000</v>
      </c>
      <c r="F19" s="119">
        <v>540000</v>
      </c>
      <c r="G19" s="487">
        <v>7.43801652892562E-2</v>
      </c>
    </row>
    <row r="20" spans="1:7" s="81" customFormat="1">
      <c r="A20" s="20" t="s">
        <v>27</v>
      </c>
      <c r="B20" s="19">
        <v>93199352</v>
      </c>
      <c r="C20" s="19">
        <v>19503968</v>
      </c>
      <c r="D20" s="19">
        <v>112703320</v>
      </c>
      <c r="E20" s="119">
        <v>128888223</v>
      </c>
      <c r="F20" s="119">
        <v>16184903</v>
      </c>
      <c r="G20" s="487">
        <v>0.14360626643474211</v>
      </c>
    </row>
    <row r="21" spans="1:7" s="81" customFormat="1">
      <c r="A21" s="18" t="s">
        <v>28</v>
      </c>
      <c r="B21" s="19">
        <v>28518004</v>
      </c>
      <c r="C21" s="19">
        <v>751880</v>
      </c>
      <c r="D21" s="19">
        <v>29269884</v>
      </c>
      <c r="E21" s="119">
        <v>21136136.541666668</v>
      </c>
      <c r="F21" s="119">
        <v>-8133747.4583333321</v>
      </c>
      <c r="G21" s="487">
        <v>-0.27788792939300111</v>
      </c>
    </row>
    <row r="22" spans="1:7" s="81" customFormat="1" ht="14.25" customHeight="1">
      <c r="A22" s="18" t="s">
        <v>103</v>
      </c>
      <c r="B22" s="19">
        <v>1781533</v>
      </c>
      <c r="C22" s="19">
        <v>290658</v>
      </c>
      <c r="D22" s="19">
        <v>2072191</v>
      </c>
      <c r="E22" s="119">
        <v>1855956</v>
      </c>
      <c r="F22" s="119">
        <v>-216235</v>
      </c>
      <c r="G22" s="487">
        <v>-0.10435090201627166</v>
      </c>
    </row>
    <row r="23" spans="1:7" s="81" customFormat="1" ht="12" customHeight="1">
      <c r="A23" s="18" t="s">
        <v>339</v>
      </c>
      <c r="B23" s="19"/>
      <c r="C23" s="19"/>
      <c r="D23" s="19"/>
      <c r="E23" s="119"/>
      <c r="F23" s="119"/>
      <c r="G23" s="487"/>
    </row>
    <row r="24" spans="1:7" s="81" customFormat="1">
      <c r="A24" s="5"/>
      <c r="B24" s="85"/>
      <c r="C24" s="85"/>
      <c r="D24" s="85"/>
      <c r="E24" s="10"/>
      <c r="F24" s="10"/>
      <c r="G24" s="465"/>
    </row>
    <row r="25" spans="1:7" s="81" customFormat="1">
      <c r="A25" s="15" t="s">
        <v>29</v>
      </c>
      <c r="B25" s="16">
        <v>576691700</v>
      </c>
      <c r="C25" s="16">
        <v>35122797</v>
      </c>
      <c r="D25" s="16">
        <v>611814497</v>
      </c>
      <c r="E25" s="275">
        <v>636089254</v>
      </c>
      <c r="F25" s="275">
        <v>24274757</v>
      </c>
      <c r="G25" s="486">
        <v>3.967666199318582E-2</v>
      </c>
    </row>
    <row r="26" spans="1:7" s="81" customFormat="1">
      <c r="A26" s="18" t="s">
        <v>30</v>
      </c>
      <c r="B26" s="19">
        <v>549035526</v>
      </c>
      <c r="C26" s="19">
        <v>28442126</v>
      </c>
      <c r="D26" s="19">
        <v>577477652</v>
      </c>
      <c r="E26" s="119">
        <v>606700743</v>
      </c>
      <c r="F26" s="119">
        <v>29223091</v>
      </c>
      <c r="G26" s="487">
        <v>5.0604713271224566E-2</v>
      </c>
    </row>
    <row r="27" spans="1:7" s="81" customFormat="1" ht="25.5">
      <c r="A27" s="118" t="s">
        <v>31</v>
      </c>
      <c r="B27" s="19">
        <v>89109020</v>
      </c>
      <c r="C27" s="19">
        <v>18498937</v>
      </c>
      <c r="D27" s="19">
        <v>107607957</v>
      </c>
      <c r="E27" s="119">
        <v>116000000</v>
      </c>
      <c r="F27" s="119">
        <v>8392043</v>
      </c>
      <c r="G27" s="487">
        <v>7.7987197545252157E-2</v>
      </c>
    </row>
    <row r="28" spans="1:7" s="81" customFormat="1">
      <c r="A28" s="21" t="s">
        <v>32</v>
      </c>
      <c r="B28" s="19">
        <v>1590219</v>
      </c>
      <c r="C28" s="19">
        <v>291161</v>
      </c>
      <c r="D28" s="19">
        <v>1881380</v>
      </c>
      <c r="E28" s="119">
        <v>2456501.5416666665</v>
      </c>
      <c r="F28" s="119">
        <v>575121.54166666651</v>
      </c>
      <c r="G28" s="487">
        <v>0.30569132321310238</v>
      </c>
    </row>
    <row r="29" spans="1:7" s="81" customFormat="1">
      <c r="A29" s="21" t="s">
        <v>419</v>
      </c>
      <c r="B29" s="19"/>
      <c r="C29" s="19">
        <v>490</v>
      </c>
      <c r="D29" s="19">
        <v>490</v>
      </c>
      <c r="E29" s="119">
        <v>3903</v>
      </c>
      <c r="F29" s="119">
        <v>3413</v>
      </c>
      <c r="G29" s="487">
        <v>6.9653061224489798</v>
      </c>
    </row>
    <row r="30" spans="1:7" s="81" customFormat="1">
      <c r="A30" s="21" t="s">
        <v>33</v>
      </c>
      <c r="B30" s="19">
        <v>458336287</v>
      </c>
      <c r="C30" s="19">
        <v>9651538</v>
      </c>
      <c r="D30" s="19">
        <v>467987825</v>
      </c>
      <c r="E30" s="119">
        <v>488240338.45833331</v>
      </c>
      <c r="F30" s="119">
        <v>20252513.458333313</v>
      </c>
      <c r="G30" s="487">
        <v>4.3275727222889429E-2</v>
      </c>
    </row>
    <row r="31" spans="1:7" s="81" customFormat="1">
      <c r="A31" s="18" t="s">
        <v>34</v>
      </c>
      <c r="B31" s="19">
        <v>27656174</v>
      </c>
      <c r="C31" s="19">
        <v>6680671</v>
      </c>
      <c r="D31" s="19">
        <v>34336845</v>
      </c>
      <c r="E31" s="119">
        <v>29388511</v>
      </c>
      <c r="F31" s="119">
        <v>-4948334</v>
      </c>
      <c r="G31" s="487">
        <v>-0.14411149306233581</v>
      </c>
    </row>
    <row r="32" spans="1:7" s="81" customFormat="1">
      <c r="A32" s="18"/>
      <c r="B32" s="85"/>
      <c r="C32" s="85"/>
      <c r="D32" s="85"/>
      <c r="E32" s="10"/>
      <c r="F32" s="10"/>
      <c r="G32" s="465"/>
    </row>
    <row r="33" spans="1:7" s="81" customFormat="1">
      <c r="A33" s="22" t="s">
        <v>35</v>
      </c>
      <c r="B33" s="75">
        <v>71489982</v>
      </c>
      <c r="C33" s="75">
        <v>-2244406</v>
      </c>
      <c r="D33" s="75">
        <v>69245576</v>
      </c>
      <c r="E33" s="276">
        <v>87708504.541666627</v>
      </c>
      <c r="F33" s="276">
        <v>18462928.541666627</v>
      </c>
      <c r="G33" s="488">
        <v>0.26662972002235386</v>
      </c>
    </row>
    <row r="34" spans="1:7" s="81" customFormat="1">
      <c r="A34" s="23"/>
      <c r="B34" s="6"/>
      <c r="C34" s="6"/>
      <c r="D34" s="6"/>
      <c r="E34" s="105"/>
      <c r="F34" s="105"/>
      <c r="G34" s="489"/>
    </row>
    <row r="35" spans="1:7" s="81" customFormat="1">
      <c r="A35" s="24" t="s">
        <v>36</v>
      </c>
      <c r="B35" s="19">
        <v>44047515</v>
      </c>
      <c r="C35" s="19">
        <v>1756356</v>
      </c>
      <c r="D35" s="19">
        <v>45803871</v>
      </c>
      <c r="E35" s="119">
        <v>45348979</v>
      </c>
      <c r="F35" s="119">
        <v>-454892</v>
      </c>
      <c r="G35" s="487">
        <v>-9.9313003479553075E-3</v>
      </c>
    </row>
    <row r="36" spans="1:7" s="81" customFormat="1">
      <c r="A36" s="5"/>
      <c r="B36" s="85"/>
      <c r="C36" s="85"/>
      <c r="D36" s="85"/>
      <c r="E36" s="10"/>
      <c r="F36" s="10"/>
      <c r="G36" s="465"/>
    </row>
    <row r="37" spans="1:7" s="81" customFormat="1">
      <c r="A37" s="22" t="s">
        <v>37</v>
      </c>
      <c r="B37" s="75">
        <v>27442467</v>
      </c>
      <c r="C37" s="75">
        <v>-4000762</v>
      </c>
      <c r="D37" s="75">
        <v>23441705</v>
      </c>
      <c r="E37" s="276">
        <v>42359525.541666627</v>
      </c>
      <c r="F37" s="276">
        <v>18917820.541666627</v>
      </c>
      <c r="G37" s="488">
        <v>0.80701555376055734</v>
      </c>
    </row>
    <row r="38" spans="1:7" s="81" customFormat="1" ht="16.5" thickBot="1">
      <c r="A38" s="25"/>
      <c r="B38" s="76"/>
      <c r="C38" s="76"/>
      <c r="D38" s="76"/>
      <c r="E38" s="471"/>
      <c r="F38" s="471"/>
      <c r="G38" s="490"/>
    </row>
    <row r="39" spans="1:7" s="81" customFormat="1" ht="16.5" thickTop="1">
      <c r="A39" s="26"/>
      <c r="B39" s="77"/>
      <c r="C39" s="77"/>
      <c r="D39" s="77"/>
      <c r="E39" s="472"/>
      <c r="F39" s="472"/>
      <c r="G39" s="491"/>
    </row>
    <row r="40" spans="1:7" s="81" customFormat="1" ht="15.75">
      <c r="A40" s="27" t="s">
        <v>38</v>
      </c>
      <c r="B40" s="77"/>
      <c r="C40" s="77"/>
      <c r="D40" s="77"/>
      <c r="E40" s="472"/>
      <c r="F40" s="472"/>
      <c r="G40" s="491"/>
    </row>
    <row r="41" spans="1:7" s="81" customFormat="1" ht="15.75">
      <c r="A41" s="27"/>
      <c r="B41" s="77"/>
      <c r="C41" s="77"/>
      <c r="D41" s="77"/>
      <c r="E41" s="472"/>
      <c r="F41" s="472"/>
      <c r="G41" s="491"/>
    </row>
    <row r="42" spans="1:7" s="81" customFormat="1">
      <c r="A42" s="73" t="s">
        <v>110</v>
      </c>
      <c r="B42" s="19"/>
      <c r="C42" s="19"/>
      <c r="D42" s="19"/>
      <c r="E42" s="119">
        <v>0</v>
      </c>
      <c r="F42" s="119"/>
      <c r="G42" s="487"/>
    </row>
    <row r="43" spans="1:7" s="81" customFormat="1">
      <c r="A43" s="18"/>
      <c r="B43" s="19"/>
      <c r="C43" s="19"/>
      <c r="D43" s="19"/>
      <c r="E43" s="119"/>
      <c r="F43" s="119"/>
      <c r="G43" s="487"/>
    </row>
    <row r="44" spans="1:7" s="81" customFormat="1">
      <c r="A44" s="218" t="s">
        <v>39</v>
      </c>
      <c r="B44" s="19"/>
      <c r="C44" s="19"/>
      <c r="D44" s="19"/>
      <c r="E44" s="119"/>
      <c r="F44" s="119"/>
      <c r="G44" s="487"/>
    </row>
    <row r="45" spans="1:7" s="81" customFormat="1">
      <c r="A45" s="219" t="s">
        <v>40</v>
      </c>
      <c r="B45" s="19">
        <v>87251894</v>
      </c>
      <c r="C45" s="19">
        <v>-736286</v>
      </c>
      <c r="D45" s="19">
        <v>86515608</v>
      </c>
      <c r="E45" s="119">
        <v>106032745</v>
      </c>
      <c r="F45" s="119">
        <v>19517137</v>
      </c>
      <c r="G45" s="487">
        <v>0.22559093614645812</v>
      </c>
    </row>
    <row r="46" spans="1:7" s="81" customFormat="1">
      <c r="A46" s="219" t="s">
        <v>36</v>
      </c>
      <c r="B46" s="19">
        <v>-44047515</v>
      </c>
      <c r="C46" s="19">
        <v>-1756356</v>
      </c>
      <c r="D46" s="19">
        <v>-45803871</v>
      </c>
      <c r="E46" s="119">
        <v>-45348979</v>
      </c>
      <c r="F46" s="119">
        <v>454892</v>
      </c>
      <c r="G46" s="487">
        <v>-9.9313003479553075E-3</v>
      </c>
    </row>
    <row r="47" spans="1:7" s="81" customFormat="1">
      <c r="A47" s="219" t="s">
        <v>41</v>
      </c>
      <c r="B47" s="19">
        <v>-813932</v>
      </c>
      <c r="C47" s="19">
        <v>0</v>
      </c>
      <c r="D47" s="19">
        <v>-813932</v>
      </c>
      <c r="E47" s="119">
        <v>-2513925</v>
      </c>
      <c r="F47" s="119">
        <v>-1699993</v>
      </c>
      <c r="G47" s="487">
        <v>2.0886179680857859</v>
      </c>
    </row>
    <row r="48" spans="1:7" s="81" customFormat="1">
      <c r="A48" s="220" t="s">
        <v>42</v>
      </c>
      <c r="B48" s="16">
        <v>42390447</v>
      </c>
      <c r="C48" s="16">
        <v>-2492642</v>
      </c>
      <c r="D48" s="16">
        <v>39897805</v>
      </c>
      <c r="E48" s="275">
        <v>58169841</v>
      </c>
      <c r="F48" s="275">
        <v>18272036</v>
      </c>
      <c r="G48" s="486">
        <v>0.4579709585527324</v>
      </c>
    </row>
    <row r="49" spans="1:7" s="81" customFormat="1">
      <c r="A49" s="220"/>
      <c r="B49" s="16"/>
      <c r="C49" s="16"/>
      <c r="D49" s="16"/>
      <c r="E49" s="275"/>
      <c r="F49" s="275"/>
      <c r="G49" s="486"/>
    </row>
    <row r="50" spans="1:7" s="81" customFormat="1">
      <c r="A50" s="218" t="s">
        <v>221</v>
      </c>
      <c r="B50" s="16"/>
      <c r="C50" s="16"/>
      <c r="D50" s="16"/>
      <c r="E50" s="275"/>
      <c r="F50" s="275"/>
      <c r="G50" s="486"/>
    </row>
    <row r="51" spans="1:7" s="81" customFormat="1">
      <c r="A51" s="221" t="s">
        <v>222</v>
      </c>
      <c r="B51" s="16">
        <v>-4080200</v>
      </c>
      <c r="C51" s="19">
        <v>-9928120</v>
      </c>
      <c r="D51" s="19">
        <v>-14008320</v>
      </c>
      <c r="E51" s="275"/>
      <c r="F51" s="275">
        <v>14008320</v>
      </c>
      <c r="G51" s="486">
        <v>-1</v>
      </c>
    </row>
    <row r="52" spans="1:7" s="81" customFormat="1">
      <c r="A52" s="218" t="s">
        <v>340</v>
      </c>
      <c r="B52" s="16"/>
      <c r="C52" s="19"/>
      <c r="D52" s="19"/>
      <c r="E52" s="275"/>
      <c r="F52" s="275"/>
      <c r="G52" s="486"/>
    </row>
    <row r="53" spans="1:7" s="81" customFormat="1">
      <c r="A53" s="221" t="s">
        <v>394</v>
      </c>
      <c r="B53" s="16"/>
      <c r="C53" s="19">
        <v>-1580000</v>
      </c>
      <c r="D53" s="19">
        <v>-1580000</v>
      </c>
      <c r="E53" s="275"/>
      <c r="F53" s="275">
        <v>1580000</v>
      </c>
      <c r="G53" s="486">
        <v>-1</v>
      </c>
    </row>
    <row r="54" spans="1:7" s="81" customFormat="1">
      <c r="A54" s="221" t="s">
        <v>341</v>
      </c>
      <c r="B54" s="16"/>
      <c r="C54" s="16"/>
      <c r="D54" s="16"/>
      <c r="E54" s="275"/>
      <c r="F54" s="275"/>
      <c r="G54" s="486"/>
    </row>
    <row r="55" spans="1:7" s="81" customFormat="1">
      <c r="A55" s="220" t="s">
        <v>223</v>
      </c>
      <c r="B55" s="16">
        <v>-4080200</v>
      </c>
      <c r="C55" s="16">
        <v>-11508120</v>
      </c>
      <c r="D55" s="16">
        <v>-15588320</v>
      </c>
      <c r="E55" s="275">
        <v>0</v>
      </c>
      <c r="F55" s="275">
        <v>15588320</v>
      </c>
      <c r="G55" s="486">
        <v>-1</v>
      </c>
    </row>
    <row r="56" spans="1:7" s="81" customFormat="1">
      <c r="A56" s="220"/>
      <c r="B56" s="16"/>
      <c r="C56" s="16"/>
      <c r="D56" s="16"/>
      <c r="E56" s="275"/>
      <c r="F56" s="275"/>
      <c r="G56" s="486"/>
    </row>
    <row r="57" spans="1:7" s="81" customFormat="1">
      <c r="A57" s="73" t="s">
        <v>408</v>
      </c>
      <c r="B57" s="16"/>
      <c r="C57" s="16"/>
      <c r="D57" s="16"/>
      <c r="G57" s="245"/>
    </row>
    <row r="58" spans="1:7" s="81" customFormat="1" ht="15.75">
      <c r="A58" s="73"/>
      <c r="B58" s="16"/>
      <c r="C58" s="16"/>
      <c r="D58" s="16"/>
      <c r="E58" s="472"/>
      <c r="F58" s="472"/>
      <c r="G58" s="491"/>
    </row>
    <row r="59" spans="1:7" s="81" customFormat="1" ht="15.75">
      <c r="A59" s="220" t="s">
        <v>406</v>
      </c>
      <c r="B59" s="16"/>
      <c r="C59" s="16">
        <v>10000000</v>
      </c>
      <c r="D59" s="16">
        <v>10000000</v>
      </c>
      <c r="E59" s="472"/>
      <c r="F59" s="105">
        <v>-10000000</v>
      </c>
      <c r="G59" s="489">
        <v>-1</v>
      </c>
    </row>
    <row r="60" spans="1:7" s="81" customFormat="1" ht="15.75">
      <c r="A60" s="221" t="s">
        <v>395</v>
      </c>
      <c r="B60" s="16"/>
      <c r="C60" s="19">
        <v>10000000</v>
      </c>
      <c r="D60" s="19">
        <v>10000000</v>
      </c>
      <c r="E60" s="472"/>
      <c r="F60" s="105">
        <v>-10000000</v>
      </c>
      <c r="G60" s="489">
        <v>-1</v>
      </c>
    </row>
    <row r="61" spans="1:7" s="81" customFormat="1" ht="15.75">
      <c r="A61" s="220"/>
      <c r="B61" s="16"/>
      <c r="C61" s="16"/>
      <c r="D61" s="16"/>
      <c r="E61" s="472"/>
      <c r="F61" s="472"/>
      <c r="G61" s="491"/>
    </row>
    <row r="62" spans="1:7" s="81" customFormat="1">
      <c r="A62" s="220" t="s">
        <v>407</v>
      </c>
      <c r="B62" s="16">
        <v>-34800</v>
      </c>
      <c r="C62" s="16">
        <v>100000</v>
      </c>
      <c r="D62" s="16">
        <v>65200</v>
      </c>
      <c r="E62" s="275">
        <v>52700</v>
      </c>
      <c r="F62" s="275">
        <v>-12500</v>
      </c>
      <c r="G62" s="486">
        <v>-0.19171779141104295</v>
      </c>
    </row>
    <row r="63" spans="1:7" s="81" customFormat="1" ht="15.75">
      <c r="A63" s="27"/>
      <c r="B63" s="77"/>
      <c r="C63" s="77"/>
      <c r="D63" s="77"/>
      <c r="E63" s="472"/>
      <c r="F63" s="472"/>
      <c r="G63" s="491"/>
    </row>
    <row r="64" spans="1:7" s="81" customFormat="1">
      <c r="A64" s="73" t="s">
        <v>111</v>
      </c>
      <c r="B64" s="19"/>
      <c r="C64" s="19"/>
      <c r="D64" s="19"/>
      <c r="E64" s="119">
        <v>0</v>
      </c>
      <c r="F64" s="119"/>
      <c r="G64" s="487"/>
    </row>
    <row r="65" spans="1:9" s="81" customFormat="1">
      <c r="A65" s="18"/>
      <c r="B65" s="19"/>
      <c r="C65" s="19"/>
      <c r="D65" s="19"/>
      <c r="E65" s="119"/>
      <c r="F65" s="119"/>
      <c r="G65" s="487"/>
    </row>
    <row r="66" spans="1:9" s="81" customFormat="1">
      <c r="A66" s="220" t="s">
        <v>43</v>
      </c>
      <c r="B66" s="16">
        <v>10867780</v>
      </c>
      <c r="C66" s="16">
        <v>0</v>
      </c>
      <c r="D66" s="16">
        <v>10867780</v>
      </c>
      <c r="E66" s="275">
        <v>15810315</v>
      </c>
      <c r="F66" s="275">
        <v>4942535</v>
      </c>
      <c r="G66" s="486">
        <v>0.45478791436705562</v>
      </c>
    </row>
    <row r="67" spans="1:9" s="81" customFormat="1">
      <c r="A67" s="221" t="s">
        <v>44</v>
      </c>
      <c r="B67" s="19">
        <v>30000000</v>
      </c>
      <c r="C67" s="19"/>
      <c r="D67" s="19">
        <v>30000000</v>
      </c>
      <c r="E67" s="119">
        <v>35000000</v>
      </c>
      <c r="F67" s="119">
        <v>5000000</v>
      </c>
      <c r="G67" s="487">
        <v>0.16666666666666666</v>
      </c>
    </row>
    <row r="68" spans="1:9" s="81" customFormat="1">
      <c r="A68" s="221" t="s">
        <v>45</v>
      </c>
      <c r="B68" s="19">
        <v>18489583</v>
      </c>
      <c r="C68" s="19"/>
      <c r="D68" s="19">
        <v>18489583</v>
      </c>
      <c r="E68" s="119">
        <v>18489583</v>
      </c>
      <c r="F68" s="119">
        <v>0</v>
      </c>
      <c r="G68" s="487">
        <v>0</v>
      </c>
    </row>
    <row r="69" spans="1:9" s="81" customFormat="1">
      <c r="A69" s="219" t="s">
        <v>100</v>
      </c>
      <c r="B69" s="19">
        <v>642637</v>
      </c>
      <c r="C69" s="19"/>
      <c r="D69" s="19">
        <v>642637</v>
      </c>
      <c r="E69" s="119">
        <v>700102</v>
      </c>
      <c r="F69" s="119">
        <v>57465</v>
      </c>
      <c r="G69" s="487">
        <v>8.9420621595084002E-2</v>
      </c>
    </row>
    <row r="70" spans="1:9" s="81" customFormat="1">
      <c r="A70" s="219"/>
      <c r="B70" s="19"/>
      <c r="C70" s="19"/>
      <c r="D70" s="19"/>
      <c r="E70" s="119"/>
      <c r="F70" s="119"/>
      <c r="G70" s="487"/>
    </row>
    <row r="71" spans="1:9" s="81" customFormat="1">
      <c r="A71" s="220" t="s">
        <v>220</v>
      </c>
      <c r="B71" s="16">
        <v>-34800</v>
      </c>
      <c r="C71" s="16">
        <v>100000</v>
      </c>
      <c r="D71" s="16">
        <v>65200</v>
      </c>
      <c r="E71" s="275">
        <v>52700</v>
      </c>
      <c r="F71" s="275">
        <v>-12500</v>
      </c>
      <c r="G71" s="486">
        <v>-0.19171779141104295</v>
      </c>
    </row>
    <row r="72" spans="1:9" s="81" customFormat="1">
      <c r="A72" s="219"/>
      <c r="B72" s="19"/>
      <c r="C72" s="19"/>
      <c r="D72" s="19"/>
      <c r="E72" s="119"/>
      <c r="F72" s="119"/>
      <c r="G72" s="487"/>
    </row>
    <row r="73" spans="1:9" s="81" customFormat="1">
      <c r="A73" s="28"/>
      <c r="B73" s="16"/>
      <c r="C73" s="16"/>
      <c r="D73" s="16"/>
      <c r="E73" s="275"/>
      <c r="F73" s="275"/>
      <c r="G73" s="486"/>
    </row>
    <row r="74" spans="1:9" s="81" customFormat="1">
      <c r="A74" s="73" t="s">
        <v>46</v>
      </c>
      <c r="B74" s="45">
        <v>27442467</v>
      </c>
      <c r="C74" s="45">
        <v>-4000762</v>
      </c>
      <c r="D74" s="45">
        <v>23441705</v>
      </c>
      <c r="E74" s="11">
        <v>42359526</v>
      </c>
      <c r="F74" s="11">
        <v>18917821</v>
      </c>
      <c r="G74" s="492">
        <v>0.80701557331260676</v>
      </c>
    </row>
    <row r="75" spans="1:9" s="81" customFormat="1">
      <c r="A75" s="73"/>
      <c r="B75" s="45"/>
      <c r="C75" s="45"/>
      <c r="D75" s="45"/>
      <c r="E75" s="11"/>
      <c r="F75" s="11"/>
      <c r="G75" s="492"/>
    </row>
    <row r="76" spans="1:9" s="81" customFormat="1">
      <c r="A76" s="28"/>
      <c r="B76" s="16"/>
      <c r="C76" s="16"/>
      <c r="D76" s="16"/>
      <c r="E76" s="275"/>
      <c r="F76" s="275"/>
      <c r="G76" s="486"/>
    </row>
    <row r="77" spans="1:9" s="81" customFormat="1">
      <c r="A77" s="5" t="s">
        <v>47</v>
      </c>
      <c r="B77" s="85">
        <v>683110614</v>
      </c>
      <c r="C77" s="85">
        <v>44286511</v>
      </c>
      <c r="D77" s="85">
        <v>727397125</v>
      </c>
      <c r="E77" s="10">
        <v>761258983.54166663</v>
      </c>
      <c r="F77" s="10">
        <v>33861858.541666627</v>
      </c>
      <c r="G77" s="465">
        <v>4.6552092904775542E-2</v>
      </c>
    </row>
    <row r="78" spans="1:9" s="81" customFormat="1">
      <c r="A78" s="5" t="s">
        <v>48</v>
      </c>
      <c r="B78" s="85">
        <v>683110614</v>
      </c>
      <c r="C78" s="85">
        <v>44286511</v>
      </c>
      <c r="D78" s="85">
        <v>727397125</v>
      </c>
      <c r="E78" s="10">
        <v>761258984</v>
      </c>
      <c r="F78" s="10">
        <v>33861859</v>
      </c>
      <c r="G78" s="465">
        <v>4.6552093534876153E-2</v>
      </c>
    </row>
    <row r="79" spans="1:9">
      <c r="A79" s="5"/>
      <c r="B79" s="317"/>
      <c r="C79" s="317">
        <v>-0.93516934140332364</v>
      </c>
      <c r="D79" s="370"/>
    </row>
    <row r="80" spans="1:9">
      <c r="A80" s="35"/>
      <c r="B80" s="85">
        <v>0</v>
      </c>
      <c r="C80" s="85">
        <v>0</v>
      </c>
      <c r="D80" s="370"/>
      <c r="E80" s="79"/>
      <c r="F80" s="79"/>
      <c r="I80" s="79"/>
    </row>
    <row r="81" spans="1:4">
      <c r="B81" s="29"/>
      <c r="D81" s="413"/>
    </row>
    <row r="82" spans="1:4">
      <c r="A82" s="30"/>
      <c r="B82" s="29"/>
      <c r="D82" s="413"/>
    </row>
    <row r="83" spans="1:4">
      <c r="B83" s="29"/>
      <c r="D83" s="413"/>
    </row>
    <row r="84" spans="1:4">
      <c r="B84" s="29"/>
      <c r="D84" s="413"/>
    </row>
    <row r="85" spans="1:4">
      <c r="B85" s="29"/>
      <c r="D85" s="413"/>
    </row>
    <row r="86" spans="1:4">
      <c r="B86" s="29"/>
      <c r="D86" s="413"/>
    </row>
    <row r="87" spans="1:4">
      <c r="B87" s="29"/>
      <c r="D87" s="413"/>
    </row>
    <row r="88" spans="1:4">
      <c r="A88" s="30"/>
      <c r="B88" s="29"/>
      <c r="D88" s="413"/>
    </row>
    <row r="89" spans="1:4">
      <c r="B89" s="29"/>
      <c r="D89" s="413"/>
    </row>
    <row r="90" spans="1:4">
      <c r="B90" s="29"/>
      <c r="D90" s="413"/>
    </row>
    <row r="91" spans="1:4">
      <c r="B91" s="29"/>
      <c r="D91" s="413"/>
    </row>
  </sheetData>
  <mergeCells count="2">
    <mergeCell ref="F3:G3"/>
    <mergeCell ref="B3:D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I62"/>
  <sheetViews>
    <sheetView showZeros="0" zoomScaleNormal="100" workbookViewId="0">
      <selection activeCell="G28" sqref="G28"/>
    </sheetView>
  </sheetViews>
  <sheetFormatPr defaultRowHeight="12.75"/>
  <cols>
    <col min="1" max="1" width="36" customWidth="1"/>
    <col min="2" max="3" width="11.42578125" hidden="1" customWidth="1"/>
    <col min="4" max="4" width="11.42578125" customWidth="1"/>
    <col min="5" max="6" width="11.42578125" style="81" hidden="1" customWidth="1"/>
    <col min="7" max="7" width="11.140625" bestFit="1" customWidth="1"/>
    <col min="8" max="8" width="10.140625" bestFit="1" customWidth="1"/>
    <col min="9" max="9" width="5.7109375" bestFit="1" customWidth="1"/>
  </cols>
  <sheetData>
    <row r="1" spans="1:9" ht="15">
      <c r="A1" s="31" t="s">
        <v>49</v>
      </c>
      <c r="B1" s="31"/>
      <c r="C1" s="31"/>
    </row>
    <row r="2" spans="1:9" s="81" customFormat="1" ht="12.75" customHeight="1">
      <c r="A2" s="31"/>
      <c r="B2" s="31"/>
      <c r="C2" s="31"/>
    </row>
    <row r="3" spans="1:9">
      <c r="A3" s="13"/>
      <c r="B3" s="13"/>
      <c r="C3" s="13"/>
      <c r="D3" s="32" t="s">
        <v>12</v>
      </c>
      <c r="E3" s="32"/>
      <c r="F3" s="32"/>
    </row>
    <row r="4" spans="1:9" ht="34.5" customHeight="1">
      <c r="D4" s="493">
        <v>2018</v>
      </c>
      <c r="G4" s="479">
        <v>2019</v>
      </c>
      <c r="H4" s="797" t="s">
        <v>434</v>
      </c>
      <c r="I4" s="798"/>
    </row>
    <row r="5" spans="1:9" ht="25.5">
      <c r="A5" s="33" t="s">
        <v>50</v>
      </c>
      <c r="B5" s="34" t="s">
        <v>51</v>
      </c>
      <c r="C5" s="34" t="s">
        <v>52</v>
      </c>
      <c r="D5" s="484" t="s">
        <v>258</v>
      </c>
      <c r="E5" s="34" t="s">
        <v>51</v>
      </c>
      <c r="F5" s="272" t="s">
        <v>52</v>
      </c>
      <c r="G5" s="478" t="s">
        <v>420</v>
      </c>
      <c r="H5" s="481" t="s">
        <v>12</v>
      </c>
      <c r="I5" s="482" t="s">
        <v>384</v>
      </c>
    </row>
    <row r="6" spans="1:9" ht="7.5" customHeight="1">
      <c r="A6" s="1"/>
      <c r="B6" s="1"/>
      <c r="C6" s="1"/>
      <c r="D6" s="1"/>
      <c r="E6" s="1"/>
      <c r="F6" s="1"/>
    </row>
    <row r="7" spans="1:9">
      <c r="A7" s="35" t="s">
        <v>54</v>
      </c>
      <c r="B7" s="6">
        <f>B9+B13</f>
        <v>445795000</v>
      </c>
      <c r="C7" s="6"/>
      <c r="D7" s="6">
        <f>B7+C7</f>
        <v>445795000</v>
      </c>
      <c r="E7" s="6">
        <f>E9+E13</f>
        <v>477400000</v>
      </c>
      <c r="F7" s="6"/>
      <c r="G7" s="6">
        <f>E7+F7</f>
        <v>477400000</v>
      </c>
      <c r="H7" s="6">
        <f>G7-D7</f>
        <v>31605000</v>
      </c>
      <c r="I7" s="315">
        <f>H7/D7</f>
        <v>7.0895815341132137E-2</v>
      </c>
    </row>
    <row r="8" spans="1:9">
      <c r="A8" s="1"/>
      <c r="B8" s="36"/>
      <c r="C8" s="36"/>
      <c r="D8" s="36"/>
      <c r="E8" s="36"/>
      <c r="F8" s="36"/>
      <c r="G8" s="36">
        <f t="shared" ref="G8:G49" si="0">E8+F8</f>
        <v>0</v>
      </c>
      <c r="H8" s="36">
        <f t="shared" ref="H8:H58" si="1">G8-D8</f>
        <v>0</v>
      </c>
      <c r="I8" s="452"/>
    </row>
    <row r="9" spans="1:9">
      <c r="A9" s="73" t="s">
        <v>16</v>
      </c>
      <c r="B9" s="6">
        <f>B10+B11</f>
        <v>433530000</v>
      </c>
      <c r="C9" s="37"/>
      <c r="D9" s="6">
        <f>B9+C9</f>
        <v>433530000</v>
      </c>
      <c r="E9" s="6">
        <f>E10+E11</f>
        <v>465000000</v>
      </c>
      <c r="F9" s="6"/>
      <c r="G9" s="6">
        <f t="shared" si="0"/>
        <v>465000000</v>
      </c>
      <c r="H9" s="6">
        <f t="shared" si="1"/>
        <v>31470000</v>
      </c>
      <c r="I9" s="315">
        <f t="shared" ref="I9:I58" si="2">H9/D9</f>
        <v>7.2590132170784027E-2</v>
      </c>
    </row>
    <row r="10" spans="1:9">
      <c r="A10" s="74" t="s">
        <v>55</v>
      </c>
      <c r="B10" s="17">
        <f>'2.1 LK TULUD'!E6</f>
        <v>407200000</v>
      </c>
      <c r="C10" s="39"/>
      <c r="D10" s="17">
        <f>B10+C10</f>
        <v>407200000</v>
      </c>
      <c r="E10" s="79">
        <f>'2.1 LK TULUD'!F6</f>
        <v>439000000</v>
      </c>
      <c r="F10" s="79"/>
      <c r="G10" s="79">
        <f t="shared" si="0"/>
        <v>439000000</v>
      </c>
      <c r="H10" s="79">
        <f t="shared" si="1"/>
        <v>31800000</v>
      </c>
      <c r="I10" s="245">
        <f t="shared" si="2"/>
        <v>7.8094302554027509E-2</v>
      </c>
    </row>
    <row r="11" spans="1:9">
      <c r="A11" s="74" t="s">
        <v>56</v>
      </c>
      <c r="B11" s="17">
        <f>'2.1 LK TULUD'!E9</f>
        <v>26330000</v>
      </c>
      <c r="C11" s="39"/>
      <c r="D11" s="17">
        <f>B11+C11</f>
        <v>26330000</v>
      </c>
      <c r="E11" s="79">
        <f>'2.1 LK TULUD'!F9</f>
        <v>26000000</v>
      </c>
      <c r="F11" s="79"/>
      <c r="G11" s="79">
        <f t="shared" si="0"/>
        <v>26000000</v>
      </c>
      <c r="H11" s="79">
        <f t="shared" si="1"/>
        <v>-330000</v>
      </c>
      <c r="I11" s="447">
        <f t="shared" si="2"/>
        <v>-1.2533232054690467E-2</v>
      </c>
    </row>
    <row r="12" spans="1:9" ht="7.5" customHeight="1">
      <c r="A12" s="57"/>
      <c r="B12" s="17"/>
      <c r="C12" s="40"/>
      <c r="D12" s="17"/>
      <c r="E12" s="79"/>
      <c r="F12" s="79"/>
      <c r="G12" s="79">
        <f t="shared" si="0"/>
        <v>0</v>
      </c>
      <c r="H12" s="79">
        <f t="shared" si="1"/>
        <v>0</v>
      </c>
      <c r="I12" s="447"/>
    </row>
    <row r="13" spans="1:9">
      <c r="A13" s="73" t="s">
        <v>17</v>
      </c>
      <c r="B13" s="6">
        <f>SUM(B14:B16)</f>
        <v>12265000</v>
      </c>
      <c r="C13" s="37"/>
      <c r="D13" s="6">
        <f>B13+C13</f>
        <v>12265000</v>
      </c>
      <c r="E13" s="6">
        <f>SUM(E14:E16)</f>
        <v>12400000</v>
      </c>
      <c r="F13" s="6"/>
      <c r="G13" s="6">
        <f t="shared" si="0"/>
        <v>12400000</v>
      </c>
      <c r="H13" s="6">
        <f t="shared" si="1"/>
        <v>135000</v>
      </c>
      <c r="I13" s="315">
        <f t="shared" si="2"/>
        <v>1.10069302894415E-2</v>
      </c>
    </row>
    <row r="14" spans="1:9" ht="12.75" customHeight="1">
      <c r="A14" s="74" t="s">
        <v>57</v>
      </c>
      <c r="B14" s="17">
        <f>'2.1 LK TULUD'!E13</f>
        <v>4700000</v>
      </c>
      <c r="C14" s="39"/>
      <c r="D14" s="17">
        <f>B14+C14</f>
        <v>4700000</v>
      </c>
      <c r="E14" s="79">
        <f>'2.1 LK TULUD'!F13</f>
        <v>4800000</v>
      </c>
      <c r="F14" s="79"/>
      <c r="G14" s="79">
        <f t="shared" si="0"/>
        <v>4800000</v>
      </c>
      <c r="H14" s="79">
        <f t="shared" si="1"/>
        <v>100000</v>
      </c>
      <c r="I14" s="447">
        <f t="shared" si="2"/>
        <v>2.1276595744680851E-2</v>
      </c>
    </row>
    <row r="15" spans="1:9" ht="12.75" customHeight="1">
      <c r="A15" s="98" t="s">
        <v>101</v>
      </c>
      <c r="B15" s="17">
        <f>'2.1 LK TULUD'!E16</f>
        <v>1265000</v>
      </c>
      <c r="C15" s="39"/>
      <c r="D15" s="17">
        <f>B15+C15</f>
        <v>1265000</v>
      </c>
      <c r="E15" s="79">
        <f>'2.1 LK TULUD'!F16</f>
        <v>1300000</v>
      </c>
      <c r="F15" s="79"/>
      <c r="G15" s="79">
        <f t="shared" si="0"/>
        <v>1300000</v>
      </c>
      <c r="H15" s="79">
        <f t="shared" si="1"/>
        <v>35000</v>
      </c>
      <c r="I15" s="447">
        <f t="shared" si="2"/>
        <v>2.766798418972332E-2</v>
      </c>
    </row>
    <row r="16" spans="1:9">
      <c r="A16" s="74" t="s">
        <v>58</v>
      </c>
      <c r="B16" s="17">
        <f>'2.1 LK TULUD'!E19</f>
        <v>6300000</v>
      </c>
      <c r="C16" s="39"/>
      <c r="D16" s="17">
        <f>B16+C16</f>
        <v>6300000</v>
      </c>
      <c r="E16" s="79">
        <f>'2.1 LK TULUD'!F19</f>
        <v>6300000</v>
      </c>
      <c r="F16" s="79"/>
      <c r="G16" s="79">
        <f t="shared" si="0"/>
        <v>6300000</v>
      </c>
      <c r="H16" s="79">
        <f t="shared" si="1"/>
        <v>0</v>
      </c>
      <c r="I16" s="447">
        <f t="shared" si="2"/>
        <v>0</v>
      </c>
    </row>
    <row r="17" spans="1:9" s="81" customFormat="1">
      <c r="A17" s="98" t="s">
        <v>338</v>
      </c>
      <c r="B17" s="79"/>
      <c r="C17" s="39"/>
      <c r="D17" s="79"/>
      <c r="E17" s="79"/>
      <c r="F17" s="79"/>
      <c r="G17" s="79">
        <f t="shared" si="0"/>
        <v>0</v>
      </c>
      <c r="H17" s="79">
        <f t="shared" si="1"/>
        <v>0</v>
      </c>
      <c r="I17" s="447"/>
    </row>
    <row r="18" spans="1:9" ht="6.75" customHeight="1">
      <c r="A18" s="41"/>
      <c r="B18" s="17"/>
      <c r="C18" s="42"/>
      <c r="D18" s="17"/>
      <c r="E18" s="79"/>
      <c r="F18" s="79"/>
      <c r="G18" s="79">
        <f t="shared" si="0"/>
        <v>0</v>
      </c>
      <c r="H18" s="79">
        <f t="shared" si="1"/>
        <v>0</v>
      </c>
      <c r="I18" s="447"/>
    </row>
    <row r="19" spans="1:9">
      <c r="A19" s="46" t="s">
        <v>18</v>
      </c>
      <c r="B19" s="6">
        <f>'2.1 LK TULUD'!E24</f>
        <v>604800</v>
      </c>
      <c r="C19" s="6"/>
      <c r="D19" s="6">
        <f>B19+C19</f>
        <v>604800</v>
      </c>
      <c r="E19" s="6">
        <f>'2.1 LK TULUD'!F24</f>
        <v>542950</v>
      </c>
      <c r="F19" s="6"/>
      <c r="G19" s="6">
        <f t="shared" si="0"/>
        <v>542950</v>
      </c>
      <c r="H19" s="6">
        <f t="shared" si="1"/>
        <v>-61850</v>
      </c>
      <c r="I19" s="315">
        <f t="shared" si="2"/>
        <v>-0.10226521164021164</v>
      </c>
    </row>
    <row r="20" spans="1:9" ht="16.5" customHeight="1">
      <c r="A20" s="43"/>
      <c r="B20" s="17"/>
      <c r="C20" s="44"/>
      <c r="D20" s="17"/>
      <c r="E20" s="79"/>
      <c r="F20" s="79"/>
      <c r="G20" s="79">
        <f t="shared" si="0"/>
        <v>0</v>
      </c>
      <c r="H20" s="79">
        <f t="shared" si="1"/>
        <v>0</v>
      </c>
      <c r="I20" s="447"/>
    </row>
    <row r="21" spans="1:9">
      <c r="A21" s="35" t="s">
        <v>19</v>
      </c>
      <c r="B21" s="6">
        <f>SUM(B22:B27)</f>
        <v>800400</v>
      </c>
      <c r="C21" s="6">
        <f ca="1">SUM(C22:C27)</f>
        <v>724715</v>
      </c>
      <c r="D21" s="6">
        <f ca="1">B21+C21</f>
        <v>1525115</v>
      </c>
      <c r="E21" s="6">
        <f>SUM(E22:E27)</f>
        <v>744404</v>
      </c>
      <c r="F21" s="6">
        <f ca="1">SUM(F22:F27)</f>
        <v>744480</v>
      </c>
      <c r="G21" s="6">
        <f t="shared" ca="1" si="0"/>
        <v>1488884</v>
      </c>
      <c r="H21" s="6">
        <f t="shared" ca="1" si="1"/>
        <v>-36231</v>
      </c>
      <c r="I21" s="464">
        <f ca="1">H21/D21</f>
        <v>-2.3756241332620817E-2</v>
      </c>
    </row>
    <row r="22" spans="1:9">
      <c r="A22" s="38" t="s">
        <v>9</v>
      </c>
      <c r="B22" s="17"/>
      <c r="C22" s="17">
        <f ca="1">Sheet2!E3</f>
        <v>356325</v>
      </c>
      <c r="D22" s="84">
        <f ca="1">B22+C22</f>
        <v>356325</v>
      </c>
      <c r="E22" s="84"/>
      <c r="F22" s="84">
        <f ca="1">Sheet2!F3</f>
        <v>364500</v>
      </c>
      <c r="G22" s="85">
        <f t="shared" ca="1" si="0"/>
        <v>364500</v>
      </c>
      <c r="H22" s="85">
        <f t="shared" ca="1" si="1"/>
        <v>8175</v>
      </c>
      <c r="I22" s="317">
        <f t="shared" ca="1" si="2"/>
        <v>2.2942538412965691E-2</v>
      </c>
    </row>
    <row r="23" spans="1:9">
      <c r="A23" s="38" t="s">
        <v>86</v>
      </c>
      <c r="B23" s="17"/>
      <c r="C23" s="17">
        <f ca="1">Sheet2!E17</f>
        <v>192490</v>
      </c>
      <c r="D23" s="84">
        <f ca="1">B23+C23</f>
        <v>192490</v>
      </c>
      <c r="E23" s="84"/>
      <c r="F23" s="84">
        <f ca="1">Sheet2!F17</f>
        <v>195380</v>
      </c>
      <c r="G23" s="84">
        <f t="shared" ca="1" si="0"/>
        <v>195380</v>
      </c>
      <c r="H23" s="84">
        <f t="shared" ca="1" si="1"/>
        <v>2890</v>
      </c>
      <c r="I23" s="453">
        <f t="shared" ca="1" si="2"/>
        <v>1.5013766948932411E-2</v>
      </c>
    </row>
    <row r="24" spans="1:9">
      <c r="A24" s="38" t="s">
        <v>93</v>
      </c>
      <c r="B24" s="17">
        <f>'2.1 LK TULUD'!E30</f>
        <v>800400</v>
      </c>
      <c r="C24" s="17">
        <f ca="1">Sheet2!E16</f>
        <v>55300</v>
      </c>
      <c r="D24" s="84">
        <f ca="1">B24+C24</f>
        <v>855700</v>
      </c>
      <c r="E24" s="84">
        <f>'2.1 LK TULUD'!F30</f>
        <v>744404</v>
      </c>
      <c r="F24" s="84">
        <f ca="1">Sheet2!F16</f>
        <v>60000</v>
      </c>
      <c r="G24" s="84">
        <f t="shared" ca="1" si="0"/>
        <v>804404</v>
      </c>
      <c r="H24" s="84">
        <f t="shared" ca="1" si="1"/>
        <v>-51296</v>
      </c>
      <c r="I24" s="453">
        <f t="shared" ca="1" si="2"/>
        <v>-5.9946242842117567E-2</v>
      </c>
    </row>
    <row r="25" spans="1:9" s="97" customFormat="1" hidden="1">
      <c r="A25" s="454" t="s">
        <v>298</v>
      </c>
      <c r="B25" s="63"/>
      <c r="C25" s="63"/>
      <c r="D25" s="85">
        <f>B24</f>
        <v>800400</v>
      </c>
      <c r="E25" s="85"/>
      <c r="F25" s="85"/>
      <c r="G25" s="85">
        <f>E24</f>
        <v>744404</v>
      </c>
      <c r="H25" s="85">
        <f t="shared" si="1"/>
        <v>-55996</v>
      </c>
      <c r="I25" s="370">
        <f t="shared" si="2"/>
        <v>-6.9960019990004993E-2</v>
      </c>
    </row>
    <row r="26" spans="1:9" s="97" customFormat="1" hidden="1">
      <c r="A26" s="454" t="s">
        <v>109</v>
      </c>
      <c r="B26" s="63"/>
      <c r="C26" s="63"/>
      <c r="D26" s="85">
        <f ca="1">C24</f>
        <v>55300</v>
      </c>
      <c r="E26" s="85"/>
      <c r="F26" s="85"/>
      <c r="G26" s="85">
        <f ca="1">F24</f>
        <v>60000</v>
      </c>
      <c r="H26" s="85">
        <f t="shared" ca="1" si="1"/>
        <v>4700</v>
      </c>
      <c r="I26" s="370">
        <f t="shared" ca="1" si="2"/>
        <v>8.4990958408679929E-2</v>
      </c>
    </row>
    <row r="27" spans="1:9">
      <c r="A27" s="91" t="s">
        <v>87</v>
      </c>
      <c r="B27" s="63"/>
      <c r="C27" s="63">
        <f ca="1">Sheet2!E15</f>
        <v>120600</v>
      </c>
      <c r="D27" s="85">
        <f ca="1">B27+C27</f>
        <v>120600</v>
      </c>
      <c r="E27" s="85"/>
      <c r="F27" s="85">
        <f ca="1">Sheet2!F15</f>
        <v>124600</v>
      </c>
      <c r="G27" s="85">
        <f t="shared" ca="1" si="0"/>
        <v>124600</v>
      </c>
      <c r="H27" s="85">
        <f t="shared" ca="1" si="1"/>
        <v>4000</v>
      </c>
      <c r="I27" s="370">
        <f t="shared" ca="1" si="2"/>
        <v>3.316749585406302E-2</v>
      </c>
    </row>
    <row r="28" spans="1:9" ht="7.5" customHeight="1">
      <c r="A28" s="48"/>
      <c r="B28" s="63"/>
      <c r="C28" s="63"/>
      <c r="D28" s="85"/>
      <c r="E28" s="85"/>
      <c r="F28" s="85"/>
      <c r="G28" s="85"/>
      <c r="H28" s="85"/>
      <c r="I28" s="370"/>
    </row>
    <row r="29" spans="1:9">
      <c r="A29" s="35" t="s">
        <v>20</v>
      </c>
      <c r="B29" s="45">
        <f>SUM(B30:B31)</f>
        <v>647579</v>
      </c>
      <c r="C29" s="45">
        <f ca="1">SUM(C30:C31)</f>
        <v>0</v>
      </c>
      <c r="D29" s="45">
        <f ca="1">B29+C29</f>
        <v>647579</v>
      </c>
      <c r="E29" s="45">
        <f>SUM(E30:E31)</f>
        <v>644000</v>
      </c>
      <c r="F29" s="45">
        <f ca="1">SUM(F30:F31)</f>
        <v>0</v>
      </c>
      <c r="G29" s="45">
        <f t="shared" ca="1" si="0"/>
        <v>644000</v>
      </c>
      <c r="H29" s="45">
        <f t="shared" ca="1" si="1"/>
        <v>-3579</v>
      </c>
      <c r="I29" s="316">
        <f t="shared" ca="1" si="2"/>
        <v>-5.5267388225992507E-3</v>
      </c>
    </row>
    <row r="30" spans="1:9">
      <c r="A30" s="91" t="s">
        <v>59</v>
      </c>
      <c r="B30" s="63">
        <f>'2.1 LK TULUD'!E39</f>
        <v>516000</v>
      </c>
      <c r="C30" s="455"/>
      <c r="D30" s="85">
        <f>B30+C30</f>
        <v>516000</v>
      </c>
      <c r="E30" s="85">
        <f>'2.1 LK TULUD'!F39</f>
        <v>516000</v>
      </c>
      <c r="F30" s="455"/>
      <c r="G30" s="85">
        <f t="shared" si="0"/>
        <v>516000</v>
      </c>
      <c r="H30" s="85">
        <f t="shared" si="1"/>
        <v>0</v>
      </c>
      <c r="I30" s="370">
        <f t="shared" si="2"/>
        <v>0</v>
      </c>
    </row>
    <row r="31" spans="1:9">
      <c r="A31" s="91" t="s">
        <v>92</v>
      </c>
      <c r="B31" s="63">
        <f>'2.1 LK TULUD'!E44</f>
        <v>131579</v>
      </c>
      <c r="C31" s="63">
        <f ca="1">Sheet2!E14</f>
        <v>0</v>
      </c>
      <c r="D31" s="85">
        <f ca="1">B31+C31</f>
        <v>131579</v>
      </c>
      <c r="E31" s="85">
        <f>'2.1 LK TULUD'!F44</f>
        <v>128000</v>
      </c>
      <c r="F31" s="85">
        <f ca="1">Sheet2!F14</f>
        <v>0</v>
      </c>
      <c r="G31" s="85">
        <f t="shared" ca="1" si="0"/>
        <v>128000</v>
      </c>
      <c r="H31" s="85">
        <f t="shared" ca="1" si="1"/>
        <v>-3579</v>
      </c>
      <c r="I31" s="370">
        <f t="shared" ca="1" si="2"/>
        <v>-2.7200389119844352E-2</v>
      </c>
    </row>
    <row r="32" spans="1:9" s="97" customFormat="1" hidden="1">
      <c r="A32" s="454" t="s">
        <v>298</v>
      </c>
      <c r="B32" s="63"/>
      <c r="C32" s="63"/>
      <c r="D32" s="85">
        <f>B31</f>
        <v>131579</v>
      </c>
      <c r="E32" s="85"/>
      <c r="F32" s="85"/>
      <c r="G32" s="85">
        <f>E31</f>
        <v>128000</v>
      </c>
      <c r="H32" s="85">
        <f t="shared" si="1"/>
        <v>-3579</v>
      </c>
      <c r="I32" s="370">
        <f t="shared" si="2"/>
        <v>-2.7200389119844352E-2</v>
      </c>
    </row>
    <row r="33" spans="1:9" s="97" customFormat="1" hidden="1">
      <c r="A33" s="454" t="s">
        <v>109</v>
      </c>
      <c r="B33" s="63"/>
      <c r="C33" s="63"/>
      <c r="D33" s="85">
        <f ca="1">C31</f>
        <v>0</v>
      </c>
      <c r="E33" s="85"/>
      <c r="F33" s="85"/>
      <c r="G33" s="85">
        <f ca="1">F31</f>
        <v>0</v>
      </c>
      <c r="H33" s="85">
        <f t="shared" ca="1" si="1"/>
        <v>0</v>
      </c>
      <c r="I33" s="370" t="e">
        <f t="shared" ca="1" si="2"/>
        <v>#DIV/0!</v>
      </c>
    </row>
    <row r="34" spans="1:9" ht="8.25" customHeight="1">
      <c r="A34" s="1"/>
      <c r="B34" s="17"/>
      <c r="C34" s="36"/>
      <c r="D34" s="84"/>
      <c r="E34" s="84"/>
      <c r="F34" s="36"/>
      <c r="G34" s="84">
        <f t="shared" si="0"/>
        <v>0</v>
      </c>
      <c r="H34" s="84">
        <f t="shared" si="1"/>
        <v>0</v>
      </c>
      <c r="I34" s="453"/>
    </row>
    <row r="35" spans="1:9">
      <c r="A35" s="35" t="s">
        <v>21</v>
      </c>
      <c r="B35" s="45">
        <f>B36</f>
        <v>10000</v>
      </c>
      <c r="C35" s="6"/>
      <c r="D35" s="45">
        <f>B35+C35</f>
        <v>10000</v>
      </c>
      <c r="E35" s="45">
        <f>E36</f>
        <v>6000</v>
      </c>
      <c r="F35" s="6"/>
      <c r="G35" s="45">
        <f t="shared" si="0"/>
        <v>6000</v>
      </c>
      <c r="H35" s="45">
        <f t="shared" si="1"/>
        <v>-4000</v>
      </c>
      <c r="I35" s="316">
        <f t="shared" si="2"/>
        <v>-0.4</v>
      </c>
    </row>
    <row r="36" spans="1:9">
      <c r="A36" s="38" t="s">
        <v>60</v>
      </c>
      <c r="B36" s="17">
        <f>'2.1 LK TULUD'!E53</f>
        <v>10000</v>
      </c>
      <c r="C36" s="39"/>
      <c r="D36" s="84">
        <f>B36+C36</f>
        <v>10000</v>
      </c>
      <c r="E36" s="84">
        <f>'2.1 LK TULUD'!F53</f>
        <v>6000</v>
      </c>
      <c r="F36" s="39"/>
      <c r="G36" s="84">
        <f t="shared" si="0"/>
        <v>6000</v>
      </c>
      <c r="H36" s="84">
        <f t="shared" si="1"/>
        <v>-4000</v>
      </c>
      <c r="I36" s="453">
        <f t="shared" si="2"/>
        <v>-0.4</v>
      </c>
    </row>
    <row r="37" spans="1:9" ht="9" customHeight="1">
      <c r="A37" s="1"/>
      <c r="B37" s="17"/>
      <c r="C37" s="36"/>
      <c r="D37" s="84"/>
      <c r="E37" s="84"/>
      <c r="F37" s="36"/>
      <c r="G37" s="84">
        <f t="shared" si="0"/>
        <v>0</v>
      </c>
      <c r="H37" s="84">
        <f t="shared" si="1"/>
        <v>0</v>
      </c>
      <c r="I37" s="453"/>
    </row>
    <row r="38" spans="1:9">
      <c r="A38" s="35" t="s">
        <v>61</v>
      </c>
      <c r="B38" s="45">
        <f>SUM(B39:B41)</f>
        <v>2005739</v>
      </c>
      <c r="C38" s="6"/>
      <c r="D38" s="45">
        <f>B38+C38</f>
        <v>2005739</v>
      </c>
      <c r="E38" s="45">
        <f>SUM(E39:E41)</f>
        <v>2577575</v>
      </c>
      <c r="F38" s="6"/>
      <c r="G38" s="45">
        <f t="shared" si="0"/>
        <v>2577575</v>
      </c>
      <c r="H38" s="45">
        <f t="shared" si="1"/>
        <v>571836</v>
      </c>
      <c r="I38" s="316">
        <f t="shared" si="2"/>
        <v>0.2850999058202488</v>
      </c>
    </row>
    <row r="39" spans="1:9">
      <c r="A39" s="38" t="s">
        <v>74</v>
      </c>
      <c r="B39" s="17">
        <f>'2.1 LK TULUD'!E57</f>
        <v>2829671</v>
      </c>
      <c r="C39" s="36"/>
      <c r="D39" s="84">
        <f>B39+C39</f>
        <v>2829671</v>
      </c>
      <c r="E39" s="84">
        <f>'2.1 LK TULUD'!F57</f>
        <v>5101500</v>
      </c>
      <c r="F39" s="36"/>
      <c r="G39" s="84">
        <f t="shared" si="0"/>
        <v>5101500</v>
      </c>
      <c r="H39" s="84">
        <f t="shared" si="1"/>
        <v>2271829</v>
      </c>
      <c r="I39" s="453">
        <f t="shared" si="2"/>
        <v>0.80285976708953088</v>
      </c>
    </row>
    <row r="40" spans="1:9">
      <c r="A40" s="38" t="s">
        <v>6</v>
      </c>
      <c r="B40" s="17">
        <f>'2.1 LK TULUD'!E61</f>
        <v>-813932</v>
      </c>
      <c r="C40" s="36"/>
      <c r="D40" s="84">
        <f>B40+C40</f>
        <v>-813932</v>
      </c>
      <c r="E40" s="84">
        <f>'2.1 LK TULUD'!F61</f>
        <v>-2513925</v>
      </c>
      <c r="F40" s="36"/>
      <c r="G40" s="84">
        <f t="shared" si="0"/>
        <v>-2513925</v>
      </c>
      <c r="H40" s="84">
        <f t="shared" si="1"/>
        <v>-1699993</v>
      </c>
      <c r="I40" s="453">
        <f t="shared" si="2"/>
        <v>2.0886179680857859</v>
      </c>
    </row>
    <row r="41" spans="1:9">
      <c r="A41" s="38" t="s">
        <v>24</v>
      </c>
      <c r="B41" s="17">
        <f>'2.1 LK TULUD'!E62</f>
        <v>-10000</v>
      </c>
      <c r="C41" s="36"/>
      <c r="D41" s="84">
        <f>B41+C41</f>
        <v>-10000</v>
      </c>
      <c r="E41" s="84">
        <f>'2.1 LK TULUD'!F62</f>
        <v>-10000</v>
      </c>
      <c r="F41" s="36"/>
      <c r="G41" s="84">
        <f t="shared" si="0"/>
        <v>-10000</v>
      </c>
      <c r="H41" s="84">
        <f t="shared" si="1"/>
        <v>0</v>
      </c>
      <c r="I41" s="453">
        <f t="shared" si="2"/>
        <v>0</v>
      </c>
    </row>
    <row r="42" spans="1:9" ht="9" customHeight="1">
      <c r="A42" s="1"/>
      <c r="B42" s="17"/>
      <c r="C42" s="36"/>
      <c r="D42" s="84"/>
      <c r="E42" s="84"/>
      <c r="F42" s="36"/>
      <c r="G42" s="84">
        <f t="shared" si="0"/>
        <v>0</v>
      </c>
      <c r="H42" s="84">
        <f t="shared" si="1"/>
        <v>0</v>
      </c>
      <c r="I42" s="453"/>
    </row>
    <row r="43" spans="1:9">
      <c r="A43" s="35" t="s">
        <v>25</v>
      </c>
      <c r="B43" s="45">
        <f>SUM(B44:B45)</f>
        <v>470305</v>
      </c>
      <c r="C43" s="6">
        <f ca="1">C46</f>
        <v>0</v>
      </c>
      <c r="D43" s="45">
        <f ca="1">B43+C43</f>
        <v>470305</v>
      </c>
      <c r="E43" s="45">
        <f>SUM(E44:E45)</f>
        <v>467000</v>
      </c>
      <c r="F43" s="6">
        <f ca="1">F46</f>
        <v>0</v>
      </c>
      <c r="G43" s="45">
        <f t="shared" ca="1" si="0"/>
        <v>467000</v>
      </c>
      <c r="H43" s="45">
        <f t="shared" ca="1" si="1"/>
        <v>-3305</v>
      </c>
      <c r="I43" s="316">
        <f t="shared" ca="1" si="2"/>
        <v>-7.0273545890432807E-3</v>
      </c>
    </row>
    <row r="44" spans="1:9">
      <c r="A44" s="91" t="s">
        <v>102</v>
      </c>
      <c r="B44" s="17">
        <f>'2.1 LK TULUD'!E65</f>
        <v>400000</v>
      </c>
      <c r="C44" s="39"/>
      <c r="D44" s="84">
        <f>B44+C44</f>
        <v>400000</v>
      </c>
      <c r="E44" s="84">
        <f>'2.1 LK TULUD'!F65</f>
        <v>400000</v>
      </c>
      <c r="F44" s="39"/>
      <c r="G44" s="84">
        <f t="shared" si="0"/>
        <v>400000</v>
      </c>
      <c r="H44" s="84">
        <f t="shared" si="1"/>
        <v>0</v>
      </c>
      <c r="I44" s="453">
        <f t="shared" si="2"/>
        <v>0</v>
      </c>
    </row>
    <row r="45" spans="1:9">
      <c r="A45" s="38" t="s">
        <v>10</v>
      </c>
      <c r="B45" s="17">
        <f>'2.1 LK TULUD'!E67</f>
        <v>70305</v>
      </c>
      <c r="C45" s="39"/>
      <c r="D45" s="84">
        <f>B45+C45</f>
        <v>70305</v>
      </c>
      <c r="E45" s="84">
        <f>'2.1 LK TULUD'!F67</f>
        <v>67000</v>
      </c>
      <c r="F45" s="39"/>
      <c r="G45" s="84">
        <f t="shared" si="0"/>
        <v>67000</v>
      </c>
      <c r="H45" s="84">
        <f t="shared" si="1"/>
        <v>-3305</v>
      </c>
      <c r="I45" s="453">
        <f t="shared" si="2"/>
        <v>-4.700945878671503E-2</v>
      </c>
    </row>
    <row r="46" spans="1:9" s="81" customFormat="1">
      <c r="A46" s="91" t="s">
        <v>106</v>
      </c>
      <c r="B46" s="79"/>
      <c r="C46" s="84">
        <f ca="1">Sheet2!E19</f>
        <v>0</v>
      </c>
      <c r="D46" s="84">
        <f ca="1">B46+C46</f>
        <v>0</v>
      </c>
      <c r="E46" s="84"/>
      <c r="F46" s="84">
        <f ca="1">Sheet2!F19</f>
        <v>0</v>
      </c>
      <c r="G46" s="84">
        <f t="shared" ca="1" si="0"/>
        <v>0</v>
      </c>
      <c r="H46" s="84">
        <f t="shared" ca="1" si="1"/>
        <v>0</v>
      </c>
      <c r="I46" s="453" t="e">
        <f t="shared" ca="1" si="2"/>
        <v>#DIV/0!</v>
      </c>
    </row>
    <row r="47" spans="1:9" ht="8.25" customHeight="1">
      <c r="A47" s="1"/>
      <c r="B47" s="17"/>
      <c r="C47" s="36"/>
      <c r="D47" s="84"/>
      <c r="E47" s="84"/>
      <c r="F47" s="36"/>
      <c r="G47" s="84">
        <f t="shared" si="0"/>
        <v>0</v>
      </c>
      <c r="H47" s="84">
        <f t="shared" si="1"/>
        <v>0</v>
      </c>
      <c r="I47" s="453"/>
    </row>
    <row r="48" spans="1:9">
      <c r="A48" s="35" t="s">
        <v>26</v>
      </c>
      <c r="B48" s="6">
        <f>'2.1 LK TULUD'!E69</f>
        <v>7260000</v>
      </c>
      <c r="C48" s="6"/>
      <c r="D48" s="6">
        <f>B48+C48</f>
        <v>7260000</v>
      </c>
      <c r="E48" s="6">
        <f>'2.1 LK TULUD'!F69</f>
        <v>7800000</v>
      </c>
      <c r="F48" s="6"/>
      <c r="G48" s="6">
        <f t="shared" si="0"/>
        <v>7800000</v>
      </c>
      <c r="H48" s="6">
        <f t="shared" si="1"/>
        <v>540000</v>
      </c>
      <c r="I48" s="315">
        <f t="shared" si="2"/>
        <v>7.43801652892562E-2</v>
      </c>
    </row>
    <row r="49" spans="1:9" ht="8.25" customHeight="1">
      <c r="A49" s="35"/>
      <c r="B49" s="17"/>
      <c r="C49" s="6"/>
      <c r="D49" s="84"/>
      <c r="E49" s="84"/>
      <c r="F49" s="6"/>
      <c r="G49" s="84">
        <f t="shared" si="0"/>
        <v>0</v>
      </c>
      <c r="H49" s="84">
        <f t="shared" si="1"/>
        <v>0</v>
      </c>
      <c r="I49" s="453"/>
    </row>
    <row r="50" spans="1:9">
      <c r="A50" s="46" t="s">
        <v>62</v>
      </c>
      <c r="B50" s="45">
        <f>B7+B19+B21+B29+B35+B38+B43+B48</f>
        <v>457593823</v>
      </c>
      <c r="C50" s="45">
        <f ca="1">C7+C19+C21+C29+C35+C38+C43+C48</f>
        <v>724715</v>
      </c>
      <c r="D50" s="45">
        <f ca="1">D7+D19+D21+D29+D35+D38+D43+D48</f>
        <v>458318538</v>
      </c>
      <c r="E50" s="45">
        <f>E7+E19+E21+E29+E35+E38+E43+E48</f>
        <v>490181929</v>
      </c>
      <c r="F50" s="45">
        <f ca="1">F7+F19+F21+F29+F35+F38+F43+F48</f>
        <v>744480</v>
      </c>
      <c r="G50" s="45">
        <f t="shared" ref="G50" ca="1" si="3">G7+G19+G21+G29+G35+G38+G43+G48</f>
        <v>490926409</v>
      </c>
      <c r="H50" s="45">
        <f t="shared" ca="1" si="1"/>
        <v>32607871</v>
      </c>
      <c r="I50" s="316">
        <f t="shared" ca="1" si="2"/>
        <v>7.1146742486772371E-2</v>
      </c>
    </row>
    <row r="51" spans="1:9" ht="8.25" customHeight="1">
      <c r="A51" s="35"/>
      <c r="B51" s="17"/>
      <c r="C51" s="6"/>
      <c r="D51" s="84"/>
      <c r="E51" s="84"/>
      <c r="F51" s="84"/>
      <c r="G51" s="84"/>
      <c r="H51" s="84">
        <f t="shared" si="1"/>
        <v>0</v>
      </c>
      <c r="I51" s="453"/>
    </row>
    <row r="52" spans="1:9">
      <c r="A52" s="35" t="s">
        <v>63</v>
      </c>
      <c r="B52" s="45">
        <f>SUM(B53:B56)</f>
        <v>142164015</v>
      </c>
      <c r="C52" s="45">
        <f>SUM(C53:C56)</f>
        <v>1881380</v>
      </c>
      <c r="D52" s="45">
        <f>B52+C52</f>
        <v>144045395</v>
      </c>
      <c r="E52" s="45">
        <f>SUM(E53:E56)</f>
        <v>33419911</v>
      </c>
      <c r="F52" s="45">
        <f>SUM(F53:F56)</f>
        <v>118460404.54166667</v>
      </c>
      <c r="G52" s="45">
        <f t="shared" ref="G52" si="4">SUM(G53:G55)</f>
        <v>151880315.54166666</v>
      </c>
      <c r="H52" s="45">
        <f t="shared" si="1"/>
        <v>7834920.5416666567</v>
      </c>
      <c r="I52" s="316">
        <f t="shared" si="2"/>
        <v>5.4392023720485176E-2</v>
      </c>
    </row>
    <row r="53" spans="1:9">
      <c r="A53" s="1" t="s">
        <v>64</v>
      </c>
      <c r="B53" s="17">
        <f>'2.3 TOETUSED'!E8</f>
        <v>112703320</v>
      </c>
      <c r="C53" s="36"/>
      <c r="D53" s="84">
        <f>B53+C53</f>
        <v>112703320</v>
      </c>
      <c r="E53" s="84">
        <f>'2.3 TOETUSED'!F10</f>
        <v>12888223</v>
      </c>
      <c r="F53" s="84">
        <f>'2.3 TOETUSED'!F9</f>
        <v>116000000</v>
      </c>
      <c r="G53" s="84">
        <f t="shared" ref="G53:G56" si="5">E53+F53</f>
        <v>128888223</v>
      </c>
      <c r="H53" s="84">
        <f t="shared" si="1"/>
        <v>16184903</v>
      </c>
      <c r="I53" s="370">
        <f t="shared" si="2"/>
        <v>0.14360626643474211</v>
      </c>
    </row>
    <row r="54" spans="1:9">
      <c r="A54" s="38" t="s">
        <v>65</v>
      </c>
      <c r="B54" s="17">
        <f>'2.3 TOETUSED'!E96</f>
        <v>27388504</v>
      </c>
      <c r="C54" s="17">
        <f>'2.3 TOETUSED'!E42</f>
        <v>1881380</v>
      </c>
      <c r="D54" s="84">
        <f>B54+C54</f>
        <v>29269884</v>
      </c>
      <c r="E54" s="84">
        <f>'2.3 TOETUSED'!F96</f>
        <v>18679635</v>
      </c>
      <c r="F54" s="84">
        <f>'2.3 TOETUSED'!F42</f>
        <v>2456501.5416666665</v>
      </c>
      <c r="G54" s="84">
        <f t="shared" si="5"/>
        <v>21136136.541666668</v>
      </c>
      <c r="H54" s="84">
        <f t="shared" si="1"/>
        <v>-8133747.4583333321</v>
      </c>
      <c r="I54" s="370">
        <f t="shared" si="2"/>
        <v>-0.27788792939300111</v>
      </c>
    </row>
    <row r="55" spans="1:9" s="81" customFormat="1">
      <c r="A55" s="91" t="s">
        <v>104</v>
      </c>
      <c r="B55" s="79">
        <f>'2.3 TOETUSED'!E24</f>
        <v>2072191</v>
      </c>
      <c r="C55" s="36"/>
      <c r="D55" s="84">
        <f>B55+C55</f>
        <v>2072191</v>
      </c>
      <c r="E55" s="84">
        <f>'2.3 TOETUSED'!F29</f>
        <v>1852053</v>
      </c>
      <c r="F55" s="84">
        <f>'2.3 TOETUSED'!F25</f>
        <v>3903</v>
      </c>
      <c r="G55" s="84">
        <f t="shared" si="5"/>
        <v>1855956</v>
      </c>
      <c r="H55" s="84">
        <f t="shared" si="1"/>
        <v>-216235</v>
      </c>
      <c r="I55" s="370">
        <f t="shared" si="2"/>
        <v>-0.10435090201627166</v>
      </c>
    </row>
    <row r="56" spans="1:9" s="81" customFormat="1">
      <c r="A56" s="91" t="s">
        <v>343</v>
      </c>
      <c r="B56" s="79">
        <f>'2.3 TOETUSED'!E135</f>
        <v>0</v>
      </c>
      <c r="C56" s="36"/>
      <c r="D56" s="79">
        <f>B56+C56</f>
        <v>0</v>
      </c>
      <c r="E56" s="79"/>
      <c r="F56" s="79"/>
      <c r="G56" s="79">
        <f t="shared" si="5"/>
        <v>0</v>
      </c>
      <c r="H56" s="79">
        <f t="shared" si="1"/>
        <v>0</v>
      </c>
      <c r="I56" s="413"/>
    </row>
    <row r="57" spans="1:9" ht="9.75" customHeight="1">
      <c r="A57" s="1"/>
      <c r="B57" s="17"/>
      <c r="C57" s="36"/>
      <c r="D57" s="17"/>
      <c r="E57" s="79"/>
      <c r="F57" s="79"/>
      <c r="G57" s="79"/>
      <c r="H57" s="79">
        <f t="shared" si="1"/>
        <v>0</v>
      </c>
      <c r="I57" s="447"/>
    </row>
    <row r="58" spans="1:9">
      <c r="A58" s="35" t="s">
        <v>53</v>
      </c>
      <c r="B58" s="45">
        <f t="shared" ref="B58:G58" si="6">B50+B52</f>
        <v>599757838</v>
      </c>
      <c r="C58" s="45">
        <f t="shared" ca="1" si="6"/>
        <v>2606095</v>
      </c>
      <c r="D58" s="45">
        <f t="shared" ca="1" si="6"/>
        <v>602363933</v>
      </c>
      <c r="E58" s="45">
        <f t="shared" si="6"/>
        <v>523601840</v>
      </c>
      <c r="F58" s="45">
        <f t="shared" ca="1" si="6"/>
        <v>119204884.54166667</v>
      </c>
      <c r="G58" s="45">
        <f t="shared" ca="1" si="6"/>
        <v>642806724.54166663</v>
      </c>
      <c r="H58" s="45">
        <f t="shared" ca="1" si="1"/>
        <v>40442791.541666627</v>
      </c>
      <c r="I58" s="316">
        <f t="shared" ca="1" si="2"/>
        <v>6.7140127962586074E-2</v>
      </c>
    </row>
    <row r="59" spans="1:9" hidden="1">
      <c r="D59" s="79" t="e">
        <f>'2.1 LK TULUD'!E72+'2.2 OMATULUD'!#REF!+'2.3 TOETUSED'!E6</f>
        <v>#REF!</v>
      </c>
      <c r="E59" s="79"/>
      <c r="F59" s="79"/>
      <c r="G59" s="79" t="e">
        <f>'2.1 LK TULUD'!F72+'2.2 OMATULUD'!#REF!+'2.3 TOETUSED'!F6+Sheet2!#REF!</f>
        <v>#REF!</v>
      </c>
    </row>
    <row r="60" spans="1:9" hidden="1">
      <c r="D60" s="79" t="e">
        <f ca="1">D58-D59</f>
        <v>#REF!</v>
      </c>
      <c r="E60" s="79"/>
      <c r="F60" s="79"/>
      <c r="G60" s="79" t="e">
        <f ca="1">G59-G58</f>
        <v>#REF!</v>
      </c>
    </row>
    <row r="61" spans="1:9" hidden="1">
      <c r="D61" s="245">
        <f ca="1">D53/D58</f>
        <v>0.18710170683476163</v>
      </c>
      <c r="E61" s="245"/>
      <c r="F61" s="245"/>
      <c r="G61" s="245">
        <f ca="1">G53/G58</f>
        <v>0.20050851691369556</v>
      </c>
    </row>
    <row r="62" spans="1:9">
      <c r="G62" s="79"/>
    </row>
  </sheetData>
  <mergeCells count="1">
    <mergeCell ref="H4:I4"/>
  </mergeCells>
  <phoneticPr fontId="37" type="noConversion"/>
  <printOptions gridLines="1"/>
  <pageMargins left="1.1811023622047245" right="0.47244094488188981" top="0.47244094488188981" bottom="0.98425196850393704" header="0.51181102362204722" footer="0.51181102362204722"/>
  <pageSetup paperSize="9" scale="9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79998168889431442"/>
  </sheetPr>
  <dimension ref="A1:J106"/>
  <sheetViews>
    <sheetView showZeros="0" zoomScaleNormal="100" workbookViewId="0">
      <pane ySplit="4" topLeftCell="A5" activePane="bottomLeft" state="frozen"/>
      <selection activeCell="G28" sqref="G28"/>
      <selection pane="bottomLeft" activeCell="G28" sqref="G28"/>
    </sheetView>
  </sheetViews>
  <sheetFormatPr defaultColWidth="9.140625" defaultRowHeight="12.75"/>
  <cols>
    <col min="1" max="1" width="35.140625" style="78" customWidth="1"/>
    <col min="2" max="2" width="11.7109375" style="78" bestFit="1" customWidth="1"/>
    <col min="3" max="3" width="12.28515625" style="78" customWidth="1"/>
    <col min="4" max="4" width="12.28515625" style="78" hidden="1" customWidth="1"/>
    <col min="5" max="5" width="12.28515625" style="78" customWidth="1"/>
    <col min="6" max="6" width="12.42578125" style="78" customWidth="1"/>
    <col min="7" max="7" width="10.7109375" style="78" bestFit="1" customWidth="1"/>
    <col min="8" max="8" width="7.85546875" style="78" bestFit="1" customWidth="1"/>
    <col min="9" max="9" width="9.140625" style="78" customWidth="1"/>
    <col min="10" max="10" width="10.140625" style="78" bestFit="1" customWidth="1"/>
    <col min="11" max="16384" width="9.140625" style="78"/>
  </cols>
  <sheetData>
    <row r="1" spans="1:10" ht="15">
      <c r="A1" s="35" t="s">
        <v>418</v>
      </c>
      <c r="B1" s="47"/>
      <c r="H1" s="333"/>
    </row>
    <row r="2" spans="1:10" ht="12.75" customHeight="1">
      <c r="A2" s="449"/>
      <c r="B2" s="47"/>
      <c r="F2" s="318"/>
    </row>
    <row r="3" spans="1:10" ht="12.75" customHeight="1">
      <c r="A3" s="86"/>
      <c r="B3" s="480">
        <v>2017</v>
      </c>
      <c r="C3" s="799">
        <v>2018</v>
      </c>
      <c r="D3" s="800"/>
      <c r="E3" s="801"/>
      <c r="F3" s="479">
        <v>2019</v>
      </c>
      <c r="G3" s="797" t="s">
        <v>434</v>
      </c>
      <c r="H3" s="798"/>
    </row>
    <row r="4" spans="1:10" ht="39.75" customHeight="1">
      <c r="A4" s="86"/>
      <c r="B4" s="483" t="s">
        <v>433</v>
      </c>
      <c r="C4" s="476" t="s">
        <v>257</v>
      </c>
      <c r="D4" s="475" t="s">
        <v>410</v>
      </c>
      <c r="E4" s="477" t="s">
        <v>258</v>
      </c>
      <c r="F4" s="478" t="s">
        <v>420</v>
      </c>
      <c r="G4" s="481" t="s">
        <v>12</v>
      </c>
      <c r="H4" s="482" t="s">
        <v>384</v>
      </c>
    </row>
    <row r="5" spans="1:10" ht="12.75" customHeight="1">
      <c r="A5" s="49" t="s">
        <v>16</v>
      </c>
      <c r="B5" s="277">
        <v>399780819.67000002</v>
      </c>
      <c r="C5" s="230">
        <f>C6+C9</f>
        <v>425830000</v>
      </c>
      <c r="D5" s="230">
        <f>D6+D9</f>
        <v>7700000</v>
      </c>
      <c r="E5" s="230">
        <f>C5+D5</f>
        <v>433530000</v>
      </c>
      <c r="F5" s="230">
        <f t="shared" ref="F5" si="0">F6+F9</f>
        <v>465000000</v>
      </c>
      <c r="G5" s="230">
        <f t="shared" ref="G5:G35" si="1">IF(F5=0,0,F5-E5)</f>
        <v>31470000</v>
      </c>
      <c r="H5" s="319">
        <f t="shared" ref="H5:H35" si="2">IF(F5=0,"",G5/E5)</f>
        <v>7.2590132170784027E-2</v>
      </c>
      <c r="J5" s="87"/>
    </row>
    <row r="6" spans="1:10" ht="12.75" customHeight="1">
      <c r="A6" s="48" t="s">
        <v>55</v>
      </c>
      <c r="B6" s="233">
        <v>372839354</v>
      </c>
      <c r="C6" s="231">
        <f>C7</f>
        <v>400100000</v>
      </c>
      <c r="D6" s="231">
        <f>D7</f>
        <v>7100000</v>
      </c>
      <c r="E6" s="231">
        <f t="shared" ref="E6:E71" si="3">C6+D6</f>
        <v>407200000</v>
      </c>
      <c r="F6" s="231">
        <f>F7</f>
        <v>439000000</v>
      </c>
      <c r="G6" s="231">
        <f t="shared" si="1"/>
        <v>31800000</v>
      </c>
      <c r="H6" s="320">
        <f t="shared" si="2"/>
        <v>7.8094302554027509E-2</v>
      </c>
      <c r="J6" s="87"/>
    </row>
    <row r="7" spans="1:10" ht="12.75" customHeight="1">
      <c r="A7" s="43" t="s">
        <v>51</v>
      </c>
      <c r="B7" s="232">
        <v>372839354</v>
      </c>
      <c r="C7" s="232">
        <f>393100000+7000000</f>
        <v>400100000</v>
      </c>
      <c r="D7" s="232">
        <v>7100000</v>
      </c>
      <c r="E7" s="232">
        <f t="shared" si="3"/>
        <v>407200000</v>
      </c>
      <c r="F7" s="232">
        <f>435500000+3500000</f>
        <v>439000000</v>
      </c>
      <c r="G7" s="232">
        <f t="shared" si="1"/>
        <v>31800000</v>
      </c>
      <c r="H7" s="463">
        <f t="shared" si="2"/>
        <v>7.8094302554027509E-2</v>
      </c>
      <c r="J7" s="87"/>
    </row>
    <row r="8" spans="1:10">
      <c r="A8" s="43"/>
      <c r="B8" s="273"/>
      <c r="C8" s="233"/>
      <c r="D8" s="233"/>
      <c r="E8" s="233">
        <f t="shared" si="3"/>
        <v>0</v>
      </c>
      <c r="F8" s="233"/>
      <c r="G8" s="233">
        <f t="shared" si="1"/>
        <v>0</v>
      </c>
      <c r="H8" s="322" t="str">
        <f t="shared" si="2"/>
        <v/>
      </c>
      <c r="J8" s="87"/>
    </row>
    <row r="9" spans="1:10" ht="12.75" customHeight="1">
      <c r="A9" s="48" t="s">
        <v>56</v>
      </c>
      <c r="B9" s="233">
        <v>26941465.670000002</v>
      </c>
      <c r="C9" s="233">
        <f>C10</f>
        <v>25730000</v>
      </c>
      <c r="D9" s="233">
        <f>D10</f>
        <v>600000</v>
      </c>
      <c r="E9" s="233">
        <f t="shared" si="3"/>
        <v>26330000</v>
      </c>
      <c r="F9" s="233">
        <f>F10</f>
        <v>26000000</v>
      </c>
      <c r="G9" s="233">
        <f t="shared" si="1"/>
        <v>-330000</v>
      </c>
      <c r="H9" s="322">
        <f t="shared" si="2"/>
        <v>-1.2533232054690467E-2</v>
      </c>
      <c r="J9" s="87"/>
    </row>
    <row r="10" spans="1:10" ht="12.75" customHeight="1">
      <c r="A10" s="43" t="s">
        <v>51</v>
      </c>
      <c r="B10" s="232">
        <v>26941465.670000002</v>
      </c>
      <c r="C10" s="232">
        <v>25730000</v>
      </c>
      <c r="D10" s="232">
        <v>600000</v>
      </c>
      <c r="E10" s="232">
        <f t="shared" si="3"/>
        <v>26330000</v>
      </c>
      <c r="F10" s="232">
        <f>25730000+270000</f>
        <v>26000000</v>
      </c>
      <c r="G10" s="232">
        <f t="shared" si="1"/>
        <v>-330000</v>
      </c>
      <c r="H10" s="321">
        <f t="shared" si="2"/>
        <v>-1.2533232054690467E-2</v>
      </c>
      <c r="J10" s="87"/>
    </row>
    <row r="11" spans="1:10">
      <c r="A11" s="48"/>
      <c r="B11" s="273"/>
      <c r="C11" s="233"/>
      <c r="D11" s="233"/>
      <c r="E11" s="233">
        <f t="shared" si="3"/>
        <v>0</v>
      </c>
      <c r="F11" s="233"/>
      <c r="G11" s="233">
        <f t="shared" si="1"/>
        <v>0</v>
      </c>
      <c r="H11" s="322" t="str">
        <f t="shared" si="2"/>
        <v/>
      </c>
      <c r="J11" s="87"/>
    </row>
    <row r="12" spans="1:10">
      <c r="A12" s="49" t="s">
        <v>17</v>
      </c>
      <c r="B12" s="277">
        <v>13369768.890000001</v>
      </c>
      <c r="C12" s="234">
        <f>C13+C16+C19</f>
        <v>11765000</v>
      </c>
      <c r="D12" s="234">
        <f>D13</f>
        <v>500000</v>
      </c>
      <c r="E12" s="234">
        <f t="shared" si="3"/>
        <v>12265000</v>
      </c>
      <c r="F12" s="234">
        <f t="shared" ref="F12" si="4">F13+F16+F19</f>
        <v>12400000</v>
      </c>
      <c r="G12" s="234">
        <f t="shared" si="1"/>
        <v>135000</v>
      </c>
      <c r="H12" s="315">
        <f t="shared" si="2"/>
        <v>1.10069302894415E-2</v>
      </c>
      <c r="J12" s="87"/>
    </row>
    <row r="13" spans="1:10" ht="12.75" customHeight="1">
      <c r="A13" s="53" t="s">
        <v>57</v>
      </c>
      <c r="B13" s="278">
        <v>5006595.58</v>
      </c>
      <c r="C13" s="233">
        <f>C14</f>
        <v>4200000</v>
      </c>
      <c r="D13" s="233">
        <f>D14</f>
        <v>500000</v>
      </c>
      <c r="E13" s="233">
        <f t="shared" si="3"/>
        <v>4700000</v>
      </c>
      <c r="F13" s="233">
        <f t="shared" ref="F13" si="5">F14</f>
        <v>4800000</v>
      </c>
      <c r="G13" s="233">
        <f t="shared" si="1"/>
        <v>100000</v>
      </c>
      <c r="H13" s="322">
        <f t="shared" si="2"/>
        <v>2.1276595744680851E-2</v>
      </c>
      <c r="J13" s="87"/>
    </row>
    <row r="14" spans="1:10">
      <c r="A14" s="437" t="s">
        <v>66</v>
      </c>
      <c r="B14" s="298">
        <v>5006595.58</v>
      </c>
      <c r="C14" s="222">
        <f>4100000+100000</f>
        <v>4200000</v>
      </c>
      <c r="D14" s="222">
        <f>300000+200000</f>
        <v>500000</v>
      </c>
      <c r="E14" s="222">
        <f t="shared" si="3"/>
        <v>4700000</v>
      </c>
      <c r="F14" s="222">
        <v>4800000</v>
      </c>
      <c r="G14" s="222">
        <f t="shared" si="1"/>
        <v>100000</v>
      </c>
      <c r="H14" s="331">
        <f t="shared" si="2"/>
        <v>2.1276595744680851E-2</v>
      </c>
      <c r="J14" s="87"/>
    </row>
    <row r="15" spans="1:10" ht="12.75" customHeight="1">
      <c r="A15" s="55"/>
      <c r="B15" s="279"/>
      <c r="C15" s="233"/>
      <c r="D15" s="233"/>
      <c r="E15" s="233">
        <f t="shared" si="3"/>
        <v>0</v>
      </c>
      <c r="F15" s="233"/>
      <c r="G15" s="233">
        <f t="shared" si="1"/>
        <v>0</v>
      </c>
      <c r="H15" s="322" t="str">
        <f t="shared" si="2"/>
        <v/>
      </c>
      <c r="J15" s="87"/>
    </row>
    <row r="16" spans="1:10" ht="12.75" customHeight="1">
      <c r="A16" s="53" t="s">
        <v>101</v>
      </c>
      <c r="B16" s="278">
        <v>1475854.08</v>
      </c>
      <c r="C16" s="233">
        <f>C17</f>
        <v>1265000</v>
      </c>
      <c r="D16" s="233"/>
      <c r="E16" s="233">
        <f t="shared" si="3"/>
        <v>1265000</v>
      </c>
      <c r="F16" s="233">
        <f t="shared" ref="F16" si="6">F17</f>
        <v>1300000</v>
      </c>
      <c r="G16" s="233">
        <f t="shared" si="1"/>
        <v>35000</v>
      </c>
      <c r="H16" s="322">
        <f t="shared" si="2"/>
        <v>2.766798418972332E-2</v>
      </c>
      <c r="J16" s="87"/>
    </row>
    <row r="17" spans="1:10" ht="12.75" customHeight="1">
      <c r="A17" s="56" t="s">
        <v>67</v>
      </c>
      <c r="B17" s="235">
        <v>1475854.08</v>
      </c>
      <c r="C17" s="232">
        <f>1250000+15000</f>
        <v>1265000</v>
      </c>
      <c r="D17" s="232"/>
      <c r="E17" s="232">
        <f t="shared" si="3"/>
        <v>1265000</v>
      </c>
      <c r="F17" s="232">
        <f>1250000+50000</f>
        <v>1300000</v>
      </c>
      <c r="G17" s="232">
        <f t="shared" si="1"/>
        <v>35000</v>
      </c>
      <c r="H17" s="321">
        <f t="shared" si="2"/>
        <v>2.766798418972332E-2</v>
      </c>
      <c r="J17" s="87"/>
    </row>
    <row r="18" spans="1:10" ht="12.75" customHeight="1">
      <c r="A18" s="55"/>
      <c r="B18" s="279"/>
      <c r="C18" s="233"/>
      <c r="D18" s="233"/>
      <c r="E18" s="233">
        <f t="shared" si="3"/>
        <v>0</v>
      </c>
      <c r="F18" s="233"/>
      <c r="G18" s="233">
        <f t="shared" si="1"/>
        <v>0</v>
      </c>
      <c r="H18" s="322" t="str">
        <f t="shared" si="2"/>
        <v/>
      </c>
      <c r="J18" s="87"/>
    </row>
    <row r="19" spans="1:10">
      <c r="A19" s="53" t="s">
        <v>58</v>
      </c>
      <c r="B19" s="278">
        <v>6887273.3899999997</v>
      </c>
      <c r="C19" s="233">
        <f>C20</f>
        <v>6300000</v>
      </c>
      <c r="D19" s="233"/>
      <c r="E19" s="233">
        <f t="shared" si="3"/>
        <v>6300000</v>
      </c>
      <c r="F19" s="233">
        <f>F20</f>
        <v>6300000</v>
      </c>
      <c r="G19" s="233">
        <f t="shared" si="1"/>
        <v>0</v>
      </c>
      <c r="H19" s="322">
        <f t="shared" si="2"/>
        <v>0</v>
      </c>
      <c r="J19" s="87"/>
    </row>
    <row r="20" spans="1:10" ht="12.75" customHeight="1">
      <c r="A20" s="56" t="s">
        <v>67</v>
      </c>
      <c r="B20" s="235">
        <v>6887273.3899999997</v>
      </c>
      <c r="C20" s="232">
        <v>6300000</v>
      </c>
      <c r="D20" s="232"/>
      <c r="E20" s="232">
        <f t="shared" si="3"/>
        <v>6300000</v>
      </c>
      <c r="F20" s="232">
        <v>6300000</v>
      </c>
      <c r="G20" s="232">
        <f t="shared" si="1"/>
        <v>0</v>
      </c>
      <c r="H20" s="321">
        <f t="shared" si="2"/>
        <v>0</v>
      </c>
      <c r="J20" s="87"/>
    </row>
    <row r="21" spans="1:10">
      <c r="A21" s="56"/>
      <c r="B21" s="235"/>
      <c r="C21" s="232"/>
      <c r="D21" s="233"/>
      <c r="E21" s="232">
        <f t="shared" si="3"/>
        <v>0</v>
      </c>
      <c r="F21" s="232"/>
      <c r="G21" s="232">
        <f t="shared" si="1"/>
        <v>0</v>
      </c>
      <c r="H21" s="321" t="str">
        <f t="shared" si="2"/>
        <v/>
      </c>
      <c r="J21" s="87"/>
    </row>
    <row r="22" spans="1:10" ht="12.75" customHeight="1">
      <c r="A22" s="53" t="s">
        <v>338</v>
      </c>
      <c r="B22" s="233">
        <v>45.84</v>
      </c>
      <c r="C22" s="233"/>
      <c r="D22" s="233"/>
      <c r="E22" s="233">
        <f t="shared" si="3"/>
        <v>0</v>
      </c>
      <c r="F22" s="233"/>
      <c r="G22" s="233">
        <f t="shared" si="1"/>
        <v>0</v>
      </c>
      <c r="H22" s="322" t="str">
        <f t="shared" si="2"/>
        <v/>
      </c>
      <c r="J22" s="87"/>
    </row>
    <row r="23" spans="1:10">
      <c r="A23" s="56"/>
      <c r="B23" s="279"/>
      <c r="C23" s="233"/>
      <c r="D23" s="233"/>
      <c r="E23" s="233">
        <f t="shared" si="3"/>
        <v>0</v>
      </c>
      <c r="F23" s="233"/>
      <c r="G23" s="233">
        <f t="shared" si="1"/>
        <v>0</v>
      </c>
      <c r="H23" s="322" t="str">
        <f t="shared" si="2"/>
        <v/>
      </c>
      <c r="J23" s="87"/>
    </row>
    <row r="24" spans="1:10">
      <c r="A24" s="49" t="s">
        <v>18</v>
      </c>
      <c r="B24" s="277">
        <v>566574.33000000007</v>
      </c>
      <c r="C24" s="234">
        <f>SUM(C25:C28)</f>
        <v>467800</v>
      </c>
      <c r="D24" s="234">
        <f>SUM(D25:D28)</f>
        <v>137000</v>
      </c>
      <c r="E24" s="234">
        <f t="shared" si="3"/>
        <v>604800</v>
      </c>
      <c r="F24" s="234">
        <f t="shared" ref="F24" si="7">SUM(F25:F28)</f>
        <v>542950</v>
      </c>
      <c r="G24" s="234">
        <f t="shared" si="1"/>
        <v>-61850</v>
      </c>
      <c r="H24" s="315">
        <f t="shared" si="2"/>
        <v>-0.10226521164021164</v>
      </c>
      <c r="J24" s="87"/>
    </row>
    <row r="25" spans="1:10">
      <c r="A25" s="56" t="s">
        <v>68</v>
      </c>
      <c r="B25" s="235">
        <v>3495.8</v>
      </c>
      <c r="C25" s="232">
        <v>2800</v>
      </c>
      <c r="D25" s="232"/>
      <c r="E25" s="232">
        <f t="shared" si="3"/>
        <v>2800</v>
      </c>
      <c r="F25" s="232">
        <v>2800</v>
      </c>
      <c r="G25" s="232">
        <f t="shared" si="1"/>
        <v>0</v>
      </c>
      <c r="H25" s="321">
        <f t="shared" si="2"/>
        <v>0</v>
      </c>
      <c r="J25" s="87"/>
    </row>
    <row r="26" spans="1:10" ht="12.75" customHeight="1">
      <c r="A26" s="56" t="s">
        <v>67</v>
      </c>
      <c r="B26" s="235">
        <v>116310.5</v>
      </c>
      <c r="C26" s="232">
        <v>35000</v>
      </c>
      <c r="D26" s="232">
        <v>17000</v>
      </c>
      <c r="E26" s="232">
        <f t="shared" si="3"/>
        <v>52000</v>
      </c>
      <c r="F26" s="232">
        <v>150</v>
      </c>
      <c r="G26" s="232">
        <f t="shared" si="1"/>
        <v>-51850</v>
      </c>
      <c r="H26" s="321">
        <f t="shared" si="2"/>
        <v>-0.99711538461538463</v>
      </c>
      <c r="J26" s="87"/>
    </row>
    <row r="27" spans="1:10">
      <c r="A27" s="297" t="s">
        <v>73</v>
      </c>
      <c r="B27" s="235"/>
      <c r="C27" s="232"/>
      <c r="D27" s="222">
        <f>80000+40000</f>
        <v>120000</v>
      </c>
      <c r="E27" s="222">
        <f t="shared" si="3"/>
        <v>120000</v>
      </c>
      <c r="F27" s="295">
        <v>110000</v>
      </c>
      <c r="G27" s="295">
        <f t="shared" si="1"/>
        <v>-10000</v>
      </c>
      <c r="H27" s="323">
        <f t="shared" si="2"/>
        <v>-8.3333333333333329E-2</v>
      </c>
      <c r="J27" s="87"/>
    </row>
    <row r="28" spans="1:10">
      <c r="A28" s="43" t="s">
        <v>69</v>
      </c>
      <c r="B28" s="232">
        <v>446768.03</v>
      </c>
      <c r="C28" s="232">
        <v>430000</v>
      </c>
      <c r="D28" s="232"/>
      <c r="E28" s="232">
        <f t="shared" si="3"/>
        <v>430000</v>
      </c>
      <c r="F28" s="296">
        <v>430000</v>
      </c>
      <c r="G28" s="296">
        <f t="shared" si="1"/>
        <v>0</v>
      </c>
      <c r="H28" s="324">
        <f t="shared" si="2"/>
        <v>0</v>
      </c>
      <c r="J28" s="87"/>
    </row>
    <row r="29" spans="1:10">
      <c r="A29" s="56"/>
      <c r="B29" s="273"/>
      <c r="C29" s="229"/>
      <c r="D29" s="229"/>
      <c r="E29" s="229">
        <f t="shared" si="3"/>
        <v>0</v>
      </c>
      <c r="F29" s="229"/>
      <c r="G29" s="229">
        <f t="shared" si="1"/>
        <v>0</v>
      </c>
      <c r="H29" s="322" t="str">
        <f t="shared" si="2"/>
        <v/>
      </c>
      <c r="J29" s="87"/>
    </row>
    <row r="30" spans="1:10">
      <c r="A30" s="99" t="s">
        <v>93</v>
      </c>
      <c r="B30" s="234">
        <v>789181.96</v>
      </c>
      <c r="C30" s="234">
        <f>C31+C33</f>
        <v>723340</v>
      </c>
      <c r="D30" s="234">
        <f>D31+D33</f>
        <v>77060</v>
      </c>
      <c r="E30" s="234">
        <f t="shared" si="3"/>
        <v>800400</v>
      </c>
      <c r="F30" s="234">
        <f t="shared" ref="F30" si="8">F31+F33</f>
        <v>744404</v>
      </c>
      <c r="G30" s="234">
        <f t="shared" si="1"/>
        <v>-55996</v>
      </c>
      <c r="H30" s="315">
        <f t="shared" si="2"/>
        <v>-6.9960019990004993E-2</v>
      </c>
      <c r="J30" s="87"/>
    </row>
    <row r="31" spans="1:10">
      <c r="A31" s="38" t="s">
        <v>70</v>
      </c>
      <c r="B31" s="233">
        <v>553298.23</v>
      </c>
      <c r="C31" s="233">
        <f>C32</f>
        <v>556550</v>
      </c>
      <c r="D31" s="233">
        <f>D32</f>
        <v>74060</v>
      </c>
      <c r="E31" s="233">
        <f t="shared" si="3"/>
        <v>630610</v>
      </c>
      <c r="F31" s="233">
        <f t="shared" ref="F31" si="9">F32</f>
        <v>574614</v>
      </c>
      <c r="G31" s="233">
        <f t="shared" si="1"/>
        <v>-55996</v>
      </c>
      <c r="H31" s="322">
        <f t="shared" si="2"/>
        <v>-8.8796562058958792E-2</v>
      </c>
      <c r="J31" s="87"/>
    </row>
    <row r="32" spans="1:10">
      <c r="A32" s="297" t="s">
        <v>71</v>
      </c>
      <c r="B32" s="222">
        <v>553298.23</v>
      </c>
      <c r="C32" s="298">
        <v>556550</v>
      </c>
      <c r="D32" s="235">
        <v>74060</v>
      </c>
      <c r="E32" s="298">
        <f t="shared" si="3"/>
        <v>630610</v>
      </c>
      <c r="F32" s="299">
        <v>574614</v>
      </c>
      <c r="G32" s="299">
        <f t="shared" si="1"/>
        <v>-55996</v>
      </c>
      <c r="H32" s="325">
        <f t="shared" si="2"/>
        <v>-8.8796562058958792E-2</v>
      </c>
      <c r="J32" s="87"/>
    </row>
    <row r="33" spans="1:10">
      <c r="A33" s="38" t="s">
        <v>72</v>
      </c>
      <c r="B33" s="233">
        <v>235637.7</v>
      </c>
      <c r="C33" s="233">
        <f>C34+C35</f>
        <v>166790</v>
      </c>
      <c r="D33" s="233">
        <f>D34</f>
        <v>3000</v>
      </c>
      <c r="E33" s="233">
        <f t="shared" si="3"/>
        <v>169790</v>
      </c>
      <c r="F33" s="233">
        <f>F34+F35</f>
        <v>169790</v>
      </c>
      <c r="G33" s="233">
        <f t="shared" si="1"/>
        <v>0</v>
      </c>
      <c r="H33" s="322">
        <f t="shared" si="2"/>
        <v>0</v>
      </c>
      <c r="J33" s="87"/>
    </row>
    <row r="34" spans="1:10">
      <c r="A34" s="297" t="s">
        <v>71</v>
      </c>
      <c r="B34" s="280">
        <v>235637.7</v>
      </c>
      <c r="C34" s="236">
        <v>166790</v>
      </c>
      <c r="D34" s="236">
        <v>3000</v>
      </c>
      <c r="E34" s="236">
        <f t="shared" si="3"/>
        <v>169790</v>
      </c>
      <c r="F34" s="100">
        <v>169790</v>
      </c>
      <c r="G34" s="100">
        <f t="shared" si="1"/>
        <v>0</v>
      </c>
      <c r="H34" s="326">
        <f t="shared" si="2"/>
        <v>0</v>
      </c>
      <c r="J34" s="87"/>
    </row>
    <row r="35" spans="1:10" ht="12.75" customHeight="1">
      <c r="A35" s="91" t="s">
        <v>342</v>
      </c>
      <c r="B35" s="280">
        <v>246.03</v>
      </c>
      <c r="C35" s="80"/>
      <c r="D35" s="236"/>
      <c r="E35" s="80">
        <f t="shared" si="3"/>
        <v>0</v>
      </c>
      <c r="F35" s="80"/>
      <c r="G35" s="80">
        <f t="shared" si="1"/>
        <v>0</v>
      </c>
      <c r="H35" s="327" t="str">
        <f t="shared" si="2"/>
        <v/>
      </c>
      <c r="J35" s="87"/>
    </row>
    <row r="36" spans="1:10" ht="12.75" customHeight="1">
      <c r="A36" s="91"/>
      <c r="B36" s="273"/>
      <c r="C36" s="309">
        <f>C37+C64</f>
        <v>1171000</v>
      </c>
      <c r="D36" s="80"/>
      <c r="E36" s="309"/>
      <c r="F36" s="309"/>
      <c r="G36" s="309"/>
      <c r="H36" s="327"/>
      <c r="J36" s="87"/>
    </row>
    <row r="37" spans="1:10">
      <c r="A37" s="49" t="s">
        <v>20</v>
      </c>
      <c r="B37" s="234">
        <v>2474250.17</v>
      </c>
      <c r="C37" s="234">
        <f>C39+C44</f>
        <v>704000</v>
      </c>
      <c r="D37" s="234">
        <f>D39+D44</f>
        <v>-56421</v>
      </c>
      <c r="E37" s="234">
        <f t="shared" si="3"/>
        <v>647579</v>
      </c>
      <c r="F37" s="234">
        <f t="shared" ref="F37" si="10">F39+F44</f>
        <v>644000</v>
      </c>
      <c r="G37" s="234">
        <f t="shared" ref="G37:G47" si="11">IF(F37=0,0,F37-E37)</f>
        <v>-3579</v>
      </c>
      <c r="H37" s="315">
        <f t="shared" ref="H37:H47" si="12">IF(F37=0,"",G37/E37)</f>
        <v>-5.5267388225992507E-3</v>
      </c>
      <c r="J37" s="87"/>
    </row>
    <row r="38" spans="1:10">
      <c r="A38" s="56"/>
      <c r="B38" s="273"/>
      <c r="C38" s="233"/>
      <c r="D38" s="233"/>
      <c r="E38" s="233">
        <f t="shared" si="3"/>
        <v>0</v>
      </c>
      <c r="F38" s="233"/>
      <c r="G38" s="233">
        <f t="shared" si="11"/>
        <v>0</v>
      </c>
      <c r="H38" s="322" t="str">
        <f t="shared" si="12"/>
        <v/>
      </c>
      <c r="J38" s="87"/>
    </row>
    <row r="39" spans="1:10">
      <c r="A39" s="53" t="s">
        <v>59</v>
      </c>
      <c r="B39" s="281">
        <v>548142.03</v>
      </c>
      <c r="C39" s="233">
        <f>SUM(C40:C43)</f>
        <v>616000</v>
      </c>
      <c r="D39" s="233">
        <f>SUM(D40:D43)</f>
        <v>-100000</v>
      </c>
      <c r="E39" s="233">
        <f t="shared" si="3"/>
        <v>516000</v>
      </c>
      <c r="F39" s="233">
        <f t="shared" ref="F39" si="13">SUM(F40:F43)</f>
        <v>516000</v>
      </c>
      <c r="G39" s="233">
        <f t="shared" si="11"/>
        <v>0</v>
      </c>
      <c r="H39" s="322">
        <f t="shared" si="12"/>
        <v>0</v>
      </c>
      <c r="J39" s="87"/>
    </row>
    <row r="40" spans="1:10">
      <c r="A40" s="43" t="s">
        <v>67</v>
      </c>
      <c r="B40" s="282">
        <v>22730.68</v>
      </c>
      <c r="C40" s="232">
        <v>16000</v>
      </c>
      <c r="D40" s="232"/>
      <c r="E40" s="232">
        <f t="shared" si="3"/>
        <v>16000</v>
      </c>
      <c r="F40" s="232">
        <v>16000</v>
      </c>
      <c r="G40" s="232">
        <f t="shared" si="11"/>
        <v>0</v>
      </c>
      <c r="H40" s="321">
        <f t="shared" si="12"/>
        <v>0</v>
      </c>
      <c r="J40" s="87"/>
    </row>
    <row r="41" spans="1:10">
      <c r="A41" s="297" t="s">
        <v>73</v>
      </c>
      <c r="B41" s="436">
        <v>525356.34</v>
      </c>
      <c r="C41" s="222">
        <v>600000</v>
      </c>
      <c r="D41" s="222">
        <v>-100000</v>
      </c>
      <c r="E41" s="222">
        <f t="shared" si="3"/>
        <v>500000</v>
      </c>
      <c r="F41" s="222">
        <v>500000</v>
      </c>
      <c r="G41" s="222">
        <f t="shared" si="11"/>
        <v>0</v>
      </c>
      <c r="H41" s="331">
        <f t="shared" si="12"/>
        <v>0</v>
      </c>
      <c r="J41" s="87"/>
    </row>
    <row r="42" spans="1:10">
      <c r="A42" s="43" t="s">
        <v>66</v>
      </c>
      <c r="B42" s="232">
        <v>55</v>
      </c>
      <c r="C42" s="232"/>
      <c r="D42" s="232"/>
      <c r="E42" s="232">
        <f t="shared" si="3"/>
        <v>0</v>
      </c>
      <c r="F42" s="232"/>
      <c r="G42" s="232">
        <f t="shared" si="11"/>
        <v>0</v>
      </c>
      <c r="H42" s="321" t="str">
        <f t="shared" si="12"/>
        <v/>
      </c>
      <c r="J42" s="87"/>
    </row>
    <row r="43" spans="1:10">
      <c r="A43" s="55"/>
      <c r="B43" s="273"/>
      <c r="C43" s="233"/>
      <c r="D43" s="233"/>
      <c r="E43" s="233">
        <f t="shared" si="3"/>
        <v>0</v>
      </c>
      <c r="F43" s="233"/>
      <c r="G43" s="233">
        <f t="shared" si="11"/>
        <v>0</v>
      </c>
      <c r="H43" s="322" t="str">
        <f t="shared" si="12"/>
        <v/>
      </c>
      <c r="J43" s="87"/>
    </row>
    <row r="44" spans="1:10">
      <c r="A44" s="53" t="s">
        <v>92</v>
      </c>
      <c r="B44" s="278">
        <v>1926108.1400000001</v>
      </c>
      <c r="C44" s="233">
        <f>C45+C50</f>
        <v>88000</v>
      </c>
      <c r="D44" s="233">
        <f>D45+D50+D48</f>
        <v>43579</v>
      </c>
      <c r="E44" s="233">
        <f t="shared" si="3"/>
        <v>131579</v>
      </c>
      <c r="F44" s="233">
        <f>F45+F50</f>
        <v>128000</v>
      </c>
      <c r="G44" s="233">
        <f t="shared" si="11"/>
        <v>-3579</v>
      </c>
      <c r="H44" s="322">
        <f t="shared" si="12"/>
        <v>-2.7200389119844352E-2</v>
      </c>
      <c r="J44" s="87"/>
    </row>
    <row r="45" spans="1:10">
      <c r="A45" s="71" t="s">
        <v>4</v>
      </c>
      <c r="B45" s="278">
        <v>65703.03</v>
      </c>
      <c r="C45" s="233">
        <f>C46+C47</f>
        <v>38000</v>
      </c>
      <c r="D45" s="233"/>
      <c r="E45" s="233">
        <f t="shared" si="3"/>
        <v>38000</v>
      </c>
      <c r="F45" s="233">
        <f t="shared" ref="F45" si="14">F46+F47</f>
        <v>38000</v>
      </c>
      <c r="G45" s="233">
        <f t="shared" si="11"/>
        <v>0</v>
      </c>
      <c r="H45" s="322">
        <f t="shared" si="12"/>
        <v>0</v>
      </c>
      <c r="J45" s="87"/>
    </row>
    <row r="46" spans="1:10">
      <c r="A46" s="297" t="s">
        <v>66</v>
      </c>
      <c r="B46" s="222">
        <v>36075</v>
      </c>
      <c r="C46" s="274">
        <v>28000</v>
      </c>
      <c r="D46" s="232"/>
      <c r="E46" s="274">
        <f t="shared" si="3"/>
        <v>28000</v>
      </c>
      <c r="F46" s="274">
        <v>28000</v>
      </c>
      <c r="G46" s="274">
        <f t="shared" si="11"/>
        <v>0</v>
      </c>
      <c r="H46" s="328">
        <f t="shared" si="12"/>
        <v>0</v>
      </c>
      <c r="J46" s="87"/>
    </row>
    <row r="47" spans="1:10">
      <c r="A47" s="43" t="s">
        <v>69</v>
      </c>
      <c r="B47" s="283">
        <v>29628.03</v>
      </c>
      <c r="C47" s="233">
        <v>10000</v>
      </c>
      <c r="D47" s="232"/>
      <c r="E47" s="233">
        <f t="shared" si="3"/>
        <v>10000</v>
      </c>
      <c r="F47" s="233">
        <v>10000</v>
      </c>
      <c r="G47" s="233">
        <f t="shared" si="11"/>
        <v>0</v>
      </c>
      <c r="H47" s="322">
        <f t="shared" si="12"/>
        <v>0</v>
      </c>
      <c r="J47" s="87"/>
    </row>
    <row r="48" spans="1:10">
      <c r="A48" s="71" t="s">
        <v>389</v>
      </c>
      <c r="B48" s="283"/>
      <c r="C48" s="233"/>
      <c r="D48" s="233">
        <f>D49</f>
        <v>4850</v>
      </c>
      <c r="E48" s="233"/>
      <c r="F48" s="233"/>
      <c r="G48" s="233"/>
      <c r="H48" s="322"/>
      <c r="J48" s="87"/>
    </row>
    <row r="49" spans="1:10">
      <c r="A49" s="297" t="s">
        <v>81</v>
      </c>
      <c r="B49" s="283"/>
      <c r="C49" s="233"/>
      <c r="D49" s="232">
        <v>4850</v>
      </c>
      <c r="E49" s="233"/>
      <c r="F49" s="233"/>
      <c r="G49" s="233"/>
      <c r="H49" s="322"/>
      <c r="J49" s="87"/>
    </row>
    <row r="50" spans="1:10">
      <c r="A50" s="38" t="s">
        <v>5</v>
      </c>
      <c r="B50" s="233">
        <v>1860405.11</v>
      </c>
      <c r="C50" s="233">
        <v>50000</v>
      </c>
      <c r="D50" s="233">
        <v>38729</v>
      </c>
      <c r="E50" s="233">
        <f t="shared" si="3"/>
        <v>88729</v>
      </c>
      <c r="F50" s="233">
        <f>50000+40000</f>
        <v>90000</v>
      </c>
      <c r="G50" s="233">
        <f t="shared" ref="G50:G78" si="15">IF(F50=0,0,F50-E50)</f>
        <v>1271</v>
      </c>
      <c r="H50" s="322">
        <f t="shared" ref="H50:H81" si="16">IF(F50=0,"",G50/E50)</f>
        <v>1.4324516223557123E-2</v>
      </c>
      <c r="J50" s="87"/>
    </row>
    <row r="51" spans="1:10">
      <c r="A51" s="55"/>
      <c r="B51" s="233"/>
      <c r="C51" s="80"/>
      <c r="D51" s="80"/>
      <c r="E51" s="80">
        <f t="shared" si="3"/>
        <v>0</v>
      </c>
      <c r="F51" s="80"/>
      <c r="G51" s="80">
        <f t="shared" si="15"/>
        <v>0</v>
      </c>
      <c r="H51" s="327" t="str">
        <f t="shared" si="16"/>
        <v/>
      </c>
      <c r="J51" s="87"/>
    </row>
    <row r="52" spans="1:10">
      <c r="A52" s="49" t="s">
        <v>21</v>
      </c>
      <c r="B52" s="277">
        <v>4815.45</v>
      </c>
      <c r="C52" s="50">
        <f>C53</f>
        <v>10000</v>
      </c>
      <c r="D52" s="50"/>
      <c r="E52" s="50">
        <f t="shared" si="3"/>
        <v>10000</v>
      </c>
      <c r="F52" s="50">
        <f t="shared" ref="F52:F53" si="17">F53</f>
        <v>6000</v>
      </c>
      <c r="G52" s="50">
        <f t="shared" si="15"/>
        <v>-4000</v>
      </c>
      <c r="H52" s="329">
        <f t="shared" si="16"/>
        <v>-0.4</v>
      </c>
      <c r="J52" s="87"/>
    </row>
    <row r="53" spans="1:10" ht="13.5" customHeight="1">
      <c r="A53" s="53" t="s">
        <v>60</v>
      </c>
      <c r="B53" s="278">
        <v>4815.45</v>
      </c>
      <c r="C53" s="54">
        <f>C54</f>
        <v>10000</v>
      </c>
      <c r="D53" s="54"/>
      <c r="E53" s="54">
        <f t="shared" si="3"/>
        <v>10000</v>
      </c>
      <c r="F53" s="54">
        <f t="shared" si="17"/>
        <v>6000</v>
      </c>
      <c r="G53" s="54">
        <f t="shared" si="15"/>
        <v>-4000</v>
      </c>
      <c r="H53" s="330">
        <f t="shared" si="16"/>
        <v>-0.4</v>
      </c>
      <c r="J53" s="87"/>
    </row>
    <row r="54" spans="1:10">
      <c r="A54" s="43" t="s">
        <v>51</v>
      </c>
      <c r="B54" s="232">
        <v>4815.45</v>
      </c>
      <c r="C54" s="52">
        <v>10000</v>
      </c>
      <c r="D54" s="52"/>
      <c r="E54" s="52">
        <f t="shared" si="3"/>
        <v>10000</v>
      </c>
      <c r="F54" s="52">
        <v>6000</v>
      </c>
      <c r="G54" s="52">
        <f t="shared" si="15"/>
        <v>-4000</v>
      </c>
      <c r="H54" s="321">
        <f t="shared" si="16"/>
        <v>-0.4</v>
      </c>
      <c r="J54" s="87"/>
    </row>
    <row r="55" spans="1:10" s="80" customFormat="1">
      <c r="A55" s="53"/>
      <c r="B55" s="232"/>
      <c r="E55" s="80">
        <f t="shared" si="3"/>
        <v>0</v>
      </c>
      <c r="G55" s="80">
        <f t="shared" si="15"/>
        <v>0</v>
      </c>
      <c r="H55" s="327" t="str">
        <f t="shared" si="16"/>
        <v/>
      </c>
      <c r="J55" s="87"/>
    </row>
    <row r="56" spans="1:10" s="80" customFormat="1">
      <c r="A56" s="35" t="s">
        <v>409</v>
      </c>
      <c r="B56" s="234">
        <v>1994183.62</v>
      </c>
      <c r="C56" s="6">
        <f>C57+C61+C62</f>
        <v>2000684</v>
      </c>
      <c r="D56" s="6">
        <f>D57+D61+D62</f>
        <v>5055</v>
      </c>
      <c r="E56" s="6">
        <f t="shared" si="3"/>
        <v>2005739</v>
      </c>
      <c r="F56" s="6">
        <f>F57+F61+F62</f>
        <v>2577575</v>
      </c>
      <c r="G56" s="50">
        <f t="shared" si="15"/>
        <v>571836</v>
      </c>
      <c r="H56" s="329">
        <f t="shared" si="16"/>
        <v>0.2850999058202488</v>
      </c>
      <c r="J56" s="87"/>
    </row>
    <row r="57" spans="1:10" s="80" customFormat="1">
      <c r="A57" s="91" t="s">
        <v>74</v>
      </c>
      <c r="B57" s="233">
        <v>3429210.77</v>
      </c>
      <c r="C57" s="51">
        <f>C58+C59</f>
        <v>2824616</v>
      </c>
      <c r="D57" s="51">
        <f>SUM(D58:D60)</f>
        <v>5055</v>
      </c>
      <c r="E57" s="51">
        <f t="shared" si="3"/>
        <v>2829671</v>
      </c>
      <c r="F57" s="51">
        <f>F58+F59</f>
        <v>5101500</v>
      </c>
      <c r="G57" s="51">
        <f t="shared" si="15"/>
        <v>2271829</v>
      </c>
      <c r="H57" s="322">
        <f t="shared" si="16"/>
        <v>0.80285976708953088</v>
      </c>
      <c r="J57" s="87"/>
    </row>
    <row r="58" spans="1:10" s="80" customFormat="1">
      <c r="A58" s="297" t="s">
        <v>71</v>
      </c>
      <c r="B58" s="222">
        <v>3283042</v>
      </c>
      <c r="C58" s="300">
        <v>2810616</v>
      </c>
      <c r="D58" s="52"/>
      <c r="E58" s="300">
        <f t="shared" si="3"/>
        <v>2810616</v>
      </c>
      <c r="F58" s="300">
        <f>2358500+2727000</f>
        <v>5085500</v>
      </c>
      <c r="G58" s="300">
        <f t="shared" si="15"/>
        <v>2274884</v>
      </c>
      <c r="H58" s="331">
        <f t="shared" si="16"/>
        <v>0.80938982771036672</v>
      </c>
      <c r="J58" s="87"/>
    </row>
    <row r="59" spans="1:10" s="80" customFormat="1">
      <c r="A59" s="297" t="s">
        <v>108</v>
      </c>
      <c r="B59" s="222">
        <v>22642.62</v>
      </c>
      <c r="C59" s="300">
        <v>14000</v>
      </c>
      <c r="D59" s="300">
        <v>5000</v>
      </c>
      <c r="E59" s="300">
        <f t="shared" si="3"/>
        <v>19000</v>
      </c>
      <c r="F59" s="300">
        <v>16000</v>
      </c>
      <c r="G59" s="300">
        <f t="shared" si="15"/>
        <v>-3000</v>
      </c>
      <c r="H59" s="331">
        <f t="shared" si="16"/>
        <v>-0.15789473684210525</v>
      </c>
      <c r="J59" s="87"/>
    </row>
    <row r="60" spans="1:10" s="80" customFormat="1">
      <c r="A60" s="43" t="s">
        <v>320</v>
      </c>
      <c r="B60" s="232">
        <v>123526.15000000002</v>
      </c>
      <c r="C60" s="52"/>
      <c r="D60" s="300">
        <v>55</v>
      </c>
      <c r="E60" s="52">
        <f t="shared" si="3"/>
        <v>55</v>
      </c>
      <c r="F60" s="52"/>
      <c r="G60" s="52">
        <f t="shared" si="15"/>
        <v>0</v>
      </c>
      <c r="H60" s="321" t="str">
        <f t="shared" si="16"/>
        <v/>
      </c>
      <c r="J60" s="87"/>
    </row>
    <row r="61" spans="1:10" s="80" customFormat="1">
      <c r="A61" s="91" t="s">
        <v>6</v>
      </c>
      <c r="B61" s="233">
        <v>-1430807.15</v>
      </c>
      <c r="C61" s="51">
        <v>-813932</v>
      </c>
      <c r="D61" s="51"/>
      <c r="E61" s="51">
        <f t="shared" si="3"/>
        <v>-813932</v>
      </c>
      <c r="F61" s="51">
        <f>-2656610+142685</f>
        <v>-2513925</v>
      </c>
      <c r="G61" s="51">
        <f t="shared" si="15"/>
        <v>-1699993</v>
      </c>
      <c r="H61" s="322">
        <f t="shared" si="16"/>
        <v>2.0886179680857859</v>
      </c>
      <c r="J61" s="87"/>
    </row>
    <row r="62" spans="1:10" s="80" customFormat="1" ht="15" customHeight="1">
      <c r="A62" s="91" t="s">
        <v>24</v>
      </c>
      <c r="B62" s="233">
        <v>-4220</v>
      </c>
      <c r="C62" s="51">
        <v>-10000</v>
      </c>
      <c r="D62" s="51"/>
      <c r="E62" s="51">
        <f t="shared" si="3"/>
        <v>-10000</v>
      </c>
      <c r="F62" s="51">
        <v>-10000</v>
      </c>
      <c r="G62" s="51">
        <f t="shared" si="15"/>
        <v>0</v>
      </c>
      <c r="H62" s="322">
        <f t="shared" si="16"/>
        <v>0</v>
      </c>
      <c r="J62" s="87"/>
    </row>
    <row r="63" spans="1:10" s="80" customFormat="1">
      <c r="A63" s="91"/>
      <c r="B63" s="233"/>
      <c r="C63" s="51"/>
      <c r="D63" s="51"/>
      <c r="E63" s="51">
        <f t="shared" si="3"/>
        <v>0</v>
      </c>
      <c r="F63" s="51"/>
      <c r="G63" s="51">
        <f t="shared" si="15"/>
        <v>0</v>
      </c>
      <c r="H63" s="322" t="str">
        <f t="shared" si="16"/>
        <v/>
      </c>
      <c r="J63" s="87"/>
    </row>
    <row r="64" spans="1:10">
      <c r="A64" s="49" t="s">
        <v>25</v>
      </c>
      <c r="B64" s="277">
        <v>634543.6</v>
      </c>
      <c r="C64" s="50">
        <f>C65+C67</f>
        <v>467000</v>
      </c>
      <c r="D64" s="50">
        <f t="shared" ref="D64" si="18">D65+D67</f>
        <v>3305</v>
      </c>
      <c r="E64" s="50">
        <f t="shared" si="3"/>
        <v>470305</v>
      </c>
      <c r="F64" s="50">
        <f t="shared" ref="F64" si="19">F65+F67</f>
        <v>467000</v>
      </c>
      <c r="G64" s="50">
        <f t="shared" si="15"/>
        <v>-3305</v>
      </c>
      <c r="H64" s="329">
        <f t="shared" si="16"/>
        <v>-7.0273545890432807E-3</v>
      </c>
      <c r="J64" s="87"/>
    </row>
    <row r="65" spans="1:10">
      <c r="A65" s="53" t="s">
        <v>102</v>
      </c>
      <c r="B65" s="278">
        <v>565398.5</v>
      </c>
      <c r="C65" s="54">
        <f>C66</f>
        <v>400000</v>
      </c>
      <c r="D65" s="54"/>
      <c r="E65" s="54">
        <f t="shared" si="3"/>
        <v>400000</v>
      </c>
      <c r="F65" s="54">
        <f t="shared" ref="F65" si="20">F66</f>
        <v>400000</v>
      </c>
      <c r="G65" s="54">
        <f t="shared" si="15"/>
        <v>0</v>
      </c>
      <c r="H65" s="330">
        <f t="shared" si="16"/>
        <v>0</v>
      </c>
      <c r="J65" s="87"/>
    </row>
    <row r="66" spans="1:10">
      <c r="A66" s="43" t="s">
        <v>51</v>
      </c>
      <c r="B66" s="232">
        <v>565398.5</v>
      </c>
      <c r="C66" s="52">
        <v>400000</v>
      </c>
      <c r="D66" s="52"/>
      <c r="E66" s="52">
        <f t="shared" si="3"/>
        <v>400000</v>
      </c>
      <c r="F66" s="52">
        <v>400000</v>
      </c>
      <c r="G66" s="52">
        <f t="shared" si="15"/>
        <v>0</v>
      </c>
      <c r="H66" s="321">
        <f t="shared" si="16"/>
        <v>0</v>
      </c>
      <c r="J66" s="87"/>
    </row>
    <row r="67" spans="1:10" ht="12.75" customHeight="1">
      <c r="A67" s="53" t="s">
        <v>75</v>
      </c>
      <c r="B67" s="278">
        <v>69145.100000000006</v>
      </c>
      <c r="C67" s="54">
        <v>67000</v>
      </c>
      <c r="D67" s="54">
        <v>3305</v>
      </c>
      <c r="E67" s="54">
        <f t="shared" si="3"/>
        <v>70305</v>
      </c>
      <c r="F67" s="54">
        <v>67000</v>
      </c>
      <c r="G67" s="54">
        <f t="shared" si="15"/>
        <v>-3305</v>
      </c>
      <c r="H67" s="330">
        <f t="shared" si="16"/>
        <v>-4.700945878671503E-2</v>
      </c>
      <c r="J67" s="87"/>
    </row>
    <row r="68" spans="1:10">
      <c r="A68" s="53"/>
      <c r="B68" s="273"/>
      <c r="C68" s="80"/>
      <c r="D68" s="80"/>
      <c r="E68" s="80">
        <f t="shared" si="3"/>
        <v>0</v>
      </c>
      <c r="F68" s="80"/>
      <c r="G68" s="80">
        <f t="shared" si="15"/>
        <v>0</v>
      </c>
      <c r="H68" s="327" t="str">
        <f t="shared" si="16"/>
        <v/>
      </c>
      <c r="J68" s="87"/>
    </row>
    <row r="69" spans="1:10">
      <c r="A69" s="49" t="s">
        <v>26</v>
      </c>
      <c r="B69" s="277">
        <v>7347730.2000000002</v>
      </c>
      <c r="C69" s="50">
        <f>C70</f>
        <v>7260000</v>
      </c>
      <c r="D69" s="50"/>
      <c r="E69" s="50">
        <f t="shared" si="3"/>
        <v>7260000</v>
      </c>
      <c r="F69" s="50">
        <f t="shared" ref="F69" si="21">F70</f>
        <v>7800000</v>
      </c>
      <c r="G69" s="50">
        <f t="shared" si="15"/>
        <v>540000</v>
      </c>
      <c r="H69" s="329">
        <f t="shared" si="16"/>
        <v>7.43801652892562E-2</v>
      </c>
      <c r="J69" s="87"/>
    </row>
    <row r="70" spans="1:10" ht="90" customHeight="1">
      <c r="A70" s="297" t="s">
        <v>66</v>
      </c>
      <c r="B70" s="222">
        <v>7347730.2000000002</v>
      </c>
      <c r="C70" s="300">
        <v>7260000</v>
      </c>
      <c r="D70" s="52"/>
      <c r="E70" s="300">
        <f t="shared" si="3"/>
        <v>7260000</v>
      </c>
      <c r="F70" s="300">
        <f>5300000+2500000</f>
        <v>7800000</v>
      </c>
      <c r="G70" s="300">
        <f t="shared" si="15"/>
        <v>540000</v>
      </c>
      <c r="H70" s="331">
        <f t="shared" si="16"/>
        <v>7.43801652892562E-2</v>
      </c>
      <c r="J70" s="87"/>
    </row>
    <row r="71" spans="1:10" ht="12.75" customHeight="1">
      <c r="A71" s="55"/>
      <c r="B71" s="273"/>
      <c r="C71" s="80"/>
      <c r="D71" s="80"/>
      <c r="E71" s="80">
        <f t="shared" si="3"/>
        <v>0</v>
      </c>
      <c r="F71" s="80"/>
      <c r="G71" s="80">
        <f t="shared" si="15"/>
        <v>0</v>
      </c>
      <c r="H71" s="327" t="str">
        <f t="shared" si="16"/>
        <v/>
      </c>
      <c r="J71" s="87"/>
    </row>
    <row r="72" spans="1:10" ht="12.75" customHeight="1">
      <c r="A72" s="49" t="s">
        <v>11</v>
      </c>
      <c r="B72" s="6">
        <f>B5+B12+B24+B30+B37+B52+B56+B64+B69</f>
        <v>426961867.88999999</v>
      </c>
      <c r="C72" s="6">
        <f>C5+C12+C24+C30+C37+C52+C56+C64+C69</f>
        <v>449227824</v>
      </c>
      <c r="D72" s="6">
        <f>D5+D12+D24+D30+D37+D52+D56+D64+D69</f>
        <v>8365999</v>
      </c>
      <c r="E72" s="6">
        <f t="shared" ref="E72:E100" si="22">C72+D72</f>
        <v>457593823</v>
      </c>
      <c r="F72" s="6">
        <f>F5+F12+F24+F30+F37+F52+F56+F64+F69</f>
        <v>490181929</v>
      </c>
      <c r="G72" s="6">
        <f t="shared" si="15"/>
        <v>32588106</v>
      </c>
      <c r="H72" s="315">
        <f t="shared" si="16"/>
        <v>7.1216227934090798E-2</v>
      </c>
      <c r="J72" s="87"/>
    </row>
    <row r="73" spans="1:10">
      <c r="B73" s="234"/>
      <c r="C73" s="87"/>
      <c r="D73" s="87"/>
      <c r="E73" s="87">
        <f t="shared" si="22"/>
        <v>0</v>
      </c>
      <c r="G73" s="78">
        <f t="shared" si="15"/>
        <v>0</v>
      </c>
      <c r="H73" s="332" t="str">
        <f t="shared" si="16"/>
        <v/>
      </c>
    </row>
    <row r="74" spans="1:10">
      <c r="C74" s="87"/>
      <c r="D74" s="87"/>
      <c r="E74" s="87">
        <f t="shared" si="22"/>
        <v>0</v>
      </c>
      <c r="F74" s="87"/>
      <c r="G74" s="87">
        <f t="shared" si="15"/>
        <v>0</v>
      </c>
      <c r="H74" s="332" t="str">
        <f t="shared" si="16"/>
        <v/>
      </c>
    </row>
    <row r="75" spans="1:10">
      <c r="A75" s="3" t="s">
        <v>285</v>
      </c>
      <c r="B75" s="87"/>
      <c r="C75" s="87"/>
      <c r="D75" s="87"/>
      <c r="E75" s="87">
        <f t="shared" si="22"/>
        <v>0</v>
      </c>
      <c r="F75" s="87"/>
      <c r="G75" s="87">
        <f t="shared" si="15"/>
        <v>0</v>
      </c>
      <c r="H75" s="332" t="str">
        <f t="shared" si="16"/>
        <v/>
      </c>
    </row>
    <row r="76" spans="1:10">
      <c r="A76" s="3" t="s">
        <v>132</v>
      </c>
      <c r="E76" s="78">
        <f t="shared" si="22"/>
        <v>0</v>
      </c>
      <c r="G76" s="78">
        <f t="shared" si="15"/>
        <v>0</v>
      </c>
      <c r="H76" s="332" t="str">
        <f t="shared" si="16"/>
        <v/>
      </c>
    </row>
    <row r="77" spans="1:10">
      <c r="A77" s="3" t="s">
        <v>68</v>
      </c>
      <c r="B77" s="87">
        <f>B25</f>
        <v>3495.8</v>
      </c>
      <c r="C77" s="87">
        <f>C25</f>
        <v>2800</v>
      </c>
      <c r="D77" s="87">
        <f>D25</f>
        <v>0</v>
      </c>
      <c r="E77" s="87">
        <f t="shared" si="22"/>
        <v>2800</v>
      </c>
      <c r="F77" s="87">
        <f>F25</f>
        <v>2800</v>
      </c>
      <c r="G77" s="87">
        <f t="shared" si="15"/>
        <v>0</v>
      </c>
      <c r="H77" s="332">
        <f t="shared" si="16"/>
        <v>0</v>
      </c>
    </row>
    <row r="78" spans="1:10">
      <c r="A78" s="3" t="s">
        <v>133</v>
      </c>
      <c r="E78" s="78">
        <f t="shared" si="22"/>
        <v>0</v>
      </c>
      <c r="G78" s="78">
        <f t="shared" si="15"/>
        <v>0</v>
      </c>
      <c r="H78" s="332" t="str">
        <f t="shared" si="16"/>
        <v/>
      </c>
    </row>
    <row r="79" spans="1:10">
      <c r="A79" s="3" t="s">
        <v>81</v>
      </c>
      <c r="B79" s="87">
        <f t="shared" ref="B79:C79" si="23">B49</f>
        <v>0</v>
      </c>
      <c r="C79" s="87">
        <f t="shared" si="23"/>
        <v>0</v>
      </c>
      <c r="D79" s="87">
        <f>D49</f>
        <v>4850</v>
      </c>
      <c r="E79" s="87">
        <f t="shared" ref="E79:G79" si="24">E49</f>
        <v>0</v>
      </c>
      <c r="F79" s="87">
        <f t="shared" si="24"/>
        <v>0</v>
      </c>
      <c r="G79" s="87">
        <f t="shared" si="24"/>
        <v>0</v>
      </c>
      <c r="H79" s="332" t="str">
        <f t="shared" si="16"/>
        <v/>
      </c>
    </row>
    <row r="80" spans="1:10">
      <c r="A80" s="3" t="s">
        <v>108</v>
      </c>
      <c r="B80" s="87">
        <f>B59</f>
        <v>22642.62</v>
      </c>
      <c r="C80" s="87">
        <f t="shared" ref="C80:D80" si="25">C59</f>
        <v>14000</v>
      </c>
      <c r="D80" s="87">
        <f t="shared" si="25"/>
        <v>5000</v>
      </c>
      <c r="E80" s="87">
        <f t="shared" si="22"/>
        <v>19000</v>
      </c>
      <c r="F80" s="87">
        <f t="shared" ref="F80" si="26">F59</f>
        <v>16000</v>
      </c>
      <c r="G80" s="87">
        <f t="shared" ref="G80:G100" si="27">IF(F80=0,0,F80-E80)</f>
        <v>-3000</v>
      </c>
      <c r="H80" s="332">
        <f t="shared" si="16"/>
        <v>-0.15789473684210525</v>
      </c>
    </row>
    <row r="81" spans="1:8">
      <c r="A81" s="3" t="s">
        <v>137</v>
      </c>
      <c r="E81" s="78">
        <f t="shared" si="22"/>
        <v>0</v>
      </c>
      <c r="G81" s="78">
        <f t="shared" si="27"/>
        <v>0</v>
      </c>
      <c r="H81" s="332" t="str">
        <f t="shared" si="16"/>
        <v/>
      </c>
    </row>
    <row r="82" spans="1:8">
      <c r="A82" s="3" t="s">
        <v>140</v>
      </c>
      <c r="E82" s="78">
        <f t="shared" si="22"/>
        <v>0</v>
      </c>
      <c r="G82" s="78">
        <f t="shared" si="27"/>
        <v>0</v>
      </c>
      <c r="H82" s="332" t="str">
        <f t="shared" ref="H82:H100" si="28">IF(F82=0,"",G82/E82)</f>
        <v/>
      </c>
    </row>
    <row r="83" spans="1:8">
      <c r="A83" s="5" t="s">
        <v>286</v>
      </c>
      <c r="B83" s="87">
        <f>B58+B61+B62+B31+B33</f>
        <v>2636950.7800000003</v>
      </c>
      <c r="C83" s="87">
        <f>C58+C61+C62+C31+C33</f>
        <v>2710024</v>
      </c>
      <c r="D83" s="87">
        <f>D58+D61+D62+D31+D33</f>
        <v>77060</v>
      </c>
      <c r="E83" s="87">
        <f t="shared" si="22"/>
        <v>2787084</v>
      </c>
      <c r="F83" s="87">
        <f>F58+F61+F62+F31+F33</f>
        <v>3305979</v>
      </c>
      <c r="G83" s="87">
        <f t="shared" si="27"/>
        <v>518895</v>
      </c>
      <c r="H83" s="332">
        <f t="shared" si="28"/>
        <v>0.1861784574845968</v>
      </c>
    </row>
    <row r="84" spans="1:8">
      <c r="A84" s="3" t="s">
        <v>148</v>
      </c>
      <c r="B84" s="87">
        <f>B14+B46+B70+B35+B42</f>
        <v>12390701.810000001</v>
      </c>
      <c r="C84" s="87">
        <f>C14+C46+C70+C35+C42</f>
        <v>11488000</v>
      </c>
      <c r="D84" s="87">
        <f>D14+D46+D70+D35+D42</f>
        <v>500000</v>
      </c>
      <c r="E84" s="87">
        <f t="shared" si="22"/>
        <v>11988000</v>
      </c>
      <c r="F84" s="87">
        <f>F14+F46+F70+F35+F42</f>
        <v>12628000</v>
      </c>
      <c r="G84" s="87">
        <f t="shared" si="27"/>
        <v>640000</v>
      </c>
      <c r="H84" s="332">
        <f t="shared" si="28"/>
        <v>5.3386720053386717E-2</v>
      </c>
    </row>
    <row r="85" spans="1:8">
      <c r="A85" s="5" t="s">
        <v>287</v>
      </c>
      <c r="B85" s="87">
        <f>B17+B20+B26+B40</f>
        <v>8502168.6499999985</v>
      </c>
      <c r="C85" s="87">
        <f>C17+C20+C26+C40</f>
        <v>7616000</v>
      </c>
      <c r="D85" s="87">
        <f>D17+D20+D26+D40</f>
        <v>17000</v>
      </c>
      <c r="E85" s="87">
        <f t="shared" si="22"/>
        <v>7633000</v>
      </c>
      <c r="F85" s="87">
        <f>F17+F20+F26+F40</f>
        <v>7616150</v>
      </c>
      <c r="G85" s="87">
        <f t="shared" si="27"/>
        <v>-16850</v>
      </c>
      <c r="H85" s="332">
        <f t="shared" si="28"/>
        <v>-2.2075199790383858E-3</v>
      </c>
    </row>
    <row r="86" spans="1:8">
      <c r="A86" s="5" t="s">
        <v>288</v>
      </c>
      <c r="E86" s="78">
        <f t="shared" si="22"/>
        <v>0</v>
      </c>
      <c r="G86" s="78">
        <f t="shared" si="27"/>
        <v>0</v>
      </c>
      <c r="H86" s="332" t="str">
        <f t="shared" si="28"/>
        <v/>
      </c>
    </row>
    <row r="87" spans="1:8">
      <c r="A87" s="3" t="s">
        <v>153</v>
      </c>
      <c r="E87" s="78">
        <f t="shared" si="22"/>
        <v>0</v>
      </c>
      <c r="G87" s="78">
        <f t="shared" si="27"/>
        <v>0</v>
      </c>
      <c r="H87" s="332" t="str">
        <f t="shared" si="28"/>
        <v/>
      </c>
    </row>
    <row r="88" spans="1:8">
      <c r="A88" s="3" t="s">
        <v>289</v>
      </c>
      <c r="B88" s="87">
        <f>B28+B47</f>
        <v>476396.06000000006</v>
      </c>
      <c r="C88" s="87">
        <f>C28+C47</f>
        <v>440000</v>
      </c>
      <c r="D88" s="87">
        <f>D28+D47</f>
        <v>0</v>
      </c>
      <c r="E88" s="87">
        <f t="shared" si="22"/>
        <v>440000</v>
      </c>
      <c r="F88" s="87">
        <f>F28+F47</f>
        <v>440000</v>
      </c>
      <c r="G88" s="87">
        <f t="shared" si="27"/>
        <v>0</v>
      </c>
      <c r="H88" s="332">
        <f t="shared" si="28"/>
        <v>0</v>
      </c>
    </row>
    <row r="89" spans="1:8">
      <c r="A89" s="3" t="s">
        <v>290</v>
      </c>
      <c r="B89" s="87">
        <f>B41+B27</f>
        <v>525356.34</v>
      </c>
      <c r="C89" s="87">
        <f>C41+C27</f>
        <v>600000</v>
      </c>
      <c r="D89" s="87">
        <f>D41+D27</f>
        <v>20000</v>
      </c>
      <c r="E89" s="87">
        <f t="shared" si="22"/>
        <v>620000</v>
      </c>
      <c r="F89" s="87">
        <f>F41+F27</f>
        <v>610000</v>
      </c>
      <c r="G89" s="87">
        <f t="shared" si="27"/>
        <v>-10000</v>
      </c>
      <c r="H89" s="332">
        <f t="shared" si="28"/>
        <v>-1.6129032258064516E-2</v>
      </c>
    </row>
    <row r="90" spans="1:8">
      <c r="A90" s="3" t="s">
        <v>154</v>
      </c>
      <c r="E90" s="78">
        <f t="shared" si="22"/>
        <v>0</v>
      </c>
      <c r="G90" s="78">
        <f t="shared" si="27"/>
        <v>0</v>
      </c>
      <c r="H90" s="332" t="str">
        <f t="shared" si="28"/>
        <v/>
      </c>
    </row>
    <row r="91" spans="1:8">
      <c r="A91" s="3" t="s">
        <v>243</v>
      </c>
      <c r="E91" s="78">
        <f t="shared" si="22"/>
        <v>0</v>
      </c>
      <c r="G91" s="78">
        <f t="shared" si="27"/>
        <v>0</v>
      </c>
      <c r="H91" s="332" t="str">
        <f t="shared" si="28"/>
        <v/>
      </c>
    </row>
    <row r="92" spans="1:8">
      <c r="A92" s="3" t="s">
        <v>161</v>
      </c>
      <c r="E92" s="78">
        <f t="shared" si="22"/>
        <v>0</v>
      </c>
      <c r="G92" s="78">
        <f t="shared" si="27"/>
        <v>0</v>
      </c>
      <c r="H92" s="332" t="str">
        <f t="shared" si="28"/>
        <v/>
      </c>
    </row>
    <row r="93" spans="1:8">
      <c r="A93" s="3" t="s">
        <v>162</v>
      </c>
      <c r="E93" s="78">
        <f t="shared" si="22"/>
        <v>0</v>
      </c>
      <c r="G93" s="78">
        <f t="shared" si="27"/>
        <v>0</v>
      </c>
      <c r="H93" s="332" t="str">
        <f t="shared" si="28"/>
        <v/>
      </c>
    </row>
    <row r="94" spans="1:8">
      <c r="A94" s="3" t="s">
        <v>163</v>
      </c>
      <c r="E94" s="78">
        <f t="shared" si="22"/>
        <v>0</v>
      </c>
      <c r="G94" s="78">
        <f t="shared" si="27"/>
        <v>0</v>
      </c>
      <c r="H94" s="332" t="str">
        <f t="shared" si="28"/>
        <v/>
      </c>
    </row>
    <row r="95" spans="1:8">
      <c r="A95" s="3" t="s">
        <v>164</v>
      </c>
      <c r="E95" s="78">
        <f t="shared" si="22"/>
        <v>0</v>
      </c>
      <c r="G95" s="78">
        <f t="shared" si="27"/>
        <v>0</v>
      </c>
      <c r="H95" s="332" t="str">
        <f t="shared" si="28"/>
        <v/>
      </c>
    </row>
    <row r="96" spans="1:8">
      <c r="A96" s="3" t="s">
        <v>165</v>
      </c>
      <c r="E96" s="78">
        <f t="shared" si="22"/>
        <v>0</v>
      </c>
      <c r="G96" s="78">
        <f t="shared" si="27"/>
        <v>0</v>
      </c>
      <c r="H96" s="332" t="str">
        <f t="shared" si="28"/>
        <v/>
      </c>
    </row>
    <row r="97" spans="1:8">
      <c r="A97" s="3" t="s">
        <v>166</v>
      </c>
      <c r="E97" s="78">
        <f t="shared" si="22"/>
        <v>0</v>
      </c>
      <c r="G97" s="78">
        <f t="shared" si="27"/>
        <v>0</v>
      </c>
      <c r="H97" s="332" t="str">
        <f t="shared" si="28"/>
        <v/>
      </c>
    </row>
    <row r="98" spans="1:8">
      <c r="A98" s="265" t="s">
        <v>291</v>
      </c>
      <c r="B98" s="270">
        <f>SUM(B75:B97)</f>
        <v>24557712.059999999</v>
      </c>
      <c r="C98" s="270">
        <f t="shared" ref="C98:D98" si="29">SUM(C75:C97)</f>
        <v>22870824</v>
      </c>
      <c r="D98" s="270">
        <f t="shared" si="29"/>
        <v>623910</v>
      </c>
      <c r="E98" s="270">
        <f t="shared" si="22"/>
        <v>23494734</v>
      </c>
      <c r="F98" s="270">
        <f t="shared" ref="F98" si="30">SUM(F75:F97)</f>
        <v>24618929</v>
      </c>
      <c r="G98" s="270">
        <f t="shared" si="27"/>
        <v>1124195</v>
      </c>
      <c r="H98" s="319">
        <f t="shared" si="28"/>
        <v>4.7848807311459664E-2</v>
      </c>
    </row>
    <row r="99" spans="1:8">
      <c r="A99" s="3" t="s">
        <v>51</v>
      </c>
      <c r="B99" s="87">
        <f>B7+B10+B50+B53+B65+B67+B22+B60</f>
        <v>402404155.81999999</v>
      </c>
      <c r="C99" s="87">
        <f>C7+C10+C50+C53+C65+C67+C22+C60</f>
        <v>426357000</v>
      </c>
      <c r="D99" s="87">
        <f>D7+D10+D50+D53+D65+D67+D22+D60</f>
        <v>7742089</v>
      </c>
      <c r="E99" s="87">
        <f t="shared" si="22"/>
        <v>434099089</v>
      </c>
      <c r="F99" s="87">
        <f>F7+F10+F50+F53+F65+F67+F22+F60</f>
        <v>465563000</v>
      </c>
      <c r="G99" s="87">
        <f t="shared" si="27"/>
        <v>31463911</v>
      </c>
      <c r="H99" s="332">
        <f t="shared" si="28"/>
        <v>7.2480942248648678E-2</v>
      </c>
    </row>
    <row r="100" spans="1:8">
      <c r="A100" s="265" t="s">
        <v>11</v>
      </c>
      <c r="B100" s="270">
        <f>B98+B99</f>
        <v>426961867.88</v>
      </c>
      <c r="C100" s="270">
        <f t="shared" ref="C100" si="31">C98+C99</f>
        <v>449227824</v>
      </c>
      <c r="D100" s="270">
        <f t="shared" ref="D100" si="32">D98+D99</f>
        <v>8365999</v>
      </c>
      <c r="E100" s="270">
        <f t="shared" si="22"/>
        <v>457593823</v>
      </c>
      <c r="F100" s="270">
        <f>F98+F99</f>
        <v>490181929</v>
      </c>
      <c r="G100" s="270">
        <f t="shared" si="27"/>
        <v>32588106</v>
      </c>
      <c r="H100" s="319">
        <f t="shared" si="28"/>
        <v>7.1216227934090798E-2</v>
      </c>
    </row>
    <row r="101" spans="1:8">
      <c r="B101" s="284"/>
      <c r="C101" s="87"/>
      <c r="D101" s="87">
        <f t="shared" ref="D101:E101" si="33">D100-D72</f>
        <v>0</v>
      </c>
      <c r="E101" s="87">
        <f t="shared" si="33"/>
        <v>0</v>
      </c>
    </row>
    <row r="103" spans="1:8">
      <c r="A103" s="435"/>
    </row>
    <row r="105" spans="1:8">
      <c r="A105" s="435"/>
      <c r="B105" s="261"/>
    </row>
    <row r="106" spans="1:8">
      <c r="A106" s="435"/>
      <c r="B106" s="261"/>
    </row>
  </sheetData>
  <autoFilter ref="A4:E72"/>
  <mergeCells count="2">
    <mergeCell ref="G3:H3"/>
    <mergeCell ref="C3:E3"/>
  </mergeCells>
  <phoneticPr fontId="37" type="noConversion"/>
  <printOptions gridLines="1"/>
  <pageMargins left="0.7874015748031496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3"/>
  <sheetViews>
    <sheetView workbookViewId="0"/>
  </sheetViews>
  <sheetFormatPr defaultColWidth="9.140625" defaultRowHeight="12.75"/>
  <cols>
    <col min="1" max="1" width="40" style="29" bestFit="1" customWidth="1"/>
    <col min="2" max="2" width="11.7109375" style="29" bestFit="1" customWidth="1"/>
    <col min="3" max="5" width="11.7109375" style="29" customWidth="1"/>
    <col min="6" max="6" width="10.140625" style="29" bestFit="1" customWidth="1"/>
    <col min="7" max="16384" width="9.140625" style="29"/>
  </cols>
  <sheetData>
    <row r="1" spans="1:13" ht="12.75" customHeight="1">
      <c r="B1" s="802" t="s">
        <v>297</v>
      </c>
      <c r="C1" s="802" t="s">
        <v>385</v>
      </c>
      <c r="D1" s="802" t="s">
        <v>414</v>
      </c>
      <c r="E1" s="802" t="s">
        <v>386</v>
      </c>
      <c r="F1" s="803" t="s">
        <v>417</v>
      </c>
    </row>
    <row r="2" spans="1:13" ht="12.75" customHeight="1">
      <c r="B2" s="802"/>
      <c r="C2" s="802"/>
      <c r="D2" s="802"/>
      <c r="E2" s="802"/>
      <c r="F2" s="804"/>
    </row>
    <row r="3" spans="1:13">
      <c r="A3" s="5" t="s">
        <v>9</v>
      </c>
      <c r="B3" s="10">
        <v>63892294.770000003</v>
      </c>
      <c r="C3" s="10">
        <f t="shared" ref="C3:E3" ca="1" si="0">SUM(C4:C13)</f>
        <v>345040</v>
      </c>
      <c r="D3" s="10">
        <f t="shared" ca="1" si="0"/>
        <v>11285</v>
      </c>
      <c r="E3" s="10">
        <f t="shared" ca="1" si="0"/>
        <v>356325</v>
      </c>
      <c r="F3" s="10">
        <f t="shared" ref="F3:G3" ca="1" si="1">SUM(F4:F13)</f>
        <v>364500</v>
      </c>
      <c r="G3" s="10">
        <f t="shared" ca="1" si="1"/>
        <v>8175</v>
      </c>
      <c r="H3" s="10"/>
      <c r="I3" s="10"/>
      <c r="J3" s="10"/>
      <c r="K3" s="10"/>
      <c r="L3" s="10"/>
      <c r="M3" s="10"/>
    </row>
    <row r="4" spans="1:13">
      <c r="A4" s="7" t="s">
        <v>89</v>
      </c>
      <c r="B4" s="10">
        <v>28592760.600000005</v>
      </c>
      <c r="C4" s="10">
        <f ca="1">SUMIF('2.2 OMATULUD'!$A$5:B$65,$A4,'2.2 OMATULUD'!B$5:B$65)</f>
        <v>0</v>
      </c>
      <c r="D4" s="10">
        <f ca="1">SUMIF('2.2 OMATULUD'!$A$5:C$65,$A4,'2.2 OMATULUD'!C$5:C$65)</f>
        <v>0</v>
      </c>
      <c r="E4" s="10">
        <f ca="1">SUMIF('2.2 OMATULUD'!$A$5:D$65,$A4,'2.2 OMATULUD'!D$5:D$65)</f>
        <v>0</v>
      </c>
      <c r="F4" s="10">
        <f ca="1">SUMIF('2.2 OMATULUD'!$A$5:E$65,$A4,'2.2 OMATULUD'!E$5:E$65)</f>
        <v>0</v>
      </c>
      <c r="G4" s="10">
        <f ca="1">SUMIF('2.2 OMATULUD'!$A$5:F$65,$A4,'2.2 OMATULUD'!F$5:F$65)</f>
        <v>0</v>
      </c>
      <c r="H4" s="10"/>
      <c r="I4" s="10"/>
      <c r="J4" s="10"/>
      <c r="K4" s="10"/>
      <c r="L4" s="10"/>
      <c r="M4" s="10"/>
    </row>
    <row r="5" spans="1:13">
      <c r="A5" s="7" t="s">
        <v>94</v>
      </c>
      <c r="B5" s="10">
        <v>3724902.4500000011</v>
      </c>
      <c r="C5" s="10">
        <f ca="1">SUMIF('2.2 OMATULUD'!$A$5:B$65,$A5,'2.2 OMATULUD'!B$5:B$65)</f>
        <v>38300</v>
      </c>
      <c r="D5" s="10">
        <f ca="1">SUMIF('2.2 OMATULUD'!$A$5:C$65,$A5,'2.2 OMATULUD'!C$5:C$65)</f>
        <v>4435</v>
      </c>
      <c r="E5" s="10">
        <f ca="1">SUMIF('2.2 OMATULUD'!$A$5:D$65,$A5,'2.2 OMATULUD'!D$5:D$65)</f>
        <v>42735</v>
      </c>
      <c r="F5" s="10">
        <f ca="1">SUMIF('2.2 OMATULUD'!$A$5:E$65,$A5,'2.2 OMATULUD'!E$5:E$65)</f>
        <v>41300</v>
      </c>
      <c r="G5" s="10">
        <f ca="1">SUMIF('2.2 OMATULUD'!$A$5:F$65,$A5,'2.2 OMATULUD'!F$5:F$65)</f>
        <v>-1435</v>
      </c>
      <c r="H5" s="10"/>
      <c r="I5" s="10"/>
      <c r="J5" s="10"/>
      <c r="K5" s="10"/>
      <c r="L5" s="10"/>
      <c r="M5" s="10"/>
    </row>
    <row r="6" spans="1:13">
      <c r="A6" s="7" t="s">
        <v>90</v>
      </c>
      <c r="B6" s="10">
        <v>4980118.51</v>
      </c>
      <c r="C6" s="10">
        <f ca="1">SUMIF('2.2 OMATULUD'!$A$5:B$65,$A6,'2.2 OMATULUD'!B$5:B$65)</f>
        <v>73800</v>
      </c>
      <c r="D6" s="10">
        <f ca="1">SUMIF('2.2 OMATULUD'!$A$5:C$65,$A6,'2.2 OMATULUD'!C$5:C$65)</f>
        <v>11200</v>
      </c>
      <c r="E6" s="10">
        <f ca="1">SUMIF('2.2 OMATULUD'!$A$5:D$65,$A6,'2.2 OMATULUD'!D$5:D$65)</f>
        <v>85000</v>
      </c>
      <c r="F6" s="10">
        <f ca="1">SUMIF('2.2 OMATULUD'!$A$5:E$65,$A6,'2.2 OMATULUD'!E$5:E$65)</f>
        <v>78100</v>
      </c>
      <c r="G6" s="10">
        <f ca="1">SUMIF('2.2 OMATULUD'!$A$5:F$65,$A6,'2.2 OMATULUD'!F$5:F$65)</f>
        <v>-6900</v>
      </c>
      <c r="H6" s="10"/>
      <c r="I6" s="10"/>
      <c r="J6" s="10"/>
      <c r="K6" s="10"/>
      <c r="L6" s="10"/>
      <c r="M6" s="10"/>
    </row>
    <row r="7" spans="1:13">
      <c r="A7" s="7" t="s">
        <v>99</v>
      </c>
      <c r="B7" s="10">
        <v>4648288.17</v>
      </c>
      <c r="C7" s="10">
        <f ca="1">SUMIF('2.2 OMATULUD'!$A$5:B$65,$A7,'2.2 OMATULUD'!B$5:B$65)</f>
        <v>0</v>
      </c>
      <c r="D7" s="10">
        <f ca="1">SUMIF('2.2 OMATULUD'!$A$5:C$65,$A7,'2.2 OMATULUD'!C$5:C$65)</f>
        <v>0</v>
      </c>
      <c r="E7" s="10">
        <f ca="1">SUMIF('2.2 OMATULUD'!$A$5:D$65,$A7,'2.2 OMATULUD'!D$5:D$65)</f>
        <v>0</v>
      </c>
      <c r="F7" s="10">
        <f ca="1">SUMIF('2.2 OMATULUD'!$A$5:E$65,$A7,'2.2 OMATULUD'!E$5:E$65)</f>
        <v>0</v>
      </c>
      <c r="G7" s="10">
        <f ca="1">SUMIF('2.2 OMATULUD'!$A$5:F$65,$A7,'2.2 OMATULUD'!F$5:F$65)</f>
        <v>0</v>
      </c>
      <c r="H7" s="10"/>
      <c r="I7" s="10"/>
      <c r="J7" s="10"/>
      <c r="K7" s="10"/>
      <c r="L7" s="10"/>
      <c r="M7" s="10"/>
    </row>
    <row r="8" spans="1:13">
      <c r="A8" s="7" t="s">
        <v>95</v>
      </c>
      <c r="B8" s="10">
        <v>6136.28</v>
      </c>
      <c r="C8" s="10">
        <f ca="1">SUMIF('2.2 OMATULUD'!$A$5:B$65,$A8,'2.2 OMATULUD'!B$5:B$65)</f>
        <v>0</v>
      </c>
      <c r="D8" s="10">
        <f ca="1">SUMIF('2.2 OMATULUD'!$A$5:C$65,$A8,'2.2 OMATULUD'!C$5:C$65)</f>
        <v>0</v>
      </c>
      <c r="E8" s="10">
        <f ca="1">SUMIF('2.2 OMATULUD'!$A$5:D$65,$A8,'2.2 OMATULUD'!D$5:D$65)</f>
        <v>0</v>
      </c>
      <c r="F8" s="10">
        <f ca="1">SUMIF('2.2 OMATULUD'!$A$5:E$65,$A8,'2.2 OMATULUD'!E$5:E$65)</f>
        <v>0</v>
      </c>
      <c r="G8" s="10">
        <f ca="1">SUMIF('2.2 OMATULUD'!$A$5:F$65,$A8,'2.2 OMATULUD'!F$5:F$65)</f>
        <v>0</v>
      </c>
      <c r="H8" s="10"/>
      <c r="I8" s="10"/>
      <c r="J8" s="10"/>
      <c r="K8" s="10"/>
      <c r="L8" s="10"/>
      <c r="M8" s="10"/>
    </row>
    <row r="9" spans="1:13">
      <c r="A9" s="7" t="s">
        <v>96</v>
      </c>
      <c r="B9" s="10">
        <v>7585732</v>
      </c>
      <c r="C9" s="10">
        <f ca="1">SUMIF('2.2 OMATULUD'!$A$5:B$65,$A9,'2.2 OMATULUD'!B$5:B$65)</f>
        <v>164000</v>
      </c>
      <c r="D9" s="10">
        <f ca="1">SUMIF('2.2 OMATULUD'!$A$5:C$65,$A9,'2.2 OMATULUD'!C$5:C$65)</f>
        <v>5700</v>
      </c>
      <c r="E9" s="10">
        <f ca="1">SUMIF('2.2 OMATULUD'!$A$5:D$65,$A9,'2.2 OMATULUD'!D$5:D$65)</f>
        <v>169700</v>
      </c>
      <c r="F9" s="10">
        <f ca="1">SUMIF('2.2 OMATULUD'!$A$5:E$65,$A9,'2.2 OMATULUD'!E$5:E$65)</f>
        <v>181800</v>
      </c>
      <c r="G9" s="10">
        <f ca="1">SUMIF('2.2 OMATULUD'!$A$5:F$65,$A9,'2.2 OMATULUD'!F$5:F$65)</f>
        <v>12100</v>
      </c>
      <c r="H9" s="10"/>
      <c r="I9" s="10"/>
      <c r="J9" s="10"/>
      <c r="K9" s="10"/>
      <c r="L9" s="10"/>
      <c r="M9" s="10"/>
    </row>
    <row r="10" spans="1:13">
      <c r="A10" s="7" t="s">
        <v>91</v>
      </c>
      <c r="B10" s="10">
        <v>3923475.17</v>
      </c>
      <c r="C10" s="10">
        <f ca="1">SUMIF('2.2 OMATULUD'!$A$5:B$65,$A10,'2.2 OMATULUD'!B$5:B$65)</f>
        <v>38940</v>
      </c>
      <c r="D10" s="10">
        <f ca="1">SUMIF('2.2 OMATULUD'!$A$5:C$65,$A10,'2.2 OMATULUD'!C$5:C$65)</f>
        <v>2950</v>
      </c>
      <c r="E10" s="10">
        <f ca="1">SUMIF('2.2 OMATULUD'!$A$5:D$65,$A10,'2.2 OMATULUD'!D$5:D$65)</f>
        <v>41890</v>
      </c>
      <c r="F10" s="10">
        <f ca="1">SUMIF('2.2 OMATULUD'!$A$5:E$65,$A10,'2.2 OMATULUD'!E$5:E$65)</f>
        <v>38300</v>
      </c>
      <c r="G10" s="10">
        <f ca="1">SUMIF('2.2 OMATULUD'!$A$5:F$65,$A10,'2.2 OMATULUD'!F$5:F$65)</f>
        <v>-3590</v>
      </c>
      <c r="H10" s="10"/>
      <c r="I10" s="10"/>
      <c r="J10" s="10"/>
      <c r="K10" s="10"/>
      <c r="L10" s="10"/>
      <c r="M10" s="10"/>
    </row>
    <row r="11" spans="1:13">
      <c r="A11" s="7" t="s">
        <v>97</v>
      </c>
      <c r="B11" s="10">
        <v>9095523.5800000001</v>
      </c>
      <c r="C11" s="10">
        <f ca="1">SUMIF('2.2 OMATULUD'!$A$5:B$65,$A11,'2.2 OMATULUD'!B$5:B$65)</f>
        <v>0</v>
      </c>
      <c r="D11" s="10">
        <f ca="1">SUMIF('2.2 OMATULUD'!$A$5:C$65,$A11,'2.2 OMATULUD'!C$5:C$65)</f>
        <v>0</v>
      </c>
      <c r="E11" s="10">
        <f ca="1">SUMIF('2.2 OMATULUD'!$A$5:D$65,$A11,'2.2 OMATULUD'!D$5:D$65)</f>
        <v>0</v>
      </c>
      <c r="F11" s="10">
        <f ca="1">SUMIF('2.2 OMATULUD'!$A$5:E$65,$A11,'2.2 OMATULUD'!E$5:E$65)</f>
        <v>0</v>
      </c>
      <c r="G11" s="10">
        <f ca="1">SUMIF('2.2 OMATULUD'!$A$5:F$65,$A11,'2.2 OMATULUD'!F$5:F$65)</f>
        <v>0</v>
      </c>
      <c r="H11" s="10"/>
      <c r="I11" s="10"/>
      <c r="J11" s="10"/>
      <c r="K11" s="10"/>
      <c r="L11" s="10"/>
      <c r="M11" s="10"/>
    </row>
    <row r="12" spans="1:13">
      <c r="A12" s="7" t="s">
        <v>88</v>
      </c>
      <c r="B12" s="10">
        <v>174948.82</v>
      </c>
      <c r="C12" s="10">
        <f ca="1">SUMIF('2.2 OMATULUD'!$A$5:B$65,$A12,'2.2 OMATULUD'!B$5:B$65)</f>
        <v>30000</v>
      </c>
      <c r="D12" s="10">
        <f ca="1">SUMIF('2.2 OMATULUD'!$A$5:C$65,$A12,'2.2 OMATULUD'!C$5:C$65)</f>
        <v>-13000</v>
      </c>
      <c r="E12" s="10">
        <f ca="1">SUMIF('2.2 OMATULUD'!$A$5:D$65,$A12,'2.2 OMATULUD'!D$5:D$65)</f>
        <v>17000</v>
      </c>
      <c r="F12" s="10">
        <f ca="1">SUMIF('2.2 OMATULUD'!$A$5:E$65,$A12,'2.2 OMATULUD'!E$5:E$65)</f>
        <v>25000</v>
      </c>
      <c r="G12" s="10">
        <f ca="1">SUMIF('2.2 OMATULUD'!$A$5:F$65,$A12,'2.2 OMATULUD'!F$5:F$65)</f>
        <v>8000</v>
      </c>
      <c r="H12" s="10"/>
      <c r="I12" s="10"/>
      <c r="J12" s="10"/>
      <c r="K12" s="10"/>
      <c r="L12" s="10"/>
      <c r="M12" s="10"/>
    </row>
    <row r="13" spans="1:13">
      <c r="A13" s="8" t="s">
        <v>98</v>
      </c>
      <c r="B13" s="10">
        <v>1160409.19</v>
      </c>
      <c r="C13" s="10">
        <f ca="1">SUMIF('2.2 OMATULUD'!$A$5:B$65,$A13,'2.2 OMATULUD'!B$5:B$65)</f>
        <v>0</v>
      </c>
      <c r="D13" s="10">
        <f ca="1">SUMIF('2.2 OMATULUD'!$A$5:C$65,$A13,'2.2 OMATULUD'!C$5:C$65)</f>
        <v>0</v>
      </c>
      <c r="E13" s="10">
        <f ca="1">SUMIF('2.2 OMATULUD'!$A$5:D$65,$A13,'2.2 OMATULUD'!D$5:D$65)</f>
        <v>0</v>
      </c>
      <c r="F13" s="10">
        <f ca="1">SUMIF('2.2 OMATULUD'!$A$5:E$65,$A13,'2.2 OMATULUD'!E$5:E$65)</f>
        <v>0</v>
      </c>
      <c r="G13" s="10">
        <f ca="1">SUMIF('2.2 OMATULUD'!$A$5:F$65,$A13,'2.2 OMATULUD'!F$5:F$65)</f>
        <v>0</v>
      </c>
      <c r="H13" s="10"/>
      <c r="I13" s="10"/>
      <c r="J13" s="10"/>
      <c r="K13" s="10"/>
      <c r="L13" s="10"/>
      <c r="M13" s="10"/>
    </row>
    <row r="14" spans="1:13">
      <c r="A14" s="5" t="s">
        <v>92</v>
      </c>
      <c r="B14" s="10">
        <v>187738.75999999998</v>
      </c>
      <c r="C14" s="10">
        <f ca="1">SUMIF('2.2 OMATULUD'!$A$5:B$65,$A14,'2.2 OMATULUD'!B$5:B$65)</f>
        <v>0</v>
      </c>
      <c r="D14" s="10">
        <f ca="1">SUMIF('2.2 OMATULUD'!$A$5:C$65,$A14,'2.2 OMATULUD'!C$5:C$65)</f>
        <v>0</v>
      </c>
      <c r="E14" s="10">
        <f ca="1">SUMIF('2.2 OMATULUD'!$A$5:D$65,$A14,'2.2 OMATULUD'!D$5:D$65)</f>
        <v>0</v>
      </c>
      <c r="F14" s="10">
        <f ca="1">SUMIF('2.2 OMATULUD'!$A$5:E$65,$A14,'2.2 OMATULUD'!E$5:E$65)</f>
        <v>0</v>
      </c>
      <c r="G14" s="10">
        <f ca="1">SUMIF('2.2 OMATULUD'!$A$5:F$65,$A14,'2.2 OMATULUD'!F$5:F$65)</f>
        <v>0</v>
      </c>
      <c r="H14" s="10"/>
      <c r="I14" s="10"/>
      <c r="J14" s="10"/>
      <c r="K14" s="10"/>
      <c r="L14" s="10"/>
      <c r="M14" s="10"/>
    </row>
    <row r="15" spans="1:13">
      <c r="A15" s="5" t="s">
        <v>87</v>
      </c>
      <c r="B15" s="10">
        <v>3911473.12</v>
      </c>
      <c r="C15" s="10">
        <f ca="1">SUMIF('2.2 OMATULUD'!$A$5:B$65,$A15,'2.2 OMATULUD'!B$5:B$65)</f>
        <v>118600</v>
      </c>
      <c r="D15" s="10">
        <f ca="1">SUMIF('2.2 OMATULUD'!$A$5:C$65,$A15,'2.2 OMATULUD'!C$5:C$65)</f>
        <v>2000</v>
      </c>
      <c r="E15" s="10">
        <f ca="1">SUMIF('2.2 OMATULUD'!$A$5:D$65,$A15,'2.2 OMATULUD'!D$5:D$65)</f>
        <v>120600</v>
      </c>
      <c r="F15" s="10">
        <f ca="1">SUMIF('2.2 OMATULUD'!$A$5:E$65,$A15,'2.2 OMATULUD'!E$5:E$65)</f>
        <v>124600</v>
      </c>
      <c r="G15" s="10">
        <f ca="1">SUMIF('2.2 OMATULUD'!$A$5:F$65,$A15,'2.2 OMATULUD'!F$5:F$65)</f>
        <v>4000</v>
      </c>
      <c r="H15" s="10"/>
      <c r="I15" s="10"/>
      <c r="J15" s="10"/>
      <c r="K15" s="10"/>
      <c r="L15" s="10"/>
      <c r="M15" s="10"/>
    </row>
    <row r="16" spans="1:13">
      <c r="A16" s="5" t="s">
        <v>93</v>
      </c>
      <c r="B16" s="10">
        <v>2385085.9600000004</v>
      </c>
      <c r="C16" s="10">
        <f ca="1">SUMIF('2.2 OMATULUD'!$A$5:B$65,$A16,'2.2 OMATULUD'!B$5:B$65)</f>
        <v>44000</v>
      </c>
      <c r="D16" s="10">
        <f ca="1">SUMIF('2.2 OMATULUD'!$A$5:C$65,$A16,'2.2 OMATULUD'!C$5:C$65)</f>
        <v>11300</v>
      </c>
      <c r="E16" s="10">
        <f ca="1">SUMIF('2.2 OMATULUD'!$A$5:D$65,$A16,'2.2 OMATULUD'!D$5:D$65)</f>
        <v>55300</v>
      </c>
      <c r="F16" s="10">
        <f ca="1">SUMIF('2.2 OMATULUD'!$A$5:E$65,$A16,'2.2 OMATULUD'!E$5:E$65)</f>
        <v>60000</v>
      </c>
      <c r="G16" s="10">
        <f ca="1">SUMIF('2.2 OMATULUD'!$A$5:F$65,$A16,'2.2 OMATULUD'!F$5:F$65)</f>
        <v>4700</v>
      </c>
      <c r="H16" s="10"/>
      <c r="I16" s="10"/>
      <c r="J16" s="10"/>
      <c r="K16" s="10"/>
      <c r="L16" s="10"/>
      <c r="M16" s="10"/>
    </row>
    <row r="17" spans="1:13">
      <c r="A17" s="5" t="s">
        <v>86</v>
      </c>
      <c r="B17" s="10">
        <v>8438000.8300000019</v>
      </c>
      <c r="C17" s="10">
        <f ca="1">SUMIF('2.2 OMATULUD'!$A$5:B$65,$A17,'2.2 OMATULUD'!B$5:B$65)</f>
        <v>191040</v>
      </c>
      <c r="D17" s="10">
        <f ca="1">SUMIF('2.2 OMATULUD'!$A$5:C$65,$A17,'2.2 OMATULUD'!C$5:C$65)</f>
        <v>1450</v>
      </c>
      <c r="E17" s="10">
        <f ca="1">SUMIF('2.2 OMATULUD'!$A$5:D$65,$A17,'2.2 OMATULUD'!D$5:D$65)</f>
        <v>192490</v>
      </c>
      <c r="F17" s="10">
        <f ca="1">SUMIF('2.2 OMATULUD'!$A$5:E$65,$A17,'2.2 OMATULUD'!E$5:E$65)</f>
        <v>195380</v>
      </c>
      <c r="G17" s="10">
        <f ca="1">SUMIF('2.2 OMATULUD'!$A$5:F$65,$A17,'2.2 OMATULUD'!F$5:F$65)</f>
        <v>2890</v>
      </c>
      <c r="H17" s="10"/>
      <c r="I17" s="10"/>
      <c r="J17" s="10"/>
      <c r="K17" s="10"/>
      <c r="L17" s="10"/>
      <c r="M17" s="10"/>
    </row>
    <row r="18" spans="1:13">
      <c r="A18" s="107" t="s">
        <v>10</v>
      </c>
      <c r="B18" s="10">
        <v>0</v>
      </c>
      <c r="C18" s="10">
        <f ca="1">SUMIF('2.2 OMATULUD'!$A$5:B$65,$A18,'2.2 OMATULUD'!B$5:B$65)</f>
        <v>0</v>
      </c>
      <c r="D18" s="10">
        <f ca="1">SUMIF('2.2 OMATULUD'!$A$5:C$65,$A18,'2.2 OMATULUD'!C$5:C$65)</f>
        <v>0</v>
      </c>
      <c r="E18" s="10">
        <f ca="1">SUMIF('2.2 OMATULUD'!$A$5:D$65,$A18,'2.2 OMATULUD'!D$5:D$65)</f>
        <v>0</v>
      </c>
      <c r="F18" s="10">
        <f ca="1">SUMIF('2.2 OMATULUD'!$A$5:E$65,$A18,'2.2 OMATULUD'!E$5:E$65)</f>
        <v>0</v>
      </c>
      <c r="G18" s="10">
        <f ca="1">SUMIF('2.2 OMATULUD'!$A$5:F$65,$A18,'2.2 OMATULUD'!F$5:F$65)</f>
        <v>0</v>
      </c>
      <c r="H18" s="10"/>
      <c r="I18" s="10"/>
      <c r="J18" s="10"/>
      <c r="K18" s="10"/>
      <c r="L18" s="10"/>
      <c r="M18" s="10"/>
    </row>
    <row r="19" spans="1:13">
      <c r="A19" s="93" t="s">
        <v>106</v>
      </c>
      <c r="B19" s="10">
        <v>-39789.910000000003</v>
      </c>
      <c r="C19" s="10">
        <f ca="1">SUMIF('2.2 OMATULUD'!$A$5:B$65,$A19,'2.2 OMATULUD'!B$5:B$65)</f>
        <v>0</v>
      </c>
      <c r="D19" s="10">
        <f ca="1">SUMIF('2.2 OMATULUD'!$A$5:C$65,$A19,'2.2 OMATULUD'!C$5:C$65)</f>
        <v>0</v>
      </c>
      <c r="E19" s="10">
        <f ca="1">SUMIF('2.2 OMATULUD'!$A$5:D$65,$A19,'2.2 OMATULUD'!D$5:D$65)</f>
        <v>0</v>
      </c>
      <c r="F19" s="10">
        <f ca="1">SUMIF('2.2 OMATULUD'!$A$5:E$65,$A19,'2.2 OMATULUD'!E$5:E$65)</f>
        <v>0</v>
      </c>
      <c r="G19" s="10">
        <f ca="1">SUMIF('2.2 OMATULUD'!$A$5:F$65,$A19,'2.2 OMATULUD'!F$5:F$65)</f>
        <v>0</v>
      </c>
      <c r="H19" s="10"/>
      <c r="I19" s="10"/>
      <c r="J19" s="10"/>
      <c r="K19" s="10"/>
      <c r="L19" s="10"/>
      <c r="M19" s="10"/>
    </row>
    <row r="20" spans="1:13">
      <c r="A20" s="2" t="s">
        <v>11</v>
      </c>
      <c r="B20" s="11">
        <v>78774803.530000001</v>
      </c>
      <c r="C20" s="11">
        <f t="shared" ref="C20:E20" ca="1" si="2">C14+C15+C16+C17+C3+C19</f>
        <v>698680</v>
      </c>
      <c r="D20" s="11">
        <f t="shared" ca="1" si="2"/>
        <v>26035</v>
      </c>
      <c r="E20" s="11">
        <f t="shared" ca="1" si="2"/>
        <v>724715</v>
      </c>
      <c r="F20" s="11">
        <f t="shared" ref="F20:G20" ca="1" si="3">F14+F15+F16+F17+F3+F19</f>
        <v>744480</v>
      </c>
      <c r="G20" s="11">
        <f t="shared" ca="1" si="3"/>
        <v>19765</v>
      </c>
      <c r="H20" s="11"/>
      <c r="I20" s="11"/>
      <c r="J20" s="11"/>
      <c r="K20" s="11"/>
      <c r="L20" s="11"/>
      <c r="M20" s="11"/>
    </row>
    <row r="21" spans="1:13">
      <c r="A21" s="5"/>
      <c r="B21" s="85"/>
      <c r="C21" s="85" t="e">
        <f ca="1">C20-'2.2 OMATULUD'!#REF!</f>
        <v>#REF!</v>
      </c>
      <c r="D21" s="85" t="e">
        <f ca="1">D20-'2.2 OMATULUD'!#REF!</f>
        <v>#REF!</v>
      </c>
      <c r="E21" s="85" t="e">
        <f ca="1">E20-'2.2 OMATULUD'!#REF!</f>
        <v>#REF!</v>
      </c>
      <c r="F21" s="85" t="e">
        <f ca="1">F20-'2.2 OMATULUD'!#REF!</f>
        <v>#REF!</v>
      </c>
      <c r="G21" s="85" t="e">
        <f ca="1">G20-'2.2 OMATULUD'!#REF!</f>
        <v>#REF!</v>
      </c>
      <c r="H21" s="85"/>
      <c r="I21" s="85"/>
      <c r="J21" s="85"/>
      <c r="K21" s="85"/>
      <c r="L21" s="85"/>
      <c r="M21" s="85"/>
    </row>
    <row r="25" spans="1:13">
      <c r="A25" s="111"/>
      <c r="B25" s="112"/>
      <c r="C25" s="112"/>
      <c r="D25" s="112"/>
      <c r="E25" s="112"/>
    </row>
    <row r="26" spans="1:13">
      <c r="A26" s="108"/>
      <c r="B26" s="4"/>
      <c r="C26" s="4"/>
      <c r="D26" s="4"/>
      <c r="E26" s="4"/>
    </row>
    <row r="27" spans="1:13">
      <c r="A27" s="92"/>
      <c r="B27" s="63"/>
      <c r="C27" s="63"/>
      <c r="D27" s="63"/>
      <c r="E27" s="63"/>
    </row>
    <row r="31" spans="1:13">
      <c r="A31" s="111"/>
      <c r="B31" s="112"/>
      <c r="C31" s="112"/>
      <c r="D31" s="112"/>
      <c r="E31" s="112"/>
    </row>
    <row r="32" spans="1:13">
      <c r="A32" s="109"/>
      <c r="B32" s="63"/>
      <c r="C32" s="63"/>
      <c r="D32" s="63"/>
      <c r="E32" s="63"/>
    </row>
    <row r="33" spans="1:5">
      <c r="A33" s="110"/>
      <c r="B33" s="63"/>
      <c r="C33" s="63"/>
      <c r="D33" s="63"/>
      <c r="E33" s="63"/>
    </row>
  </sheetData>
  <mergeCells count="5">
    <mergeCell ref="B1:B2"/>
    <mergeCell ref="C1:C2"/>
    <mergeCell ref="D1:D2"/>
    <mergeCell ref="E1:E2"/>
    <mergeCell ref="F1:F2"/>
  </mergeCells>
  <phoneticPr fontId="3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</sheetPr>
  <dimension ref="A1:G173"/>
  <sheetViews>
    <sheetView showZeros="0" zoomScaleNormal="100" workbookViewId="0">
      <pane xSplit="1" ySplit="4" topLeftCell="B5" activePane="bottomRight" state="frozen"/>
      <selection activeCell="F154" sqref="F154"/>
      <selection pane="topRight" activeCell="F154" sqref="F154"/>
      <selection pane="bottomLeft" activeCell="F154" sqref="F154"/>
      <selection pane="bottomRight"/>
    </sheetView>
  </sheetViews>
  <sheetFormatPr defaultColWidth="9.140625" defaultRowHeight="12.75"/>
  <cols>
    <col min="1" max="1" width="38.5703125" style="53" customWidth="1"/>
    <col min="2" max="2" width="11.7109375" style="102" customWidth="1"/>
    <col min="3" max="3" width="11.7109375" style="102" hidden="1" customWidth="1"/>
    <col min="4" max="4" width="11.7109375" style="102" customWidth="1"/>
    <col min="5" max="5" width="10.7109375" style="82" customWidth="1"/>
    <col min="6" max="6" width="10.140625" style="82" bestFit="1" customWidth="1"/>
    <col min="7" max="7" width="9.140625" style="334"/>
    <col min="8" max="16384" width="9.140625" style="82"/>
  </cols>
  <sheetData>
    <row r="1" spans="1:7" ht="15">
      <c r="A1" s="49" t="s">
        <v>84</v>
      </c>
      <c r="B1" s="9"/>
      <c r="C1" s="9"/>
      <c r="D1" s="9"/>
      <c r="G1" s="333"/>
    </row>
    <row r="2" spans="1:7" ht="12.75" customHeight="1">
      <c r="A2" s="450"/>
      <c r="B2" s="9"/>
      <c r="C2" s="9"/>
      <c r="D2" s="9"/>
      <c r="E2" s="9"/>
      <c r="F2" s="9"/>
      <c r="G2" s="335"/>
    </row>
    <row r="3" spans="1:7" ht="27" customHeight="1">
      <c r="B3" s="799">
        <v>2018</v>
      </c>
      <c r="C3" s="800"/>
      <c r="D3" s="801"/>
      <c r="E3" s="479">
        <v>2019</v>
      </c>
      <c r="F3" s="797" t="s">
        <v>434</v>
      </c>
      <c r="G3" s="798"/>
    </row>
    <row r="4" spans="1:7" ht="29.25" customHeight="1">
      <c r="B4" s="476" t="s">
        <v>257</v>
      </c>
      <c r="C4" s="475" t="s">
        <v>410</v>
      </c>
      <c r="D4" s="477" t="s">
        <v>258</v>
      </c>
      <c r="E4" s="478" t="s">
        <v>420</v>
      </c>
      <c r="F4" s="481" t="s">
        <v>12</v>
      </c>
      <c r="G4" s="482" t="s">
        <v>384</v>
      </c>
    </row>
    <row r="5" spans="1:7">
      <c r="A5" s="126" t="s">
        <v>130</v>
      </c>
      <c r="B5" s="129">
        <f>SUM(B7,B30,B41,B53)</f>
        <v>698680</v>
      </c>
      <c r="C5" s="129">
        <f>SUM(C7,C30,C41,C53)</f>
        <v>26035</v>
      </c>
      <c r="D5" s="129">
        <f t="shared" ref="D5:D61" si="0">B5+C5</f>
        <v>724715</v>
      </c>
      <c r="E5" s="129">
        <f t="shared" ref="E5" si="1">SUM(E7,E30,E41,E53)</f>
        <v>744480</v>
      </c>
      <c r="F5" s="129">
        <f t="shared" ref="F5:F34" si="2">E5-D5</f>
        <v>19765</v>
      </c>
      <c r="G5" s="336">
        <f t="shared" ref="G5:G34" si="3">IF(D5=0,"",F5/D5)</f>
        <v>2.7272789993307713E-2</v>
      </c>
    </row>
    <row r="6" spans="1:7">
      <c r="A6" s="128"/>
      <c r="B6" s="133"/>
      <c r="C6" s="133"/>
      <c r="D6" s="133">
        <f t="shared" si="0"/>
        <v>0</v>
      </c>
      <c r="E6" s="101"/>
      <c r="F6" s="101">
        <f t="shared" si="2"/>
        <v>0</v>
      </c>
      <c r="G6" s="334" t="str">
        <f t="shared" si="3"/>
        <v/>
      </c>
    </row>
    <row r="7" spans="1:7">
      <c r="A7" s="124" t="s">
        <v>180</v>
      </c>
      <c r="B7" s="130">
        <f>B15+B18+B22+B24+B8+B11+B13</f>
        <v>394760</v>
      </c>
      <c r="C7" s="130">
        <f>C15+C18+C22+C24+C8+C11+C13</f>
        <v>335</v>
      </c>
      <c r="D7" s="130">
        <f t="shared" si="0"/>
        <v>395095</v>
      </c>
      <c r="E7" s="130">
        <f t="shared" ref="E7" si="4">E15+E18+E22+E24+E8+E11+E13</f>
        <v>414300</v>
      </c>
      <c r="F7" s="130">
        <f t="shared" si="2"/>
        <v>19205</v>
      </c>
      <c r="G7" s="325">
        <f t="shared" si="3"/>
        <v>4.8608562497627156E-2</v>
      </c>
    </row>
    <row r="8" spans="1:7">
      <c r="A8" s="124" t="s">
        <v>90</v>
      </c>
      <c r="B8" s="130">
        <f>SUM(B9:B10)</f>
        <v>2600</v>
      </c>
      <c r="C8" s="130">
        <f>SUM(C9:C10)</f>
        <v>-1000</v>
      </c>
      <c r="D8" s="130">
        <f t="shared" si="0"/>
        <v>1600</v>
      </c>
      <c r="E8" s="130">
        <f t="shared" ref="E8" si="5">SUM(E9:E10)</f>
        <v>1400</v>
      </c>
      <c r="F8" s="130">
        <f t="shared" si="2"/>
        <v>-200</v>
      </c>
      <c r="G8" s="325">
        <f t="shared" si="3"/>
        <v>-0.125</v>
      </c>
    </row>
    <row r="9" spans="1:7">
      <c r="A9" s="125" t="s">
        <v>181</v>
      </c>
      <c r="B9" s="132">
        <v>400</v>
      </c>
      <c r="C9" s="132"/>
      <c r="D9" s="132">
        <f t="shared" si="0"/>
        <v>400</v>
      </c>
      <c r="E9" s="188">
        <v>400</v>
      </c>
      <c r="F9" s="188">
        <f t="shared" si="2"/>
        <v>0</v>
      </c>
      <c r="G9" s="328">
        <f t="shared" si="3"/>
        <v>0</v>
      </c>
    </row>
    <row r="10" spans="1:7">
      <c r="A10" s="127" t="s">
        <v>182</v>
      </c>
      <c r="B10" s="131">
        <v>2200</v>
      </c>
      <c r="C10" s="132">
        <v>-1000</v>
      </c>
      <c r="D10" s="131">
        <f t="shared" si="0"/>
        <v>1200</v>
      </c>
      <c r="E10" s="188">
        <v>1000</v>
      </c>
      <c r="F10" s="188">
        <f t="shared" si="2"/>
        <v>-200</v>
      </c>
      <c r="G10" s="328">
        <f t="shared" si="3"/>
        <v>-0.16666666666666666</v>
      </c>
    </row>
    <row r="11" spans="1:7">
      <c r="A11" s="124" t="s">
        <v>91</v>
      </c>
      <c r="B11" s="130">
        <f>B12</f>
        <v>27000</v>
      </c>
      <c r="C11" s="130">
        <f>C12</f>
        <v>0</v>
      </c>
      <c r="D11" s="130">
        <f t="shared" si="0"/>
        <v>27000</v>
      </c>
      <c r="E11" s="288">
        <f>E12</f>
        <v>27000</v>
      </c>
      <c r="F11" s="288">
        <f t="shared" si="2"/>
        <v>0</v>
      </c>
      <c r="G11" s="338">
        <f t="shared" si="3"/>
        <v>0</v>
      </c>
    </row>
    <row r="12" spans="1:7">
      <c r="A12" s="125" t="s">
        <v>123</v>
      </c>
      <c r="B12" s="132">
        <v>27000</v>
      </c>
      <c r="C12" s="132"/>
      <c r="D12" s="132">
        <f t="shared" si="0"/>
        <v>27000</v>
      </c>
      <c r="E12" s="188">
        <v>27000</v>
      </c>
      <c r="F12" s="188">
        <f t="shared" si="2"/>
        <v>0</v>
      </c>
      <c r="G12" s="328">
        <f t="shared" si="3"/>
        <v>0</v>
      </c>
    </row>
    <row r="13" spans="1:7">
      <c r="A13" s="124" t="s">
        <v>88</v>
      </c>
      <c r="B13" s="130">
        <f>B14</f>
        <v>30000</v>
      </c>
      <c r="C13" s="130">
        <f>C14</f>
        <v>-13000</v>
      </c>
      <c r="D13" s="130">
        <f t="shared" si="0"/>
        <v>17000</v>
      </c>
      <c r="E13" s="130">
        <f t="shared" ref="E13" si="6">E14</f>
        <v>25000</v>
      </c>
      <c r="F13" s="130">
        <f t="shared" si="2"/>
        <v>8000</v>
      </c>
      <c r="G13" s="325">
        <f t="shared" si="3"/>
        <v>0.47058823529411764</v>
      </c>
    </row>
    <row r="14" spans="1:7">
      <c r="A14" s="125" t="s">
        <v>168</v>
      </c>
      <c r="B14" s="132">
        <v>30000</v>
      </c>
      <c r="C14" s="132">
        <v>-13000</v>
      </c>
      <c r="D14" s="132">
        <f t="shared" si="0"/>
        <v>17000</v>
      </c>
      <c r="E14" s="132">
        <v>25000</v>
      </c>
      <c r="F14" s="132">
        <f t="shared" si="2"/>
        <v>8000</v>
      </c>
      <c r="G14" s="326">
        <f t="shared" si="3"/>
        <v>0.47058823529411764</v>
      </c>
    </row>
    <row r="15" spans="1:7">
      <c r="A15" s="124" t="s">
        <v>94</v>
      </c>
      <c r="B15" s="130">
        <f>B16+B17</f>
        <v>2100</v>
      </c>
      <c r="C15" s="130">
        <f>C16+C17</f>
        <v>-465</v>
      </c>
      <c r="D15" s="130">
        <f t="shared" si="0"/>
        <v>1635</v>
      </c>
      <c r="E15" s="130">
        <f t="shared" ref="E15" si="7">E16+E17</f>
        <v>1300</v>
      </c>
      <c r="F15" s="130">
        <f t="shared" si="2"/>
        <v>-335</v>
      </c>
      <c r="G15" s="325">
        <f t="shared" si="3"/>
        <v>-0.20489296636085627</v>
      </c>
    </row>
    <row r="16" spans="1:7">
      <c r="A16" s="125" t="s">
        <v>124</v>
      </c>
      <c r="B16" s="132">
        <v>1000</v>
      </c>
      <c r="C16" s="132">
        <v>-215</v>
      </c>
      <c r="D16" s="132">
        <f t="shared" si="0"/>
        <v>785</v>
      </c>
      <c r="E16" s="456">
        <v>750</v>
      </c>
      <c r="F16" s="456">
        <f t="shared" si="2"/>
        <v>-35</v>
      </c>
      <c r="G16" s="457">
        <f t="shared" si="3"/>
        <v>-4.4585987261146494E-2</v>
      </c>
    </row>
    <row r="17" spans="1:7">
      <c r="A17" s="125" t="s">
        <v>113</v>
      </c>
      <c r="B17" s="132">
        <v>1100</v>
      </c>
      <c r="C17" s="132">
        <v>-250</v>
      </c>
      <c r="D17" s="132">
        <f t="shared" si="0"/>
        <v>850</v>
      </c>
      <c r="E17" s="188">
        <v>550</v>
      </c>
      <c r="F17" s="188">
        <f t="shared" si="2"/>
        <v>-300</v>
      </c>
      <c r="G17" s="328">
        <f t="shared" si="3"/>
        <v>-0.35294117647058826</v>
      </c>
    </row>
    <row r="18" spans="1:7">
      <c r="A18" s="124" t="s">
        <v>86</v>
      </c>
      <c r="B18" s="130">
        <f>SUM(B19:B21)</f>
        <v>170460</v>
      </c>
      <c r="C18" s="130">
        <f>SUM(C19:C21)</f>
        <v>1500</v>
      </c>
      <c r="D18" s="130">
        <f t="shared" si="0"/>
        <v>171960</v>
      </c>
      <c r="E18" s="130">
        <f t="shared" ref="E18" si="8">SUM(E19:E21)</f>
        <v>175000</v>
      </c>
      <c r="F18" s="130">
        <f t="shared" si="2"/>
        <v>3040</v>
      </c>
      <c r="G18" s="325">
        <f t="shared" si="3"/>
        <v>1.767852989067225E-2</v>
      </c>
    </row>
    <row r="19" spans="1:7">
      <c r="A19" s="125" t="s">
        <v>112</v>
      </c>
      <c r="B19" s="132">
        <v>116220</v>
      </c>
      <c r="C19" s="132">
        <v>1375</v>
      </c>
      <c r="D19" s="132">
        <f t="shared" si="0"/>
        <v>117595</v>
      </c>
      <c r="E19" s="132">
        <v>120000</v>
      </c>
      <c r="F19" s="132">
        <f t="shared" si="2"/>
        <v>2405</v>
      </c>
      <c r="G19" s="326">
        <f t="shared" si="3"/>
        <v>2.0451549810791274E-2</v>
      </c>
    </row>
    <row r="20" spans="1:7">
      <c r="A20" s="125" t="s">
        <v>113</v>
      </c>
      <c r="B20" s="132">
        <v>54240</v>
      </c>
      <c r="C20" s="132"/>
      <c r="D20" s="132">
        <f t="shared" si="0"/>
        <v>54240</v>
      </c>
      <c r="E20" s="132">
        <v>55000</v>
      </c>
      <c r="F20" s="132">
        <f t="shared" si="2"/>
        <v>760</v>
      </c>
      <c r="G20" s="326">
        <f t="shared" si="3"/>
        <v>1.4011799410029498E-2</v>
      </c>
    </row>
    <row r="21" spans="1:7">
      <c r="A21" s="125" t="s">
        <v>170</v>
      </c>
      <c r="B21" s="132"/>
      <c r="C21" s="132">
        <v>125</v>
      </c>
      <c r="D21" s="132">
        <f t="shared" si="0"/>
        <v>125</v>
      </c>
      <c r="E21" s="291">
        <v>0</v>
      </c>
      <c r="F21" s="291">
        <f t="shared" si="2"/>
        <v>-125</v>
      </c>
      <c r="G21" s="339">
        <f t="shared" si="3"/>
        <v>-1</v>
      </c>
    </row>
    <row r="22" spans="1:7">
      <c r="A22" s="124" t="s">
        <v>93</v>
      </c>
      <c r="B22" s="130">
        <f>B23</f>
        <v>44000</v>
      </c>
      <c r="C22" s="130">
        <f>C23</f>
        <v>11300</v>
      </c>
      <c r="D22" s="130">
        <f t="shared" si="0"/>
        <v>55300</v>
      </c>
      <c r="E22" s="130">
        <f t="shared" ref="E22" si="9">E23</f>
        <v>60000</v>
      </c>
      <c r="F22" s="130">
        <f t="shared" si="2"/>
        <v>4700</v>
      </c>
      <c r="G22" s="325">
        <f t="shared" si="3"/>
        <v>8.4990958408679929E-2</v>
      </c>
    </row>
    <row r="23" spans="1:7">
      <c r="A23" s="127" t="s">
        <v>127</v>
      </c>
      <c r="B23" s="131">
        <v>44000</v>
      </c>
      <c r="C23" s="132">
        <v>11300</v>
      </c>
      <c r="D23" s="131">
        <f t="shared" si="0"/>
        <v>55300</v>
      </c>
      <c r="E23" s="289">
        <f>55000+5000</f>
        <v>60000</v>
      </c>
      <c r="F23" s="289">
        <f t="shared" si="2"/>
        <v>4700</v>
      </c>
      <c r="G23" s="340">
        <f t="shared" si="3"/>
        <v>8.4990958408679929E-2</v>
      </c>
    </row>
    <row r="24" spans="1:7">
      <c r="A24" s="124" t="s">
        <v>87</v>
      </c>
      <c r="B24" s="130">
        <f>SUM(B25:B28)</f>
        <v>118600</v>
      </c>
      <c r="C24" s="130">
        <f>SUM(C25:C28)</f>
        <v>2000</v>
      </c>
      <c r="D24" s="130">
        <f t="shared" si="0"/>
        <v>120600</v>
      </c>
      <c r="E24" s="290">
        <f t="shared" ref="E24" si="10">SUM(E25:E28)</f>
        <v>124600</v>
      </c>
      <c r="F24" s="290">
        <f t="shared" si="2"/>
        <v>4000</v>
      </c>
      <c r="G24" s="340">
        <f t="shared" si="3"/>
        <v>3.316749585406302E-2</v>
      </c>
    </row>
    <row r="25" spans="1:7">
      <c r="A25" s="125" t="s">
        <v>126</v>
      </c>
      <c r="B25" s="132">
        <v>28000</v>
      </c>
      <c r="C25" s="132">
        <v>2000</v>
      </c>
      <c r="D25" s="132">
        <f t="shared" si="0"/>
        <v>30000</v>
      </c>
      <c r="E25" s="291">
        <f>28000+1000</f>
        <v>29000</v>
      </c>
      <c r="F25" s="291">
        <f t="shared" si="2"/>
        <v>-1000</v>
      </c>
      <c r="G25" s="339">
        <f t="shared" si="3"/>
        <v>-3.3333333333333333E-2</v>
      </c>
    </row>
    <row r="26" spans="1:7">
      <c r="A26" s="127" t="s">
        <v>122</v>
      </c>
      <c r="B26" s="131">
        <v>35000</v>
      </c>
      <c r="C26" s="132"/>
      <c r="D26" s="131">
        <f t="shared" si="0"/>
        <v>35000</v>
      </c>
      <c r="E26" s="291">
        <f>35000+5000</f>
        <v>40000</v>
      </c>
      <c r="F26" s="291">
        <f t="shared" si="2"/>
        <v>5000</v>
      </c>
      <c r="G26" s="339">
        <f t="shared" si="3"/>
        <v>0.14285714285714285</v>
      </c>
    </row>
    <row r="27" spans="1:7">
      <c r="A27" s="125" t="s">
        <v>183</v>
      </c>
      <c r="B27" s="132">
        <v>52000</v>
      </c>
      <c r="C27" s="132"/>
      <c r="D27" s="132">
        <f t="shared" si="0"/>
        <v>52000</v>
      </c>
      <c r="E27" s="291">
        <v>52000</v>
      </c>
      <c r="F27" s="291">
        <f t="shared" si="2"/>
        <v>0</v>
      </c>
      <c r="G27" s="339">
        <f t="shared" si="3"/>
        <v>0</v>
      </c>
    </row>
    <row r="28" spans="1:7">
      <c r="A28" s="127" t="s">
        <v>129</v>
      </c>
      <c r="B28" s="131">
        <v>3600</v>
      </c>
      <c r="C28" s="132"/>
      <c r="D28" s="131">
        <f t="shared" si="0"/>
        <v>3600</v>
      </c>
      <c r="E28" s="291">
        <v>3600</v>
      </c>
      <c r="F28" s="291">
        <f t="shared" si="2"/>
        <v>0</v>
      </c>
      <c r="G28" s="339">
        <f t="shared" si="3"/>
        <v>0</v>
      </c>
    </row>
    <row r="29" spans="1:7">
      <c r="A29" s="127"/>
      <c r="B29" s="131"/>
      <c r="C29" s="132"/>
      <c r="D29" s="131">
        <f t="shared" si="0"/>
        <v>0</v>
      </c>
      <c r="E29" s="51"/>
      <c r="F29" s="51">
        <f t="shared" si="2"/>
        <v>0</v>
      </c>
      <c r="G29" s="322" t="str">
        <f t="shared" si="3"/>
        <v/>
      </c>
    </row>
    <row r="30" spans="1:7">
      <c r="A30" s="226" t="s">
        <v>184</v>
      </c>
      <c r="B30" s="130">
        <f>B31+B37</f>
        <v>82800</v>
      </c>
      <c r="C30" s="130">
        <f>C31+C37</f>
        <v>12410</v>
      </c>
      <c r="D30" s="130">
        <f t="shared" si="0"/>
        <v>95210</v>
      </c>
      <c r="E30" s="130">
        <f>E31+E37</f>
        <v>88510</v>
      </c>
      <c r="F30" s="130">
        <f t="shared" si="2"/>
        <v>-6700</v>
      </c>
      <c r="G30" s="325">
        <f t="shared" si="3"/>
        <v>-7.0370759374015338E-2</v>
      </c>
    </row>
    <row r="31" spans="1:7">
      <c r="A31" s="124" t="s">
        <v>90</v>
      </c>
      <c r="B31" s="130">
        <f t="shared" ref="B31" si="11">SUM(B32:B35)</f>
        <v>71200</v>
      </c>
      <c r="C31" s="130">
        <f>SUM(C32:C35)</f>
        <v>12200</v>
      </c>
      <c r="D31" s="130">
        <f t="shared" si="0"/>
        <v>83400</v>
      </c>
      <c r="E31" s="130">
        <f t="shared" ref="E31" si="12">SUM(E32:E35)</f>
        <v>76700</v>
      </c>
      <c r="F31" s="130">
        <f t="shared" si="2"/>
        <v>-6700</v>
      </c>
      <c r="G31" s="325">
        <f t="shared" si="3"/>
        <v>-8.0335731414868106E-2</v>
      </c>
    </row>
    <row r="32" spans="1:7">
      <c r="A32" s="127" t="s">
        <v>120</v>
      </c>
      <c r="B32" s="131">
        <v>19000</v>
      </c>
      <c r="C32" s="403">
        <v>3000</v>
      </c>
      <c r="D32" s="131">
        <f t="shared" si="0"/>
        <v>22000</v>
      </c>
      <c r="E32" s="188">
        <v>21500</v>
      </c>
      <c r="F32" s="188">
        <f t="shared" si="2"/>
        <v>-500</v>
      </c>
      <c r="G32" s="328">
        <f t="shared" si="3"/>
        <v>-2.2727272727272728E-2</v>
      </c>
    </row>
    <row r="33" spans="1:7">
      <c r="A33" s="127" t="s">
        <v>117</v>
      </c>
      <c r="B33" s="131">
        <v>16000</v>
      </c>
      <c r="C33" s="403">
        <v>4000</v>
      </c>
      <c r="D33" s="131">
        <f t="shared" si="0"/>
        <v>20000</v>
      </c>
      <c r="E33" s="188">
        <v>18000</v>
      </c>
      <c r="F33" s="188">
        <f t="shared" si="2"/>
        <v>-2000</v>
      </c>
      <c r="G33" s="328">
        <f t="shared" si="3"/>
        <v>-0.1</v>
      </c>
    </row>
    <row r="34" spans="1:7" ht="25.5">
      <c r="A34" s="127" t="s">
        <v>121</v>
      </c>
      <c r="B34" s="131">
        <v>34200</v>
      </c>
      <c r="C34" s="403">
        <v>4100</v>
      </c>
      <c r="D34" s="131">
        <f t="shared" si="0"/>
        <v>38300</v>
      </c>
      <c r="E34" s="188">
        <v>35000</v>
      </c>
      <c r="F34" s="188">
        <f t="shared" si="2"/>
        <v>-3300</v>
      </c>
      <c r="G34" s="328">
        <f t="shared" si="3"/>
        <v>-8.6161879895561358E-2</v>
      </c>
    </row>
    <row r="35" spans="1:7" ht="25.5">
      <c r="A35" s="127" t="s">
        <v>116</v>
      </c>
      <c r="B35" s="131">
        <v>2000</v>
      </c>
      <c r="C35" s="403">
        <v>1100</v>
      </c>
      <c r="D35" s="131">
        <f t="shared" si="0"/>
        <v>3100</v>
      </c>
      <c r="E35" s="188">
        <v>2200</v>
      </c>
      <c r="F35" s="188">
        <f t="shared" ref="F35:F64" si="13">E35-D35</f>
        <v>-900</v>
      </c>
      <c r="G35" s="328">
        <f t="shared" ref="G35:G64" si="14">IF(D35=0,"",F35/D35)</f>
        <v>-0.29032258064516131</v>
      </c>
    </row>
    <row r="36" spans="1:7">
      <c r="A36" s="127" t="s">
        <v>387</v>
      </c>
      <c r="B36" s="131"/>
      <c r="C36" s="403"/>
      <c r="D36" s="131">
        <f t="shared" si="0"/>
        <v>0</v>
      </c>
      <c r="E36" s="188"/>
      <c r="F36" s="188">
        <f t="shared" si="13"/>
        <v>0</v>
      </c>
      <c r="G36" s="328" t="str">
        <f t="shared" si="14"/>
        <v/>
      </c>
    </row>
    <row r="37" spans="1:7">
      <c r="A37" s="124" t="s">
        <v>86</v>
      </c>
      <c r="B37" s="130">
        <f t="shared" ref="B37" si="15">SUM(B38:B39)</f>
        <v>11600</v>
      </c>
      <c r="C37" s="130">
        <f>SUM(C38:C39)</f>
        <v>210</v>
      </c>
      <c r="D37" s="130">
        <f t="shared" si="0"/>
        <v>11810</v>
      </c>
      <c r="E37" s="130">
        <f t="shared" ref="E37" si="16">SUM(E38:E39)</f>
        <v>11810</v>
      </c>
      <c r="F37" s="130">
        <f t="shared" si="13"/>
        <v>0</v>
      </c>
      <c r="G37" s="325">
        <f t="shared" si="14"/>
        <v>0</v>
      </c>
    </row>
    <row r="38" spans="1:7">
      <c r="A38" s="125" t="s">
        <v>112</v>
      </c>
      <c r="B38" s="132">
        <v>6400</v>
      </c>
      <c r="C38" s="132">
        <v>210</v>
      </c>
      <c r="D38" s="132">
        <f t="shared" si="0"/>
        <v>6610</v>
      </c>
      <c r="E38" s="132">
        <v>6610</v>
      </c>
      <c r="F38" s="132">
        <f t="shared" si="13"/>
        <v>0</v>
      </c>
      <c r="G38" s="326">
        <f t="shared" si="14"/>
        <v>0</v>
      </c>
    </row>
    <row r="39" spans="1:7">
      <c r="A39" s="125" t="s">
        <v>113</v>
      </c>
      <c r="B39" s="132">
        <v>5200</v>
      </c>
      <c r="C39" s="132"/>
      <c r="D39" s="132">
        <f t="shared" si="0"/>
        <v>5200</v>
      </c>
      <c r="E39" s="188">
        <v>5200</v>
      </c>
      <c r="F39" s="188">
        <f t="shared" si="13"/>
        <v>0</v>
      </c>
      <c r="G39" s="328">
        <f t="shared" si="14"/>
        <v>0</v>
      </c>
    </row>
    <row r="40" spans="1:7">
      <c r="A40" s="124"/>
      <c r="B40" s="130"/>
      <c r="C40" s="130"/>
      <c r="D40" s="130">
        <f t="shared" si="0"/>
        <v>0</v>
      </c>
      <c r="E40" s="130"/>
      <c r="F40" s="130">
        <f t="shared" si="13"/>
        <v>0</v>
      </c>
      <c r="G40" s="325" t="str">
        <f t="shared" si="14"/>
        <v/>
      </c>
    </row>
    <row r="41" spans="1:7">
      <c r="A41" s="124" t="s">
        <v>185</v>
      </c>
      <c r="B41" s="130">
        <f>B42+B46</f>
        <v>24740</v>
      </c>
      <c r="C41" s="130">
        <f>C42+C46</f>
        <v>7450</v>
      </c>
      <c r="D41" s="130">
        <f t="shared" si="0"/>
        <v>32190</v>
      </c>
      <c r="E41" s="292">
        <f t="shared" ref="E41" si="17">E42+E46</f>
        <v>26600</v>
      </c>
      <c r="F41" s="292">
        <f t="shared" si="13"/>
        <v>-5590</v>
      </c>
      <c r="G41" s="341">
        <f t="shared" si="14"/>
        <v>-0.17365641503572538</v>
      </c>
    </row>
    <row r="42" spans="1:7">
      <c r="A42" s="124" t="s">
        <v>96</v>
      </c>
      <c r="B42" s="130">
        <f>SUM(B43:B45)</f>
        <v>12800</v>
      </c>
      <c r="C42" s="130">
        <f>SUM(C43:C45)</f>
        <v>4500</v>
      </c>
      <c r="D42" s="130">
        <f t="shared" si="0"/>
        <v>17300</v>
      </c>
      <c r="E42" s="292">
        <f t="shared" ref="E42" si="18">SUM(E43:E45)</f>
        <v>15300</v>
      </c>
      <c r="F42" s="292">
        <f t="shared" si="13"/>
        <v>-2000</v>
      </c>
      <c r="G42" s="341">
        <f t="shared" si="14"/>
        <v>-0.11560693641618497</v>
      </c>
    </row>
    <row r="43" spans="1:7">
      <c r="A43" s="127" t="s">
        <v>115</v>
      </c>
      <c r="B43" s="131">
        <v>5500</v>
      </c>
      <c r="C43" s="132">
        <v>1500</v>
      </c>
      <c r="D43" s="131">
        <f t="shared" si="0"/>
        <v>7000</v>
      </c>
      <c r="E43" s="293">
        <v>6000</v>
      </c>
      <c r="F43" s="293">
        <f t="shared" si="13"/>
        <v>-1000</v>
      </c>
      <c r="G43" s="342">
        <f t="shared" si="14"/>
        <v>-0.14285714285714285</v>
      </c>
    </row>
    <row r="44" spans="1:7">
      <c r="A44" s="127" t="s">
        <v>114</v>
      </c>
      <c r="B44" s="131">
        <v>6800</v>
      </c>
      <c r="C44" s="132"/>
      <c r="D44" s="131">
        <f t="shared" si="0"/>
        <v>6800</v>
      </c>
      <c r="E44" s="293">
        <v>6800</v>
      </c>
      <c r="F44" s="293">
        <f t="shared" si="13"/>
        <v>0</v>
      </c>
      <c r="G44" s="342">
        <f t="shared" si="14"/>
        <v>0</v>
      </c>
    </row>
    <row r="45" spans="1:7">
      <c r="A45" s="125" t="s">
        <v>169</v>
      </c>
      <c r="B45" s="132">
        <v>500</v>
      </c>
      <c r="C45" s="132">
        <v>3000</v>
      </c>
      <c r="D45" s="132">
        <f t="shared" si="0"/>
        <v>3500</v>
      </c>
      <c r="E45" s="294">
        <v>2500</v>
      </c>
      <c r="F45" s="294">
        <f t="shared" si="13"/>
        <v>-1000</v>
      </c>
      <c r="G45" s="343">
        <f t="shared" si="14"/>
        <v>-0.2857142857142857</v>
      </c>
    </row>
    <row r="46" spans="1:7">
      <c r="A46" s="124" t="s">
        <v>91</v>
      </c>
      <c r="B46" s="130">
        <f>SUM(B47:B51)</f>
        <v>11940</v>
      </c>
      <c r="C46" s="130">
        <f>SUM(C47:C51)</f>
        <v>2950</v>
      </c>
      <c r="D46" s="130">
        <f t="shared" si="0"/>
        <v>14890</v>
      </c>
      <c r="E46" s="292">
        <f t="shared" ref="E46" si="19">SUM(E47:E51)</f>
        <v>11300</v>
      </c>
      <c r="F46" s="292">
        <f t="shared" si="13"/>
        <v>-3590</v>
      </c>
      <c r="G46" s="341">
        <f t="shared" si="14"/>
        <v>-0.24110141034251176</v>
      </c>
    </row>
    <row r="47" spans="1:7">
      <c r="A47" s="127" t="s">
        <v>115</v>
      </c>
      <c r="B47" s="131">
        <f>300+3240</f>
        <v>3540</v>
      </c>
      <c r="C47" s="132"/>
      <c r="D47" s="131">
        <f t="shared" si="0"/>
        <v>3540</v>
      </c>
      <c r="E47" s="293">
        <v>2300</v>
      </c>
      <c r="F47" s="293">
        <f t="shared" si="13"/>
        <v>-1240</v>
      </c>
      <c r="G47" s="342">
        <f t="shared" si="14"/>
        <v>-0.35028248587570621</v>
      </c>
    </row>
    <row r="48" spans="1:7">
      <c r="A48" s="127" t="s">
        <v>388</v>
      </c>
      <c r="B48" s="131"/>
      <c r="C48" s="132"/>
      <c r="D48" s="131">
        <f t="shared" si="0"/>
        <v>0</v>
      </c>
      <c r="E48" s="293"/>
      <c r="F48" s="293">
        <f t="shared" si="13"/>
        <v>0</v>
      </c>
      <c r="G48" s="342" t="str">
        <f t="shared" si="14"/>
        <v/>
      </c>
    </row>
    <row r="49" spans="1:7" ht="25.5">
      <c r="A49" s="127" t="s">
        <v>171</v>
      </c>
      <c r="B49" s="131">
        <v>4600</v>
      </c>
      <c r="C49" s="132">
        <v>2800</v>
      </c>
      <c r="D49" s="131">
        <f t="shared" si="0"/>
        <v>7400</v>
      </c>
      <c r="E49" s="293">
        <v>5000</v>
      </c>
      <c r="F49" s="293">
        <f t="shared" si="13"/>
        <v>-2400</v>
      </c>
      <c r="G49" s="342">
        <f t="shared" si="14"/>
        <v>-0.32432432432432434</v>
      </c>
    </row>
    <row r="50" spans="1:7" ht="25.5">
      <c r="A50" s="127" t="s">
        <v>118</v>
      </c>
      <c r="B50" s="131">
        <v>200</v>
      </c>
      <c r="C50" s="132">
        <v>-150</v>
      </c>
      <c r="D50" s="131">
        <f t="shared" si="0"/>
        <v>50</v>
      </c>
      <c r="E50" s="293">
        <v>0</v>
      </c>
      <c r="F50" s="293">
        <f t="shared" si="13"/>
        <v>-50</v>
      </c>
      <c r="G50" s="342">
        <f t="shared" si="14"/>
        <v>-1</v>
      </c>
    </row>
    <row r="51" spans="1:7">
      <c r="A51" s="127" t="s">
        <v>119</v>
      </c>
      <c r="B51" s="131">
        <v>3600</v>
      </c>
      <c r="C51" s="132">
        <v>300</v>
      </c>
      <c r="D51" s="131">
        <f t="shared" si="0"/>
        <v>3900</v>
      </c>
      <c r="E51" s="293">
        <v>4000</v>
      </c>
      <c r="F51" s="293">
        <f t="shared" si="13"/>
        <v>100</v>
      </c>
      <c r="G51" s="342">
        <f t="shared" si="14"/>
        <v>2.564102564102564E-2</v>
      </c>
    </row>
    <row r="52" spans="1:7">
      <c r="A52" s="124"/>
      <c r="B52" s="130"/>
      <c r="C52" s="130"/>
      <c r="D52" s="130">
        <f t="shared" si="0"/>
        <v>0</v>
      </c>
      <c r="E52" s="130"/>
      <c r="F52" s="130">
        <f t="shared" si="13"/>
        <v>0</v>
      </c>
      <c r="G52" s="325" t="str">
        <f t="shared" si="14"/>
        <v/>
      </c>
    </row>
    <row r="53" spans="1:7">
      <c r="A53" s="124" t="s">
        <v>186</v>
      </c>
      <c r="B53" s="130">
        <f t="shared" ref="B53" si="20">B54+B58+B61</f>
        <v>196380</v>
      </c>
      <c r="C53" s="130">
        <f>C54+C58+C61</f>
        <v>5840</v>
      </c>
      <c r="D53" s="130">
        <f t="shared" si="0"/>
        <v>202220</v>
      </c>
      <c r="E53" s="130">
        <f t="shared" ref="E53" si="21">E54+E58+E61</f>
        <v>215070</v>
      </c>
      <c r="F53" s="130">
        <f t="shared" si="13"/>
        <v>12850</v>
      </c>
      <c r="G53" s="325">
        <f t="shared" si="14"/>
        <v>6.3544654336860851E-2</v>
      </c>
    </row>
    <row r="54" spans="1:7">
      <c r="A54" s="124" t="s">
        <v>96</v>
      </c>
      <c r="B54" s="130">
        <f t="shared" ref="B54" si="22">SUM(B55:B57)</f>
        <v>151200</v>
      </c>
      <c r="C54" s="130">
        <v>1200</v>
      </c>
      <c r="D54" s="130">
        <f t="shared" si="0"/>
        <v>152400</v>
      </c>
      <c r="E54" s="130">
        <f t="shared" ref="E54" si="23">SUM(E55:E57)</f>
        <v>166500</v>
      </c>
      <c r="F54" s="130">
        <f t="shared" si="13"/>
        <v>14100</v>
      </c>
      <c r="G54" s="325">
        <f t="shared" si="14"/>
        <v>9.2519685039370081E-2</v>
      </c>
    </row>
    <row r="55" spans="1:7">
      <c r="A55" s="125" t="s">
        <v>128</v>
      </c>
      <c r="B55" s="131">
        <v>2200</v>
      </c>
      <c r="C55" s="132">
        <v>700</v>
      </c>
      <c r="D55" s="131">
        <f t="shared" si="0"/>
        <v>2900</v>
      </c>
      <c r="E55" s="131">
        <v>2500</v>
      </c>
      <c r="F55" s="131">
        <f t="shared" si="13"/>
        <v>-400</v>
      </c>
      <c r="G55" s="337">
        <f t="shared" si="14"/>
        <v>-0.13793103448275862</v>
      </c>
    </row>
    <row r="56" spans="1:7">
      <c r="A56" s="127" t="s">
        <v>125</v>
      </c>
      <c r="B56" s="131">
        <v>145000</v>
      </c>
      <c r="C56" s="132"/>
      <c r="D56" s="131">
        <f t="shared" si="0"/>
        <v>145000</v>
      </c>
      <c r="E56" s="131">
        <f>146000+14000</f>
        <v>160000</v>
      </c>
      <c r="F56" s="131">
        <f t="shared" si="13"/>
        <v>15000</v>
      </c>
      <c r="G56" s="337">
        <f t="shared" si="14"/>
        <v>0.10344827586206896</v>
      </c>
    </row>
    <row r="57" spans="1:7">
      <c r="A57" s="127" t="s">
        <v>167</v>
      </c>
      <c r="B57" s="131">
        <v>4000</v>
      </c>
      <c r="C57" s="132">
        <v>500</v>
      </c>
      <c r="D57" s="131">
        <f t="shared" si="0"/>
        <v>4500</v>
      </c>
      <c r="E57" s="131">
        <v>4000</v>
      </c>
      <c r="F57" s="131">
        <f t="shared" si="13"/>
        <v>-500</v>
      </c>
      <c r="G57" s="337">
        <f t="shared" si="14"/>
        <v>-0.1111111111111111</v>
      </c>
    </row>
    <row r="58" spans="1:7">
      <c r="A58" s="124" t="s">
        <v>94</v>
      </c>
      <c r="B58" s="130">
        <f t="shared" ref="B58" si="24">SUM(B59:B60)</f>
        <v>36200</v>
      </c>
      <c r="C58" s="130">
        <f>SUM(C59:C60)</f>
        <v>4900</v>
      </c>
      <c r="D58" s="130">
        <f t="shared" si="0"/>
        <v>41100</v>
      </c>
      <c r="E58" s="130">
        <f t="shared" ref="E58" si="25">SUM(E59:E60)</f>
        <v>40000</v>
      </c>
      <c r="F58" s="130">
        <f t="shared" si="13"/>
        <v>-1100</v>
      </c>
      <c r="G58" s="325">
        <f t="shared" si="14"/>
        <v>-2.6763990267639901E-2</v>
      </c>
    </row>
    <row r="59" spans="1:7">
      <c r="A59" s="127" t="s">
        <v>124</v>
      </c>
      <c r="B59" s="131">
        <v>9700</v>
      </c>
      <c r="C59" s="132">
        <v>1900</v>
      </c>
      <c r="D59" s="131">
        <f t="shared" si="0"/>
        <v>11600</v>
      </c>
      <c r="E59" s="131">
        <v>11000</v>
      </c>
      <c r="F59" s="131">
        <f t="shared" si="13"/>
        <v>-600</v>
      </c>
      <c r="G59" s="337">
        <f t="shared" si="14"/>
        <v>-5.1724137931034482E-2</v>
      </c>
    </row>
    <row r="60" spans="1:7">
      <c r="A60" s="125" t="s">
        <v>113</v>
      </c>
      <c r="B60" s="132">
        <v>26500</v>
      </c>
      <c r="C60" s="132">
        <v>3000</v>
      </c>
      <c r="D60" s="132">
        <f t="shared" si="0"/>
        <v>29500</v>
      </c>
      <c r="E60" s="132">
        <v>29000</v>
      </c>
      <c r="F60" s="132">
        <f t="shared" si="13"/>
        <v>-500</v>
      </c>
      <c r="G60" s="326">
        <f t="shared" si="14"/>
        <v>-1.6949152542372881E-2</v>
      </c>
    </row>
    <row r="61" spans="1:7">
      <c r="A61" s="124" t="s">
        <v>86</v>
      </c>
      <c r="B61" s="130">
        <f t="shared" ref="B61" si="26">SUM(B62:B63)</f>
        <v>8980</v>
      </c>
      <c r="C61" s="130">
        <f>SUM(C62:C63)</f>
        <v>-260</v>
      </c>
      <c r="D61" s="130">
        <f t="shared" si="0"/>
        <v>8720</v>
      </c>
      <c r="E61" s="130">
        <f t="shared" ref="E61" si="27">SUM(E62:E63)</f>
        <v>8570</v>
      </c>
      <c r="F61" s="130">
        <f t="shared" si="13"/>
        <v>-150</v>
      </c>
      <c r="G61" s="325">
        <f t="shared" si="14"/>
        <v>-1.7201834862385322E-2</v>
      </c>
    </row>
    <row r="62" spans="1:7">
      <c r="A62" s="125" t="s">
        <v>112</v>
      </c>
      <c r="B62" s="132">
        <v>1080</v>
      </c>
      <c r="C62" s="132">
        <v>-260</v>
      </c>
      <c r="D62" s="132">
        <f t="shared" ref="D62:D64" si="28">B62+C62</f>
        <v>820</v>
      </c>
      <c r="E62" s="132">
        <v>670</v>
      </c>
      <c r="F62" s="132">
        <f t="shared" si="13"/>
        <v>-150</v>
      </c>
      <c r="G62" s="326">
        <f t="shared" si="14"/>
        <v>-0.18292682926829268</v>
      </c>
    </row>
    <row r="63" spans="1:7">
      <c r="A63" s="125" t="s">
        <v>113</v>
      </c>
      <c r="B63" s="132">
        <v>7900</v>
      </c>
      <c r="C63" s="132"/>
      <c r="D63" s="132">
        <f t="shared" si="28"/>
        <v>7900</v>
      </c>
      <c r="E63" s="132">
        <v>7900</v>
      </c>
      <c r="F63" s="132">
        <f t="shared" si="13"/>
        <v>0</v>
      </c>
      <c r="G63" s="326">
        <f t="shared" si="14"/>
        <v>0</v>
      </c>
    </row>
    <row r="64" spans="1:7">
      <c r="A64" s="127"/>
      <c r="B64" s="131"/>
      <c r="C64" s="132"/>
      <c r="D64" s="131">
        <f t="shared" si="28"/>
        <v>0</v>
      </c>
      <c r="E64" s="101"/>
      <c r="F64" s="101">
        <f t="shared" si="13"/>
        <v>0</v>
      </c>
      <c r="G64" s="334" t="str">
        <f t="shared" si="14"/>
        <v/>
      </c>
    </row>
    <row r="65" spans="1:7">
      <c r="A65" s="125"/>
      <c r="B65" s="132"/>
      <c r="C65" s="132"/>
      <c r="D65" s="132">
        <f t="shared" ref="D65" si="29">B65+C65</f>
        <v>0</v>
      </c>
      <c r="E65" s="101"/>
      <c r="F65" s="101">
        <f t="shared" ref="F65" si="30">E65-D65</f>
        <v>0</v>
      </c>
      <c r="G65" s="334" t="str">
        <f t="shared" ref="G65" si="31">IF(D65=0,"",F65/D65)</f>
        <v/>
      </c>
    </row>
    <row r="66" spans="1:7" hidden="1">
      <c r="A66" s="158"/>
      <c r="B66" s="82"/>
      <c r="C66" s="82"/>
      <c r="D66" s="82"/>
    </row>
    <row r="67" spans="1:7">
      <c r="A67" s="161"/>
      <c r="B67" s="82"/>
      <c r="C67" s="82"/>
      <c r="D67" s="82"/>
    </row>
    <row r="68" spans="1:7">
      <c r="A68" s="158"/>
      <c r="B68" s="82"/>
      <c r="C68" s="82"/>
      <c r="D68" s="82"/>
    </row>
    <row r="69" spans="1:7">
      <c r="A69" s="158"/>
      <c r="B69" s="82"/>
      <c r="C69" s="82"/>
      <c r="D69" s="82"/>
    </row>
    <row r="70" spans="1:7">
      <c r="A70" s="162"/>
      <c r="B70" s="82"/>
      <c r="C70" s="82"/>
      <c r="D70" s="82"/>
    </row>
    <row r="71" spans="1:7">
      <c r="A71" s="162"/>
      <c r="B71" s="82"/>
      <c r="C71" s="82"/>
      <c r="D71" s="82"/>
    </row>
    <row r="72" spans="1:7">
      <c r="A72" s="163"/>
      <c r="B72" s="82"/>
      <c r="C72" s="82"/>
      <c r="D72" s="82"/>
    </row>
    <row r="73" spans="1:7">
      <c r="A73" s="148"/>
      <c r="B73" s="82"/>
      <c r="C73" s="82"/>
      <c r="D73" s="82"/>
    </row>
    <row r="74" spans="1:7">
      <c r="A74" s="158"/>
      <c r="B74" s="82"/>
      <c r="C74" s="82"/>
      <c r="D74" s="82"/>
    </row>
    <row r="75" spans="1:7">
      <c r="A75" s="158"/>
      <c r="B75" s="82"/>
      <c r="C75" s="82"/>
      <c r="D75" s="82"/>
    </row>
    <row r="76" spans="1:7">
      <c r="A76" s="158"/>
      <c r="B76" s="82"/>
      <c r="C76" s="82"/>
      <c r="D76" s="82"/>
    </row>
    <row r="77" spans="1:7">
      <c r="A77" s="158"/>
      <c r="B77" s="82"/>
      <c r="C77" s="82"/>
      <c r="D77" s="82"/>
    </row>
    <row r="78" spans="1:7">
      <c r="A78" s="158"/>
      <c r="B78" s="82"/>
      <c r="C78" s="82"/>
      <c r="D78" s="82"/>
    </row>
    <row r="79" spans="1:7">
      <c r="A79" s="158"/>
      <c r="B79" s="82"/>
      <c r="C79" s="82"/>
      <c r="D79" s="82"/>
    </row>
    <row r="80" spans="1:7">
      <c r="A80" s="158"/>
      <c r="B80" s="82"/>
      <c r="C80" s="82"/>
      <c r="D80" s="82"/>
    </row>
    <row r="81" spans="1:4">
      <c r="A81" s="158"/>
      <c r="B81" s="82"/>
      <c r="C81" s="82"/>
      <c r="D81" s="82"/>
    </row>
    <row r="82" spans="1:4">
      <c r="A82" s="158"/>
      <c r="B82" s="82"/>
      <c r="C82" s="82"/>
      <c r="D82" s="82"/>
    </row>
    <row r="83" spans="1:4">
      <c r="A83" s="134"/>
      <c r="B83" s="82"/>
      <c r="C83" s="82"/>
      <c r="D83" s="82"/>
    </row>
    <row r="84" spans="1:4">
      <c r="A84" s="120"/>
      <c r="B84" s="82"/>
      <c r="C84" s="82"/>
      <c r="D84" s="82"/>
    </row>
    <row r="85" spans="1:4">
      <c r="A85" s="122"/>
      <c r="B85" s="82"/>
      <c r="C85" s="82"/>
      <c r="D85" s="82"/>
    </row>
    <row r="86" spans="1:4" ht="15.75">
      <c r="A86" s="172"/>
      <c r="B86" s="82"/>
      <c r="C86" s="82"/>
      <c r="D86" s="82"/>
    </row>
    <row r="87" spans="1:4">
      <c r="A87" s="173"/>
      <c r="B87" s="82"/>
      <c r="C87" s="82"/>
      <c r="D87" s="82"/>
    </row>
    <row r="88" spans="1:4">
      <c r="A88" s="173"/>
      <c r="B88" s="82"/>
      <c r="C88" s="82"/>
      <c r="D88" s="82"/>
    </row>
    <row r="89" spans="1:4">
      <c r="A89" s="174"/>
      <c r="B89" s="82"/>
      <c r="C89" s="82"/>
      <c r="D89" s="82"/>
    </row>
    <row r="90" spans="1:4">
      <c r="A90" s="175"/>
      <c r="B90" s="82"/>
      <c r="C90" s="82"/>
      <c r="D90" s="82"/>
    </row>
    <row r="91" spans="1:4">
      <c r="A91" s="176"/>
      <c r="B91" s="82"/>
      <c r="C91" s="82"/>
      <c r="D91" s="82"/>
    </row>
    <row r="92" spans="1:4">
      <c r="A92" s="177"/>
      <c r="B92" s="82"/>
      <c r="C92" s="82"/>
      <c r="D92" s="82"/>
    </row>
    <row r="93" spans="1:4">
      <c r="A93" s="178"/>
      <c r="B93" s="82"/>
      <c r="C93" s="82"/>
      <c r="D93" s="82"/>
    </row>
    <row r="94" spans="1:4" ht="15">
      <c r="A94" s="179"/>
      <c r="B94" s="82"/>
      <c r="C94" s="82"/>
      <c r="D94" s="82"/>
    </row>
    <row r="95" spans="1:4">
      <c r="A95" s="180"/>
      <c r="B95" s="82"/>
      <c r="C95" s="82"/>
      <c r="D95" s="82"/>
    </row>
    <row r="96" spans="1:4">
      <c r="A96" s="181"/>
      <c r="B96" s="82"/>
      <c r="C96" s="82"/>
      <c r="D96" s="82"/>
    </row>
    <row r="97" spans="1:4">
      <c r="A97" s="151"/>
      <c r="B97" s="82"/>
      <c r="C97" s="82"/>
      <c r="D97" s="82"/>
    </row>
    <row r="98" spans="1:4">
      <c r="A98" s="182"/>
      <c r="B98" s="82"/>
      <c r="C98" s="82"/>
      <c r="D98" s="82"/>
    </row>
    <row r="99" spans="1:4">
      <c r="A99" s="154"/>
      <c r="B99" s="82"/>
      <c r="C99" s="82"/>
      <c r="D99" s="82"/>
    </row>
    <row r="100" spans="1:4">
      <c r="A100" s="183"/>
      <c r="B100" s="82"/>
      <c r="C100" s="82"/>
      <c r="D100" s="82"/>
    </row>
    <row r="101" spans="1:4">
      <c r="A101" s="183"/>
      <c r="B101" s="82"/>
      <c r="C101" s="82"/>
      <c r="D101" s="82"/>
    </row>
    <row r="102" spans="1:4" ht="15">
      <c r="A102" s="146"/>
      <c r="B102" s="82"/>
      <c r="C102" s="82"/>
      <c r="D102" s="82"/>
    </row>
    <row r="103" spans="1:4">
      <c r="A103" s="140"/>
      <c r="B103" s="82"/>
      <c r="C103" s="82"/>
      <c r="D103" s="82"/>
    </row>
    <row r="104" spans="1:4">
      <c r="A104" s="181"/>
      <c r="B104" s="82"/>
      <c r="C104" s="82"/>
      <c r="D104" s="82"/>
    </row>
    <row r="105" spans="1:4">
      <c r="A105" s="151"/>
      <c r="B105" s="82"/>
      <c r="C105" s="82"/>
      <c r="D105" s="82"/>
    </row>
    <row r="106" spans="1:4">
      <c r="A106" s="184"/>
      <c r="B106" s="82"/>
      <c r="C106" s="82"/>
      <c r="D106" s="82"/>
    </row>
    <row r="107" spans="1:4">
      <c r="A107" s="154"/>
      <c r="B107" s="82"/>
      <c r="C107" s="82"/>
      <c r="D107" s="82"/>
    </row>
    <row r="108" spans="1:4">
      <c r="A108" s="183"/>
      <c r="B108" s="82"/>
      <c r="C108" s="82"/>
      <c r="D108" s="82"/>
    </row>
    <row r="109" spans="1:4">
      <c r="A109" s="183"/>
      <c r="B109" s="82"/>
      <c r="C109" s="82"/>
      <c r="D109" s="82"/>
    </row>
    <row r="110" spans="1:4">
      <c r="A110" s="185"/>
      <c r="B110" s="82"/>
      <c r="C110" s="82"/>
      <c r="D110" s="82"/>
    </row>
    <row r="111" spans="1:4">
      <c r="A111" s="173"/>
      <c r="B111" s="82"/>
      <c r="C111" s="82"/>
      <c r="D111" s="82"/>
    </row>
    <row r="112" spans="1:4">
      <c r="A112" s="173"/>
      <c r="B112" s="82"/>
      <c r="C112" s="82"/>
      <c r="D112" s="82"/>
    </row>
    <row r="113" spans="1:4">
      <c r="A113" s="169"/>
      <c r="B113" s="82"/>
      <c r="C113" s="82"/>
      <c r="D113" s="82"/>
    </row>
    <row r="114" spans="1:4">
      <c r="A114" s="171"/>
      <c r="B114" s="82"/>
      <c r="C114" s="82"/>
      <c r="D114" s="82"/>
    </row>
    <row r="115" spans="1:4">
      <c r="A115" s="171"/>
      <c r="B115" s="82"/>
      <c r="C115" s="82"/>
      <c r="D115" s="82"/>
    </row>
    <row r="116" spans="1:4">
      <c r="A116" s="169"/>
      <c r="B116" s="82"/>
      <c r="C116" s="82"/>
      <c r="D116" s="82"/>
    </row>
    <row r="117" spans="1:4">
      <c r="A117" s="173"/>
      <c r="B117" s="82"/>
      <c r="C117" s="82"/>
      <c r="D117" s="82"/>
    </row>
    <row r="118" spans="1:4">
      <c r="A118" s="162"/>
      <c r="B118" s="82"/>
      <c r="C118" s="82"/>
      <c r="D118" s="82"/>
    </row>
    <row r="119" spans="1:4">
      <c r="A119" s="159"/>
      <c r="B119" s="82"/>
      <c r="C119" s="82"/>
      <c r="D119" s="82"/>
    </row>
    <row r="120" spans="1:4">
      <c r="A120" s="160"/>
      <c r="B120" s="82"/>
      <c r="C120" s="82"/>
      <c r="D120" s="82"/>
    </row>
    <row r="121" spans="1:4">
      <c r="A121" s="160"/>
      <c r="B121" s="82"/>
      <c r="C121" s="82"/>
      <c r="D121" s="82"/>
    </row>
    <row r="122" spans="1:4">
      <c r="A122" s="160"/>
      <c r="B122" s="82"/>
      <c r="C122" s="82"/>
      <c r="D122" s="82"/>
    </row>
    <row r="123" spans="1:4">
      <c r="A123" s="160"/>
      <c r="B123" s="82"/>
      <c r="C123" s="82"/>
      <c r="D123" s="82"/>
    </row>
    <row r="124" spans="1:4">
      <c r="A124" s="186"/>
      <c r="B124" s="82"/>
      <c r="C124" s="82"/>
      <c r="D124" s="82"/>
    </row>
    <row r="125" spans="1:4">
      <c r="A125" s="160"/>
      <c r="B125" s="82"/>
      <c r="C125" s="82"/>
      <c r="D125" s="82"/>
    </row>
    <row r="126" spans="1:4">
      <c r="A126" s="160"/>
      <c r="B126" s="82"/>
      <c r="C126" s="82"/>
      <c r="D126" s="82"/>
    </row>
    <row r="127" spans="1:4">
      <c r="A127" s="160"/>
      <c r="B127" s="82"/>
      <c r="C127" s="82"/>
      <c r="D127" s="82"/>
    </row>
    <row r="128" spans="1:4">
      <c r="A128" s="160"/>
      <c r="B128" s="82"/>
      <c r="C128" s="82"/>
      <c r="D128" s="82"/>
    </row>
    <row r="129" spans="1:4">
      <c r="A129" s="187"/>
      <c r="B129" s="82"/>
      <c r="C129" s="82"/>
      <c r="D129" s="82"/>
    </row>
    <row r="130" spans="1:4">
      <c r="A130" s="149"/>
      <c r="B130" s="82"/>
      <c r="C130" s="82"/>
      <c r="D130" s="82"/>
    </row>
    <row r="131" spans="1:4">
      <c r="A131" s="187"/>
      <c r="B131" s="82"/>
      <c r="C131" s="82"/>
      <c r="D131" s="82"/>
    </row>
    <row r="132" spans="1:4">
      <c r="A132" s="169"/>
      <c r="B132" s="82"/>
      <c r="C132" s="82"/>
      <c r="D132" s="82"/>
    </row>
    <row r="133" spans="1:4">
      <c r="A133" s="123"/>
      <c r="B133" s="82"/>
      <c r="C133" s="82"/>
      <c r="D133" s="82"/>
    </row>
    <row r="134" spans="1:4">
      <c r="A134" s="123"/>
      <c r="B134" s="82"/>
      <c r="C134" s="82"/>
      <c r="D134" s="82"/>
    </row>
    <row r="135" spans="1:4" ht="15.75">
      <c r="A135" s="168"/>
      <c r="B135" s="82"/>
      <c r="C135" s="82"/>
      <c r="D135" s="82"/>
    </row>
    <row r="136" spans="1:4">
      <c r="A136" s="121"/>
      <c r="B136" s="82"/>
      <c r="C136" s="82"/>
      <c r="D136" s="82"/>
    </row>
    <row r="137" spans="1:4">
      <c r="A137" s="143"/>
      <c r="B137" s="82"/>
      <c r="C137" s="82"/>
      <c r="D137" s="82"/>
    </row>
    <row r="138" spans="1:4">
      <c r="A138" s="144"/>
      <c r="B138" s="82"/>
      <c r="C138" s="82"/>
      <c r="D138" s="82"/>
    </row>
    <row r="139" spans="1:4">
      <c r="A139" s="152"/>
      <c r="B139" s="82"/>
      <c r="C139" s="82"/>
      <c r="D139" s="82"/>
    </row>
    <row r="140" spans="1:4">
      <c r="A140" s="145"/>
      <c r="B140" s="82"/>
      <c r="C140" s="82"/>
      <c r="D140" s="82"/>
    </row>
    <row r="141" spans="1:4">
      <c r="A141" s="135"/>
      <c r="B141" s="82"/>
      <c r="C141" s="82"/>
      <c r="D141" s="82"/>
    </row>
    <row r="142" spans="1:4">
      <c r="A142" s="153"/>
      <c r="B142" s="82"/>
      <c r="C142" s="82"/>
      <c r="D142" s="82"/>
    </row>
    <row r="143" spans="1:4" ht="15">
      <c r="A143" s="142"/>
      <c r="B143" s="82"/>
      <c r="C143" s="82"/>
      <c r="D143" s="82"/>
    </row>
    <row r="144" spans="1:4">
      <c r="A144" s="164"/>
      <c r="B144" s="82"/>
      <c r="C144" s="82"/>
      <c r="D144" s="82"/>
    </row>
    <row r="145" spans="1:4">
      <c r="A145" s="139"/>
      <c r="B145" s="82"/>
      <c r="C145" s="82"/>
      <c r="D145" s="82"/>
    </row>
    <row r="146" spans="1:4">
      <c r="A146" s="150"/>
      <c r="B146" s="82"/>
      <c r="C146" s="82"/>
      <c r="D146" s="82"/>
    </row>
    <row r="147" spans="1:4">
      <c r="A147" s="151"/>
      <c r="B147" s="82"/>
      <c r="C147" s="82"/>
      <c r="D147" s="82"/>
    </row>
    <row r="148" spans="1:4">
      <c r="A148" s="147"/>
      <c r="B148" s="82"/>
      <c r="C148" s="82"/>
      <c r="D148" s="82"/>
    </row>
    <row r="149" spans="1:4">
      <c r="A149" s="147"/>
      <c r="B149" s="82"/>
      <c r="C149" s="82"/>
      <c r="D149" s="82"/>
    </row>
    <row r="150" spans="1:4">
      <c r="A150" s="154"/>
      <c r="B150" s="82"/>
      <c r="C150" s="82"/>
      <c r="D150" s="82"/>
    </row>
    <row r="151" spans="1:4">
      <c r="A151" s="165"/>
      <c r="B151" s="82"/>
      <c r="C151" s="82"/>
      <c r="D151" s="82"/>
    </row>
    <row r="152" spans="1:4">
      <c r="A152" s="165"/>
      <c r="B152" s="82"/>
      <c r="C152" s="82"/>
      <c r="D152" s="82"/>
    </row>
    <row r="153" spans="1:4">
      <c r="A153" s="139"/>
      <c r="B153" s="82"/>
      <c r="C153" s="82"/>
      <c r="D153" s="82"/>
    </row>
    <row r="154" spans="1:4">
      <c r="A154" s="150"/>
      <c r="B154" s="82"/>
      <c r="C154" s="82"/>
      <c r="D154" s="82"/>
    </row>
    <row r="155" spans="1:4">
      <c r="A155" s="151"/>
      <c r="B155" s="82"/>
      <c r="C155" s="82"/>
      <c r="D155" s="82"/>
    </row>
    <row r="156" spans="1:4">
      <c r="A156" s="151"/>
      <c r="B156" s="82"/>
      <c r="C156" s="82"/>
      <c r="D156" s="82"/>
    </row>
    <row r="157" spans="1:4">
      <c r="A157" s="154"/>
      <c r="B157" s="82"/>
      <c r="C157" s="82"/>
      <c r="D157" s="82"/>
    </row>
    <row r="158" spans="1:4">
      <c r="A158" s="165"/>
      <c r="B158" s="82"/>
      <c r="C158" s="82"/>
      <c r="D158" s="82"/>
    </row>
    <row r="159" spans="1:4">
      <c r="A159" s="139"/>
      <c r="B159" s="82"/>
      <c r="C159" s="82"/>
      <c r="D159" s="82"/>
    </row>
    <row r="160" spans="1:4">
      <c r="A160" s="150"/>
      <c r="B160" s="82"/>
      <c r="C160" s="82"/>
      <c r="D160" s="82"/>
    </row>
    <row r="161" spans="1:4">
      <c r="A161" s="151"/>
      <c r="B161" s="82"/>
      <c r="C161" s="82"/>
      <c r="D161" s="82"/>
    </row>
    <row r="162" spans="1:4">
      <c r="A162" s="147"/>
      <c r="B162" s="82"/>
      <c r="C162" s="82"/>
      <c r="D162" s="82"/>
    </row>
    <row r="163" spans="1:4">
      <c r="A163" s="139"/>
      <c r="B163" s="82"/>
      <c r="C163" s="82"/>
      <c r="D163" s="82"/>
    </row>
    <row r="164" spans="1:4">
      <c r="A164" s="154"/>
      <c r="B164" s="82"/>
      <c r="C164" s="82"/>
      <c r="D164" s="82"/>
    </row>
    <row r="165" spans="1:4">
      <c r="A165" s="155"/>
      <c r="B165" s="82"/>
      <c r="C165" s="82"/>
      <c r="D165" s="82"/>
    </row>
    <row r="166" spans="1:4">
      <c r="A166" s="155"/>
      <c r="B166" s="82"/>
      <c r="C166" s="82"/>
      <c r="D166" s="82"/>
    </row>
    <row r="167" spans="1:4">
      <c r="A167" s="150"/>
      <c r="B167" s="82"/>
      <c r="C167" s="82"/>
      <c r="D167" s="82"/>
    </row>
    <row r="168" spans="1:4">
      <c r="A168" s="151"/>
      <c r="B168" s="82"/>
      <c r="C168" s="82"/>
      <c r="D168" s="82"/>
    </row>
    <row r="169" spans="1:4">
      <c r="A169" s="147"/>
      <c r="B169" s="82"/>
      <c r="C169" s="82"/>
      <c r="D169" s="82"/>
    </row>
    <row r="170" spans="1:4">
      <c r="A170" s="139"/>
      <c r="B170" s="82"/>
      <c r="C170" s="82"/>
      <c r="D170" s="82"/>
    </row>
    <row r="171" spans="1:4">
      <c r="A171" s="154"/>
      <c r="B171" s="82"/>
      <c r="C171" s="82"/>
      <c r="D171" s="82"/>
    </row>
    <row r="172" spans="1:4">
      <c r="A172" s="155"/>
      <c r="B172" s="82"/>
      <c r="C172" s="82"/>
      <c r="D172" s="82"/>
    </row>
    <row r="173" spans="1:4">
      <c r="A173" s="5"/>
      <c r="B173" s="82"/>
      <c r="C173" s="82"/>
      <c r="D173" s="82"/>
    </row>
  </sheetData>
  <mergeCells count="2">
    <mergeCell ref="F3:G3"/>
    <mergeCell ref="B3:D3"/>
  </mergeCells>
  <phoneticPr fontId="33" type="noConversion"/>
  <printOptions gridLines="1"/>
  <pageMargins left="0.39370078740157483" right="0.39370078740157483" top="0.74803149606299213" bottom="0.74803149606299213" header="0.31496062992125984" footer="0.31496062992125984"/>
  <pageSetup paperSize="9" scale="72" orientation="portrait" r:id="rId1"/>
  <headerFooter alignWithMargins="0"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</sheetPr>
  <dimension ref="A1:H135"/>
  <sheetViews>
    <sheetView showZeros="0" zoomScaleNormal="100" workbookViewId="0">
      <pane ySplit="5" topLeftCell="A6" activePane="bottomLeft" state="frozen"/>
      <selection activeCell="F154" sqref="F154"/>
      <selection pane="bottomLeft" activeCell="F154" sqref="F154"/>
    </sheetView>
  </sheetViews>
  <sheetFormatPr defaultColWidth="9.140625" defaultRowHeight="12.75"/>
  <cols>
    <col min="1" max="1" width="41.7109375" style="78" customWidth="1"/>
    <col min="2" max="2" width="12.28515625" style="78" bestFit="1" customWidth="1"/>
    <col min="3" max="3" width="11.140625" style="78" bestFit="1" customWidth="1"/>
    <col min="4" max="4" width="11.140625" style="78" hidden="1" customWidth="1"/>
    <col min="5" max="5" width="11.140625" style="78" bestFit="1" customWidth="1"/>
    <col min="6" max="6" width="12.140625" style="78" customWidth="1"/>
    <col min="7" max="7" width="10.42578125" style="78" bestFit="1" customWidth="1"/>
    <col min="8" max="8" width="11.140625" style="78" customWidth="1"/>
    <col min="9" max="9" width="11.140625" style="78" bestFit="1" customWidth="1"/>
    <col min="10" max="16384" width="9.140625" style="78"/>
  </cols>
  <sheetData>
    <row r="1" spans="1:8">
      <c r="A1" s="35" t="s">
        <v>0</v>
      </c>
      <c r="H1" s="35"/>
    </row>
    <row r="2" spans="1:8" ht="12.75" customHeight="1">
      <c r="A2" s="47"/>
      <c r="F2" s="344"/>
      <c r="G2" s="271"/>
      <c r="H2" s="345"/>
    </row>
    <row r="3" spans="1:8" ht="12.75" customHeight="1">
      <c r="A3" s="64"/>
      <c r="B3" s="480">
        <v>2017</v>
      </c>
      <c r="C3" s="799">
        <v>2018</v>
      </c>
      <c r="D3" s="800"/>
      <c r="E3" s="801"/>
      <c r="F3" s="479">
        <v>2019</v>
      </c>
      <c r="G3" s="797" t="s">
        <v>434</v>
      </c>
      <c r="H3" s="798"/>
    </row>
    <row r="4" spans="1:8" ht="29.25" customHeight="1">
      <c r="A4" s="64"/>
      <c r="B4" s="483" t="s">
        <v>433</v>
      </c>
      <c r="C4" s="476" t="s">
        <v>257</v>
      </c>
      <c r="D4" s="475" t="s">
        <v>410</v>
      </c>
      <c r="E4" s="477" t="s">
        <v>258</v>
      </c>
      <c r="F4" s="478" t="s">
        <v>420</v>
      </c>
      <c r="G4" s="481" t="s">
        <v>12</v>
      </c>
      <c r="H4" s="482" t="s">
        <v>384</v>
      </c>
    </row>
    <row r="5" spans="1:8">
      <c r="A5" s="61"/>
      <c r="B5" s="87"/>
      <c r="C5" s="87"/>
      <c r="D5" s="87"/>
      <c r="E5" s="87"/>
    </row>
    <row r="6" spans="1:8">
      <c r="A6" s="117" t="s">
        <v>358</v>
      </c>
      <c r="B6" s="66">
        <f>B8+B41+B24+B135</f>
        <v>119581772.91999991</v>
      </c>
      <c r="C6" s="66">
        <f>C8+C41+C24+C135</f>
        <v>123498889</v>
      </c>
      <c r="D6" s="66">
        <f>D8+D41+D24+D135</f>
        <v>20546506</v>
      </c>
      <c r="E6" s="66">
        <f>C6+D6</f>
        <v>144045395</v>
      </c>
      <c r="F6" s="66">
        <f>F8+F41+F24</f>
        <v>151880315.54166666</v>
      </c>
      <c r="G6" s="66">
        <f t="shared" ref="G6:G9" si="0">IF(F6=0,0,F6-E6)</f>
        <v>7834920.5416666567</v>
      </c>
      <c r="H6" s="350">
        <f t="shared" ref="H6:H9" si="1">IF(E6=0,"",G6/E6)</f>
        <v>5.4392023720485176E-2</v>
      </c>
    </row>
    <row r="7" spans="1:8">
      <c r="A7" s="117"/>
      <c r="B7" s="66"/>
      <c r="C7" s="66"/>
      <c r="D7" s="66"/>
      <c r="E7" s="66">
        <f t="shared" ref="E7:E71" si="2">C7+D7</f>
        <v>0</v>
      </c>
      <c r="F7" s="348"/>
      <c r="G7" s="348">
        <f t="shared" si="0"/>
        <v>0</v>
      </c>
      <c r="H7" s="351" t="str">
        <f t="shared" si="1"/>
        <v/>
      </c>
    </row>
    <row r="8" spans="1:8">
      <c r="A8" s="35" t="s">
        <v>27</v>
      </c>
      <c r="B8" s="105">
        <v>102291930.03999992</v>
      </c>
      <c r="C8" s="105">
        <f>C9+C10</f>
        <v>93199352</v>
      </c>
      <c r="D8" s="105">
        <f>D9+D10</f>
        <v>19503968</v>
      </c>
      <c r="E8" s="105">
        <f t="shared" si="2"/>
        <v>112703320</v>
      </c>
      <c r="F8" s="105">
        <f>F9+F10</f>
        <v>128888223</v>
      </c>
      <c r="G8" s="105">
        <f t="shared" si="0"/>
        <v>16184903</v>
      </c>
      <c r="H8" s="352">
        <f t="shared" si="1"/>
        <v>0.14360626643474211</v>
      </c>
    </row>
    <row r="9" spans="1:8">
      <c r="A9" s="88" t="s">
        <v>3</v>
      </c>
      <c r="B9" s="94">
        <v>97268596.73999992</v>
      </c>
      <c r="C9" s="94">
        <f>89000000+109020</f>
        <v>89109020</v>
      </c>
      <c r="D9" s="94">
        <f>18500000-1063</f>
        <v>18498937</v>
      </c>
      <c r="E9" s="94">
        <f t="shared" si="2"/>
        <v>107607957</v>
      </c>
      <c r="F9" s="94">
        <f>116500000-50000-450000</f>
        <v>116000000</v>
      </c>
      <c r="G9" s="94">
        <f t="shared" si="0"/>
        <v>8392043</v>
      </c>
      <c r="H9" s="353">
        <f t="shared" si="1"/>
        <v>7.7987197545252157E-2</v>
      </c>
    </row>
    <row r="10" spans="1:8">
      <c r="A10" s="89" t="s">
        <v>1</v>
      </c>
      <c r="B10" s="94">
        <v>5023333.3000000007</v>
      </c>
      <c r="C10" s="94">
        <f>C11+C16+C17+C22</f>
        <v>4090332</v>
      </c>
      <c r="D10" s="65">
        <v>1005031</v>
      </c>
      <c r="E10" s="94">
        <f t="shared" si="2"/>
        <v>5095363</v>
      </c>
      <c r="F10" s="216">
        <f>F11+F16+F17+F18+F19+F20+F21</f>
        <v>12888223</v>
      </c>
      <c r="G10" s="94">
        <f>IF(F10=0,0,F10-E10)</f>
        <v>7792860</v>
      </c>
      <c r="H10" s="353">
        <f>IF(E10=0,"",G10/E10)</f>
        <v>1.5294023212870211</v>
      </c>
    </row>
    <row r="11" spans="1:8">
      <c r="A11" s="90" t="s">
        <v>107</v>
      </c>
      <c r="B11" s="68">
        <v>3425715</v>
      </c>
      <c r="C11" s="68">
        <v>3425715</v>
      </c>
      <c r="D11" s="68">
        <v>-12024</v>
      </c>
      <c r="E11" s="68">
        <f t="shared" si="2"/>
        <v>3413691</v>
      </c>
      <c r="F11" s="302">
        <v>3425715</v>
      </c>
      <c r="G11" s="68">
        <f>IF(F11=0,0,F11-E11)</f>
        <v>12024</v>
      </c>
      <c r="H11" s="355">
        <f>IF(E11=0,"",G11/E11)</f>
        <v>3.5222871665888918E-3</v>
      </c>
    </row>
    <row r="12" spans="1:8" s="466" customFormat="1">
      <c r="A12" s="72" t="s">
        <v>435</v>
      </c>
      <c r="B12" s="467"/>
      <c r="C12" s="467"/>
      <c r="D12" s="68">
        <f>SUM(D13:D14)</f>
        <v>341170</v>
      </c>
      <c r="E12" s="68">
        <f t="shared" si="2"/>
        <v>341170</v>
      </c>
      <c r="F12" s="302"/>
      <c r="G12" s="467"/>
      <c r="H12" s="468"/>
    </row>
    <row r="13" spans="1:8" s="466" customFormat="1">
      <c r="A13" s="485" t="s">
        <v>436</v>
      </c>
      <c r="B13" s="467"/>
      <c r="C13" s="467"/>
      <c r="D13" s="404">
        <v>157022</v>
      </c>
      <c r="E13" s="68">
        <f t="shared" si="2"/>
        <v>157022</v>
      </c>
      <c r="F13" s="302"/>
      <c r="G13" s="467"/>
      <c r="H13" s="468"/>
    </row>
    <row r="14" spans="1:8" s="466" customFormat="1">
      <c r="A14" s="485" t="s">
        <v>437</v>
      </c>
      <c r="B14" s="467"/>
      <c r="C14" s="467"/>
      <c r="D14" s="404">
        <v>184148</v>
      </c>
      <c r="E14" s="68">
        <f t="shared" si="2"/>
        <v>184148</v>
      </c>
      <c r="F14" s="302"/>
      <c r="G14" s="467"/>
      <c r="H14" s="468"/>
    </row>
    <row r="15" spans="1:8" s="466" customFormat="1">
      <c r="A15" s="72" t="s">
        <v>438</v>
      </c>
      <c r="B15" s="467"/>
      <c r="C15" s="467"/>
      <c r="D15" s="68">
        <v>487667</v>
      </c>
      <c r="E15" s="68">
        <f t="shared" si="2"/>
        <v>487667</v>
      </c>
      <c r="F15" s="302"/>
      <c r="G15" s="467"/>
      <c r="H15" s="468"/>
    </row>
    <row r="16" spans="1:8">
      <c r="A16" s="72" t="s">
        <v>177</v>
      </c>
      <c r="B16" s="68">
        <v>364617</v>
      </c>
      <c r="C16" s="68">
        <v>364617</v>
      </c>
      <c r="D16" s="68">
        <v>8541</v>
      </c>
      <c r="E16" s="68">
        <f t="shared" si="2"/>
        <v>373158</v>
      </c>
      <c r="F16" s="48">
        <v>373158</v>
      </c>
      <c r="G16" s="261">
        <f>IF(F16=0,0,F16-E16)</f>
        <v>0</v>
      </c>
      <c r="H16" s="320">
        <f>IF(E16=0,"",G16/E16)</f>
        <v>0</v>
      </c>
    </row>
    <row r="17" spans="1:8" ht="36">
      <c r="A17" s="438" t="s">
        <v>196</v>
      </c>
      <c r="B17" s="439">
        <v>649593</v>
      </c>
      <c r="C17" s="439">
        <v>300000</v>
      </c>
      <c r="D17" s="440">
        <v>179677</v>
      </c>
      <c r="E17" s="439">
        <f t="shared" si="2"/>
        <v>479677</v>
      </c>
      <c r="F17" s="419"/>
      <c r="G17" s="439">
        <f>IF(F17=0,0,F17-E17)</f>
        <v>0</v>
      </c>
      <c r="H17" s="361">
        <f>IF(E17=0,"",G17/E17)</f>
        <v>0</v>
      </c>
    </row>
    <row r="18" spans="1:8">
      <c r="A18" s="113" t="s">
        <v>355</v>
      </c>
      <c r="B18" s="250"/>
      <c r="C18" s="250"/>
      <c r="D18" s="68"/>
      <c r="E18" s="250">
        <f t="shared" si="2"/>
        <v>0</v>
      </c>
      <c r="F18" s="249">
        <v>6000000</v>
      </c>
      <c r="G18" s="250">
        <f>IF(F18=0,0,F18-E18)</f>
        <v>6000000</v>
      </c>
      <c r="H18" s="356" t="str">
        <f>IF(E18=0,"",G18/E18)</f>
        <v/>
      </c>
    </row>
    <row r="19" spans="1:8">
      <c r="A19" s="113" t="s">
        <v>356</v>
      </c>
      <c r="B19" s="250"/>
      <c r="C19" s="250"/>
      <c r="D19" s="68"/>
      <c r="E19" s="250">
        <f t="shared" si="2"/>
        <v>0</v>
      </c>
      <c r="F19" s="249">
        <f>2515000</f>
        <v>2515000</v>
      </c>
      <c r="G19" s="250">
        <f>IF(F19=0,0,F19-E19)</f>
        <v>2515000</v>
      </c>
      <c r="H19" s="356" t="str">
        <f>IF(E19=0,"",G19/E19)</f>
        <v/>
      </c>
    </row>
    <row r="20" spans="1:8">
      <c r="A20" s="314" t="s">
        <v>357</v>
      </c>
      <c r="B20" s="251"/>
      <c r="C20" s="251"/>
      <c r="D20" s="68"/>
      <c r="E20" s="251">
        <f t="shared" si="2"/>
        <v>0</v>
      </c>
      <c r="F20" s="216">
        <v>574350</v>
      </c>
      <c r="G20" s="216">
        <f>IF(F20=0,0,F20-E20)</f>
        <v>574350</v>
      </c>
      <c r="H20" s="354" t="str">
        <f>IF(E20=0,"",G20/E20)</f>
        <v/>
      </c>
    </row>
    <row r="21" spans="1:8">
      <c r="A21" s="314"/>
      <c r="B21" s="251"/>
      <c r="C21" s="251"/>
      <c r="D21" s="68"/>
      <c r="E21" s="251"/>
      <c r="F21" s="216"/>
      <c r="G21" s="216"/>
      <c r="H21" s="354"/>
    </row>
    <row r="22" spans="1:8" hidden="1">
      <c r="A22" s="314"/>
      <c r="B22" s="251"/>
      <c r="C22" s="251"/>
      <c r="D22" s="68"/>
      <c r="E22" s="251">
        <f t="shared" si="2"/>
        <v>0</v>
      </c>
      <c r="F22" s="216"/>
      <c r="G22" s="216">
        <f t="shared" ref="G22:G35" si="3">IF(F22=0,0,F22-E22)</f>
        <v>0</v>
      </c>
      <c r="H22" s="354" t="str">
        <f t="shared" ref="H22:H35" si="4">IF(E22=0,"",G22/E22)</f>
        <v/>
      </c>
    </row>
    <row r="23" spans="1:8" ht="36.75" hidden="1" customHeight="1">
      <c r="A23" s="314"/>
      <c r="B23" s="251"/>
      <c r="C23" s="251"/>
      <c r="D23" s="405"/>
      <c r="E23" s="251">
        <f t="shared" si="2"/>
        <v>0</v>
      </c>
      <c r="F23" s="216"/>
      <c r="G23" s="216">
        <f t="shared" si="3"/>
        <v>0</v>
      </c>
      <c r="H23" s="354" t="str">
        <f t="shared" si="4"/>
        <v/>
      </c>
    </row>
    <row r="24" spans="1:8">
      <c r="A24" s="35" t="s">
        <v>103</v>
      </c>
      <c r="B24" s="105">
        <f>B29+B25</f>
        <v>112618.85</v>
      </c>
      <c r="C24" s="105">
        <f>C29+C25</f>
        <v>1781533</v>
      </c>
      <c r="D24" s="105">
        <f>D25+D29</f>
        <v>290658</v>
      </c>
      <c r="E24" s="105">
        <f t="shared" si="2"/>
        <v>2072191</v>
      </c>
      <c r="F24" s="105">
        <f>F29+F25</f>
        <v>1855956</v>
      </c>
      <c r="G24" s="105">
        <f t="shared" si="3"/>
        <v>-216235</v>
      </c>
      <c r="H24" s="352">
        <f t="shared" si="4"/>
        <v>-0.10435090201627166</v>
      </c>
    </row>
    <row r="25" spans="1:8">
      <c r="A25" s="103" t="s">
        <v>344</v>
      </c>
      <c r="B25" s="106">
        <v>90759.75</v>
      </c>
      <c r="C25" s="106"/>
      <c r="D25" s="106">
        <f>SUM(D27)</f>
        <v>490</v>
      </c>
      <c r="E25" s="106">
        <f t="shared" si="2"/>
        <v>490</v>
      </c>
      <c r="F25" s="106">
        <f>F26</f>
        <v>3903</v>
      </c>
      <c r="G25" s="106">
        <f t="shared" si="3"/>
        <v>3413</v>
      </c>
      <c r="H25" s="357">
        <f t="shared" si="4"/>
        <v>6.9653061224489798</v>
      </c>
    </row>
    <row r="26" spans="1:8">
      <c r="A26" s="104" t="s">
        <v>187</v>
      </c>
      <c r="B26" s="106"/>
      <c r="C26" s="106"/>
      <c r="D26" s="106"/>
      <c r="E26" s="106">
        <f t="shared" si="2"/>
        <v>0</v>
      </c>
      <c r="F26" s="216">
        <f>F27</f>
        <v>3903</v>
      </c>
      <c r="G26" s="216">
        <f t="shared" si="3"/>
        <v>3903</v>
      </c>
      <c r="H26" s="354" t="str">
        <f t="shared" si="4"/>
        <v/>
      </c>
    </row>
    <row r="27" spans="1:8" ht="36">
      <c r="A27" s="237" t="s">
        <v>346</v>
      </c>
      <c r="B27" s="250"/>
      <c r="C27" s="250"/>
      <c r="D27" s="406">
        <v>490</v>
      </c>
      <c r="E27" s="250">
        <f t="shared" si="2"/>
        <v>490</v>
      </c>
      <c r="F27" s="249">
        <v>3903</v>
      </c>
      <c r="G27" s="249">
        <f t="shared" si="3"/>
        <v>3413</v>
      </c>
      <c r="H27" s="358">
        <f t="shared" si="4"/>
        <v>6.9653061224489798</v>
      </c>
    </row>
    <row r="28" spans="1:8">
      <c r="A28" s="103"/>
      <c r="B28" s="106"/>
      <c r="C28" s="106"/>
      <c r="D28" s="406"/>
      <c r="E28" s="106">
        <f t="shared" si="2"/>
        <v>0</v>
      </c>
      <c r="F28" s="106"/>
      <c r="G28" s="106">
        <f t="shared" si="3"/>
        <v>0</v>
      </c>
      <c r="H28" s="357" t="str">
        <f t="shared" si="4"/>
        <v/>
      </c>
    </row>
    <row r="29" spans="1:8">
      <c r="A29" s="103" t="s">
        <v>1</v>
      </c>
      <c r="B29" s="106">
        <v>21859.1</v>
      </c>
      <c r="C29" s="106">
        <f>C34+C38+C31</f>
        <v>1781533</v>
      </c>
      <c r="D29" s="106">
        <f>D34+D38+D31</f>
        <v>290168</v>
      </c>
      <c r="E29" s="106">
        <f t="shared" si="2"/>
        <v>2071701</v>
      </c>
      <c r="F29" s="106">
        <f>F34+F38+F31</f>
        <v>1852053</v>
      </c>
      <c r="G29" s="106">
        <f t="shared" si="3"/>
        <v>-219648</v>
      </c>
      <c r="H29" s="357">
        <f t="shared" si="4"/>
        <v>-0.1060230216619097</v>
      </c>
    </row>
    <row r="30" spans="1:8">
      <c r="A30" s="104"/>
      <c r="B30" s="252"/>
      <c r="C30" s="252"/>
      <c r="D30" s="405"/>
      <c r="E30" s="252">
        <f t="shared" si="2"/>
        <v>0</v>
      </c>
      <c r="F30" s="252"/>
      <c r="G30" s="252">
        <f t="shared" si="3"/>
        <v>0</v>
      </c>
      <c r="H30" s="359" t="str">
        <f t="shared" si="4"/>
        <v/>
      </c>
    </row>
    <row r="31" spans="1:8">
      <c r="A31" s="95" t="s">
        <v>108</v>
      </c>
      <c r="B31" s="253">
        <f>B32</f>
        <v>7991.1</v>
      </c>
      <c r="C31" s="253">
        <f>C32</f>
        <v>67679</v>
      </c>
      <c r="D31" s="407"/>
      <c r="E31" s="253">
        <f t="shared" si="2"/>
        <v>67679</v>
      </c>
      <c r="F31" s="246">
        <f>49244+16663</f>
        <v>65907</v>
      </c>
      <c r="G31" s="253">
        <f t="shared" si="3"/>
        <v>-1772</v>
      </c>
      <c r="H31" s="360">
        <f t="shared" si="4"/>
        <v>-2.6182419953013489E-2</v>
      </c>
    </row>
    <row r="32" spans="1:8" ht="24">
      <c r="A32" s="225" t="s">
        <v>254</v>
      </c>
      <c r="B32" s="246">
        <v>7991.1</v>
      </c>
      <c r="C32" s="246">
        <f>22679+45000</f>
        <v>67679</v>
      </c>
      <c r="D32" s="406"/>
      <c r="E32" s="246">
        <f t="shared" si="2"/>
        <v>67679</v>
      </c>
      <c r="F32" s="246">
        <f>49244+16663</f>
        <v>65907</v>
      </c>
      <c r="G32" s="246">
        <f t="shared" si="3"/>
        <v>-1772</v>
      </c>
      <c r="H32" s="361">
        <f t="shared" si="4"/>
        <v>-2.6182419953013489E-2</v>
      </c>
    </row>
    <row r="33" spans="1:8">
      <c r="A33" s="96"/>
      <c r="B33" s="254"/>
      <c r="C33" s="254"/>
      <c r="D33" s="409"/>
      <c r="E33" s="254">
        <f t="shared" si="2"/>
        <v>0</v>
      </c>
      <c r="F33" s="254"/>
      <c r="G33" s="254">
        <f t="shared" si="3"/>
        <v>0</v>
      </c>
      <c r="H33" s="362" t="str">
        <f t="shared" si="4"/>
        <v/>
      </c>
    </row>
    <row r="34" spans="1:8">
      <c r="A34" s="104" t="s">
        <v>187</v>
      </c>
      <c r="B34" s="252"/>
      <c r="C34" s="252">
        <f>SUM(C35:C35)</f>
        <v>1513854</v>
      </c>
      <c r="D34" s="216">
        <f>SUM(D35:D36)</f>
        <v>290168</v>
      </c>
      <c r="E34" s="252">
        <f t="shared" si="2"/>
        <v>1804022</v>
      </c>
      <c r="F34" s="252">
        <f>SUM(F35:F35)</f>
        <v>1786146</v>
      </c>
      <c r="G34" s="252">
        <f t="shared" si="3"/>
        <v>-17876</v>
      </c>
      <c r="H34" s="359">
        <f t="shared" si="4"/>
        <v>-9.9089700679925192E-3</v>
      </c>
    </row>
    <row r="35" spans="1:8">
      <c r="A35" s="96" t="s">
        <v>197</v>
      </c>
      <c r="B35" s="254"/>
      <c r="C35" s="254">
        <v>1513854</v>
      </c>
      <c r="D35" s="409"/>
      <c r="E35" s="254">
        <f t="shared" si="2"/>
        <v>1513854</v>
      </c>
      <c r="F35" s="254">
        <v>1786146</v>
      </c>
      <c r="G35" s="254">
        <f t="shared" si="3"/>
        <v>272292</v>
      </c>
      <c r="H35" s="362">
        <f t="shared" si="4"/>
        <v>0.17986675069062141</v>
      </c>
    </row>
    <row r="36" spans="1:8">
      <c r="A36" s="408" t="s">
        <v>390</v>
      </c>
      <c r="B36" s="254"/>
      <c r="C36" s="254"/>
      <c r="D36" s="409">
        <v>290168</v>
      </c>
      <c r="E36" s="254">
        <f t="shared" si="2"/>
        <v>290168</v>
      </c>
      <c r="F36" s="254"/>
      <c r="G36" s="254"/>
      <c r="H36" s="362"/>
    </row>
    <row r="37" spans="1:8">
      <c r="A37" s="96"/>
      <c r="B37" s="254"/>
      <c r="C37" s="254"/>
      <c r="D37" s="409"/>
      <c r="E37" s="254">
        <f t="shared" si="2"/>
        <v>0</v>
      </c>
      <c r="F37" s="254"/>
      <c r="G37" s="254">
        <f t="shared" ref="G37:G55" si="5">IF(F37=0,0,F37-E37)</f>
        <v>0</v>
      </c>
      <c r="H37" s="362" t="str">
        <f t="shared" ref="H37:H55" si="6">IF(E37=0,"",G37/E37)</f>
        <v/>
      </c>
    </row>
    <row r="38" spans="1:8">
      <c r="A38" s="104" t="s">
        <v>67</v>
      </c>
      <c r="B38" s="252"/>
      <c r="C38" s="252">
        <f>SUM(C39)</f>
        <v>200000</v>
      </c>
      <c r="D38" s="216"/>
      <c r="E38" s="252">
        <f t="shared" si="2"/>
        <v>200000</v>
      </c>
      <c r="F38" s="252"/>
      <c r="G38" s="252">
        <f t="shared" si="5"/>
        <v>0</v>
      </c>
      <c r="H38" s="359">
        <f t="shared" si="6"/>
        <v>0</v>
      </c>
    </row>
    <row r="39" spans="1:8">
      <c r="A39" s="96" t="s">
        <v>198</v>
      </c>
      <c r="B39" s="254"/>
      <c r="C39" s="254">
        <v>200000</v>
      </c>
      <c r="D39" s="409"/>
      <c r="E39" s="254">
        <f t="shared" si="2"/>
        <v>200000</v>
      </c>
      <c r="F39" s="254"/>
      <c r="G39" s="254">
        <f t="shared" si="5"/>
        <v>0</v>
      </c>
      <c r="H39" s="362">
        <f t="shared" si="6"/>
        <v>0</v>
      </c>
    </row>
    <row r="40" spans="1:8">
      <c r="A40" s="1"/>
      <c r="B40" s="251"/>
      <c r="C40" s="251"/>
      <c r="D40" s="405"/>
      <c r="E40" s="251">
        <f t="shared" si="2"/>
        <v>0</v>
      </c>
      <c r="F40" s="347"/>
      <c r="G40" s="347">
        <f t="shared" si="5"/>
        <v>0</v>
      </c>
      <c r="H40" s="320" t="str">
        <f t="shared" si="6"/>
        <v/>
      </c>
    </row>
    <row r="41" spans="1:8">
      <c r="A41" s="35" t="s">
        <v>2</v>
      </c>
      <c r="B41" s="105">
        <f>B42+B96</f>
        <v>17008327.07</v>
      </c>
      <c r="C41" s="105">
        <f>C42+C96</f>
        <v>28518004</v>
      </c>
      <c r="D41" s="105">
        <f>D42+D96</f>
        <v>751880</v>
      </c>
      <c r="E41" s="105">
        <f t="shared" si="2"/>
        <v>29269884</v>
      </c>
      <c r="F41" s="105">
        <f>F42+F96</f>
        <v>21136136.541666668</v>
      </c>
      <c r="G41" s="105">
        <f t="shared" si="5"/>
        <v>-8133747.4583333321</v>
      </c>
      <c r="H41" s="352">
        <f t="shared" si="6"/>
        <v>-0.27788792939300111</v>
      </c>
    </row>
    <row r="42" spans="1:8">
      <c r="A42" s="1" t="s">
        <v>3</v>
      </c>
      <c r="B42" s="251">
        <v>1852849.31</v>
      </c>
      <c r="C42" s="251">
        <f>C44+C48+C51+C62+C65+C79+C82+C90+C94</f>
        <v>1590219</v>
      </c>
      <c r="D42" s="216">
        <f>D44+D48+D51+D62+D65+D82+D90+D79</f>
        <v>291161</v>
      </c>
      <c r="E42" s="251">
        <f t="shared" si="2"/>
        <v>1881380</v>
      </c>
      <c r="F42" s="216">
        <f>F44+F48+F51+F62+F65+F79+F82+F90+F94</f>
        <v>2456501.5416666665</v>
      </c>
      <c r="G42" s="216">
        <f t="shared" si="5"/>
        <v>575121.54166666651</v>
      </c>
      <c r="H42" s="354">
        <f t="shared" si="6"/>
        <v>0.30569132321310238</v>
      </c>
    </row>
    <row r="43" spans="1:8">
      <c r="A43" s="60"/>
      <c r="B43" s="68"/>
      <c r="C43" s="68"/>
      <c r="D43" s="405"/>
      <c r="E43" s="68">
        <f t="shared" si="2"/>
        <v>0</v>
      </c>
      <c r="F43" s="261"/>
      <c r="G43" s="261">
        <f t="shared" si="5"/>
        <v>0</v>
      </c>
      <c r="H43" s="320" t="str">
        <f t="shared" si="6"/>
        <v/>
      </c>
    </row>
    <row r="44" spans="1:8">
      <c r="A44" s="95" t="s">
        <v>81</v>
      </c>
      <c r="B44" s="253">
        <f>B45</f>
        <v>165879.54</v>
      </c>
      <c r="C44" s="253">
        <f>C45</f>
        <v>126208</v>
      </c>
      <c r="D44" s="405"/>
      <c r="E44" s="253">
        <f t="shared" si="2"/>
        <v>126208</v>
      </c>
      <c r="F44" s="253">
        <f>F45+F46</f>
        <v>189630</v>
      </c>
      <c r="G44" s="253">
        <f t="shared" si="5"/>
        <v>63422</v>
      </c>
      <c r="H44" s="360">
        <f t="shared" si="6"/>
        <v>0.50251965010141986</v>
      </c>
    </row>
    <row r="45" spans="1:8" ht="24">
      <c r="A45" s="225" t="s">
        <v>172</v>
      </c>
      <c r="B45" s="246">
        <v>165879.54</v>
      </c>
      <c r="C45" s="246">
        <v>126208</v>
      </c>
      <c r="D45" s="405"/>
      <c r="E45" s="246">
        <f t="shared" si="2"/>
        <v>126208</v>
      </c>
      <c r="F45" s="216"/>
      <c r="G45" s="216">
        <f t="shared" si="5"/>
        <v>0</v>
      </c>
      <c r="H45" s="354">
        <f t="shared" si="6"/>
        <v>0</v>
      </c>
    </row>
    <row r="46" spans="1:8" ht="24">
      <c r="A46" s="225" t="s">
        <v>405</v>
      </c>
      <c r="B46" s="406"/>
      <c r="C46" s="406"/>
      <c r="D46" s="429"/>
      <c r="E46" s="406">
        <f t="shared" si="2"/>
        <v>0</v>
      </c>
      <c r="F46" s="188">
        <v>189630</v>
      </c>
      <c r="G46" s="188">
        <f t="shared" si="5"/>
        <v>189630</v>
      </c>
      <c r="H46" s="328" t="str">
        <f t="shared" si="6"/>
        <v/>
      </c>
    </row>
    <row r="47" spans="1:8">
      <c r="A47" s="217"/>
      <c r="B47" s="247"/>
      <c r="C47" s="247"/>
      <c r="D47" s="405"/>
      <c r="E47" s="247">
        <f t="shared" si="2"/>
        <v>0</v>
      </c>
      <c r="F47" s="216"/>
      <c r="G47" s="216">
        <f t="shared" si="5"/>
        <v>0</v>
      </c>
      <c r="H47" s="354" t="str">
        <f t="shared" si="6"/>
        <v/>
      </c>
    </row>
    <row r="48" spans="1:8">
      <c r="A48" s="95" t="s">
        <v>108</v>
      </c>
      <c r="B48" s="253">
        <f>B49</f>
        <v>15338.64</v>
      </c>
      <c r="C48" s="253">
        <f>C49</f>
        <v>7443</v>
      </c>
      <c r="D48" s="405"/>
      <c r="E48" s="253">
        <f t="shared" si="2"/>
        <v>7443</v>
      </c>
      <c r="F48" s="261"/>
      <c r="G48" s="261">
        <f t="shared" si="5"/>
        <v>0</v>
      </c>
      <c r="H48" s="320">
        <f t="shared" si="6"/>
        <v>0</v>
      </c>
    </row>
    <row r="49" spans="1:8" ht="36">
      <c r="A49" s="225" t="s">
        <v>173</v>
      </c>
      <c r="B49" s="246">
        <v>15338.64</v>
      </c>
      <c r="C49" s="246">
        <v>7443</v>
      </c>
      <c r="D49" s="405"/>
      <c r="E49" s="246">
        <f t="shared" si="2"/>
        <v>7443</v>
      </c>
      <c r="F49" s="261"/>
      <c r="G49" s="261">
        <f t="shared" si="5"/>
        <v>0</v>
      </c>
      <c r="H49" s="320">
        <f t="shared" si="6"/>
        <v>0</v>
      </c>
    </row>
    <row r="50" spans="1:8">
      <c r="A50" s="95"/>
      <c r="B50" s="253"/>
      <c r="C50" s="253"/>
      <c r="D50" s="405"/>
      <c r="E50" s="253">
        <f t="shared" si="2"/>
        <v>0</v>
      </c>
      <c r="F50" s="261"/>
      <c r="G50" s="261">
        <f t="shared" si="5"/>
        <v>0</v>
      </c>
      <c r="H50" s="320" t="str">
        <f t="shared" si="6"/>
        <v/>
      </c>
    </row>
    <row r="51" spans="1:8">
      <c r="A51" s="95" t="s">
        <v>140</v>
      </c>
      <c r="B51" s="253">
        <f>B52+B53+B54</f>
        <v>75626.55</v>
      </c>
      <c r="C51" s="253">
        <f>C52+C53+C54</f>
        <v>303447</v>
      </c>
      <c r="D51" s="405">
        <f>D52+D53+D54+D55+D56</f>
        <v>41508</v>
      </c>
      <c r="E51" s="253">
        <f t="shared" si="2"/>
        <v>344955</v>
      </c>
      <c r="F51" s="349">
        <f>F52+F54+F53+F57+F58+F59+F60</f>
        <v>1116079</v>
      </c>
      <c r="G51" s="349">
        <f t="shared" si="5"/>
        <v>771124</v>
      </c>
      <c r="H51" s="363">
        <f t="shared" si="6"/>
        <v>2.235433607282109</v>
      </c>
    </row>
    <row r="52" spans="1:8" ht="24">
      <c r="A52" s="114" t="s">
        <v>219</v>
      </c>
      <c r="B52" s="248">
        <v>75626.55</v>
      </c>
      <c r="C52" s="248">
        <v>95622</v>
      </c>
      <c r="D52" s="405"/>
      <c r="E52" s="248">
        <f t="shared" si="2"/>
        <v>95622</v>
      </c>
      <c r="F52" s="349">
        <v>13946</v>
      </c>
      <c r="G52" s="349">
        <f t="shared" si="5"/>
        <v>-81676</v>
      </c>
      <c r="H52" s="363">
        <f t="shared" si="6"/>
        <v>-0.85415490159168395</v>
      </c>
    </row>
    <row r="53" spans="1:8" ht="24">
      <c r="A53" s="114" t="s">
        <v>178</v>
      </c>
      <c r="B53" s="248"/>
      <c r="C53" s="248">
        <v>180625</v>
      </c>
      <c r="D53" s="405"/>
      <c r="E53" s="248">
        <f t="shared" si="2"/>
        <v>180625</v>
      </c>
      <c r="F53" s="349">
        <v>180625</v>
      </c>
      <c r="G53" s="349">
        <f t="shared" si="5"/>
        <v>0</v>
      </c>
      <c r="H53" s="363">
        <f t="shared" si="6"/>
        <v>0</v>
      </c>
    </row>
    <row r="54" spans="1:8" ht="24">
      <c r="A54" s="114" t="s">
        <v>179</v>
      </c>
      <c r="B54" s="248"/>
      <c r="C54" s="248">
        <v>27200</v>
      </c>
      <c r="D54" s="405"/>
      <c r="E54" s="248">
        <f t="shared" si="2"/>
        <v>27200</v>
      </c>
      <c r="F54" s="349"/>
      <c r="G54" s="349">
        <f t="shared" si="5"/>
        <v>0</v>
      </c>
      <c r="H54" s="363">
        <f t="shared" si="6"/>
        <v>0</v>
      </c>
    </row>
    <row r="55" spans="1:8">
      <c r="A55" s="217" t="s">
        <v>391</v>
      </c>
      <c r="B55" s="248"/>
      <c r="C55" s="248"/>
      <c r="D55" s="405">
        <v>7508</v>
      </c>
      <c r="E55" s="248">
        <f t="shared" si="2"/>
        <v>7508</v>
      </c>
      <c r="F55" s="261"/>
      <c r="G55" s="261">
        <f t="shared" si="5"/>
        <v>0</v>
      </c>
      <c r="H55" s="320">
        <f t="shared" si="6"/>
        <v>0</v>
      </c>
    </row>
    <row r="56" spans="1:8">
      <c r="A56" s="217" t="s">
        <v>392</v>
      </c>
      <c r="B56" s="248"/>
      <c r="C56" s="248"/>
      <c r="D56" s="405">
        <v>34000</v>
      </c>
      <c r="E56" s="248">
        <f t="shared" si="2"/>
        <v>34000</v>
      </c>
      <c r="F56" s="261"/>
      <c r="G56" s="261"/>
      <c r="H56" s="320"/>
    </row>
    <row r="57" spans="1:8">
      <c r="A57" s="415" t="s">
        <v>397</v>
      </c>
      <c r="B57" s="248"/>
      <c r="C57" s="248"/>
      <c r="D57" s="405"/>
      <c r="E57" s="248"/>
      <c r="F57" s="349">
        <v>194353</v>
      </c>
      <c r="G57" s="349">
        <f>IF(F57=0,0,F57-E57)</f>
        <v>194353</v>
      </c>
      <c r="H57" s="416" t="str">
        <f>IF(E57=0,"",G57/E57)</f>
        <v/>
      </c>
    </row>
    <row r="58" spans="1:8">
      <c r="A58" s="415" t="s">
        <v>398</v>
      </c>
      <c r="B58" s="248"/>
      <c r="C58" s="248"/>
      <c r="D58" s="405"/>
      <c r="E58" s="248"/>
      <c r="F58" s="349">
        <v>348330</v>
      </c>
      <c r="G58" s="349">
        <f>IF(F58=0,0,F58-E58)</f>
        <v>348330</v>
      </c>
      <c r="H58" s="416" t="str">
        <f>IF(E58=0,"",G58/E58)</f>
        <v/>
      </c>
    </row>
    <row r="59" spans="1:8" ht="24">
      <c r="A59" s="225" t="s">
        <v>345</v>
      </c>
      <c r="B59" s="248"/>
      <c r="C59" s="248"/>
      <c r="D59" s="405"/>
      <c r="E59" s="248"/>
      <c r="F59" s="349">
        <v>378825</v>
      </c>
      <c r="G59" s="349">
        <f>IF(F59=0,0,F59-E59)</f>
        <v>378825</v>
      </c>
      <c r="H59" s="416" t="str">
        <f>IF(E59=0,"",G59/E59)</f>
        <v/>
      </c>
    </row>
    <row r="60" spans="1:8">
      <c r="A60" s="217" t="s">
        <v>399</v>
      </c>
      <c r="B60" s="248"/>
      <c r="C60" s="248"/>
      <c r="D60" s="405"/>
      <c r="E60" s="248"/>
      <c r="F60" s="261"/>
      <c r="G60" s="261"/>
      <c r="H60" s="320"/>
    </row>
    <row r="61" spans="1:8">
      <c r="A61" s="114"/>
      <c r="B61" s="248"/>
      <c r="C61" s="248"/>
      <c r="D61" s="405"/>
      <c r="E61" s="248">
        <f t="shared" si="2"/>
        <v>0</v>
      </c>
      <c r="F61" s="261"/>
      <c r="G61" s="261"/>
      <c r="H61" s="320"/>
    </row>
    <row r="62" spans="1:8">
      <c r="A62" s="95" t="s">
        <v>148</v>
      </c>
      <c r="B62" s="253">
        <f>B63</f>
        <v>5461.5</v>
      </c>
      <c r="C62" s="253">
        <f>C63</f>
        <v>62785</v>
      </c>
      <c r="D62" s="405"/>
      <c r="E62" s="253">
        <f t="shared" si="2"/>
        <v>62785</v>
      </c>
      <c r="F62" s="253">
        <f>F63</f>
        <v>43637</v>
      </c>
      <c r="G62" s="253">
        <f t="shared" ref="G62:G76" si="7">IF(F62=0,0,F62-E62)</f>
        <v>-19148</v>
      </c>
      <c r="H62" s="417">
        <f t="shared" ref="H62:H76" si="8">IF(E62=0,"",G62/E62)</f>
        <v>-0.30497730349605795</v>
      </c>
    </row>
    <row r="63" spans="1:8" ht="48">
      <c r="A63" s="114" t="s">
        <v>255</v>
      </c>
      <c r="B63" s="248">
        <v>5461.5</v>
      </c>
      <c r="C63" s="248">
        <v>62785</v>
      </c>
      <c r="D63" s="405"/>
      <c r="E63" s="248">
        <f t="shared" si="2"/>
        <v>62785</v>
      </c>
      <c r="F63" s="261">
        <v>43637</v>
      </c>
      <c r="G63" s="261">
        <f t="shared" si="7"/>
        <v>-19148</v>
      </c>
      <c r="H63" s="418">
        <f t="shared" si="8"/>
        <v>-0.30497730349605795</v>
      </c>
    </row>
    <row r="64" spans="1:8">
      <c r="A64" s="83"/>
      <c r="B64" s="249"/>
      <c r="C64" s="249"/>
      <c r="D64" s="405"/>
      <c r="E64" s="249">
        <f t="shared" si="2"/>
        <v>0</v>
      </c>
      <c r="F64" s="261"/>
      <c r="G64" s="261">
        <f t="shared" si="7"/>
        <v>0</v>
      </c>
      <c r="H64" s="320" t="str">
        <f t="shared" si="8"/>
        <v/>
      </c>
    </row>
    <row r="65" spans="1:8">
      <c r="A65" s="95" t="s">
        <v>67</v>
      </c>
      <c r="B65" s="253">
        <f>SUM(B66:B74)</f>
        <v>209517.19999999998</v>
      </c>
      <c r="C65" s="253">
        <f>SUM(C66:C76)</f>
        <v>791999</v>
      </c>
      <c r="D65" s="407">
        <f>SUM(D66:D77)</f>
        <v>21627</v>
      </c>
      <c r="E65" s="253">
        <f t="shared" si="2"/>
        <v>813626</v>
      </c>
      <c r="F65" s="253">
        <f>SUM(F66:F76)</f>
        <v>581436.54166666663</v>
      </c>
      <c r="G65" s="253">
        <f t="shared" si="7"/>
        <v>-232189.45833333337</v>
      </c>
      <c r="H65" s="360">
        <f t="shared" si="8"/>
        <v>-0.28537615358080171</v>
      </c>
    </row>
    <row r="66" spans="1:8" ht="24">
      <c r="A66" s="237" t="s">
        <v>248</v>
      </c>
      <c r="B66" s="249">
        <v>31698.98</v>
      </c>
      <c r="C66" s="249">
        <v>25000</v>
      </c>
      <c r="D66" s="68">
        <v>11386</v>
      </c>
      <c r="E66" s="249">
        <f t="shared" si="2"/>
        <v>36386</v>
      </c>
      <c r="F66" s="249"/>
      <c r="G66" s="249">
        <f t="shared" si="7"/>
        <v>0</v>
      </c>
      <c r="H66" s="358">
        <f t="shared" si="8"/>
        <v>0</v>
      </c>
    </row>
    <row r="67" spans="1:8" ht="24">
      <c r="A67" s="237" t="s">
        <v>199</v>
      </c>
      <c r="B67" s="249">
        <v>27960.22</v>
      </c>
      <c r="C67" s="249">
        <v>53125</v>
      </c>
      <c r="D67" s="68"/>
      <c r="E67" s="249">
        <f t="shared" si="2"/>
        <v>53125</v>
      </c>
      <c r="F67" s="249">
        <v>21250</v>
      </c>
      <c r="G67" s="249">
        <f t="shared" si="7"/>
        <v>-31875</v>
      </c>
      <c r="H67" s="358">
        <f t="shared" si="8"/>
        <v>-0.6</v>
      </c>
    </row>
    <row r="68" spans="1:8">
      <c r="A68" s="237" t="s">
        <v>200</v>
      </c>
      <c r="B68" s="249">
        <v>3597.2</v>
      </c>
      <c r="C68" s="249">
        <v>4200</v>
      </c>
      <c r="D68" s="68"/>
      <c r="E68" s="249">
        <f t="shared" si="2"/>
        <v>4200</v>
      </c>
      <c r="F68" s="249"/>
      <c r="G68" s="249">
        <f t="shared" si="7"/>
        <v>0</v>
      </c>
      <c r="H68" s="358">
        <f t="shared" si="8"/>
        <v>0</v>
      </c>
    </row>
    <row r="69" spans="1:8" ht="24">
      <c r="A69" s="237" t="s">
        <v>253</v>
      </c>
      <c r="B69" s="249">
        <v>20075.439999999999</v>
      </c>
      <c r="C69" s="249">
        <v>7574</v>
      </c>
      <c r="D69" s="68"/>
      <c r="E69" s="249">
        <f t="shared" si="2"/>
        <v>7574</v>
      </c>
      <c r="F69" s="249"/>
      <c r="G69" s="249">
        <f t="shared" si="7"/>
        <v>0</v>
      </c>
      <c r="H69" s="358">
        <f t="shared" si="8"/>
        <v>0</v>
      </c>
    </row>
    <row r="70" spans="1:8">
      <c r="A70" s="237" t="s">
        <v>201</v>
      </c>
      <c r="B70" s="249">
        <v>90813.89</v>
      </c>
      <c r="C70" s="249">
        <f>47175-4250</f>
        <v>42925</v>
      </c>
      <c r="D70" s="68"/>
      <c r="E70" s="249">
        <f t="shared" si="2"/>
        <v>42925</v>
      </c>
      <c r="F70" s="249"/>
      <c r="G70" s="249">
        <f t="shared" si="7"/>
        <v>0</v>
      </c>
      <c r="H70" s="358">
        <f t="shared" si="8"/>
        <v>0</v>
      </c>
    </row>
    <row r="71" spans="1:8" ht="36">
      <c r="A71" s="237" t="s">
        <v>202</v>
      </c>
      <c r="B71" s="249">
        <v>33063.410000000003</v>
      </c>
      <c r="C71" s="249">
        <v>85000</v>
      </c>
      <c r="D71" s="68"/>
      <c r="E71" s="249">
        <f t="shared" si="2"/>
        <v>85000</v>
      </c>
      <c r="F71" s="249">
        <v>28900</v>
      </c>
      <c r="G71" s="249">
        <f t="shared" si="7"/>
        <v>-56100</v>
      </c>
      <c r="H71" s="358">
        <f t="shared" si="8"/>
        <v>-0.66</v>
      </c>
    </row>
    <row r="72" spans="1:8" ht="26.25" customHeight="1">
      <c r="A72" s="237" t="s">
        <v>250</v>
      </c>
      <c r="B72" s="249"/>
      <c r="C72" s="249">
        <v>374000</v>
      </c>
      <c r="D72" s="68"/>
      <c r="E72" s="249">
        <f t="shared" ref="E72:E135" si="9">C72+D72</f>
        <v>374000</v>
      </c>
      <c r="F72" s="249">
        <v>195500</v>
      </c>
      <c r="G72" s="249">
        <f t="shared" si="7"/>
        <v>-178500</v>
      </c>
      <c r="H72" s="358">
        <f t="shared" si="8"/>
        <v>-0.47727272727272729</v>
      </c>
    </row>
    <row r="73" spans="1:8" ht="36">
      <c r="A73" s="238" t="s">
        <v>246</v>
      </c>
      <c r="B73" s="301">
        <v>1264.9100000000001</v>
      </c>
      <c r="C73" s="301">
        <v>81175</v>
      </c>
      <c r="D73" s="411">
        <v>-4059</v>
      </c>
      <c r="E73" s="301">
        <f t="shared" si="9"/>
        <v>77116</v>
      </c>
      <c r="F73" s="249">
        <v>187000</v>
      </c>
      <c r="G73" s="249">
        <f t="shared" si="7"/>
        <v>109884</v>
      </c>
      <c r="H73" s="358">
        <f t="shared" si="8"/>
        <v>1.4249183048913325</v>
      </c>
    </row>
    <row r="74" spans="1:8">
      <c r="A74" s="60" t="s">
        <v>247</v>
      </c>
      <c r="B74" s="302">
        <v>1043.1500000000001</v>
      </c>
      <c r="C74" s="302">
        <f>110500+8500</f>
        <v>119000</v>
      </c>
      <c r="D74" s="68"/>
      <c r="E74" s="302">
        <f t="shared" si="9"/>
        <v>119000</v>
      </c>
      <c r="F74" s="249">
        <v>21250</v>
      </c>
      <c r="G74" s="249">
        <f t="shared" si="7"/>
        <v>-97750</v>
      </c>
      <c r="H74" s="358">
        <f t="shared" si="8"/>
        <v>-0.8214285714285714</v>
      </c>
    </row>
    <row r="75" spans="1:8">
      <c r="A75" s="445" t="s">
        <v>347</v>
      </c>
      <c r="B75" s="420"/>
      <c r="C75" s="420"/>
      <c r="D75" s="440">
        <v>10000</v>
      </c>
      <c r="E75" s="420">
        <f t="shared" si="9"/>
        <v>10000</v>
      </c>
      <c r="F75" s="419">
        <v>35750</v>
      </c>
      <c r="G75" s="419">
        <f t="shared" si="7"/>
        <v>25750</v>
      </c>
      <c r="H75" s="446">
        <f t="shared" si="8"/>
        <v>2.5750000000000002</v>
      </c>
    </row>
    <row r="76" spans="1:8">
      <c r="A76" s="60" t="s">
        <v>348</v>
      </c>
      <c r="B76" s="302"/>
      <c r="C76" s="302"/>
      <c r="D76" s="68"/>
      <c r="E76" s="302">
        <f t="shared" si="9"/>
        <v>0</v>
      </c>
      <c r="F76" s="249">
        <v>91786.541666666672</v>
      </c>
      <c r="G76" s="249">
        <f t="shared" si="7"/>
        <v>91786.541666666672</v>
      </c>
      <c r="H76" s="358" t="str">
        <f t="shared" si="8"/>
        <v/>
      </c>
    </row>
    <row r="77" spans="1:8" ht="24">
      <c r="A77" s="237" t="s">
        <v>400</v>
      </c>
      <c r="B77" s="249"/>
      <c r="C77" s="249"/>
      <c r="D77" s="68">
        <v>4300</v>
      </c>
      <c r="E77" s="302">
        <f>C76+D77</f>
        <v>4300</v>
      </c>
      <c r="F77" s="346"/>
      <c r="G77" s="48"/>
      <c r="H77" s="48">
        <f>IF(G77=0,0,G77-#REF!)</f>
        <v>0</v>
      </c>
    </row>
    <row r="78" spans="1:8">
      <c r="A78" s="237"/>
      <c r="B78" s="249"/>
      <c r="C78" s="249"/>
      <c r="D78" s="68"/>
      <c r="E78" s="249">
        <f t="shared" si="9"/>
        <v>0</v>
      </c>
      <c r="F78" s="48"/>
      <c r="G78" s="48">
        <f t="shared" ref="G78:G87" si="10">IF(F78=0,0,F78-E78)</f>
        <v>0</v>
      </c>
      <c r="H78" s="322" t="str">
        <f t="shared" ref="H78:H87" si="11">IF(E78=0,"",G78/E78)</f>
        <v/>
      </c>
    </row>
    <row r="79" spans="1:8">
      <c r="A79" s="239" t="s">
        <v>149</v>
      </c>
      <c r="B79" s="253">
        <f>SUM(B80)</f>
        <v>0</v>
      </c>
      <c r="C79" s="253">
        <f t="shared" ref="C79:F79" si="12">SUM(C80)</f>
        <v>0</v>
      </c>
      <c r="D79" s="407">
        <f>SUM(D80)</f>
        <v>18650</v>
      </c>
      <c r="E79" s="253">
        <f t="shared" si="9"/>
        <v>18650</v>
      </c>
      <c r="F79" s="253">
        <f t="shared" si="12"/>
        <v>37300</v>
      </c>
      <c r="G79" s="253">
        <f t="shared" si="10"/>
        <v>18650</v>
      </c>
      <c r="H79" s="360">
        <f t="shared" si="11"/>
        <v>1</v>
      </c>
    </row>
    <row r="80" spans="1:8" ht="36">
      <c r="A80" s="237" t="s">
        <v>346</v>
      </c>
      <c r="B80" s="249"/>
      <c r="C80" s="249"/>
      <c r="D80" s="302">
        <v>18650</v>
      </c>
      <c r="E80" s="249">
        <f t="shared" si="9"/>
        <v>18650</v>
      </c>
      <c r="F80" s="249">
        <v>37300</v>
      </c>
      <c r="G80" s="249">
        <f t="shared" si="10"/>
        <v>18650</v>
      </c>
      <c r="H80" s="358">
        <f t="shared" si="11"/>
        <v>1</v>
      </c>
    </row>
    <row r="81" spans="1:8">
      <c r="A81" s="237"/>
      <c r="B81" s="249"/>
      <c r="C81" s="249"/>
      <c r="D81" s="412"/>
      <c r="E81" s="249">
        <f t="shared" si="9"/>
        <v>0</v>
      </c>
      <c r="F81" s="48"/>
      <c r="G81" s="48">
        <f t="shared" si="10"/>
        <v>0</v>
      </c>
      <c r="H81" s="322" t="str">
        <f t="shared" si="11"/>
        <v/>
      </c>
    </row>
    <row r="82" spans="1:8">
      <c r="A82" s="95" t="s">
        <v>153</v>
      </c>
      <c r="B82" s="253">
        <f>SUM(B83:B87)</f>
        <v>271298.99</v>
      </c>
      <c r="C82" s="253">
        <f>SUM(C83:C87)</f>
        <v>225749</v>
      </c>
      <c r="D82" s="407">
        <f>SUM(D83:D88)</f>
        <v>171290</v>
      </c>
      <c r="E82" s="253">
        <f t="shared" si="9"/>
        <v>397039</v>
      </c>
      <c r="F82" s="253">
        <f>SUM(F83:F88)</f>
        <v>423761</v>
      </c>
      <c r="G82" s="253">
        <f t="shared" si="10"/>
        <v>26722</v>
      </c>
      <c r="H82" s="360">
        <f t="shared" si="11"/>
        <v>6.7303212027030088E-2</v>
      </c>
    </row>
    <row r="83" spans="1:8">
      <c r="A83" s="83" t="s">
        <v>203</v>
      </c>
      <c r="B83" s="249">
        <v>28207.32</v>
      </c>
      <c r="C83" s="249">
        <v>6722</v>
      </c>
      <c r="D83" s="302"/>
      <c r="E83" s="249">
        <f t="shared" si="9"/>
        <v>6722</v>
      </c>
      <c r="F83" s="48"/>
      <c r="G83" s="48">
        <f t="shared" si="10"/>
        <v>0</v>
      </c>
      <c r="H83" s="322">
        <f t="shared" si="11"/>
        <v>0</v>
      </c>
    </row>
    <row r="84" spans="1:8">
      <c r="A84" s="83" t="s">
        <v>204</v>
      </c>
      <c r="B84" s="249">
        <v>9327.9699999999993</v>
      </c>
      <c r="C84" s="249">
        <v>13507</v>
      </c>
      <c r="D84" s="302"/>
      <c r="E84" s="249">
        <f t="shared" si="9"/>
        <v>13507</v>
      </c>
      <c r="F84" s="48"/>
      <c r="G84" s="48">
        <f t="shared" si="10"/>
        <v>0</v>
      </c>
      <c r="H84" s="322">
        <f t="shared" si="11"/>
        <v>0</v>
      </c>
    </row>
    <row r="85" spans="1:8" ht="24">
      <c r="A85" s="83" t="s">
        <v>205</v>
      </c>
      <c r="B85" s="249">
        <v>196314.33</v>
      </c>
      <c r="C85" s="249">
        <f>166521-17850</f>
        <v>148671</v>
      </c>
      <c r="D85" s="302"/>
      <c r="E85" s="249">
        <f t="shared" si="9"/>
        <v>148671</v>
      </c>
      <c r="F85" s="48"/>
      <c r="G85" s="48">
        <f t="shared" si="10"/>
        <v>0</v>
      </c>
      <c r="H85" s="322">
        <f t="shared" si="11"/>
        <v>0</v>
      </c>
    </row>
    <row r="86" spans="1:8" ht="36">
      <c r="A86" s="83" t="s">
        <v>206</v>
      </c>
      <c r="B86" s="249">
        <v>37449.370000000003</v>
      </c>
      <c r="C86" s="249">
        <v>56849</v>
      </c>
      <c r="D86" s="302"/>
      <c r="E86" s="249">
        <f t="shared" si="9"/>
        <v>56849</v>
      </c>
      <c r="F86" s="419">
        <f>14528+8521</f>
        <v>23049</v>
      </c>
      <c r="G86" s="249">
        <f t="shared" si="10"/>
        <v>-33800</v>
      </c>
      <c r="H86" s="358">
        <f t="shared" si="11"/>
        <v>-0.59455751200548823</v>
      </c>
    </row>
    <row r="87" spans="1:8" ht="36">
      <c r="A87" s="83" t="s">
        <v>349</v>
      </c>
      <c r="B87" s="303"/>
      <c r="C87" s="304"/>
      <c r="D87" s="302">
        <f>90630+68660</f>
        <v>159290</v>
      </c>
      <c r="E87" s="304">
        <f t="shared" si="9"/>
        <v>159290</v>
      </c>
      <c r="F87" s="420">
        <f>102746+272166</f>
        <v>374912</v>
      </c>
      <c r="G87" s="302">
        <f t="shared" si="10"/>
        <v>215622</v>
      </c>
      <c r="H87" s="364">
        <f t="shared" si="11"/>
        <v>1.3536442965660116</v>
      </c>
    </row>
    <row r="88" spans="1:8">
      <c r="A88" s="410" t="s">
        <v>393</v>
      </c>
      <c r="B88" s="303"/>
      <c r="C88" s="304"/>
      <c r="D88" s="302">
        <v>12000</v>
      </c>
      <c r="E88" s="304">
        <f t="shared" si="9"/>
        <v>12000</v>
      </c>
      <c r="F88" s="420">
        <v>25800</v>
      </c>
      <c r="G88" s="302"/>
      <c r="H88" s="364"/>
    </row>
    <row r="89" spans="1:8">
      <c r="A89" s="83"/>
      <c r="B89" s="303"/>
      <c r="C89" s="304"/>
      <c r="D89" s="302"/>
      <c r="E89" s="304">
        <f t="shared" si="9"/>
        <v>0</v>
      </c>
      <c r="F89" s="302"/>
      <c r="G89" s="302"/>
      <c r="H89" s="364"/>
    </row>
    <row r="90" spans="1:8">
      <c r="A90" s="95" t="s">
        <v>69</v>
      </c>
      <c r="B90" s="253">
        <f>SUM(B91)</f>
        <v>107176.8</v>
      </c>
      <c r="C90" s="253">
        <f>SUM(C91:C92)</f>
        <v>72588</v>
      </c>
      <c r="D90" s="407">
        <f>SUM(D91:D92)</f>
        <v>38086</v>
      </c>
      <c r="E90" s="253">
        <f t="shared" si="9"/>
        <v>110674</v>
      </c>
      <c r="F90" s="253">
        <f t="shared" ref="F90" si="13">SUM(F91:F92)</f>
        <v>64658</v>
      </c>
      <c r="G90" s="253">
        <f t="shared" ref="G90:G124" si="14">IF(F90=0,0,F90-E90)</f>
        <v>-46016</v>
      </c>
      <c r="H90" s="360">
        <f t="shared" ref="H90:H124" si="15">IF(E90=0,"",G90/E90)</f>
        <v>-0.41577967725030268</v>
      </c>
    </row>
    <row r="91" spans="1:8" ht="24">
      <c r="A91" s="83" t="s">
        <v>207</v>
      </c>
      <c r="B91" s="249">
        <v>107176.8</v>
      </c>
      <c r="C91" s="249">
        <v>72588</v>
      </c>
      <c r="D91" s="302"/>
      <c r="E91" s="249">
        <f t="shared" si="9"/>
        <v>72588</v>
      </c>
      <c r="F91" s="48"/>
      <c r="G91" s="48">
        <f t="shared" si="14"/>
        <v>0</v>
      </c>
      <c r="H91" s="322">
        <f t="shared" si="15"/>
        <v>0</v>
      </c>
    </row>
    <row r="92" spans="1:8" ht="24">
      <c r="A92" s="83" t="s">
        <v>350</v>
      </c>
      <c r="B92" s="249"/>
      <c r="C92" s="249"/>
      <c r="D92" s="302">
        <v>38086</v>
      </c>
      <c r="E92" s="249">
        <f t="shared" si="9"/>
        <v>38086</v>
      </c>
      <c r="F92" s="249">
        <v>64658</v>
      </c>
      <c r="G92" s="249">
        <f t="shared" si="14"/>
        <v>26572</v>
      </c>
      <c r="H92" s="358">
        <f t="shared" si="15"/>
        <v>0.6976841884156908</v>
      </c>
    </row>
    <row r="93" spans="1:8">
      <c r="A93" s="69"/>
      <c r="B93" s="255"/>
      <c r="C93" s="255"/>
      <c r="D93" s="405"/>
      <c r="E93" s="255">
        <f t="shared" si="9"/>
        <v>0</v>
      </c>
      <c r="F93" s="261"/>
      <c r="G93" s="261">
        <f t="shared" si="14"/>
        <v>0</v>
      </c>
      <c r="H93" s="320" t="str">
        <f t="shared" si="15"/>
        <v/>
      </c>
    </row>
    <row r="94" spans="1:8">
      <c r="A94" s="69" t="s">
        <v>320</v>
      </c>
      <c r="B94" s="255"/>
      <c r="C94" s="255"/>
      <c r="D94" s="405"/>
      <c r="E94" s="255">
        <f t="shared" si="9"/>
        <v>0</v>
      </c>
      <c r="F94" s="261"/>
      <c r="G94" s="261">
        <f t="shared" si="14"/>
        <v>0</v>
      </c>
      <c r="H94" s="320" t="str">
        <f t="shared" si="15"/>
        <v/>
      </c>
    </row>
    <row r="95" spans="1:8">
      <c r="A95" s="69"/>
      <c r="B95" s="255"/>
      <c r="C95" s="255"/>
      <c r="D95" s="405"/>
      <c r="E95" s="255">
        <f t="shared" si="9"/>
        <v>0</v>
      </c>
      <c r="F95" s="261"/>
      <c r="G95" s="261">
        <f t="shared" si="14"/>
        <v>0</v>
      </c>
      <c r="H95" s="320" t="str">
        <f t="shared" si="15"/>
        <v/>
      </c>
    </row>
    <row r="96" spans="1:8">
      <c r="A96" s="70" t="s">
        <v>1</v>
      </c>
      <c r="B96" s="65">
        <v>15155477.76</v>
      </c>
      <c r="C96" s="65">
        <f>C98+C103+C107+C111+C130</f>
        <v>26927785</v>
      </c>
      <c r="D96" s="65">
        <f>D98+D103+D107+D111+D130</f>
        <v>460719</v>
      </c>
      <c r="E96" s="65">
        <f t="shared" si="9"/>
        <v>27388504</v>
      </c>
      <c r="F96" s="106">
        <f>F98+F103+F107+F111+F130</f>
        <v>18679635</v>
      </c>
      <c r="G96" s="106">
        <f t="shared" si="14"/>
        <v>-8708869</v>
      </c>
      <c r="H96" s="357">
        <f t="shared" si="15"/>
        <v>-0.31797534469206495</v>
      </c>
    </row>
    <row r="97" spans="1:8">
      <c r="A97" s="70"/>
      <c r="B97" s="65"/>
      <c r="C97" s="65"/>
      <c r="D97" s="405"/>
      <c r="E97" s="65">
        <f t="shared" si="9"/>
        <v>0</v>
      </c>
      <c r="F97" s="65"/>
      <c r="G97" s="65">
        <f t="shared" si="14"/>
        <v>0</v>
      </c>
      <c r="H97" s="365" t="str">
        <f t="shared" si="15"/>
        <v/>
      </c>
    </row>
    <row r="98" spans="1:8">
      <c r="A98" s="223" t="s">
        <v>81</v>
      </c>
      <c r="B98" s="256">
        <f>SUM(B99:B101)</f>
        <v>5510.23</v>
      </c>
      <c r="C98" s="256">
        <f>SUM(C99:C101)</f>
        <v>1664477</v>
      </c>
      <c r="D98" s="405"/>
      <c r="E98" s="256">
        <f t="shared" si="9"/>
        <v>1664477</v>
      </c>
      <c r="F98" s="256">
        <f>SUM(F99:F101)</f>
        <v>1370825</v>
      </c>
      <c r="G98" s="256">
        <f t="shared" si="14"/>
        <v>-293652</v>
      </c>
      <c r="H98" s="360">
        <f t="shared" si="15"/>
        <v>-0.17642298451705851</v>
      </c>
    </row>
    <row r="99" spans="1:8" ht="24">
      <c r="A99" s="224" t="s">
        <v>174</v>
      </c>
      <c r="B99" s="257"/>
      <c r="C99" s="257">
        <v>423978</v>
      </c>
      <c r="D99" s="405"/>
      <c r="E99" s="257">
        <f t="shared" si="9"/>
        <v>423978</v>
      </c>
      <c r="F99" s="257">
        <v>10825</v>
      </c>
      <c r="G99" s="257">
        <f t="shared" si="14"/>
        <v>-413153</v>
      </c>
      <c r="H99" s="362">
        <f t="shared" si="15"/>
        <v>-0.97446801484982715</v>
      </c>
    </row>
    <row r="100" spans="1:8" ht="24">
      <c r="A100" s="224" t="s">
        <v>175</v>
      </c>
      <c r="B100" s="257">
        <v>5510.23</v>
      </c>
      <c r="C100" s="257">
        <v>390499</v>
      </c>
      <c r="D100" s="405"/>
      <c r="E100" s="257">
        <f t="shared" si="9"/>
        <v>390499</v>
      </c>
      <c r="F100" s="257"/>
      <c r="G100" s="257">
        <f t="shared" si="14"/>
        <v>0</v>
      </c>
      <c r="H100" s="362">
        <f t="shared" si="15"/>
        <v>0</v>
      </c>
    </row>
    <row r="101" spans="1:8" ht="24">
      <c r="A101" s="224" t="s">
        <v>176</v>
      </c>
      <c r="B101" s="257"/>
      <c r="C101" s="257">
        <v>850000</v>
      </c>
      <c r="D101" s="405"/>
      <c r="E101" s="257">
        <f t="shared" si="9"/>
        <v>850000</v>
      </c>
      <c r="F101" s="257">
        <v>1360000</v>
      </c>
      <c r="G101" s="257">
        <f t="shared" si="14"/>
        <v>510000</v>
      </c>
      <c r="H101" s="362">
        <f t="shared" si="15"/>
        <v>0.6</v>
      </c>
    </row>
    <row r="102" spans="1:8">
      <c r="A102" s="95"/>
      <c r="B102" s="253"/>
      <c r="C102" s="253"/>
      <c r="D102" s="405"/>
      <c r="E102" s="253">
        <f t="shared" si="9"/>
        <v>0</v>
      </c>
      <c r="F102" s="261"/>
      <c r="G102" s="261">
        <f t="shared" si="14"/>
        <v>0</v>
      </c>
      <c r="H102" s="320" t="str">
        <f t="shared" si="15"/>
        <v/>
      </c>
    </row>
    <row r="103" spans="1:8">
      <c r="A103" s="223" t="s">
        <v>108</v>
      </c>
      <c r="B103" s="256">
        <f>B105+B104</f>
        <v>45282.9</v>
      </c>
      <c r="C103" s="256">
        <f>C105+C104</f>
        <v>476416</v>
      </c>
      <c r="D103" s="405"/>
      <c r="E103" s="256">
        <f t="shared" si="9"/>
        <v>476416</v>
      </c>
      <c r="F103" s="256">
        <f t="shared" ref="F103" si="16">F105+F104</f>
        <v>1482171</v>
      </c>
      <c r="G103" s="256">
        <f t="shared" si="14"/>
        <v>1005755</v>
      </c>
      <c r="H103" s="360">
        <f t="shared" si="15"/>
        <v>2.1110856898173025</v>
      </c>
    </row>
    <row r="104" spans="1:8" ht="24">
      <c r="A104" s="225" t="s">
        <v>254</v>
      </c>
      <c r="B104" s="246">
        <v>45282.9</v>
      </c>
      <c r="C104" s="246">
        <f>128516+255000</f>
        <v>383516</v>
      </c>
      <c r="D104" s="405"/>
      <c r="E104" s="246">
        <f t="shared" si="9"/>
        <v>383516</v>
      </c>
      <c r="F104" s="257">
        <f>279053+94420</f>
        <v>373473</v>
      </c>
      <c r="G104" s="430">
        <f t="shared" si="14"/>
        <v>-10043</v>
      </c>
      <c r="H104" s="363">
        <f t="shared" si="15"/>
        <v>-2.6186651925864893E-2</v>
      </c>
    </row>
    <row r="105" spans="1:8">
      <c r="A105" s="241" t="s">
        <v>251</v>
      </c>
      <c r="B105" s="258"/>
      <c r="C105" s="258">
        <v>92900</v>
      </c>
      <c r="D105" s="405"/>
      <c r="E105" s="258">
        <f t="shared" si="9"/>
        <v>92900</v>
      </c>
      <c r="F105" s="306">
        <v>1108698</v>
      </c>
      <c r="G105" s="306">
        <f t="shared" si="14"/>
        <v>1015798</v>
      </c>
      <c r="H105" s="366">
        <f t="shared" si="15"/>
        <v>10.934316469321852</v>
      </c>
    </row>
    <row r="106" spans="1:8">
      <c r="A106" s="67"/>
      <c r="B106" s="250"/>
      <c r="C106" s="250"/>
      <c r="D106" s="405"/>
      <c r="E106" s="250">
        <f t="shared" si="9"/>
        <v>0</v>
      </c>
      <c r="F106" s="261"/>
      <c r="G106" s="261">
        <f t="shared" si="14"/>
        <v>0</v>
      </c>
      <c r="H106" s="320" t="str">
        <f t="shared" si="15"/>
        <v/>
      </c>
    </row>
    <row r="107" spans="1:8">
      <c r="A107" s="95" t="s">
        <v>71</v>
      </c>
      <c r="B107" s="253">
        <f>SUM(B108,B109)</f>
        <v>65470.07</v>
      </c>
      <c r="C107" s="253">
        <f>SUM(C108,C109)</f>
        <v>1312141</v>
      </c>
      <c r="D107" s="407">
        <f>SUM(D108,D109)</f>
        <v>436337</v>
      </c>
      <c r="E107" s="253">
        <f t="shared" si="9"/>
        <v>1748478</v>
      </c>
      <c r="F107" s="253">
        <f>SUM(F108,F109)</f>
        <v>403663</v>
      </c>
      <c r="G107" s="253">
        <f t="shared" si="14"/>
        <v>-1344815</v>
      </c>
      <c r="H107" s="360">
        <f t="shared" si="15"/>
        <v>-0.76913464167121348</v>
      </c>
    </row>
    <row r="108" spans="1:8">
      <c r="A108" s="67" t="s">
        <v>208</v>
      </c>
      <c r="B108" s="250">
        <v>65470.07</v>
      </c>
      <c r="C108" s="250">
        <v>952141</v>
      </c>
      <c r="D108" s="68"/>
      <c r="E108" s="250">
        <f t="shared" si="9"/>
        <v>952141</v>
      </c>
      <c r="F108" s="261"/>
      <c r="G108" s="261">
        <f t="shared" si="14"/>
        <v>0</v>
      </c>
      <c r="H108" s="320">
        <f t="shared" si="15"/>
        <v>0</v>
      </c>
    </row>
    <row r="109" spans="1:8">
      <c r="A109" s="67" t="s">
        <v>245</v>
      </c>
      <c r="B109" s="250"/>
      <c r="C109" s="250">
        <v>360000</v>
      </c>
      <c r="D109" s="68">
        <v>436337</v>
      </c>
      <c r="E109" s="250">
        <f t="shared" si="9"/>
        <v>796337</v>
      </c>
      <c r="F109" s="249">
        <v>403663</v>
      </c>
      <c r="G109" s="250">
        <f t="shared" si="14"/>
        <v>-392674</v>
      </c>
      <c r="H109" s="356">
        <f t="shared" si="15"/>
        <v>-0.49310028292042191</v>
      </c>
    </row>
    <row r="110" spans="1:8">
      <c r="A110" s="67"/>
      <c r="B110" s="250"/>
      <c r="C110" s="250"/>
      <c r="D110" s="68"/>
      <c r="E110" s="250">
        <f t="shared" si="9"/>
        <v>0</v>
      </c>
      <c r="F110" s="261"/>
      <c r="G110" s="261">
        <f t="shared" si="14"/>
        <v>0</v>
      </c>
      <c r="H110" s="320" t="str">
        <f t="shared" si="15"/>
        <v/>
      </c>
    </row>
    <row r="111" spans="1:8">
      <c r="A111" s="239" t="s">
        <v>149</v>
      </c>
      <c r="B111" s="259">
        <f>B112+B117+B123+B126+B128</f>
        <v>11185004.41</v>
      </c>
      <c r="C111" s="259">
        <f>C112+C117+C123+C126+C128</f>
        <v>23456901</v>
      </c>
      <c r="D111" s="259">
        <f>D112+D117+D123+D125+D127</f>
        <v>3282</v>
      </c>
      <c r="E111" s="259">
        <f t="shared" si="9"/>
        <v>23460183</v>
      </c>
      <c r="F111" s="259">
        <f>F112+F117+F123+F124+F126+F128</f>
        <v>15351896</v>
      </c>
      <c r="G111" s="259">
        <f t="shared" si="14"/>
        <v>-8108287</v>
      </c>
      <c r="H111" s="367">
        <f t="shared" si="15"/>
        <v>-0.34561908575052463</v>
      </c>
    </row>
    <row r="112" spans="1:8" ht="24">
      <c r="A112" s="67" t="s">
        <v>209</v>
      </c>
      <c r="B112" s="286">
        <f>SUM(B113:B115)</f>
        <v>11176493.41</v>
      </c>
      <c r="C112" s="250">
        <f>SUM(C113:C116)</f>
        <v>22138598</v>
      </c>
      <c r="D112" s="68"/>
      <c r="E112" s="250">
        <f t="shared" si="9"/>
        <v>22138598</v>
      </c>
      <c r="F112" s="250">
        <f t="shared" ref="F112" si="17">SUM(F113:F116)</f>
        <v>11207252</v>
      </c>
      <c r="G112" s="250">
        <f t="shared" si="14"/>
        <v>-10931346</v>
      </c>
      <c r="H112" s="356">
        <f t="shared" si="15"/>
        <v>-0.49376866592907104</v>
      </c>
    </row>
    <row r="113" spans="1:8">
      <c r="A113" s="115" t="s">
        <v>210</v>
      </c>
      <c r="B113" s="287">
        <v>9512400.9499999993</v>
      </c>
      <c r="C113" s="260">
        <v>8158025</v>
      </c>
      <c r="D113" s="404"/>
      <c r="E113" s="260">
        <f t="shared" si="9"/>
        <v>8158025</v>
      </c>
      <c r="F113" s="136"/>
      <c r="G113" s="136">
        <f t="shared" si="14"/>
        <v>0</v>
      </c>
      <c r="H113" s="368">
        <f t="shared" si="15"/>
        <v>0</v>
      </c>
    </row>
    <row r="114" spans="1:8">
      <c r="A114" s="116" t="s">
        <v>197</v>
      </c>
      <c r="B114" s="287">
        <v>1319200</v>
      </c>
      <c r="C114" s="260">
        <v>11699364</v>
      </c>
      <c r="D114" s="404"/>
      <c r="E114" s="260">
        <f t="shared" si="9"/>
        <v>11699364</v>
      </c>
      <c r="F114" s="260">
        <v>11207252</v>
      </c>
      <c r="G114" s="260">
        <f t="shared" si="14"/>
        <v>-492112</v>
      </c>
      <c r="H114" s="368">
        <f t="shared" si="15"/>
        <v>-4.2063141210069196E-2</v>
      </c>
    </row>
    <row r="115" spans="1:8">
      <c r="A115" s="116" t="s">
        <v>211</v>
      </c>
      <c r="B115" s="287">
        <v>344892.46</v>
      </c>
      <c r="C115" s="260">
        <v>1435459</v>
      </c>
      <c r="D115" s="404"/>
      <c r="E115" s="260">
        <f t="shared" si="9"/>
        <v>1435459</v>
      </c>
      <c r="F115" s="260">
        <v>0</v>
      </c>
      <c r="G115" s="260">
        <f t="shared" si="14"/>
        <v>0</v>
      </c>
      <c r="H115" s="368">
        <f t="shared" si="15"/>
        <v>0</v>
      </c>
    </row>
    <row r="116" spans="1:8" ht="22.5">
      <c r="A116" s="116" t="s">
        <v>212</v>
      </c>
      <c r="B116" s="260"/>
      <c r="C116" s="260">
        <v>845750</v>
      </c>
      <c r="D116" s="404"/>
      <c r="E116" s="260">
        <f t="shared" si="9"/>
        <v>845750</v>
      </c>
      <c r="F116" s="431">
        <f>3903900-2905503-998397</f>
        <v>0</v>
      </c>
      <c r="G116" s="260">
        <f t="shared" si="14"/>
        <v>0</v>
      </c>
      <c r="H116" s="368">
        <f t="shared" si="15"/>
        <v>0</v>
      </c>
    </row>
    <row r="117" spans="1:8">
      <c r="A117" s="67" t="s">
        <v>213</v>
      </c>
      <c r="B117" s="250"/>
      <c r="C117" s="250">
        <f>SUM(C118:C122)</f>
        <v>1006303</v>
      </c>
      <c r="D117" s="68"/>
      <c r="E117" s="250">
        <f t="shared" si="9"/>
        <v>1006303</v>
      </c>
      <c r="F117" s="250">
        <f t="shared" ref="F117" si="18">SUM(F118:F122)</f>
        <v>2241524</v>
      </c>
      <c r="G117" s="250">
        <f t="shared" si="14"/>
        <v>1235221</v>
      </c>
      <c r="H117" s="356">
        <f t="shared" si="15"/>
        <v>1.2274841672935488</v>
      </c>
    </row>
    <row r="118" spans="1:8">
      <c r="A118" s="115" t="s">
        <v>214</v>
      </c>
      <c r="B118" s="260"/>
      <c r="C118" s="260">
        <v>428740</v>
      </c>
      <c r="D118" s="404"/>
      <c r="E118" s="260">
        <f t="shared" si="9"/>
        <v>428740</v>
      </c>
      <c r="F118" s="260">
        <v>346970</v>
      </c>
      <c r="G118" s="260">
        <f t="shared" si="14"/>
        <v>-81770</v>
      </c>
      <c r="H118" s="368">
        <f t="shared" si="15"/>
        <v>-0.19072164948453607</v>
      </c>
    </row>
    <row r="119" spans="1:8" ht="22.5">
      <c r="A119" s="116" t="s">
        <v>215</v>
      </c>
      <c r="B119" s="260"/>
      <c r="C119" s="260">
        <v>123911</v>
      </c>
      <c r="D119" s="404"/>
      <c r="E119" s="260">
        <f t="shared" si="9"/>
        <v>123911</v>
      </c>
      <c r="F119" s="260">
        <v>619554</v>
      </c>
      <c r="G119" s="260">
        <f t="shared" si="14"/>
        <v>495643</v>
      </c>
      <c r="H119" s="368">
        <f t="shared" si="15"/>
        <v>3.9999919296914723</v>
      </c>
    </row>
    <row r="120" spans="1:8" ht="22.5">
      <c r="A120" s="116" t="s">
        <v>256</v>
      </c>
      <c r="B120" s="260"/>
      <c r="C120" s="260">
        <v>127500</v>
      </c>
      <c r="D120" s="404"/>
      <c r="E120" s="260">
        <f t="shared" si="9"/>
        <v>127500</v>
      </c>
      <c r="F120" s="260">
        <v>1275000</v>
      </c>
      <c r="G120" s="260">
        <f t="shared" si="14"/>
        <v>1147500</v>
      </c>
      <c r="H120" s="368">
        <f t="shared" si="15"/>
        <v>9</v>
      </c>
    </row>
    <row r="121" spans="1:8" ht="22.5">
      <c r="A121" s="116" t="s">
        <v>216</v>
      </c>
      <c r="B121" s="260"/>
      <c r="C121" s="260">
        <v>244297</v>
      </c>
      <c r="D121" s="404"/>
      <c r="E121" s="260">
        <f t="shared" si="9"/>
        <v>244297</v>
      </c>
      <c r="F121" s="260"/>
      <c r="G121" s="260">
        <f t="shared" si="14"/>
        <v>0</v>
      </c>
      <c r="H121" s="368">
        <f t="shared" si="15"/>
        <v>0</v>
      </c>
    </row>
    <row r="122" spans="1:8">
      <c r="A122" s="441" t="s">
        <v>217</v>
      </c>
      <c r="B122" s="260"/>
      <c r="C122" s="442">
        <v>81855</v>
      </c>
      <c r="D122" s="443"/>
      <c r="E122" s="442">
        <f t="shared" si="9"/>
        <v>81855</v>
      </c>
      <c r="F122" s="442"/>
      <c r="G122" s="442">
        <f t="shared" si="14"/>
        <v>0</v>
      </c>
      <c r="H122" s="444">
        <f t="shared" si="15"/>
        <v>0</v>
      </c>
    </row>
    <row r="123" spans="1:8" ht="24">
      <c r="A123" s="67" t="s">
        <v>351</v>
      </c>
      <c r="B123" s="250"/>
      <c r="C123" s="250"/>
      <c r="D123" s="68">
        <v>3282</v>
      </c>
      <c r="E123" s="250">
        <f t="shared" si="9"/>
        <v>3282</v>
      </c>
      <c r="F123" s="250">
        <v>1420000</v>
      </c>
      <c r="G123" s="250">
        <f t="shared" si="14"/>
        <v>1416718</v>
      </c>
      <c r="H123" s="356">
        <f t="shared" si="15"/>
        <v>431.66301035953688</v>
      </c>
    </row>
    <row r="124" spans="1:8" ht="24">
      <c r="A124" s="67" t="s">
        <v>401</v>
      </c>
      <c r="B124" s="250"/>
      <c r="C124" s="250"/>
      <c r="D124" s="250">
        <v>3282</v>
      </c>
      <c r="E124" s="250">
        <f>B124+D124+C124</f>
        <v>3282</v>
      </c>
      <c r="F124" s="249">
        <v>191840</v>
      </c>
      <c r="G124" s="249">
        <f t="shared" si="14"/>
        <v>188558</v>
      </c>
      <c r="H124" s="421">
        <f t="shared" si="15"/>
        <v>57.452163315051799</v>
      </c>
    </row>
    <row r="125" spans="1:8">
      <c r="A125" s="67"/>
      <c r="B125" s="250"/>
      <c r="C125" s="250"/>
      <c r="D125" s="94"/>
      <c r="E125" s="250">
        <f t="shared" si="9"/>
        <v>0</v>
      </c>
      <c r="F125" s="250"/>
      <c r="G125" s="250"/>
      <c r="H125" s="356"/>
    </row>
    <row r="126" spans="1:8" ht="24">
      <c r="A126" s="67" t="s">
        <v>233</v>
      </c>
      <c r="B126" s="250"/>
      <c r="C126" s="250">
        <v>187000</v>
      </c>
      <c r="D126" s="404"/>
      <c r="E126" s="250">
        <f t="shared" si="9"/>
        <v>187000</v>
      </c>
      <c r="F126" s="250">
        <v>180030</v>
      </c>
      <c r="G126" s="250">
        <f>IF(F126=0,0,F126-E126)</f>
        <v>-6970</v>
      </c>
      <c r="H126" s="356">
        <f>IF(E126=0,"",G126/E126)</f>
        <v>-3.727272727272727E-2</v>
      </c>
    </row>
    <row r="127" spans="1:8">
      <c r="A127" s="67"/>
      <c r="B127" s="250"/>
      <c r="C127" s="250"/>
      <c r="D127" s="94"/>
      <c r="E127" s="250">
        <f t="shared" si="9"/>
        <v>0</v>
      </c>
      <c r="F127" s="250"/>
      <c r="G127" s="250"/>
      <c r="H127" s="356"/>
    </row>
    <row r="128" spans="1:8" ht="24">
      <c r="A128" s="67" t="s">
        <v>325</v>
      </c>
      <c r="B128" s="250">
        <v>8511</v>
      </c>
      <c r="C128" s="250">
        <v>125000</v>
      </c>
      <c r="D128" s="404"/>
      <c r="E128" s="250">
        <f t="shared" si="9"/>
        <v>125000</v>
      </c>
      <c r="F128" s="250">
        <v>111250</v>
      </c>
      <c r="G128" s="250">
        <f t="shared" ref="G128:G135" si="19">IF(F128=0,0,F128-E128)</f>
        <v>-13750</v>
      </c>
      <c r="H128" s="356">
        <f t="shared" ref="H128:H135" si="20">IF(E128=0,"",G128/E128)</f>
        <v>-0.11</v>
      </c>
    </row>
    <row r="129" spans="1:8">
      <c r="A129" s="67"/>
      <c r="B129" s="250"/>
      <c r="C129" s="250"/>
      <c r="D129" s="68"/>
      <c r="E129" s="250">
        <f t="shared" si="9"/>
        <v>0</v>
      </c>
      <c r="F129" s="261"/>
      <c r="G129" s="261">
        <f t="shared" si="19"/>
        <v>0</v>
      </c>
      <c r="H129" s="320" t="str">
        <f t="shared" si="20"/>
        <v/>
      </c>
    </row>
    <row r="130" spans="1:8">
      <c r="A130" s="95" t="s">
        <v>153</v>
      </c>
      <c r="B130" s="253">
        <f>SUM(B131)</f>
        <v>42101.01</v>
      </c>
      <c r="C130" s="253">
        <f>SUM(C131:C132)</f>
        <v>17850</v>
      </c>
      <c r="D130" s="407">
        <f>SUM(D131:D134)</f>
        <v>21100</v>
      </c>
      <c r="E130" s="253">
        <f t="shared" si="9"/>
        <v>38950</v>
      </c>
      <c r="F130" s="253">
        <f>SUM(F131:F133)</f>
        <v>71080</v>
      </c>
      <c r="G130" s="253">
        <f t="shared" si="19"/>
        <v>32130</v>
      </c>
      <c r="H130" s="360">
        <f t="shared" si="20"/>
        <v>0.82490372272143775</v>
      </c>
    </row>
    <row r="131" spans="1:8" ht="24">
      <c r="A131" s="83" t="s">
        <v>205</v>
      </c>
      <c r="B131" s="249">
        <v>42101.01</v>
      </c>
      <c r="C131" s="249">
        <v>17850</v>
      </c>
      <c r="D131" s="302"/>
      <c r="E131" s="249">
        <f t="shared" si="9"/>
        <v>17850</v>
      </c>
      <c r="F131" s="261"/>
      <c r="G131" s="261">
        <f t="shared" si="19"/>
        <v>0</v>
      </c>
      <c r="H131" s="320">
        <f t="shared" si="20"/>
        <v>0</v>
      </c>
    </row>
    <row r="132" spans="1:8">
      <c r="A132" s="83" t="s">
        <v>352</v>
      </c>
      <c r="B132" s="303"/>
      <c r="C132" s="249"/>
      <c r="D132" s="302">
        <v>21100</v>
      </c>
      <c r="E132" s="249">
        <f t="shared" si="9"/>
        <v>21100</v>
      </c>
      <c r="F132" s="302">
        <v>59080</v>
      </c>
      <c r="G132" s="302">
        <f t="shared" si="19"/>
        <v>37980</v>
      </c>
      <c r="H132" s="364">
        <f t="shared" si="20"/>
        <v>1.8</v>
      </c>
    </row>
    <row r="133" spans="1:8">
      <c r="A133" s="410" t="s">
        <v>393</v>
      </c>
      <c r="B133" s="249"/>
      <c r="C133" s="249"/>
      <c r="D133" s="249"/>
      <c r="E133" s="249">
        <f t="shared" si="9"/>
        <v>0</v>
      </c>
      <c r="F133" s="422">
        <v>12000</v>
      </c>
      <c r="G133" s="302">
        <f t="shared" si="19"/>
        <v>12000</v>
      </c>
      <c r="H133" s="423" t="str">
        <f t="shared" si="20"/>
        <v/>
      </c>
    </row>
    <row r="134" spans="1:8">
      <c r="A134" s="83"/>
      <c r="B134" s="249"/>
      <c r="C134" s="249"/>
      <c r="D134" s="249"/>
      <c r="E134" s="249">
        <f t="shared" si="9"/>
        <v>0</v>
      </c>
      <c r="F134" s="261"/>
      <c r="G134" s="261">
        <f t="shared" si="19"/>
        <v>0</v>
      </c>
      <c r="H134" s="320" t="str">
        <f t="shared" si="20"/>
        <v/>
      </c>
    </row>
    <row r="135" spans="1:8">
      <c r="A135" s="35" t="s">
        <v>339</v>
      </c>
      <c r="B135" s="285">
        <v>168896.96</v>
      </c>
      <c r="C135" s="285"/>
      <c r="D135" s="285"/>
      <c r="E135" s="285">
        <f t="shared" si="9"/>
        <v>0</v>
      </c>
      <c r="F135" s="285"/>
      <c r="G135" s="285">
        <f t="shared" si="19"/>
        <v>0</v>
      </c>
      <c r="H135" s="369" t="str">
        <f t="shared" si="20"/>
        <v/>
      </c>
    </row>
  </sheetData>
  <mergeCells count="2">
    <mergeCell ref="G3:H3"/>
    <mergeCell ref="C3:E3"/>
  </mergeCells>
  <phoneticPr fontId="37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A1:AN84"/>
  <sheetViews>
    <sheetView showZeros="0" zoomScaleNormal="100" zoomScaleSheetLayoutView="85" workbookViewId="0">
      <pane xSplit="3" ySplit="4" topLeftCell="D5" activePane="bottomRight" state="frozen"/>
      <selection activeCell="F10" sqref="F10"/>
      <selection pane="topRight" activeCell="F10" sqref="F10"/>
      <selection pane="bottomLeft" activeCell="F10" sqref="F10"/>
      <selection pane="bottomRight" activeCell="C1" sqref="C1"/>
    </sheetView>
  </sheetViews>
  <sheetFormatPr defaultColWidth="9.140625" defaultRowHeight="12.75"/>
  <cols>
    <col min="1" max="1" width="12.85546875" style="48" hidden="1" customWidth="1"/>
    <col min="2" max="2" width="9.140625" style="5" hidden="1" customWidth="1"/>
    <col min="3" max="3" width="34.28515625" style="48" customWidth="1"/>
    <col min="4" max="4" width="11.7109375" style="244" customWidth="1"/>
    <col min="5" max="5" width="12" style="244" hidden="1" customWidth="1"/>
    <col min="6" max="6" width="10.7109375" style="244" hidden="1" customWidth="1"/>
    <col min="7" max="7" width="11.7109375" style="244" customWidth="1"/>
    <col min="8" max="8" width="11.7109375" style="5" bestFit="1" customWidth="1"/>
    <col min="9" max="9" width="11.7109375" style="5" customWidth="1"/>
    <col min="10" max="10" width="7.7109375" style="370" bestFit="1" customWidth="1"/>
    <col min="11" max="11" width="11.5703125" style="5" customWidth="1"/>
    <col min="12" max="13" width="9.140625" style="5" customWidth="1"/>
    <col min="14" max="14" width="16.42578125" style="5" bestFit="1" customWidth="1"/>
    <col min="15" max="37" width="9.140625" style="5" customWidth="1"/>
    <col min="38" max="40" width="9.140625" style="5" hidden="1" customWidth="1"/>
    <col min="41" max="16384" width="9.140625" style="5"/>
  </cols>
  <sheetData>
    <row r="1" spans="1:10" ht="15">
      <c r="A1" s="58"/>
      <c r="C1" s="58" t="s">
        <v>76</v>
      </c>
    </row>
    <row r="2" spans="1:10">
      <c r="D2" s="227"/>
      <c r="E2" s="227"/>
      <c r="F2" s="227"/>
      <c r="G2" s="227"/>
    </row>
    <row r="3" spans="1:10" ht="26.25" customHeight="1">
      <c r="A3" s="3"/>
      <c r="C3" s="3"/>
      <c r="D3" s="805">
        <v>2018</v>
      </c>
      <c r="E3" s="805"/>
      <c r="F3" s="805"/>
      <c r="G3" s="805"/>
      <c r="H3" s="571">
        <v>2019</v>
      </c>
      <c r="I3" s="797" t="s">
        <v>434</v>
      </c>
      <c r="J3" s="798"/>
    </row>
    <row r="4" spans="1:10" ht="38.25">
      <c r="A4" s="263"/>
      <c r="C4" s="126"/>
      <c r="D4" s="476" t="s">
        <v>257</v>
      </c>
      <c r="E4" s="262" t="s">
        <v>295</v>
      </c>
      <c r="F4" s="262" t="s">
        <v>413</v>
      </c>
      <c r="G4" s="476" t="s">
        <v>258</v>
      </c>
      <c r="H4" s="478" t="s">
        <v>420</v>
      </c>
      <c r="I4" s="481" t="s">
        <v>12</v>
      </c>
      <c r="J4" s="482" t="s">
        <v>384</v>
      </c>
    </row>
    <row r="5" spans="1:10" ht="15.75">
      <c r="A5" s="264"/>
      <c r="C5" s="141" t="s">
        <v>164</v>
      </c>
      <c r="D5" s="196"/>
      <c r="E5" s="196"/>
      <c r="F5" s="196"/>
      <c r="G5" s="196">
        <f t="shared" ref="G5:G15" si="0">SUM(D5:F5)</f>
        <v>0</v>
      </c>
      <c r="H5" s="196">
        <v>0</v>
      </c>
      <c r="I5" s="196">
        <f t="shared" ref="I5:I54" si="1">H5-G5</f>
        <v>0</v>
      </c>
      <c r="J5" s="381" t="str">
        <f t="shared" ref="J5:J54" si="2">IF(G5=0,"",I5/G5)</f>
        <v/>
      </c>
    </row>
    <row r="6" spans="1:10">
      <c r="A6" s="264"/>
      <c r="C6" s="153"/>
      <c r="D6" s="157"/>
      <c r="E6" s="157"/>
      <c r="F6" s="157"/>
      <c r="G6" s="157">
        <f t="shared" si="0"/>
        <v>0</v>
      </c>
      <c r="H6" s="157">
        <v>0</v>
      </c>
      <c r="I6" s="157">
        <f t="shared" si="1"/>
        <v>0</v>
      </c>
      <c r="J6" s="377" t="str">
        <f t="shared" si="2"/>
        <v/>
      </c>
    </row>
    <row r="7" spans="1:10">
      <c r="A7" s="264"/>
      <c r="C7" s="143" t="s">
        <v>131</v>
      </c>
      <c r="D7" s="197">
        <f>D14+D26+D61+D57+D19</f>
        <v>3227436</v>
      </c>
      <c r="E7" s="197">
        <f t="shared" ref="E7:F7" si="3">E14+E26+E61+E57+E19</f>
        <v>46204</v>
      </c>
      <c r="F7" s="197">
        <f t="shared" si="3"/>
        <v>26720</v>
      </c>
      <c r="G7" s="197">
        <f t="shared" si="0"/>
        <v>3300360</v>
      </c>
      <c r="H7" s="197">
        <v>3416932</v>
      </c>
      <c r="I7" s="197">
        <f t="shared" si="1"/>
        <v>116572</v>
      </c>
      <c r="J7" s="371">
        <f t="shared" si="2"/>
        <v>3.5320995285362811E-2</v>
      </c>
    </row>
    <row r="8" spans="1:10">
      <c r="A8" s="264"/>
      <c r="C8" s="144" t="s">
        <v>252</v>
      </c>
      <c r="D8" s="198">
        <v>205600</v>
      </c>
      <c r="E8" s="198"/>
      <c r="F8" s="198"/>
      <c r="G8" s="198">
        <f t="shared" si="0"/>
        <v>205600</v>
      </c>
      <c r="H8" s="198">
        <v>205600</v>
      </c>
      <c r="I8" s="198">
        <f t="shared" si="1"/>
        <v>0</v>
      </c>
      <c r="J8" s="372">
        <f t="shared" si="2"/>
        <v>0</v>
      </c>
    </row>
    <row r="9" spans="1:10">
      <c r="A9" s="264"/>
      <c r="C9" s="152" t="s">
        <v>77</v>
      </c>
      <c r="D9" s="199">
        <f>D10+D11</f>
        <v>3227436</v>
      </c>
      <c r="E9" s="199">
        <f t="shared" ref="E9:F9" si="4">E10+E11</f>
        <v>46204</v>
      </c>
      <c r="F9" s="199">
        <f t="shared" si="4"/>
        <v>26720</v>
      </c>
      <c r="G9" s="199">
        <f t="shared" si="0"/>
        <v>3300360</v>
      </c>
      <c r="H9" s="199">
        <v>3416932</v>
      </c>
      <c r="I9" s="199">
        <f t="shared" si="1"/>
        <v>116572</v>
      </c>
      <c r="J9" s="373">
        <f t="shared" si="2"/>
        <v>3.5320995285362811E-2</v>
      </c>
    </row>
    <row r="10" spans="1:10">
      <c r="A10" s="264"/>
      <c r="C10" s="145" t="s">
        <v>78</v>
      </c>
      <c r="D10" s="198">
        <f>'2.2 OMATULUD'!B5</f>
        <v>698680</v>
      </c>
      <c r="E10" s="198"/>
      <c r="F10" s="198">
        <v>26035</v>
      </c>
      <c r="G10" s="198">
        <f t="shared" si="0"/>
        <v>724715</v>
      </c>
      <c r="H10" s="198">
        <v>744480</v>
      </c>
      <c r="I10" s="198">
        <f t="shared" si="1"/>
        <v>19765</v>
      </c>
      <c r="J10" s="372">
        <f t="shared" si="2"/>
        <v>2.7272789993307713E-2</v>
      </c>
    </row>
    <row r="11" spans="1:10">
      <c r="A11" s="264"/>
      <c r="C11" s="135" t="s">
        <v>79</v>
      </c>
      <c r="D11" s="198">
        <f>D7-D10</f>
        <v>2528756</v>
      </c>
      <c r="E11" s="198">
        <f t="shared" ref="E11:F11" si="5">E7-E10</f>
        <v>46204</v>
      </c>
      <c r="F11" s="198">
        <f t="shared" si="5"/>
        <v>685</v>
      </c>
      <c r="G11" s="198">
        <f t="shared" si="0"/>
        <v>2575645</v>
      </c>
      <c r="H11" s="198">
        <v>2672452</v>
      </c>
      <c r="I11" s="198">
        <f t="shared" si="1"/>
        <v>96807</v>
      </c>
      <c r="J11" s="372">
        <f t="shared" si="2"/>
        <v>3.7585536826697775E-2</v>
      </c>
    </row>
    <row r="12" spans="1:10" s="267" customFormat="1" ht="11.25">
      <c r="C12" s="269" t="s">
        <v>292</v>
      </c>
      <c r="D12" s="268">
        <f>D16+D23+D31+D38+D44+D49+D54+D64+D73+D80</f>
        <v>1523732</v>
      </c>
      <c r="E12" s="268">
        <f>E16+E23+E31+E38+E44+E49+E54+E64+E73+E80</f>
        <v>34532</v>
      </c>
      <c r="F12" s="268">
        <f>F16+F23+F31+F38+F44+F49+F54+F64+F73+F80</f>
        <v>-5298</v>
      </c>
      <c r="G12" s="268">
        <f t="shared" si="0"/>
        <v>1552966</v>
      </c>
      <c r="H12" s="268">
        <v>1588055</v>
      </c>
      <c r="I12" s="268">
        <f t="shared" si="1"/>
        <v>35089</v>
      </c>
      <c r="J12" s="374">
        <f t="shared" si="2"/>
        <v>2.2594828219033771E-2</v>
      </c>
    </row>
    <row r="13" spans="1:10">
      <c r="A13" s="264"/>
      <c r="C13" s="135"/>
      <c r="D13" s="198"/>
      <c r="E13" s="198"/>
      <c r="F13" s="198"/>
      <c r="G13" s="198">
        <f t="shared" si="0"/>
        <v>0</v>
      </c>
      <c r="H13" s="198">
        <v>0</v>
      </c>
      <c r="I13" s="198">
        <f t="shared" si="1"/>
        <v>0</v>
      </c>
      <c r="J13" s="372" t="str">
        <f t="shared" si="2"/>
        <v/>
      </c>
    </row>
    <row r="14" spans="1:10" ht="15">
      <c r="A14" s="264" t="s">
        <v>225</v>
      </c>
      <c r="B14" s="5" t="s">
        <v>164</v>
      </c>
      <c r="C14" s="190" t="s">
        <v>136</v>
      </c>
      <c r="D14" s="213">
        <f>D15</f>
        <v>278564</v>
      </c>
      <c r="E14" s="213">
        <f t="shared" ref="E14:F14" si="6">E15</f>
        <v>0</v>
      </c>
      <c r="F14" s="213">
        <f t="shared" si="6"/>
        <v>17658</v>
      </c>
      <c r="G14" s="213">
        <f t="shared" si="0"/>
        <v>296222</v>
      </c>
      <c r="H14" s="213">
        <v>286359</v>
      </c>
      <c r="I14" s="213">
        <f t="shared" si="1"/>
        <v>-9863</v>
      </c>
      <c r="J14" s="390">
        <f t="shared" si="2"/>
        <v>-3.3295973965471841E-2</v>
      </c>
    </row>
    <row r="15" spans="1:10">
      <c r="A15" s="264"/>
      <c r="C15" s="138" t="s">
        <v>188</v>
      </c>
      <c r="D15" s="207">
        <v>278564</v>
      </c>
      <c r="E15" s="207"/>
      <c r="F15" s="207">
        <v>17658</v>
      </c>
      <c r="G15" s="207">
        <f t="shared" si="0"/>
        <v>296222</v>
      </c>
      <c r="H15" s="207">
        <v>286359</v>
      </c>
      <c r="I15" s="207">
        <f t="shared" si="1"/>
        <v>-9863</v>
      </c>
      <c r="J15" s="380">
        <f t="shared" si="2"/>
        <v>-3.3295973965471841E-2</v>
      </c>
    </row>
    <row r="16" spans="1:10">
      <c r="A16" s="264"/>
      <c r="C16" s="139" t="s">
        <v>80</v>
      </c>
      <c r="D16" s="201">
        <v>146308</v>
      </c>
      <c r="E16" s="201"/>
      <c r="F16" s="424">
        <v>5792</v>
      </c>
      <c r="G16" s="201">
        <f t="shared" ref="G16:G79" si="7">SUM(D16:F16)</f>
        <v>152100</v>
      </c>
      <c r="H16" s="201">
        <v>147868</v>
      </c>
      <c r="I16" s="201">
        <f t="shared" si="1"/>
        <v>-4232</v>
      </c>
      <c r="J16" s="376">
        <f t="shared" si="2"/>
        <v>-2.7823800131492438E-2</v>
      </c>
    </row>
    <row r="17" spans="1:10">
      <c r="A17" s="264"/>
      <c r="C17" s="147"/>
      <c r="D17" s="201"/>
      <c r="E17" s="201"/>
      <c r="F17" s="201"/>
      <c r="G17" s="201">
        <f t="shared" si="7"/>
        <v>0</v>
      </c>
      <c r="H17" s="201">
        <v>0</v>
      </c>
      <c r="I17" s="201">
        <f t="shared" si="1"/>
        <v>0</v>
      </c>
      <c r="J17" s="376" t="str">
        <f t="shared" si="2"/>
        <v/>
      </c>
    </row>
    <row r="18" spans="1:10">
      <c r="A18" s="264"/>
      <c r="C18" s="137"/>
      <c r="D18" s="208"/>
      <c r="E18" s="208"/>
      <c r="F18" s="208"/>
      <c r="G18" s="208">
        <f t="shared" si="7"/>
        <v>0</v>
      </c>
      <c r="H18" s="208">
        <v>0</v>
      </c>
      <c r="I18" s="208">
        <f t="shared" si="1"/>
        <v>0</v>
      </c>
      <c r="J18" s="384" t="str">
        <f t="shared" si="2"/>
        <v/>
      </c>
    </row>
    <row r="19" spans="1:10" ht="15">
      <c r="A19" s="264" t="s">
        <v>259</v>
      </c>
      <c r="B19" s="5" t="s">
        <v>164</v>
      </c>
      <c r="C19" s="190" t="s">
        <v>138</v>
      </c>
      <c r="D19" s="213">
        <f>D20</f>
        <v>151845</v>
      </c>
      <c r="E19" s="213">
        <f t="shared" ref="E19:F19" si="8">E20</f>
        <v>0</v>
      </c>
      <c r="F19" s="213">
        <f t="shared" si="8"/>
        <v>2905</v>
      </c>
      <c r="G19" s="213">
        <f t="shared" si="7"/>
        <v>154750</v>
      </c>
      <c r="H19" s="213">
        <v>162272</v>
      </c>
      <c r="I19" s="213">
        <f t="shared" si="1"/>
        <v>7522</v>
      </c>
      <c r="J19" s="390">
        <f t="shared" si="2"/>
        <v>4.8607431340872372E-2</v>
      </c>
    </row>
    <row r="20" spans="1:10">
      <c r="A20" s="264"/>
      <c r="C20" s="138" t="s">
        <v>139</v>
      </c>
      <c r="D20" s="207">
        <f>D22</f>
        <v>151845</v>
      </c>
      <c r="E20" s="207">
        <f t="shared" ref="E20:F20" si="9">E22</f>
        <v>0</v>
      </c>
      <c r="F20" s="207">
        <f t="shared" si="9"/>
        <v>2905</v>
      </c>
      <c r="G20" s="207">
        <f t="shared" si="7"/>
        <v>154750</v>
      </c>
      <c r="H20" s="207">
        <v>162272</v>
      </c>
      <c r="I20" s="207">
        <f t="shared" si="1"/>
        <v>7522</v>
      </c>
      <c r="J20" s="380">
        <f t="shared" si="2"/>
        <v>4.8607431340872372E-2</v>
      </c>
    </row>
    <row r="21" spans="1:10">
      <c r="A21" s="264"/>
      <c r="C21" s="192" t="s">
        <v>134</v>
      </c>
      <c r="D21" s="197"/>
      <c r="E21" s="197"/>
      <c r="F21" s="197"/>
      <c r="G21" s="197">
        <f t="shared" si="7"/>
        <v>0</v>
      </c>
      <c r="H21" s="197">
        <v>0</v>
      </c>
      <c r="I21" s="197">
        <f t="shared" si="1"/>
        <v>0</v>
      </c>
      <c r="J21" s="371" t="str">
        <f t="shared" si="2"/>
        <v/>
      </c>
    </row>
    <row r="22" spans="1:10">
      <c r="A22" s="264"/>
      <c r="C22" s="193" t="s">
        <v>189</v>
      </c>
      <c r="D22" s="200">
        <v>151845</v>
      </c>
      <c r="E22" s="200"/>
      <c r="F22" s="200">
        <v>2905</v>
      </c>
      <c r="G22" s="200">
        <f t="shared" si="7"/>
        <v>154750</v>
      </c>
      <c r="H22" s="200">
        <v>162272</v>
      </c>
      <c r="I22" s="200">
        <f t="shared" si="1"/>
        <v>7522</v>
      </c>
      <c r="J22" s="375">
        <f t="shared" si="2"/>
        <v>4.8607431340872372E-2</v>
      </c>
    </row>
    <row r="23" spans="1:10">
      <c r="A23" s="264"/>
      <c r="C23" s="147" t="s">
        <v>80</v>
      </c>
      <c r="D23" s="201">
        <v>88680</v>
      </c>
      <c r="E23" s="201"/>
      <c r="F23" s="201"/>
      <c r="G23" s="201">
        <f t="shared" si="7"/>
        <v>88680</v>
      </c>
      <c r="H23" s="201">
        <v>97251</v>
      </c>
      <c r="I23" s="201">
        <f t="shared" si="1"/>
        <v>8571</v>
      </c>
      <c r="J23" s="376">
        <f t="shared" si="2"/>
        <v>9.6650879566982414E-2</v>
      </c>
    </row>
    <row r="24" spans="1:10">
      <c r="A24" s="264"/>
      <c r="C24" s="195"/>
      <c r="D24" s="215"/>
      <c r="E24" s="215"/>
      <c r="F24" s="215"/>
      <c r="G24" s="215">
        <f t="shared" si="7"/>
        <v>0</v>
      </c>
      <c r="H24" s="215">
        <v>0</v>
      </c>
      <c r="I24" s="215">
        <f t="shared" si="1"/>
        <v>0</v>
      </c>
      <c r="J24" s="389" t="str">
        <f t="shared" si="2"/>
        <v/>
      </c>
    </row>
    <row r="25" spans="1:10">
      <c r="A25" s="264"/>
      <c r="C25" s="148"/>
      <c r="D25" s="205"/>
      <c r="E25" s="205"/>
      <c r="F25" s="205"/>
      <c r="G25" s="205">
        <f t="shared" si="7"/>
        <v>0</v>
      </c>
      <c r="H25" s="205">
        <v>0</v>
      </c>
      <c r="I25" s="205">
        <f t="shared" si="1"/>
        <v>0</v>
      </c>
      <c r="J25" s="383" t="str">
        <f t="shared" si="2"/>
        <v/>
      </c>
    </row>
    <row r="26" spans="1:10" ht="15">
      <c r="A26" s="264" t="s">
        <v>244</v>
      </c>
      <c r="B26" s="5" t="s">
        <v>164</v>
      </c>
      <c r="C26" s="190" t="s">
        <v>141</v>
      </c>
      <c r="D26" s="213">
        <f>D28+D34+D41</f>
        <v>833095</v>
      </c>
      <c r="E26" s="213">
        <f t="shared" ref="E26:F26" si="10">E28+E34+E41</f>
        <v>0</v>
      </c>
      <c r="F26" s="213">
        <f t="shared" si="10"/>
        <v>12500</v>
      </c>
      <c r="G26" s="213">
        <f t="shared" si="7"/>
        <v>845595</v>
      </c>
      <c r="H26" s="213">
        <v>926055</v>
      </c>
      <c r="I26" s="213">
        <f t="shared" si="1"/>
        <v>80460</v>
      </c>
      <c r="J26" s="390">
        <f t="shared" si="2"/>
        <v>9.5151934436698421E-2</v>
      </c>
    </row>
    <row r="27" spans="1:10">
      <c r="A27" s="264"/>
      <c r="C27" s="134"/>
      <c r="D27" s="201"/>
      <c r="E27" s="201"/>
      <c r="F27" s="201"/>
      <c r="G27" s="201">
        <f t="shared" si="7"/>
        <v>0</v>
      </c>
      <c r="H27" s="201">
        <v>0</v>
      </c>
      <c r="I27" s="201">
        <f t="shared" si="1"/>
        <v>0</v>
      </c>
      <c r="J27" s="376" t="str">
        <f t="shared" si="2"/>
        <v/>
      </c>
    </row>
    <row r="28" spans="1:10">
      <c r="A28" s="264"/>
      <c r="C28" s="164" t="s">
        <v>142</v>
      </c>
      <c r="D28" s="197">
        <f>D30</f>
        <v>188502</v>
      </c>
      <c r="E28" s="197">
        <f t="shared" ref="E28:F28" si="11">E30</f>
        <v>0</v>
      </c>
      <c r="F28" s="197">
        <f t="shared" si="11"/>
        <v>0</v>
      </c>
      <c r="G28" s="197">
        <f t="shared" si="7"/>
        <v>188502</v>
      </c>
      <c r="H28" s="197">
        <v>225940</v>
      </c>
      <c r="I28" s="197">
        <f t="shared" si="1"/>
        <v>37438</v>
      </c>
      <c r="J28" s="371">
        <f t="shared" si="2"/>
        <v>0.19860797232920605</v>
      </c>
    </row>
    <row r="29" spans="1:10">
      <c r="A29" s="264"/>
      <c r="C29" s="192" t="s">
        <v>134</v>
      </c>
      <c r="D29" s="197"/>
      <c r="E29" s="197"/>
      <c r="F29" s="197"/>
      <c r="G29" s="197">
        <f t="shared" si="7"/>
        <v>0</v>
      </c>
      <c r="H29" s="197">
        <v>0</v>
      </c>
      <c r="I29" s="197">
        <f t="shared" si="1"/>
        <v>0</v>
      </c>
      <c r="J29" s="371" t="str">
        <f t="shared" si="2"/>
        <v/>
      </c>
    </row>
    <row r="30" spans="1:10">
      <c r="A30" s="264"/>
      <c r="C30" s="193" t="s">
        <v>190</v>
      </c>
      <c r="D30" s="200">
        <v>188502</v>
      </c>
      <c r="E30" s="200"/>
      <c r="F30" s="200"/>
      <c r="G30" s="200">
        <f t="shared" si="7"/>
        <v>188502</v>
      </c>
      <c r="H30" s="200">
        <v>225940</v>
      </c>
      <c r="I30" s="200">
        <f t="shared" si="1"/>
        <v>37438</v>
      </c>
      <c r="J30" s="375">
        <f t="shared" si="2"/>
        <v>0.19860797232920605</v>
      </c>
    </row>
    <row r="31" spans="1:10">
      <c r="A31" s="264"/>
      <c r="C31" s="147" t="s">
        <v>80</v>
      </c>
      <c r="D31" s="201">
        <v>75001</v>
      </c>
      <c r="E31" s="201"/>
      <c r="F31" s="424"/>
      <c r="G31" s="201">
        <f t="shared" si="7"/>
        <v>75001</v>
      </c>
      <c r="H31" s="201">
        <v>81081</v>
      </c>
      <c r="I31" s="201">
        <f t="shared" si="1"/>
        <v>6080</v>
      </c>
      <c r="J31" s="376">
        <f t="shared" si="2"/>
        <v>8.1065585792189435E-2</v>
      </c>
    </row>
    <row r="32" spans="1:10">
      <c r="A32" s="264"/>
      <c r="C32" s="156"/>
      <c r="D32" s="210"/>
      <c r="E32" s="210"/>
      <c r="F32" s="210"/>
      <c r="G32" s="210">
        <f t="shared" si="7"/>
        <v>0</v>
      </c>
      <c r="H32" s="210">
        <v>0</v>
      </c>
      <c r="I32" s="210">
        <f t="shared" si="1"/>
        <v>0</v>
      </c>
      <c r="J32" s="388" t="str">
        <f t="shared" si="2"/>
        <v/>
      </c>
    </row>
    <row r="33" spans="1:10">
      <c r="A33" s="264"/>
      <c r="C33" s="148"/>
      <c r="D33" s="205"/>
      <c r="E33" s="205"/>
      <c r="F33" s="205"/>
      <c r="G33" s="205">
        <f t="shared" si="7"/>
        <v>0</v>
      </c>
      <c r="H33" s="205">
        <v>0</v>
      </c>
      <c r="I33" s="205">
        <f t="shared" si="1"/>
        <v>0</v>
      </c>
      <c r="J33" s="383" t="str">
        <f t="shared" si="2"/>
        <v/>
      </c>
    </row>
    <row r="34" spans="1:10">
      <c r="A34" s="264"/>
      <c r="C34" s="164" t="s">
        <v>143</v>
      </c>
      <c r="D34" s="197">
        <f>D37</f>
        <v>130050</v>
      </c>
      <c r="E34" s="197">
        <f t="shared" ref="E34:F34" si="12">E37</f>
        <v>0</v>
      </c>
      <c r="F34" s="197">
        <f t="shared" si="12"/>
        <v>595</v>
      </c>
      <c r="G34" s="197">
        <f t="shared" si="7"/>
        <v>130645</v>
      </c>
      <c r="H34" s="197">
        <v>132945</v>
      </c>
      <c r="I34" s="197">
        <f t="shared" si="1"/>
        <v>2300</v>
      </c>
      <c r="J34" s="371">
        <f t="shared" si="2"/>
        <v>1.7604960006123466E-2</v>
      </c>
    </row>
    <row r="35" spans="1:10">
      <c r="A35" s="264"/>
      <c r="C35" s="414" t="s">
        <v>396</v>
      </c>
      <c r="D35" s="197"/>
      <c r="E35" s="197"/>
      <c r="F35" s="197"/>
      <c r="G35" s="197">
        <f t="shared" si="7"/>
        <v>0</v>
      </c>
      <c r="H35" s="305">
        <v>132945</v>
      </c>
      <c r="I35" s="197">
        <f t="shared" si="1"/>
        <v>132945</v>
      </c>
      <c r="J35" s="371" t="str">
        <f t="shared" si="2"/>
        <v/>
      </c>
    </row>
    <row r="36" spans="1:10">
      <c r="A36" s="264"/>
      <c r="C36" s="192" t="s">
        <v>134</v>
      </c>
      <c r="D36" s="197"/>
      <c r="E36" s="197"/>
      <c r="F36" s="197"/>
      <c r="G36" s="197">
        <f t="shared" si="7"/>
        <v>0</v>
      </c>
      <c r="H36" s="197">
        <v>0</v>
      </c>
      <c r="I36" s="197">
        <f t="shared" si="1"/>
        <v>0</v>
      </c>
      <c r="J36" s="371" t="str">
        <f t="shared" si="2"/>
        <v/>
      </c>
    </row>
    <row r="37" spans="1:10">
      <c r="A37" s="264"/>
      <c r="C37" s="193" t="s">
        <v>191</v>
      </c>
      <c r="D37" s="200">
        <v>130050</v>
      </c>
      <c r="E37" s="200"/>
      <c r="F37" s="200">
        <v>595</v>
      </c>
      <c r="G37" s="200">
        <f t="shared" si="7"/>
        <v>130645</v>
      </c>
      <c r="H37" s="200">
        <v>132945</v>
      </c>
      <c r="I37" s="200">
        <f t="shared" si="1"/>
        <v>2300</v>
      </c>
      <c r="J37" s="375">
        <f t="shared" si="2"/>
        <v>1.7604960006123466E-2</v>
      </c>
    </row>
    <row r="38" spans="1:10">
      <c r="A38" s="264"/>
      <c r="C38" s="147" t="s">
        <v>80</v>
      </c>
      <c r="D38" s="201">
        <v>84570</v>
      </c>
      <c r="E38" s="201"/>
      <c r="F38" s="201"/>
      <c r="G38" s="201">
        <f t="shared" si="7"/>
        <v>84570</v>
      </c>
      <c r="H38" s="201">
        <v>84570</v>
      </c>
      <c r="I38" s="201">
        <f t="shared" si="1"/>
        <v>0</v>
      </c>
      <c r="J38" s="376">
        <f t="shared" si="2"/>
        <v>0</v>
      </c>
    </row>
    <row r="39" spans="1:10">
      <c r="A39" s="264"/>
      <c r="C39" s="147"/>
      <c r="D39" s="201"/>
      <c r="E39" s="201"/>
      <c r="F39" s="201"/>
      <c r="G39" s="201">
        <f t="shared" si="7"/>
        <v>0</v>
      </c>
      <c r="H39" s="201">
        <v>0</v>
      </c>
      <c r="I39" s="201">
        <f t="shared" si="1"/>
        <v>0</v>
      </c>
      <c r="J39" s="376" t="str">
        <f t="shared" si="2"/>
        <v/>
      </c>
    </row>
    <row r="40" spans="1:10">
      <c r="A40" s="264"/>
      <c r="C40" s="148"/>
      <c r="D40" s="205"/>
      <c r="E40" s="205"/>
      <c r="F40" s="205"/>
      <c r="G40" s="205">
        <f t="shared" si="7"/>
        <v>0</v>
      </c>
      <c r="H40" s="205">
        <v>0</v>
      </c>
      <c r="I40" s="205">
        <f t="shared" si="1"/>
        <v>0</v>
      </c>
      <c r="J40" s="383" t="str">
        <f t="shared" si="2"/>
        <v/>
      </c>
    </row>
    <row r="41" spans="1:10" ht="25.5">
      <c r="A41" s="264"/>
      <c r="C41" s="191" t="s">
        <v>155</v>
      </c>
      <c r="D41" s="211">
        <f>D43+D48+D53</f>
        <v>514543</v>
      </c>
      <c r="E41" s="211">
        <f t="shared" ref="E41:F41" si="13">E43+E48+E53</f>
        <v>0</v>
      </c>
      <c r="F41" s="211">
        <f t="shared" si="13"/>
        <v>11905</v>
      </c>
      <c r="G41" s="211">
        <f t="shared" si="7"/>
        <v>526448</v>
      </c>
      <c r="H41" s="211">
        <v>567170</v>
      </c>
      <c r="I41" s="211">
        <f t="shared" si="1"/>
        <v>40722</v>
      </c>
      <c r="J41" s="386">
        <f t="shared" si="2"/>
        <v>7.735236908488588E-2</v>
      </c>
    </row>
    <row r="42" spans="1:10">
      <c r="A42" s="264"/>
      <c r="C42" s="192" t="s">
        <v>134</v>
      </c>
      <c r="D42" s="197"/>
      <c r="E42" s="197"/>
      <c r="F42" s="197"/>
      <c r="G42" s="197">
        <f t="shared" si="7"/>
        <v>0</v>
      </c>
      <c r="H42" s="197">
        <v>0</v>
      </c>
      <c r="I42" s="197">
        <f t="shared" si="1"/>
        <v>0</v>
      </c>
      <c r="J42" s="371" t="str">
        <f t="shared" si="2"/>
        <v/>
      </c>
    </row>
    <row r="43" spans="1:10">
      <c r="A43" s="264"/>
      <c r="C43" s="193" t="s">
        <v>192</v>
      </c>
      <c r="D43" s="200">
        <v>159897</v>
      </c>
      <c r="E43" s="200"/>
      <c r="F43" s="200">
        <v>5280</v>
      </c>
      <c r="G43" s="200">
        <f t="shared" si="7"/>
        <v>165177</v>
      </c>
      <c r="H43" s="200">
        <v>161330</v>
      </c>
      <c r="I43" s="200">
        <f t="shared" si="1"/>
        <v>-3847</v>
      </c>
      <c r="J43" s="375">
        <f t="shared" si="2"/>
        <v>-2.3290167517269353E-2</v>
      </c>
    </row>
    <row r="44" spans="1:10">
      <c r="A44" s="264"/>
      <c r="C44" s="147" t="s">
        <v>80</v>
      </c>
      <c r="D44" s="201">
        <v>49357</v>
      </c>
      <c r="E44" s="201"/>
      <c r="F44" s="201">
        <v>600</v>
      </c>
      <c r="G44" s="201">
        <f t="shared" si="7"/>
        <v>49957</v>
      </c>
      <c r="H44" s="201">
        <v>49357</v>
      </c>
      <c r="I44" s="201">
        <f t="shared" si="1"/>
        <v>-600</v>
      </c>
      <c r="J44" s="376">
        <f t="shared" si="2"/>
        <v>-1.2010328882839242E-2</v>
      </c>
    </row>
    <row r="45" spans="1:10">
      <c r="A45" s="264"/>
      <c r="C45" s="147"/>
      <c r="D45" s="201"/>
      <c r="E45" s="201"/>
      <c r="F45" s="201">
        <v>0</v>
      </c>
      <c r="G45" s="201">
        <f t="shared" si="7"/>
        <v>0</v>
      </c>
      <c r="H45" s="201">
        <v>0</v>
      </c>
      <c r="I45" s="201">
        <f t="shared" si="1"/>
        <v>0</v>
      </c>
      <c r="J45" s="376" t="str">
        <f t="shared" si="2"/>
        <v/>
      </c>
    </row>
    <row r="46" spans="1:10">
      <c r="A46" s="264"/>
      <c r="C46" s="148"/>
      <c r="D46" s="205"/>
      <c r="E46" s="205"/>
      <c r="F46" s="205">
        <v>0</v>
      </c>
      <c r="G46" s="205">
        <f t="shared" si="7"/>
        <v>0</v>
      </c>
      <c r="H46" s="205">
        <v>0</v>
      </c>
      <c r="I46" s="205">
        <f t="shared" si="1"/>
        <v>0</v>
      </c>
      <c r="J46" s="383" t="str">
        <f t="shared" si="2"/>
        <v/>
      </c>
    </row>
    <row r="47" spans="1:10">
      <c r="A47" s="264"/>
      <c r="C47" s="192" t="s">
        <v>134</v>
      </c>
      <c r="D47" s="197"/>
      <c r="E47" s="197"/>
      <c r="F47" s="197">
        <v>0</v>
      </c>
      <c r="G47" s="197">
        <f t="shared" si="7"/>
        <v>0</v>
      </c>
      <c r="H47" s="197">
        <v>0</v>
      </c>
      <c r="I47" s="197">
        <f t="shared" si="1"/>
        <v>0</v>
      </c>
      <c r="J47" s="371" t="str">
        <f t="shared" si="2"/>
        <v/>
      </c>
    </row>
    <row r="48" spans="1:10">
      <c r="A48" s="264"/>
      <c r="C48" s="193" t="s">
        <v>193</v>
      </c>
      <c r="D48" s="200">
        <v>159720</v>
      </c>
      <c r="E48" s="200"/>
      <c r="F48" s="200">
        <v>0</v>
      </c>
      <c r="G48" s="200">
        <f t="shared" si="7"/>
        <v>159720</v>
      </c>
      <c r="H48" s="200">
        <v>174330</v>
      </c>
      <c r="I48" s="200">
        <f t="shared" si="1"/>
        <v>14610</v>
      </c>
      <c r="J48" s="375">
        <f t="shared" si="2"/>
        <v>9.1472577009767089E-2</v>
      </c>
    </row>
    <row r="49" spans="1:10">
      <c r="A49" s="264"/>
      <c r="C49" s="147" t="s">
        <v>80</v>
      </c>
      <c r="D49" s="201">
        <v>113626</v>
      </c>
      <c r="E49" s="201"/>
      <c r="F49" s="424">
        <v>0</v>
      </c>
      <c r="G49" s="201">
        <f t="shared" si="7"/>
        <v>113626</v>
      </c>
      <c r="H49" s="201">
        <v>124146</v>
      </c>
      <c r="I49" s="201">
        <f t="shared" si="1"/>
        <v>10520</v>
      </c>
      <c r="J49" s="376">
        <f t="shared" si="2"/>
        <v>9.2584443701265562E-2</v>
      </c>
    </row>
    <row r="50" spans="1:10">
      <c r="A50" s="264"/>
      <c r="C50" s="147"/>
      <c r="D50" s="201"/>
      <c r="E50" s="201"/>
      <c r="F50" s="201">
        <v>0</v>
      </c>
      <c r="G50" s="201">
        <f t="shared" si="7"/>
        <v>0</v>
      </c>
      <c r="H50" s="201">
        <v>0</v>
      </c>
      <c r="I50" s="201">
        <f t="shared" si="1"/>
        <v>0</v>
      </c>
      <c r="J50" s="376" t="str">
        <f t="shared" si="2"/>
        <v/>
      </c>
    </row>
    <row r="51" spans="1:10">
      <c r="A51" s="264"/>
      <c r="C51" s="166"/>
      <c r="D51" s="198"/>
      <c r="E51" s="198"/>
      <c r="F51" s="198">
        <v>0</v>
      </c>
      <c r="G51" s="198">
        <f t="shared" si="7"/>
        <v>0</v>
      </c>
      <c r="H51" s="198">
        <v>0</v>
      </c>
      <c r="I51" s="198">
        <f t="shared" si="1"/>
        <v>0</v>
      </c>
      <c r="J51" s="372" t="str">
        <f t="shared" si="2"/>
        <v/>
      </c>
    </row>
    <row r="52" spans="1:10">
      <c r="A52" s="264"/>
      <c r="C52" s="192" t="s">
        <v>134</v>
      </c>
      <c r="D52" s="197"/>
      <c r="E52" s="197"/>
      <c r="F52" s="197">
        <v>0</v>
      </c>
      <c r="G52" s="197">
        <f t="shared" si="7"/>
        <v>0</v>
      </c>
      <c r="H52" s="197">
        <v>0</v>
      </c>
      <c r="I52" s="197">
        <f t="shared" si="1"/>
        <v>0</v>
      </c>
      <c r="J52" s="371" t="str">
        <f t="shared" si="2"/>
        <v/>
      </c>
    </row>
    <row r="53" spans="1:10">
      <c r="A53" s="264"/>
      <c r="C53" s="193" t="s">
        <v>194</v>
      </c>
      <c r="D53" s="200">
        <v>194926</v>
      </c>
      <c r="E53" s="200"/>
      <c r="F53" s="200">
        <v>6625</v>
      </c>
      <c r="G53" s="200">
        <f t="shared" si="7"/>
        <v>201551</v>
      </c>
      <c r="H53" s="200">
        <v>231510</v>
      </c>
      <c r="I53" s="200">
        <f t="shared" si="1"/>
        <v>29959</v>
      </c>
      <c r="J53" s="375">
        <f t="shared" si="2"/>
        <v>0.14864227912538266</v>
      </c>
    </row>
    <row r="54" spans="1:10">
      <c r="A54" s="264"/>
      <c r="C54" s="147" t="s">
        <v>80</v>
      </c>
      <c r="D54" s="201">
        <v>103720</v>
      </c>
      <c r="E54" s="201"/>
      <c r="F54" s="424">
        <v>585</v>
      </c>
      <c r="G54" s="201">
        <f t="shared" si="7"/>
        <v>104305</v>
      </c>
      <c r="H54" s="201">
        <v>106920</v>
      </c>
      <c r="I54" s="201">
        <f t="shared" si="1"/>
        <v>2615</v>
      </c>
      <c r="J54" s="376">
        <f t="shared" si="2"/>
        <v>2.5070706102296152E-2</v>
      </c>
    </row>
    <row r="55" spans="1:10">
      <c r="A55" s="264"/>
      <c r="C55" s="147"/>
      <c r="D55" s="201"/>
      <c r="E55" s="201"/>
      <c r="F55" s="201"/>
      <c r="G55" s="201">
        <f t="shared" si="7"/>
        <v>0</v>
      </c>
      <c r="H55" s="201">
        <v>0</v>
      </c>
      <c r="I55" s="201">
        <f t="shared" ref="I55:I84" si="14">H55-G55</f>
        <v>0</v>
      </c>
      <c r="J55" s="376" t="str">
        <f t="shared" ref="J55:J84" si="15">IF(G55=0,"",I55/G55)</f>
        <v/>
      </c>
    </row>
    <row r="56" spans="1:10">
      <c r="A56" s="264"/>
      <c r="C56" s="148"/>
      <c r="D56" s="205"/>
      <c r="E56" s="205"/>
      <c r="F56" s="205"/>
      <c r="G56" s="205">
        <f t="shared" si="7"/>
        <v>0</v>
      </c>
      <c r="H56" s="205">
        <v>0</v>
      </c>
      <c r="I56" s="205">
        <f t="shared" si="14"/>
        <v>0</v>
      </c>
      <c r="J56" s="383" t="str">
        <f t="shared" si="15"/>
        <v/>
      </c>
    </row>
    <row r="57" spans="1:10" ht="15">
      <c r="A57" s="264" t="s">
        <v>232</v>
      </c>
      <c r="B57" s="5" t="s">
        <v>164</v>
      </c>
      <c r="C57" s="190" t="s">
        <v>150</v>
      </c>
      <c r="D57" s="213">
        <f>D58</f>
        <v>142500</v>
      </c>
      <c r="E57" s="213"/>
      <c r="F57" s="213"/>
      <c r="G57" s="213">
        <f t="shared" si="7"/>
        <v>142500</v>
      </c>
      <c r="H57" s="213">
        <v>171000</v>
      </c>
      <c r="I57" s="213">
        <f t="shared" si="14"/>
        <v>28500</v>
      </c>
      <c r="J57" s="390">
        <f t="shared" si="15"/>
        <v>0.2</v>
      </c>
    </row>
    <row r="58" spans="1:10">
      <c r="A58" s="264"/>
      <c r="C58" s="138" t="s">
        <v>151</v>
      </c>
      <c r="D58" s="207">
        <v>142500</v>
      </c>
      <c r="E58" s="207"/>
      <c r="F58" s="207"/>
      <c r="G58" s="207">
        <f t="shared" si="7"/>
        <v>142500</v>
      </c>
      <c r="H58" s="207">
        <v>171000</v>
      </c>
      <c r="I58" s="207">
        <f t="shared" si="14"/>
        <v>28500</v>
      </c>
      <c r="J58" s="380">
        <f t="shared" si="15"/>
        <v>0.2</v>
      </c>
    </row>
    <row r="59" spans="1:10">
      <c r="A59" s="264"/>
      <c r="C59" s="189"/>
      <c r="D59" s="209"/>
      <c r="E59" s="209"/>
      <c r="F59" s="209"/>
      <c r="G59" s="209">
        <f t="shared" si="7"/>
        <v>0</v>
      </c>
      <c r="H59" s="209">
        <v>0</v>
      </c>
      <c r="I59" s="209">
        <f t="shared" si="14"/>
        <v>0</v>
      </c>
      <c r="J59" s="378" t="str">
        <f t="shared" si="15"/>
        <v/>
      </c>
    </row>
    <row r="60" spans="1:10">
      <c r="A60" s="264"/>
      <c r="C60" s="135"/>
      <c r="D60" s="198"/>
      <c r="E60" s="198"/>
      <c r="F60" s="198"/>
      <c r="G60" s="198">
        <f t="shared" si="7"/>
        <v>0</v>
      </c>
      <c r="H60" s="198">
        <v>0</v>
      </c>
      <c r="I60" s="198">
        <f t="shared" si="14"/>
        <v>0</v>
      </c>
      <c r="J60" s="372" t="str">
        <f t="shared" si="15"/>
        <v/>
      </c>
    </row>
    <row r="61" spans="1:10">
      <c r="A61" s="264"/>
      <c r="C61" s="187" t="s">
        <v>135</v>
      </c>
      <c r="D61" s="212">
        <f>D63++D66+D72+D75+D77+D82+D79+D70</f>
        <v>1821432</v>
      </c>
      <c r="E61" s="212">
        <f>E63++E66+E72+E75+E77+E82+E79+E70</f>
        <v>46204</v>
      </c>
      <c r="F61" s="212">
        <f>F63++F66+F72+F75+F77+F82+F79+F70</f>
        <v>-6343</v>
      </c>
      <c r="G61" s="212">
        <f t="shared" si="7"/>
        <v>1861293</v>
      </c>
      <c r="H61" s="212">
        <v>1871246</v>
      </c>
      <c r="I61" s="212">
        <f t="shared" si="14"/>
        <v>9953</v>
      </c>
      <c r="J61" s="387">
        <f t="shared" si="15"/>
        <v>5.3473579925352966E-3</v>
      </c>
    </row>
    <row r="62" spans="1:10">
      <c r="A62" s="264"/>
      <c r="C62" s="187"/>
      <c r="D62" s="212"/>
      <c r="E62" s="212"/>
      <c r="F62" s="212"/>
      <c r="G62" s="212">
        <f t="shared" si="7"/>
        <v>0</v>
      </c>
      <c r="H62" s="212">
        <v>0</v>
      </c>
      <c r="I62" s="212">
        <f t="shared" si="14"/>
        <v>0</v>
      </c>
      <c r="J62" s="387" t="str">
        <f t="shared" si="15"/>
        <v/>
      </c>
    </row>
    <row r="63" spans="1:10">
      <c r="A63" s="264" t="s">
        <v>241</v>
      </c>
      <c r="B63" s="5" t="s">
        <v>164</v>
      </c>
      <c r="C63" s="158" t="s">
        <v>156</v>
      </c>
      <c r="D63" s="200">
        <f>1439885-732-1</f>
        <v>1439152</v>
      </c>
      <c r="E63" s="200">
        <v>45273</v>
      </c>
      <c r="F63" s="200">
        <v>-16348</v>
      </c>
      <c r="G63" s="200">
        <f t="shared" si="7"/>
        <v>1468077</v>
      </c>
      <c r="H63" s="200">
        <v>1487901</v>
      </c>
      <c r="I63" s="200">
        <f t="shared" si="14"/>
        <v>19824</v>
      </c>
      <c r="J63" s="375">
        <f t="shared" si="15"/>
        <v>1.3503378909961807E-2</v>
      </c>
    </row>
    <row r="64" spans="1:10">
      <c r="A64" s="264"/>
      <c r="C64" s="134" t="s">
        <v>80</v>
      </c>
      <c r="D64" s="201">
        <v>796740</v>
      </c>
      <c r="E64" s="201">
        <v>33836</v>
      </c>
      <c r="F64" s="424">
        <v>-12275</v>
      </c>
      <c r="G64" s="201">
        <f t="shared" si="7"/>
        <v>818301</v>
      </c>
      <c r="H64" s="201">
        <v>829476</v>
      </c>
      <c r="I64" s="201">
        <f t="shared" si="14"/>
        <v>11175</v>
      </c>
      <c r="J64" s="376">
        <f t="shared" si="15"/>
        <v>1.3656344059215375E-2</v>
      </c>
    </row>
    <row r="65" spans="1:10">
      <c r="A65" s="264"/>
      <c r="C65" s="228"/>
      <c r="D65" s="204"/>
      <c r="E65" s="204"/>
      <c r="F65" s="204"/>
      <c r="G65" s="204">
        <f t="shared" si="7"/>
        <v>0</v>
      </c>
      <c r="H65" s="204">
        <v>0</v>
      </c>
      <c r="I65" s="204">
        <f t="shared" si="14"/>
        <v>0</v>
      </c>
      <c r="J65" s="385" t="str">
        <f t="shared" si="15"/>
        <v/>
      </c>
    </row>
    <row r="66" spans="1:10" ht="25.5">
      <c r="A66" s="264" t="s">
        <v>225</v>
      </c>
      <c r="B66" s="5" t="s">
        <v>164</v>
      </c>
      <c r="C66" s="194" t="s">
        <v>157</v>
      </c>
      <c r="D66" s="214">
        <v>36000</v>
      </c>
      <c r="E66" s="214"/>
      <c r="F66" s="214">
        <v>10000</v>
      </c>
      <c r="G66" s="214">
        <f t="shared" si="7"/>
        <v>46000</v>
      </c>
      <c r="H66" s="214">
        <v>36000</v>
      </c>
      <c r="I66" s="214">
        <f t="shared" si="14"/>
        <v>-10000</v>
      </c>
      <c r="J66" s="382">
        <f t="shared" si="15"/>
        <v>-0.21739130434782608</v>
      </c>
    </row>
    <row r="67" spans="1:10">
      <c r="A67" s="264"/>
      <c r="C67" s="228"/>
      <c r="D67" s="204"/>
      <c r="E67" s="204"/>
      <c r="F67" s="204"/>
      <c r="G67" s="204">
        <f t="shared" si="7"/>
        <v>0</v>
      </c>
      <c r="H67" s="204">
        <v>0</v>
      </c>
      <c r="I67" s="204">
        <f t="shared" si="14"/>
        <v>0</v>
      </c>
      <c r="J67" s="385" t="str">
        <f t="shared" si="15"/>
        <v/>
      </c>
    </row>
    <row r="68" spans="1:10">
      <c r="A68" s="264" t="s">
        <v>225</v>
      </c>
      <c r="B68" s="5" t="s">
        <v>164</v>
      </c>
      <c r="C68" s="194" t="s">
        <v>145</v>
      </c>
      <c r="D68" s="214"/>
      <c r="E68" s="214"/>
      <c r="F68" s="214"/>
      <c r="G68" s="214">
        <f t="shared" si="7"/>
        <v>0</v>
      </c>
      <c r="H68" s="214">
        <v>5000</v>
      </c>
      <c r="I68" s="214">
        <f t="shared" si="14"/>
        <v>5000</v>
      </c>
      <c r="J68" s="382" t="str">
        <f t="shared" si="15"/>
        <v/>
      </c>
    </row>
    <row r="69" spans="1:10">
      <c r="A69" s="264"/>
      <c r="C69" s="194"/>
      <c r="D69" s="214"/>
      <c r="E69" s="214"/>
      <c r="F69" s="214">
        <v>0</v>
      </c>
      <c r="G69" s="214">
        <f t="shared" si="7"/>
        <v>0</v>
      </c>
      <c r="H69" s="214">
        <v>0</v>
      </c>
      <c r="I69" s="214">
        <f t="shared" si="14"/>
        <v>0</v>
      </c>
      <c r="J69" s="382" t="str">
        <f t="shared" si="15"/>
        <v/>
      </c>
    </row>
    <row r="70" spans="1:10">
      <c r="A70" s="264" t="s">
        <v>244</v>
      </c>
      <c r="B70" s="5" t="s">
        <v>164</v>
      </c>
      <c r="C70" s="194" t="s">
        <v>158</v>
      </c>
      <c r="D70" s="214">
        <v>20000</v>
      </c>
      <c r="E70" s="214"/>
      <c r="F70" s="214">
        <v>0</v>
      </c>
      <c r="G70" s="214">
        <f t="shared" si="7"/>
        <v>20000</v>
      </c>
      <c r="H70" s="214">
        <v>20000</v>
      </c>
      <c r="I70" s="214">
        <f t="shared" si="14"/>
        <v>0</v>
      </c>
      <c r="J70" s="382">
        <f t="shared" si="15"/>
        <v>0</v>
      </c>
    </row>
    <row r="71" spans="1:10">
      <c r="A71" s="264"/>
      <c r="C71" s="167"/>
      <c r="D71" s="157"/>
      <c r="E71" s="157"/>
      <c r="F71" s="157">
        <v>0</v>
      </c>
      <c r="G71" s="157">
        <f t="shared" si="7"/>
        <v>0</v>
      </c>
      <c r="H71" s="157">
        <v>0</v>
      </c>
      <c r="I71" s="157">
        <f t="shared" si="14"/>
        <v>0</v>
      </c>
      <c r="J71" s="377" t="str">
        <f t="shared" si="15"/>
        <v/>
      </c>
    </row>
    <row r="72" spans="1:10">
      <c r="A72" s="264" t="s">
        <v>232</v>
      </c>
      <c r="B72" s="5" t="s">
        <v>164</v>
      </c>
      <c r="C72" s="162" t="s">
        <v>152</v>
      </c>
      <c r="D72" s="206">
        <f>66000+16100</f>
        <v>82100</v>
      </c>
      <c r="E72" s="206"/>
      <c r="F72" s="206">
        <v>0</v>
      </c>
      <c r="G72" s="206">
        <f t="shared" si="7"/>
        <v>82100</v>
      </c>
      <c r="H72" s="206">
        <v>94384</v>
      </c>
      <c r="I72" s="206">
        <f t="shared" si="14"/>
        <v>12284</v>
      </c>
      <c r="J72" s="378">
        <f t="shared" si="15"/>
        <v>0.14962241169305723</v>
      </c>
    </row>
    <row r="73" spans="1:10">
      <c r="A73" s="264"/>
      <c r="C73" s="134" t="s">
        <v>80</v>
      </c>
      <c r="D73" s="201">
        <v>12000</v>
      </c>
      <c r="E73" s="201"/>
      <c r="F73" s="424">
        <v>0</v>
      </c>
      <c r="G73" s="201">
        <f t="shared" si="7"/>
        <v>12000</v>
      </c>
      <c r="H73" s="201">
        <v>12960</v>
      </c>
      <c r="I73" s="201">
        <f t="shared" si="14"/>
        <v>960</v>
      </c>
      <c r="J73" s="376">
        <f t="shared" si="15"/>
        <v>0.08</v>
      </c>
    </row>
    <row r="74" spans="1:10">
      <c r="A74" s="264"/>
      <c r="C74" s="162"/>
      <c r="D74" s="206"/>
      <c r="E74" s="206"/>
      <c r="F74" s="206">
        <v>0</v>
      </c>
      <c r="G74" s="206">
        <f t="shared" si="7"/>
        <v>0</v>
      </c>
      <c r="H74" s="206">
        <v>0</v>
      </c>
      <c r="I74" s="206">
        <f t="shared" si="14"/>
        <v>0</v>
      </c>
      <c r="J74" s="378" t="str">
        <f t="shared" si="15"/>
        <v/>
      </c>
    </row>
    <row r="75" spans="1:10">
      <c r="A75" s="264" t="s">
        <v>236</v>
      </c>
      <c r="B75" s="5" t="s">
        <v>164</v>
      </c>
      <c r="C75" s="149" t="s">
        <v>159</v>
      </c>
      <c r="D75" s="202">
        <v>2100</v>
      </c>
      <c r="E75" s="202"/>
      <c r="F75" s="202">
        <v>-465</v>
      </c>
      <c r="G75" s="202">
        <f t="shared" si="7"/>
        <v>1635</v>
      </c>
      <c r="H75" s="202">
        <v>1100</v>
      </c>
      <c r="I75" s="202">
        <f t="shared" si="14"/>
        <v>-535</v>
      </c>
      <c r="J75" s="328">
        <f t="shared" si="15"/>
        <v>-0.327217125382263</v>
      </c>
    </row>
    <row r="76" spans="1:10">
      <c r="A76" s="264"/>
      <c r="C76" s="170"/>
      <c r="D76" s="188"/>
      <c r="E76" s="188"/>
      <c r="F76" s="188">
        <v>0</v>
      </c>
      <c r="G76" s="188">
        <f t="shared" si="7"/>
        <v>0</v>
      </c>
      <c r="H76" s="188">
        <v>0</v>
      </c>
      <c r="I76" s="188">
        <f t="shared" si="14"/>
        <v>0</v>
      </c>
      <c r="J76" s="328" t="str">
        <f t="shared" si="15"/>
        <v/>
      </c>
    </row>
    <row r="77" spans="1:10">
      <c r="A77" s="264" t="s">
        <v>236</v>
      </c>
      <c r="B77" s="5" t="s">
        <v>164</v>
      </c>
      <c r="C77" s="149" t="s">
        <v>147</v>
      </c>
      <c r="D77" s="202">
        <v>94080</v>
      </c>
      <c r="E77" s="202"/>
      <c r="F77" s="202">
        <v>-530</v>
      </c>
      <c r="G77" s="202">
        <f t="shared" si="7"/>
        <v>93550</v>
      </c>
      <c r="H77" s="202">
        <v>75000</v>
      </c>
      <c r="I77" s="202">
        <f t="shared" si="14"/>
        <v>-18550</v>
      </c>
      <c r="J77" s="328">
        <f t="shared" si="15"/>
        <v>-0.19828968466060931</v>
      </c>
    </row>
    <row r="78" spans="1:10">
      <c r="A78" s="264"/>
      <c r="C78" s="149"/>
      <c r="D78" s="202"/>
      <c r="E78" s="202"/>
      <c r="F78" s="202">
        <v>0</v>
      </c>
      <c r="G78" s="202">
        <f t="shared" si="7"/>
        <v>0</v>
      </c>
      <c r="H78" s="202">
        <v>0</v>
      </c>
      <c r="I78" s="202">
        <f t="shared" si="14"/>
        <v>0</v>
      </c>
      <c r="J78" s="328" t="str">
        <f t="shared" si="15"/>
        <v/>
      </c>
    </row>
    <row r="79" spans="1:10">
      <c r="A79" s="264" t="s">
        <v>236</v>
      </c>
      <c r="B79" s="5" t="s">
        <v>164</v>
      </c>
      <c r="C79" s="162" t="s">
        <v>195</v>
      </c>
      <c r="D79" s="206">
        <v>128000</v>
      </c>
      <c r="E79" s="206">
        <v>931</v>
      </c>
      <c r="F79" s="206">
        <v>11000</v>
      </c>
      <c r="G79" s="206">
        <f t="shared" si="7"/>
        <v>139931</v>
      </c>
      <c r="H79" s="206">
        <v>131861</v>
      </c>
      <c r="I79" s="206">
        <f t="shared" si="14"/>
        <v>-8070</v>
      </c>
      <c r="J79" s="378">
        <f t="shared" si="15"/>
        <v>-5.76712808455596E-2</v>
      </c>
    </row>
    <row r="80" spans="1:10">
      <c r="A80" s="264"/>
      <c r="C80" s="171" t="s">
        <v>80</v>
      </c>
      <c r="D80" s="203">
        <v>53730</v>
      </c>
      <c r="E80" s="203">
        <v>696</v>
      </c>
      <c r="F80" s="203">
        <v>0</v>
      </c>
      <c r="G80" s="203">
        <f t="shared" ref="G80:G84" si="16">SUM(D80:F80)</f>
        <v>54426</v>
      </c>
      <c r="H80" s="203">
        <v>54426</v>
      </c>
      <c r="I80" s="203">
        <f t="shared" si="14"/>
        <v>0</v>
      </c>
      <c r="J80" s="379">
        <f t="shared" si="15"/>
        <v>0</v>
      </c>
    </row>
    <row r="81" spans="1:10">
      <c r="A81" s="264"/>
      <c r="C81" s="162"/>
      <c r="D81" s="206"/>
      <c r="E81" s="206"/>
      <c r="F81" s="206">
        <v>0</v>
      </c>
      <c r="G81" s="206">
        <f t="shared" si="16"/>
        <v>0</v>
      </c>
      <c r="H81" s="206">
        <v>0</v>
      </c>
      <c r="I81" s="206">
        <f t="shared" si="14"/>
        <v>0</v>
      </c>
      <c r="J81" s="378" t="str">
        <f t="shared" si="15"/>
        <v/>
      </c>
    </row>
    <row r="82" spans="1:10">
      <c r="A82" s="264" t="s">
        <v>260</v>
      </c>
      <c r="B82" s="5" t="s">
        <v>164</v>
      </c>
      <c r="C82" s="149" t="s">
        <v>160</v>
      </c>
      <c r="D82" s="202">
        <v>20000</v>
      </c>
      <c r="E82" s="202"/>
      <c r="F82" s="202">
        <v>-10000</v>
      </c>
      <c r="G82" s="202">
        <f t="shared" si="16"/>
        <v>10000</v>
      </c>
      <c r="H82" s="202">
        <v>20000</v>
      </c>
      <c r="I82" s="202">
        <f t="shared" si="14"/>
        <v>10000</v>
      </c>
      <c r="J82" s="328">
        <f t="shared" si="15"/>
        <v>1</v>
      </c>
    </row>
    <row r="83" spans="1:10">
      <c r="A83" s="264"/>
      <c r="C83" s="149"/>
      <c r="D83" s="202"/>
      <c r="E83" s="202"/>
      <c r="F83" s="202"/>
      <c r="G83" s="202">
        <f t="shared" si="16"/>
        <v>0</v>
      </c>
      <c r="H83" s="202">
        <v>0</v>
      </c>
      <c r="I83" s="202">
        <f t="shared" si="14"/>
        <v>0</v>
      </c>
      <c r="J83" s="328" t="str">
        <f t="shared" si="15"/>
        <v/>
      </c>
    </row>
    <row r="84" spans="1:10">
      <c r="A84" s="264"/>
      <c r="C84" s="149"/>
      <c r="D84" s="202"/>
      <c r="E84" s="202"/>
      <c r="F84" s="202"/>
      <c r="G84" s="202">
        <f t="shared" si="16"/>
        <v>0</v>
      </c>
      <c r="H84" s="202">
        <v>0</v>
      </c>
      <c r="I84" s="202">
        <f t="shared" si="14"/>
        <v>0</v>
      </c>
      <c r="J84" s="328" t="str">
        <f t="shared" si="15"/>
        <v/>
      </c>
    </row>
  </sheetData>
  <autoFilter ref="C4:J84"/>
  <mergeCells count="2">
    <mergeCell ref="D3:G3"/>
    <mergeCell ref="I3:J3"/>
  </mergeCells>
  <phoneticPr fontId="33" type="noConversion"/>
  <printOptions gridLines="1"/>
  <pageMargins left="0.78740157480314965" right="0.27559055118110237" top="0.47244094488188981" bottom="0.98425196850393704" header="0.51181102362204722" footer="0.51181102362204722"/>
  <pageSetup paperSize="9" scale="70" fitToHeight="70" orientation="landscape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2"/>
  <sheetViews>
    <sheetView topLeftCell="B1" zoomScaleNormal="100" workbookViewId="0">
      <selection activeCell="B1" sqref="B1"/>
    </sheetView>
  </sheetViews>
  <sheetFormatPr defaultColWidth="9.140625" defaultRowHeight="12.75"/>
  <cols>
    <col min="1" max="1" width="9.140625" style="494" hidden="1" customWidth="1"/>
    <col min="2" max="2" width="61.5703125" style="497" customWidth="1"/>
    <col min="3" max="3" width="7.5703125" style="494" customWidth="1"/>
    <col min="4" max="5" width="12.42578125" style="494" bestFit="1" customWidth="1"/>
    <col min="6" max="6" width="12.42578125" style="495" bestFit="1" customWidth="1"/>
    <col min="7" max="7" width="11.140625" style="494" bestFit="1" customWidth="1"/>
    <col min="8" max="17" width="9.140625" style="494" customWidth="1"/>
    <col min="18" max="16384" width="9.140625" style="494"/>
  </cols>
  <sheetData>
    <row r="2" spans="1:7" ht="15">
      <c r="B2" s="496" t="s">
        <v>525</v>
      </c>
      <c r="D2" s="497"/>
      <c r="E2" s="497"/>
      <c r="F2" s="572"/>
    </row>
    <row r="3" spans="1:7" ht="12.75" customHeight="1">
      <c r="B3" s="496"/>
      <c r="E3" s="498"/>
      <c r="F3" s="573"/>
    </row>
    <row r="4" spans="1:7">
      <c r="B4" s="499"/>
      <c r="E4" s="500" t="s">
        <v>12</v>
      </c>
      <c r="F4" s="574"/>
    </row>
    <row r="5" spans="1:7" ht="25.5" customHeight="1">
      <c r="A5" s="501" t="s">
        <v>439</v>
      </c>
      <c r="B5" s="502" t="s">
        <v>440</v>
      </c>
      <c r="C5" s="503" t="s">
        <v>441</v>
      </c>
      <c r="D5" s="504" t="s">
        <v>442</v>
      </c>
      <c r="E5" s="505">
        <v>2019</v>
      </c>
      <c r="F5" s="575" t="s">
        <v>526</v>
      </c>
    </row>
    <row r="6" spans="1:7">
      <c r="A6" s="497"/>
      <c r="B6" s="506" t="s">
        <v>421</v>
      </c>
      <c r="C6" s="507" t="s">
        <v>85</v>
      </c>
      <c r="D6" s="508">
        <f>D13+D40+D79+D88+D100+D104+D117+D120+D126+D159+D166+D244+D246</f>
        <v>537517237</v>
      </c>
      <c r="E6" s="508">
        <f>E13+E40+E79+E88+E100+E104+E117+E120+E126+E159+E166+E244+E246</f>
        <v>135421256</v>
      </c>
      <c r="F6" s="576"/>
      <c r="G6" s="497"/>
    </row>
    <row r="7" spans="1:7">
      <c r="A7" s="497">
        <f>SUM(A13:A251)</f>
        <v>2880325</v>
      </c>
      <c r="B7" s="506" t="s">
        <v>443</v>
      </c>
      <c r="C7" s="507" t="s">
        <v>85</v>
      </c>
      <c r="D7" s="508">
        <f ca="1">SUM(D8:D12)</f>
        <v>537517237</v>
      </c>
      <c r="E7" s="508">
        <f t="shared" ref="E7" ca="1" si="0">SUM(E8:E12)</f>
        <v>135421256</v>
      </c>
      <c r="F7" s="576"/>
      <c r="G7" s="497"/>
    </row>
    <row r="8" spans="1:7">
      <c r="B8" s="509" t="s">
        <v>82</v>
      </c>
      <c r="C8" s="510" t="s">
        <v>7</v>
      </c>
      <c r="D8" s="511">
        <f ca="1">SUMIF($C$13:D$251,$C8,D$13:D$251)-D169-D211</f>
        <v>412258836</v>
      </c>
      <c r="E8" s="511">
        <f ca="1">SUMIF($C$13:E$251,$C8,E$13:E$251)-E169-E211</f>
        <v>101702841</v>
      </c>
      <c r="F8" s="577"/>
      <c r="G8" s="497"/>
    </row>
    <row r="9" spans="1:7">
      <c r="B9" s="509"/>
      <c r="C9" s="510" t="s">
        <v>109</v>
      </c>
      <c r="D9" s="511">
        <f ca="1">SUMIF($C$13:D$251,$C9,D$13:D$251)</f>
        <v>298504</v>
      </c>
      <c r="E9" s="511">
        <f ca="1">SUMIF($C$13:E$251,$C9,E$13:E$251)</f>
        <v>298504</v>
      </c>
      <c r="F9" s="577"/>
      <c r="G9" s="497"/>
    </row>
    <row r="10" spans="1:7">
      <c r="B10" s="509"/>
      <c r="C10" s="510" t="s">
        <v>8</v>
      </c>
      <c r="D10" s="511">
        <f ca="1">SUMIF($C$13:D$251,$C10,D$13:D$251)</f>
        <v>65289150</v>
      </c>
      <c r="E10" s="511">
        <f ca="1">SUMIF($C$13:E$251,$C10,E$13:E$251)</f>
        <v>12888223</v>
      </c>
      <c r="F10" s="577"/>
      <c r="G10" s="497"/>
    </row>
    <row r="11" spans="1:7">
      <c r="B11" s="509"/>
      <c r="C11" s="510" t="s">
        <v>105</v>
      </c>
      <c r="D11" s="511">
        <f ca="1">SUMIF($C$13:D$251,$C11,D$13:D$251)-D170</f>
        <v>3000121</v>
      </c>
      <c r="E11" s="511">
        <f ca="1">SUMIF($C$13:E$251,$C11,E$13:E$251)-E170</f>
        <v>1852053</v>
      </c>
      <c r="F11" s="577"/>
      <c r="G11" s="497"/>
    </row>
    <row r="12" spans="1:7">
      <c r="B12" s="512"/>
      <c r="C12" s="510" t="s">
        <v>83</v>
      </c>
      <c r="D12" s="511">
        <f ca="1">SUMIF($C$13:D$251,$C12,D$13:D$251)-D171-D212</f>
        <v>56670626</v>
      </c>
      <c r="E12" s="511">
        <f ca="1">SUMIF($C$13:E$251,$C12,E$13:E$251)-E171-E212</f>
        <v>18679635</v>
      </c>
      <c r="F12" s="577"/>
      <c r="G12" s="497"/>
    </row>
    <row r="13" spans="1:7">
      <c r="B13" s="401" t="s">
        <v>263</v>
      </c>
      <c r="C13" s="401" t="s">
        <v>85</v>
      </c>
      <c r="D13" s="513">
        <f>D28+D24+D25+D26+D14+D15+D18+D19+D20+D21+D22+D27</f>
        <v>91509995</v>
      </c>
      <c r="E13" s="513">
        <f>E28+E24+E25+E26+E14+E15+E18+E19+E20+E21+E22+E27</f>
        <v>45041355</v>
      </c>
      <c r="F13" s="578"/>
      <c r="G13" s="497"/>
    </row>
    <row r="14" spans="1:7">
      <c r="B14" s="689" t="s">
        <v>363</v>
      </c>
      <c r="C14" s="690" t="s">
        <v>7</v>
      </c>
      <c r="D14" s="692">
        <v>14000000</v>
      </c>
      <c r="E14" s="692">
        <f>14000000-1500000-138695+38999-38999</f>
        <v>12361305</v>
      </c>
      <c r="F14" s="693" t="s">
        <v>302</v>
      </c>
      <c r="G14" s="497"/>
    </row>
    <row r="15" spans="1:7">
      <c r="B15" s="668" t="s">
        <v>444</v>
      </c>
      <c r="C15" s="669" t="s">
        <v>85</v>
      </c>
      <c r="D15" s="670">
        <f>D16+D17</f>
        <v>11780000</v>
      </c>
      <c r="E15" s="670">
        <f>E16+E17</f>
        <v>9000000</v>
      </c>
      <c r="F15" s="671" t="s">
        <v>303</v>
      </c>
      <c r="G15" s="497"/>
    </row>
    <row r="16" spans="1:7">
      <c r="B16" s="426"/>
      <c r="C16" s="514" t="s">
        <v>7</v>
      </c>
      <c r="D16" s="515">
        <v>5780000</v>
      </c>
      <c r="E16" s="515">
        <v>3000000</v>
      </c>
      <c r="F16" s="580"/>
      <c r="G16" s="497"/>
    </row>
    <row r="17" spans="2:7" ht="22.5" customHeight="1">
      <c r="B17" s="433"/>
      <c r="C17" s="514" t="s">
        <v>8</v>
      </c>
      <c r="D17" s="515">
        <v>6000000</v>
      </c>
      <c r="E17" s="515">
        <v>6000000</v>
      </c>
      <c r="F17" s="580"/>
      <c r="G17" s="497"/>
    </row>
    <row r="18" spans="2:7">
      <c r="B18" s="737" t="s">
        <v>445</v>
      </c>
      <c r="C18" s="738" t="s">
        <v>7</v>
      </c>
      <c r="D18" s="739">
        <v>3690000</v>
      </c>
      <c r="E18" s="739">
        <v>150000</v>
      </c>
      <c r="F18" s="740" t="s">
        <v>300</v>
      </c>
      <c r="G18" s="497"/>
    </row>
    <row r="19" spans="2:7">
      <c r="B19" s="689" t="s">
        <v>304</v>
      </c>
      <c r="C19" s="690" t="s">
        <v>7</v>
      </c>
      <c r="D19" s="691">
        <v>14500000</v>
      </c>
      <c r="E19" s="692">
        <f>1000000+159280</f>
        <v>1159280</v>
      </c>
      <c r="F19" s="693" t="s">
        <v>302</v>
      </c>
      <c r="G19" s="497"/>
    </row>
    <row r="20" spans="2:7">
      <c r="B20" s="704" t="s">
        <v>446</v>
      </c>
      <c r="C20" s="705" t="s">
        <v>7</v>
      </c>
      <c r="D20" s="706">
        <v>7750000</v>
      </c>
      <c r="E20" s="707">
        <v>250000</v>
      </c>
      <c r="F20" s="708" t="s">
        <v>301</v>
      </c>
      <c r="G20" s="497"/>
    </row>
    <row r="21" spans="2:7">
      <c r="B21" s="307" t="s">
        <v>430</v>
      </c>
      <c r="C21" s="425" t="s">
        <v>7</v>
      </c>
      <c r="D21" s="308">
        <v>200000</v>
      </c>
      <c r="E21" s="308">
        <v>200000</v>
      </c>
      <c r="F21" s="579" t="s">
        <v>306</v>
      </c>
      <c r="G21" s="497"/>
    </row>
    <row r="22" spans="2:7">
      <c r="B22" s="307" t="s">
        <v>431</v>
      </c>
      <c r="C22" s="425" t="s">
        <v>7</v>
      </c>
      <c r="D22" s="515">
        <v>2010000</v>
      </c>
      <c r="E22" s="308">
        <v>2000000</v>
      </c>
      <c r="F22" s="579" t="s">
        <v>306</v>
      </c>
      <c r="G22" s="497"/>
    </row>
    <row r="23" spans="2:7" ht="22.5">
      <c r="B23" s="695" t="s">
        <v>447</v>
      </c>
      <c r="C23" s="690"/>
      <c r="D23" s="697">
        <v>1010000</v>
      </c>
      <c r="E23" s="697">
        <v>1000000</v>
      </c>
      <c r="F23" s="698" t="s">
        <v>302</v>
      </c>
      <c r="G23" s="497"/>
    </row>
    <row r="24" spans="2:7">
      <c r="B24" s="672" t="s">
        <v>448</v>
      </c>
      <c r="C24" s="669" t="s">
        <v>7</v>
      </c>
      <c r="D24" s="670">
        <v>6500000</v>
      </c>
      <c r="E24" s="670">
        <f>1500000</f>
        <v>1500000</v>
      </c>
      <c r="F24" s="671" t="s">
        <v>303</v>
      </c>
      <c r="G24" s="497"/>
    </row>
    <row r="25" spans="2:7" ht="25.5">
      <c r="B25" s="767" t="s">
        <v>378</v>
      </c>
      <c r="C25" s="768" t="s">
        <v>7</v>
      </c>
      <c r="D25" s="769">
        <v>9000000</v>
      </c>
      <c r="E25" s="769">
        <v>2000000</v>
      </c>
      <c r="F25" s="770" t="s">
        <v>307</v>
      </c>
      <c r="G25" s="497"/>
    </row>
    <row r="26" spans="2:7">
      <c r="B26" s="689" t="s">
        <v>376</v>
      </c>
      <c r="C26" s="690" t="s">
        <v>7</v>
      </c>
      <c r="D26" s="728">
        <v>3500000</v>
      </c>
      <c r="E26" s="692">
        <v>1000000</v>
      </c>
      <c r="F26" s="693" t="s">
        <v>302</v>
      </c>
      <c r="G26" s="497"/>
    </row>
    <row r="27" spans="2:7" ht="25.5">
      <c r="B27" s="307" t="s">
        <v>432</v>
      </c>
      <c r="C27" s="425" t="s">
        <v>7</v>
      </c>
      <c r="D27" s="515">
        <v>2500000</v>
      </c>
      <c r="E27" s="308">
        <v>2500000</v>
      </c>
      <c r="F27" s="579" t="s">
        <v>306</v>
      </c>
      <c r="G27" s="497"/>
    </row>
    <row r="28" spans="2:7">
      <c r="B28" s="307" t="s">
        <v>224</v>
      </c>
      <c r="C28" s="425" t="s">
        <v>85</v>
      </c>
      <c r="D28" s="511">
        <f>SUM(D38:D38)+D29+D32+D35+D39</f>
        <v>16079995</v>
      </c>
      <c r="E28" s="511">
        <f>SUM(E38:E38)+E29+E32+E35+E39</f>
        <v>12920770</v>
      </c>
      <c r="F28" s="577"/>
      <c r="G28" s="497"/>
    </row>
    <row r="29" spans="2:7">
      <c r="B29" s="600" t="s">
        <v>176</v>
      </c>
      <c r="C29" s="601" t="s">
        <v>85</v>
      </c>
      <c r="D29" s="602">
        <v>3700000</v>
      </c>
      <c r="E29" s="603">
        <f>E30+E31</f>
        <v>2700000</v>
      </c>
      <c r="F29" s="604" t="s">
        <v>305</v>
      </c>
      <c r="G29" s="497"/>
    </row>
    <row r="30" spans="2:7">
      <c r="B30" s="516"/>
      <c r="C30" s="517" t="s">
        <v>7</v>
      </c>
      <c r="D30" s="243">
        <v>1490000</v>
      </c>
      <c r="E30" s="311">
        <f>1490000-150000</f>
        <v>1340000</v>
      </c>
      <c r="F30" s="461"/>
      <c r="G30" s="497"/>
    </row>
    <row r="31" spans="2:7">
      <c r="B31" s="518"/>
      <c r="C31" s="517" t="s">
        <v>83</v>
      </c>
      <c r="D31" s="243">
        <v>2210000</v>
      </c>
      <c r="E31" s="311">
        <f>2210000-850000</f>
        <v>1360000</v>
      </c>
      <c r="F31" s="461"/>
      <c r="G31" s="497"/>
    </row>
    <row r="32" spans="2:7">
      <c r="B32" s="729" t="s">
        <v>449</v>
      </c>
      <c r="C32" s="696" t="s">
        <v>85</v>
      </c>
      <c r="D32" s="692">
        <v>2967600</v>
      </c>
      <c r="E32" s="692">
        <f>E33+E34</f>
        <v>1808375</v>
      </c>
      <c r="F32" s="693" t="s">
        <v>302</v>
      </c>
      <c r="G32" s="497"/>
    </row>
    <row r="33" spans="2:7">
      <c r="B33" s="516"/>
      <c r="C33" s="310" t="s">
        <v>7</v>
      </c>
      <c r="D33" s="311">
        <v>2532800</v>
      </c>
      <c r="E33" s="311">
        <f>1647605+149945</f>
        <v>1797550</v>
      </c>
      <c r="F33" s="461"/>
      <c r="G33" s="497"/>
    </row>
    <row r="34" spans="2:7">
      <c r="B34" s="518"/>
      <c r="C34" s="310" t="s">
        <v>83</v>
      </c>
      <c r="D34" s="311">
        <v>434800</v>
      </c>
      <c r="E34" s="311">
        <v>10825</v>
      </c>
      <c r="F34" s="461"/>
      <c r="G34" s="497"/>
    </row>
    <row r="35" spans="2:7">
      <c r="B35" s="771" t="s">
        <v>450</v>
      </c>
      <c r="C35" s="768" t="s">
        <v>85</v>
      </c>
      <c r="D35" s="772">
        <v>1981200</v>
      </c>
      <c r="E35" s="772">
        <v>981200</v>
      </c>
      <c r="F35" s="773" t="s">
        <v>307</v>
      </c>
      <c r="G35" s="497"/>
    </row>
    <row r="36" spans="2:7">
      <c r="B36" s="516"/>
      <c r="C36" s="310" t="s">
        <v>7</v>
      </c>
      <c r="D36" s="311">
        <v>1547312</v>
      </c>
      <c r="E36" s="311">
        <v>981200</v>
      </c>
      <c r="F36" s="461"/>
      <c r="G36" s="497"/>
    </row>
    <row r="37" spans="2:7">
      <c r="B37" s="518"/>
      <c r="C37" s="310" t="s">
        <v>83</v>
      </c>
      <c r="D37" s="311">
        <v>433888</v>
      </c>
      <c r="E37" s="311">
        <v>0</v>
      </c>
      <c r="F37" s="461"/>
      <c r="G37" s="497"/>
    </row>
    <row r="38" spans="2:7">
      <c r="B38" s="662" t="s">
        <v>451</v>
      </c>
      <c r="C38" s="658" t="s">
        <v>7</v>
      </c>
      <c r="D38" s="758">
        <v>60000</v>
      </c>
      <c r="E38" s="658">
        <v>60000</v>
      </c>
      <c r="F38" s="659" t="s">
        <v>308</v>
      </c>
      <c r="G38" s="497"/>
    </row>
    <row r="39" spans="2:7" ht="36.75" customHeight="1">
      <c r="B39" s="312" t="s">
        <v>452</v>
      </c>
      <c r="C39" s="310" t="s">
        <v>7</v>
      </c>
      <c r="D39" s="311">
        <v>7371195</v>
      </c>
      <c r="E39" s="311">
        <v>7371195</v>
      </c>
      <c r="F39" s="461" t="s">
        <v>306</v>
      </c>
      <c r="G39" s="497"/>
    </row>
    <row r="40" spans="2:7">
      <c r="B40" s="398" t="s">
        <v>309</v>
      </c>
      <c r="C40" s="401" t="s">
        <v>85</v>
      </c>
      <c r="D40" s="391">
        <f>D41+D50+D53+D61+D55+D49+D65+D57+D54+D78+D73+D64+D69+D46+D62+D75+D63+D45+D76+D77+D74</f>
        <v>63403534</v>
      </c>
      <c r="E40" s="391">
        <f>E41+E50+E53+E61+E55+E49+E65+E57+E54+E78+E73+E64+E69+E46+E62+E75+E63+E45+E76+E77+E74</f>
        <v>20236051</v>
      </c>
      <c r="F40" s="582"/>
      <c r="G40" s="497"/>
    </row>
    <row r="41" spans="2:7">
      <c r="B41" s="605" t="s">
        <v>364</v>
      </c>
      <c r="C41" s="606" t="s">
        <v>85</v>
      </c>
      <c r="D41" s="602">
        <f>D42+D44</f>
        <v>5116396</v>
      </c>
      <c r="E41" s="602">
        <f>E42+E44</f>
        <v>2150413</v>
      </c>
      <c r="F41" s="607" t="s">
        <v>305</v>
      </c>
      <c r="G41" s="497"/>
    </row>
    <row r="42" spans="2:7">
      <c r="B42" s="240" t="s">
        <v>82</v>
      </c>
      <c r="C42" s="517" t="s">
        <v>7</v>
      </c>
      <c r="D42" s="243">
        <f>2621945+1601</f>
        <v>2623546</v>
      </c>
      <c r="E42" s="311">
        <v>1041715</v>
      </c>
      <c r="F42" s="461"/>
      <c r="G42" s="497"/>
    </row>
    <row r="43" spans="2:7">
      <c r="B43" s="519" t="s">
        <v>80</v>
      </c>
      <c r="C43" s="517"/>
      <c r="D43" s="243"/>
      <c r="E43" s="311">
        <v>24000</v>
      </c>
      <c r="F43" s="461"/>
      <c r="G43" s="497"/>
    </row>
    <row r="44" spans="2:7">
      <c r="B44" s="433"/>
      <c r="C44" s="517" t="s">
        <v>83</v>
      </c>
      <c r="D44" s="243">
        <f>2494451-1601</f>
        <v>2492850</v>
      </c>
      <c r="E44" s="311">
        <v>1108698</v>
      </c>
      <c r="F44" s="461"/>
      <c r="G44" s="497"/>
    </row>
    <row r="45" spans="2:7">
      <c r="B45" s="608" t="s">
        <v>365</v>
      </c>
      <c r="C45" s="606" t="s">
        <v>7</v>
      </c>
      <c r="D45" s="602">
        <v>2000000</v>
      </c>
      <c r="E45" s="609">
        <v>200000</v>
      </c>
      <c r="F45" s="610" t="s">
        <v>305</v>
      </c>
      <c r="G45" s="497"/>
    </row>
    <row r="46" spans="2:7" ht="25.5">
      <c r="B46" s="605" t="s">
        <v>310</v>
      </c>
      <c r="C46" s="606" t="s">
        <v>85</v>
      </c>
      <c r="D46" s="602">
        <f>D47+D48</f>
        <v>1000165</v>
      </c>
      <c r="E46" s="602">
        <f>E47+E48</f>
        <v>439380</v>
      </c>
      <c r="F46" s="607" t="s">
        <v>305</v>
      </c>
      <c r="G46" s="497"/>
    </row>
    <row r="47" spans="2:7">
      <c r="B47" s="240" t="s">
        <v>82</v>
      </c>
      <c r="C47" s="517" t="s">
        <v>105</v>
      </c>
      <c r="D47" s="311">
        <v>150025</v>
      </c>
      <c r="E47" s="311">
        <f>49244+16663</f>
        <v>65907</v>
      </c>
      <c r="F47" s="461"/>
      <c r="G47" s="497"/>
    </row>
    <row r="48" spans="2:7">
      <c r="B48" s="433"/>
      <c r="C48" s="517" t="s">
        <v>83</v>
      </c>
      <c r="D48" s="311">
        <v>850140</v>
      </c>
      <c r="E48" s="311">
        <f>279053+94420</f>
        <v>373473</v>
      </c>
      <c r="F48" s="461"/>
      <c r="G48" s="497"/>
    </row>
    <row r="49" spans="1:7">
      <c r="B49" s="608" t="s">
        <v>311</v>
      </c>
      <c r="C49" s="606" t="s">
        <v>7</v>
      </c>
      <c r="D49" s="602">
        <v>270000</v>
      </c>
      <c r="E49" s="602">
        <v>270000</v>
      </c>
      <c r="F49" s="607" t="s">
        <v>305</v>
      </c>
      <c r="G49" s="497"/>
    </row>
    <row r="50" spans="1:7">
      <c r="B50" s="307" t="s">
        <v>312</v>
      </c>
      <c r="C50" s="425" t="s">
        <v>85</v>
      </c>
      <c r="D50" s="308">
        <f>D51+D52</f>
        <v>653158</v>
      </c>
      <c r="E50" s="308">
        <f>E51+E52</f>
        <v>653158</v>
      </c>
      <c r="F50" s="579" t="s">
        <v>306</v>
      </c>
      <c r="G50" s="497"/>
    </row>
    <row r="51" spans="1:7">
      <c r="B51" s="240" t="s">
        <v>82</v>
      </c>
      <c r="C51" s="310" t="s">
        <v>7</v>
      </c>
      <c r="D51" s="311">
        <v>280000</v>
      </c>
      <c r="E51" s="311">
        <v>280000</v>
      </c>
      <c r="F51" s="461"/>
      <c r="G51" s="497"/>
    </row>
    <row r="52" spans="1:7">
      <c r="B52" s="433"/>
      <c r="C52" s="310" t="s">
        <v>8</v>
      </c>
      <c r="D52" s="311">
        <v>373158</v>
      </c>
      <c r="E52" s="311">
        <v>373158</v>
      </c>
      <c r="F52" s="461"/>
      <c r="G52" s="497"/>
    </row>
    <row r="53" spans="1:7">
      <c r="B53" s="307" t="s">
        <v>313</v>
      </c>
      <c r="C53" s="425" t="s">
        <v>7</v>
      </c>
      <c r="D53" s="308">
        <v>15000</v>
      </c>
      <c r="E53" s="308">
        <v>15000</v>
      </c>
      <c r="F53" s="579" t="s">
        <v>306</v>
      </c>
      <c r="G53" s="497"/>
    </row>
    <row r="54" spans="1:7">
      <c r="B54" s="626" t="s">
        <v>314</v>
      </c>
      <c r="C54" s="627" t="s">
        <v>7</v>
      </c>
      <c r="D54" s="628">
        <v>676115</v>
      </c>
      <c r="E54" s="628">
        <v>225000</v>
      </c>
      <c r="F54" s="629" t="s">
        <v>299</v>
      </c>
      <c r="G54" s="497"/>
    </row>
    <row r="55" spans="1:7">
      <c r="B55" s="307" t="s">
        <v>315</v>
      </c>
      <c r="C55" s="425" t="s">
        <v>7</v>
      </c>
      <c r="D55" s="308">
        <f>D56</f>
        <v>275000</v>
      </c>
      <c r="E55" s="308">
        <f>E56</f>
        <v>75000</v>
      </c>
      <c r="F55" s="579"/>
      <c r="G55" s="497"/>
    </row>
    <row r="56" spans="1:7" ht="22.5">
      <c r="B56" s="630" t="s">
        <v>316</v>
      </c>
      <c r="C56" s="631"/>
      <c r="D56" s="632">
        <v>275000</v>
      </c>
      <c r="E56" s="632">
        <v>75000</v>
      </c>
      <c r="F56" s="633" t="s">
        <v>299</v>
      </c>
      <c r="G56" s="497"/>
    </row>
    <row r="57" spans="1:7">
      <c r="B57" s="626" t="s">
        <v>366</v>
      </c>
      <c r="C57" s="627" t="s">
        <v>85</v>
      </c>
      <c r="D57" s="628">
        <f>D58+D60</f>
        <v>28050000</v>
      </c>
      <c r="E57" s="628">
        <f>E58+E60</f>
        <v>6215000</v>
      </c>
      <c r="F57" s="629" t="s">
        <v>299</v>
      </c>
      <c r="G57" s="497"/>
    </row>
    <row r="58" spans="1:7">
      <c r="B58" s="240" t="s">
        <v>82</v>
      </c>
      <c r="C58" s="310" t="s">
        <v>7</v>
      </c>
      <c r="D58" s="520">
        <f>12175000+3700000</f>
        <v>15875000</v>
      </c>
      <c r="E58" s="311">
        <f>135000+3565000</f>
        <v>3700000</v>
      </c>
      <c r="F58" s="461"/>
      <c r="G58" s="497"/>
    </row>
    <row r="59" spans="1:7">
      <c r="B59" s="519" t="s">
        <v>80</v>
      </c>
      <c r="C59" s="310"/>
      <c r="D59" s="243"/>
      <c r="E59" s="311">
        <v>12000</v>
      </c>
      <c r="F59" s="461"/>
      <c r="G59" s="497"/>
    </row>
    <row r="60" spans="1:7">
      <c r="B60" s="433"/>
      <c r="C60" s="310" t="s">
        <v>8</v>
      </c>
      <c r="D60" s="520">
        <v>12175000</v>
      </c>
      <c r="E60" s="311">
        <f>2515000</f>
        <v>2515000</v>
      </c>
      <c r="F60" s="461"/>
      <c r="G60" s="497"/>
    </row>
    <row r="61" spans="1:7">
      <c r="B61" s="626" t="s">
        <v>226</v>
      </c>
      <c r="C61" s="627" t="s">
        <v>7</v>
      </c>
      <c r="D61" s="628">
        <v>4800000</v>
      </c>
      <c r="E61" s="634">
        <f>1000000-750000</f>
        <v>250000</v>
      </c>
      <c r="F61" s="635" t="s">
        <v>299</v>
      </c>
      <c r="G61" s="497"/>
    </row>
    <row r="62" spans="1:7">
      <c r="B62" s="626" t="s">
        <v>227</v>
      </c>
      <c r="C62" s="627" t="s">
        <v>7</v>
      </c>
      <c r="D62" s="628">
        <v>25000</v>
      </c>
      <c r="E62" s="636">
        <v>25000</v>
      </c>
      <c r="F62" s="637" t="s">
        <v>317</v>
      </c>
      <c r="G62" s="497"/>
    </row>
    <row r="63" spans="1:7">
      <c r="A63" s="497"/>
      <c r="B63" s="307" t="s">
        <v>453</v>
      </c>
      <c r="C63" s="425" t="s">
        <v>7</v>
      </c>
      <c r="D63" s="308">
        <v>250000</v>
      </c>
      <c r="E63" s="308">
        <v>100000</v>
      </c>
      <c r="F63" s="579" t="s">
        <v>306</v>
      </c>
      <c r="G63" s="497"/>
    </row>
    <row r="64" spans="1:7">
      <c r="B64" s="741" t="s">
        <v>454</v>
      </c>
      <c r="C64" s="738" t="s">
        <v>7</v>
      </c>
      <c r="D64" s="739">
        <v>36000</v>
      </c>
      <c r="E64" s="739">
        <v>36000</v>
      </c>
      <c r="F64" s="740" t="s">
        <v>300</v>
      </c>
      <c r="G64" s="497"/>
    </row>
    <row r="65" spans="1:7" s="522" customFormat="1">
      <c r="B65" s="759" t="s">
        <v>367</v>
      </c>
      <c r="C65" s="663" t="s">
        <v>85</v>
      </c>
      <c r="D65" s="656">
        <f>SUM(D66,D67,D68)</f>
        <v>7722700</v>
      </c>
      <c r="E65" s="656">
        <f>SUM(E66,E67,E68)</f>
        <v>2904600</v>
      </c>
      <c r="F65" s="657" t="s">
        <v>308</v>
      </c>
      <c r="G65" s="497"/>
    </row>
    <row r="66" spans="1:7" ht="12.75" customHeight="1">
      <c r="B66" s="397" t="s">
        <v>455</v>
      </c>
      <c r="C66" s="525" t="s">
        <v>7</v>
      </c>
      <c r="D66" s="392">
        <v>3095000</v>
      </c>
      <c r="E66" s="392">
        <v>1000000</v>
      </c>
      <c r="F66" s="459"/>
      <c r="G66" s="497"/>
    </row>
    <row r="67" spans="1:7">
      <c r="B67" s="312" t="s">
        <v>368</v>
      </c>
      <c r="C67" s="525" t="s">
        <v>7</v>
      </c>
      <c r="D67" s="526">
        <v>3350000</v>
      </c>
      <c r="E67" s="527">
        <v>1530000</v>
      </c>
      <c r="F67" s="584"/>
      <c r="G67" s="497"/>
    </row>
    <row r="68" spans="1:7" ht="22.5">
      <c r="B68" s="312" t="s">
        <v>456</v>
      </c>
      <c r="C68" s="525" t="s">
        <v>7</v>
      </c>
      <c r="D68" s="392">
        <f>510000+767700</f>
        <v>1277700</v>
      </c>
      <c r="E68" s="392">
        <f>200000+174600</f>
        <v>374600</v>
      </c>
      <c r="F68" s="459"/>
      <c r="G68" s="497"/>
    </row>
    <row r="69" spans="1:7">
      <c r="B69" s="307" t="s">
        <v>228</v>
      </c>
      <c r="C69" s="425" t="s">
        <v>7</v>
      </c>
      <c r="D69" s="393">
        <v>800000</v>
      </c>
      <c r="E69" s="393">
        <v>160000</v>
      </c>
      <c r="F69" s="581"/>
      <c r="G69" s="497"/>
    </row>
    <row r="70" spans="1:7">
      <c r="B70" s="638" t="s">
        <v>377</v>
      </c>
      <c r="C70" s="639"/>
      <c r="D70" s="640"/>
      <c r="E70" s="640"/>
      <c r="F70" s="641" t="s">
        <v>299</v>
      </c>
      <c r="G70" s="497"/>
    </row>
    <row r="71" spans="1:7">
      <c r="B71" s="642" t="s">
        <v>229</v>
      </c>
      <c r="C71" s="639"/>
      <c r="D71" s="640"/>
      <c r="E71" s="640"/>
      <c r="F71" s="641" t="s">
        <v>299</v>
      </c>
      <c r="G71" s="497"/>
    </row>
    <row r="72" spans="1:7">
      <c r="B72" s="662" t="s">
        <v>230</v>
      </c>
      <c r="C72" s="660"/>
      <c r="D72" s="661"/>
      <c r="E72" s="661"/>
      <c r="F72" s="659" t="s">
        <v>308</v>
      </c>
      <c r="G72" s="497"/>
    </row>
    <row r="73" spans="1:7">
      <c r="B73" s="689" t="s">
        <v>318</v>
      </c>
      <c r="C73" s="690" t="s">
        <v>7</v>
      </c>
      <c r="D73" s="692">
        <v>7579000</v>
      </c>
      <c r="E73" s="692">
        <v>3200000</v>
      </c>
      <c r="F73" s="693" t="s">
        <v>302</v>
      </c>
      <c r="G73" s="497"/>
    </row>
    <row r="74" spans="1:7" ht="25.5">
      <c r="A74" s="497">
        <f>E74</f>
        <v>50000</v>
      </c>
      <c r="B74" s="689" t="s">
        <v>415</v>
      </c>
      <c r="C74" s="690" t="s">
        <v>7</v>
      </c>
      <c r="D74" s="692">
        <v>50000</v>
      </c>
      <c r="E74" s="692">
        <v>50000</v>
      </c>
      <c r="F74" s="693" t="s">
        <v>302</v>
      </c>
      <c r="G74" s="497"/>
    </row>
    <row r="75" spans="1:7">
      <c r="B75" s="774" t="s">
        <v>354</v>
      </c>
      <c r="C75" s="768" t="s">
        <v>7</v>
      </c>
      <c r="D75" s="772">
        <v>3360000</v>
      </c>
      <c r="E75" s="772">
        <v>2580000</v>
      </c>
      <c r="F75" s="773" t="s">
        <v>307</v>
      </c>
      <c r="G75" s="497"/>
    </row>
    <row r="76" spans="1:7">
      <c r="B76" s="741" t="s">
        <v>457</v>
      </c>
      <c r="C76" s="738" t="s">
        <v>7</v>
      </c>
      <c r="D76" s="742">
        <v>75000</v>
      </c>
      <c r="E76" s="739">
        <v>37500</v>
      </c>
      <c r="F76" s="740" t="s">
        <v>300</v>
      </c>
      <c r="G76" s="497"/>
    </row>
    <row r="77" spans="1:7">
      <c r="B77" s="626" t="s">
        <v>458</v>
      </c>
      <c r="C77" s="627" t="s">
        <v>7</v>
      </c>
      <c r="D77" s="628">
        <v>400000</v>
      </c>
      <c r="E77" s="628">
        <v>400000</v>
      </c>
      <c r="F77" s="629" t="s">
        <v>299</v>
      </c>
      <c r="G77" s="497"/>
    </row>
    <row r="78" spans="1:7">
      <c r="B78" s="400" t="s">
        <v>459</v>
      </c>
      <c r="C78" s="425" t="s">
        <v>7</v>
      </c>
      <c r="D78" s="308">
        <v>250000</v>
      </c>
      <c r="E78" s="308">
        <v>250000</v>
      </c>
      <c r="F78" s="579" t="s">
        <v>306</v>
      </c>
      <c r="G78" s="497"/>
    </row>
    <row r="79" spans="1:7" s="522" customFormat="1">
      <c r="B79" s="398" t="s">
        <v>265</v>
      </c>
      <c r="C79" s="401" t="s">
        <v>85</v>
      </c>
      <c r="D79" s="391">
        <f>+D83+D87+D81+D82+D84+D85+D86</f>
        <v>7190554</v>
      </c>
      <c r="E79" s="391">
        <f>+E83+E87+E81+E82+E84+E85+E86</f>
        <v>2438700</v>
      </c>
      <c r="F79" s="582"/>
      <c r="G79" s="497"/>
    </row>
    <row r="80" spans="1:7" s="532" customFormat="1">
      <c r="A80" s="531">
        <f>E80</f>
        <v>1148700</v>
      </c>
      <c r="B80" s="643" t="s">
        <v>460</v>
      </c>
      <c r="C80" s="644" t="s">
        <v>85</v>
      </c>
      <c r="D80" s="628">
        <f>D81+D82</f>
        <v>5900554</v>
      </c>
      <c r="E80" s="628">
        <f>E81+E82</f>
        <v>1148700</v>
      </c>
      <c r="F80" s="629" t="s">
        <v>299</v>
      </c>
      <c r="G80" s="497"/>
    </row>
    <row r="81" spans="2:7" s="532" customFormat="1">
      <c r="B81" s="426"/>
      <c r="C81" s="517" t="s">
        <v>7</v>
      </c>
      <c r="D81" s="308">
        <v>2950277</v>
      </c>
      <c r="E81" s="308">
        <v>574350</v>
      </c>
      <c r="F81" s="579"/>
      <c r="G81" s="497"/>
    </row>
    <row r="82" spans="2:7" s="533" customFormat="1">
      <c r="B82" s="433"/>
      <c r="C82" s="517" t="s">
        <v>8</v>
      </c>
      <c r="D82" s="308">
        <v>2950277</v>
      </c>
      <c r="E82" s="308">
        <v>574350</v>
      </c>
      <c r="F82" s="579"/>
      <c r="G82" s="497"/>
    </row>
    <row r="83" spans="2:7" s="533" customFormat="1" ht="12.6" customHeight="1">
      <c r="B83" s="307" t="s">
        <v>319</v>
      </c>
      <c r="C83" s="523" t="s">
        <v>7</v>
      </c>
      <c r="D83" s="308">
        <v>450000</v>
      </c>
      <c r="E83" s="308">
        <v>450000</v>
      </c>
      <c r="F83" s="579" t="s">
        <v>306</v>
      </c>
      <c r="G83" s="497"/>
    </row>
    <row r="84" spans="2:7" s="533" customFormat="1" ht="12.75" customHeight="1">
      <c r="B84" s="709" t="s">
        <v>411</v>
      </c>
      <c r="C84" s="710" t="s">
        <v>7</v>
      </c>
      <c r="D84" s="711">
        <v>120000</v>
      </c>
      <c r="E84" s="712">
        <v>120000</v>
      </c>
      <c r="F84" s="713" t="s">
        <v>301</v>
      </c>
      <c r="G84" s="497"/>
    </row>
    <row r="85" spans="2:7" s="532" customFormat="1">
      <c r="B85" s="741" t="s">
        <v>403</v>
      </c>
      <c r="C85" s="743" t="s">
        <v>7</v>
      </c>
      <c r="D85" s="742">
        <v>220000</v>
      </c>
      <c r="E85" s="744">
        <v>220000</v>
      </c>
      <c r="F85" s="745" t="s">
        <v>300</v>
      </c>
      <c r="G85" s="497"/>
    </row>
    <row r="86" spans="2:7" s="532" customFormat="1">
      <c r="B86" s="307" t="s">
        <v>416</v>
      </c>
      <c r="C86" s="534" t="s">
        <v>7</v>
      </c>
      <c r="D86" s="432">
        <f>100000+100000</f>
        <v>200000</v>
      </c>
      <c r="E86" s="432">
        <f>100000+100000</f>
        <v>200000</v>
      </c>
      <c r="F86" s="586" t="s">
        <v>306</v>
      </c>
      <c r="G86" s="497"/>
    </row>
    <row r="87" spans="2:7" s="532" customFormat="1">
      <c r="B87" s="307" t="s">
        <v>461</v>
      </c>
      <c r="C87" s="524" t="s">
        <v>7</v>
      </c>
      <c r="D87" s="308">
        <v>300000</v>
      </c>
      <c r="E87" s="308">
        <v>300000</v>
      </c>
      <c r="F87" s="579" t="s">
        <v>306</v>
      </c>
      <c r="G87" s="497"/>
    </row>
    <row r="88" spans="2:7" s="532" customFormat="1">
      <c r="B88" s="401" t="s">
        <v>144</v>
      </c>
      <c r="C88" s="401" t="s">
        <v>85</v>
      </c>
      <c r="D88" s="391">
        <f>D89+D92+D94+D95+D96+D93+D97+D98+D99</f>
        <v>16664180</v>
      </c>
      <c r="E88" s="391">
        <f>E89+E92+E94+E95+E96+E93+E97+E98+E99</f>
        <v>3393284</v>
      </c>
      <c r="F88" s="582"/>
      <c r="G88" s="497"/>
    </row>
    <row r="89" spans="2:7" s="533" customFormat="1">
      <c r="B89" s="307" t="s">
        <v>381</v>
      </c>
      <c r="C89" s="425" t="s">
        <v>7</v>
      </c>
      <c r="D89" s="308">
        <v>1971430</v>
      </c>
      <c r="E89" s="308">
        <v>782201</v>
      </c>
      <c r="F89" s="579"/>
      <c r="G89" s="497"/>
    </row>
    <row r="90" spans="2:7" s="533" customFormat="1">
      <c r="B90" s="775" t="s">
        <v>379</v>
      </c>
      <c r="C90" s="776"/>
      <c r="D90" s="777"/>
      <c r="E90" s="777"/>
      <c r="F90" s="778" t="s">
        <v>307</v>
      </c>
      <c r="G90" s="497"/>
    </row>
    <row r="91" spans="2:7" s="533" customFormat="1">
      <c r="B91" s="714" t="s">
        <v>380</v>
      </c>
      <c r="C91" s="715"/>
      <c r="D91" s="716"/>
      <c r="E91" s="716"/>
      <c r="F91" s="717" t="s">
        <v>301</v>
      </c>
      <c r="G91" s="497"/>
    </row>
    <row r="92" spans="2:7" s="533" customFormat="1">
      <c r="B92" s="767" t="s">
        <v>462</v>
      </c>
      <c r="C92" s="768" t="s">
        <v>7</v>
      </c>
      <c r="D92" s="772">
        <v>1720000</v>
      </c>
      <c r="E92" s="772">
        <v>1200000</v>
      </c>
      <c r="F92" s="773" t="s">
        <v>307</v>
      </c>
      <c r="G92" s="497"/>
    </row>
    <row r="93" spans="2:7" s="533" customFormat="1">
      <c r="B93" s="768" t="s">
        <v>463</v>
      </c>
      <c r="C93" s="768" t="s">
        <v>7</v>
      </c>
      <c r="D93" s="772">
        <v>965000</v>
      </c>
      <c r="E93" s="772">
        <v>150000</v>
      </c>
      <c r="F93" s="773" t="s">
        <v>307</v>
      </c>
      <c r="G93" s="497"/>
    </row>
    <row r="94" spans="2:7" s="533" customFormat="1" ht="25.5">
      <c r="B94" s="689" t="s">
        <v>369</v>
      </c>
      <c r="C94" s="690" t="s">
        <v>7</v>
      </c>
      <c r="D94" s="692">
        <v>420000</v>
      </c>
      <c r="E94" s="692">
        <v>90000</v>
      </c>
      <c r="F94" s="693" t="s">
        <v>302</v>
      </c>
      <c r="G94" s="497"/>
    </row>
    <row r="95" spans="2:7" s="533" customFormat="1">
      <c r="B95" s="704" t="s">
        <v>375</v>
      </c>
      <c r="C95" s="705" t="s">
        <v>7</v>
      </c>
      <c r="D95" s="707">
        <v>2100000</v>
      </c>
      <c r="E95" s="707">
        <v>100000</v>
      </c>
      <c r="F95" s="708" t="s">
        <v>301</v>
      </c>
      <c r="G95" s="497"/>
    </row>
    <row r="96" spans="2:7" s="533" customFormat="1">
      <c r="B96" s="704" t="s">
        <v>370</v>
      </c>
      <c r="C96" s="705" t="s">
        <v>7</v>
      </c>
      <c r="D96" s="707">
        <v>7700000</v>
      </c>
      <c r="E96" s="707">
        <v>100000</v>
      </c>
      <c r="F96" s="708" t="s">
        <v>301</v>
      </c>
      <c r="G96" s="497"/>
    </row>
    <row r="97" spans="2:7" s="533" customFormat="1">
      <c r="B97" s="307" t="s">
        <v>464</v>
      </c>
      <c r="C97" s="425" t="s">
        <v>7</v>
      </c>
      <c r="D97" s="308">
        <v>500000</v>
      </c>
      <c r="E97" s="308">
        <v>500000</v>
      </c>
      <c r="F97" s="579" t="s">
        <v>306</v>
      </c>
      <c r="G97" s="497"/>
    </row>
    <row r="98" spans="2:7" s="533" customFormat="1" ht="25.5">
      <c r="B98" s="694" t="s">
        <v>465</v>
      </c>
      <c r="C98" s="730" t="s">
        <v>7</v>
      </c>
      <c r="D98" s="731">
        <v>752000</v>
      </c>
      <c r="E98" s="731">
        <v>280000</v>
      </c>
      <c r="F98" s="732" t="s">
        <v>302</v>
      </c>
      <c r="G98" s="497"/>
    </row>
    <row r="99" spans="2:7" s="533" customFormat="1">
      <c r="B99" s="760" t="s">
        <v>466</v>
      </c>
      <c r="C99" s="761" t="s">
        <v>7</v>
      </c>
      <c r="D99" s="762">
        <v>535750</v>
      </c>
      <c r="E99" s="762">
        <v>191083</v>
      </c>
      <c r="F99" s="763" t="s">
        <v>308</v>
      </c>
      <c r="G99" s="497"/>
    </row>
    <row r="100" spans="2:7" s="533" customFormat="1">
      <c r="B100" s="398" t="s">
        <v>146</v>
      </c>
      <c r="C100" s="401" t="s">
        <v>85</v>
      </c>
      <c r="D100" s="391">
        <f>D101+D102</f>
        <v>50298504</v>
      </c>
      <c r="E100" s="391">
        <f>E101+E102</f>
        <v>798504</v>
      </c>
      <c r="F100" s="582"/>
      <c r="G100" s="497"/>
    </row>
    <row r="101" spans="2:7" s="533" customFormat="1">
      <c r="B101" s="672" t="s">
        <v>321</v>
      </c>
      <c r="C101" s="669" t="s">
        <v>109</v>
      </c>
      <c r="D101" s="670">
        <f>345804-34800-12500</f>
        <v>298504</v>
      </c>
      <c r="E101" s="670">
        <f>345804-34800-12500</f>
        <v>298504</v>
      </c>
      <c r="F101" s="671" t="s">
        <v>322</v>
      </c>
      <c r="G101" s="497"/>
    </row>
    <row r="102" spans="2:7" s="533" customFormat="1">
      <c r="B102" s="704" t="s">
        <v>371</v>
      </c>
      <c r="C102" s="705" t="s">
        <v>7</v>
      </c>
      <c r="D102" s="707">
        <v>50000000</v>
      </c>
      <c r="E102" s="707">
        <v>500000</v>
      </c>
      <c r="F102" s="708" t="s">
        <v>301</v>
      </c>
      <c r="G102" s="497"/>
    </row>
    <row r="103" spans="2:7" s="533" customFormat="1">
      <c r="B103" s="528" t="s">
        <v>80</v>
      </c>
      <c r="C103" s="310"/>
      <c r="D103" s="311"/>
      <c r="E103" s="311">
        <v>12000</v>
      </c>
      <c r="F103" s="461"/>
      <c r="G103" s="497"/>
    </row>
    <row r="104" spans="2:7" s="533" customFormat="1">
      <c r="B104" s="398" t="s">
        <v>267</v>
      </c>
      <c r="C104" s="401" t="s">
        <v>85</v>
      </c>
      <c r="D104" s="391">
        <f>D105+D110+D111+D112+D113+D115+D116</f>
        <v>111488575</v>
      </c>
      <c r="E104" s="391">
        <f>E105+E110+E111+E112+E113+E115</f>
        <v>9100960</v>
      </c>
      <c r="F104" s="582"/>
      <c r="G104" s="497"/>
    </row>
    <row r="105" spans="2:7" s="533" customFormat="1">
      <c r="B105" s="426" t="s">
        <v>237</v>
      </c>
      <c r="C105" s="524" t="s">
        <v>85</v>
      </c>
      <c r="D105" s="308">
        <f>D106+D107</f>
        <v>12010369</v>
      </c>
      <c r="E105" s="308">
        <f>E106+E107</f>
        <v>3705960</v>
      </c>
      <c r="F105" s="579"/>
      <c r="G105" s="497"/>
    </row>
    <row r="106" spans="2:7" s="533" customFormat="1">
      <c r="B106" s="426"/>
      <c r="C106" s="517" t="s">
        <v>7</v>
      </c>
      <c r="D106" s="308">
        <v>10810369</v>
      </c>
      <c r="E106" s="308">
        <v>3302297</v>
      </c>
      <c r="F106" s="579"/>
      <c r="G106" s="497"/>
    </row>
    <row r="107" spans="2:7" s="533" customFormat="1">
      <c r="B107" s="433"/>
      <c r="C107" s="517" t="s">
        <v>83</v>
      </c>
      <c r="D107" s="308">
        <v>1200000</v>
      </c>
      <c r="E107" s="308">
        <v>403663</v>
      </c>
      <c r="F107" s="579"/>
      <c r="G107" s="497"/>
    </row>
    <row r="108" spans="2:7" s="533" customFormat="1">
      <c r="B108" s="779" t="s">
        <v>238</v>
      </c>
      <c r="C108" s="776"/>
      <c r="D108" s="777"/>
      <c r="E108" s="777"/>
      <c r="F108" s="778" t="s">
        <v>307</v>
      </c>
      <c r="G108" s="497"/>
    </row>
    <row r="109" spans="2:7" s="533" customFormat="1">
      <c r="B109" s="673" t="s">
        <v>372</v>
      </c>
      <c r="C109" s="674"/>
      <c r="D109" s="458"/>
      <c r="E109" s="458"/>
      <c r="F109" s="675" t="s">
        <v>303</v>
      </c>
      <c r="G109" s="497"/>
    </row>
    <row r="110" spans="2:7" s="533" customFormat="1">
      <c r="B110" s="768" t="s">
        <v>467</v>
      </c>
      <c r="C110" s="768" t="s">
        <v>7</v>
      </c>
      <c r="D110" s="772">
        <v>7500000</v>
      </c>
      <c r="E110" s="772">
        <v>4500000</v>
      </c>
      <c r="F110" s="773" t="s">
        <v>307</v>
      </c>
      <c r="G110" s="497"/>
    </row>
    <row r="111" spans="2:7" s="533" customFormat="1">
      <c r="B111" s="307" t="s">
        <v>468</v>
      </c>
      <c r="C111" s="425" t="s">
        <v>7</v>
      </c>
      <c r="D111" s="308">
        <v>595000</v>
      </c>
      <c r="E111" s="308">
        <v>595000</v>
      </c>
      <c r="F111" s="579" t="s">
        <v>306</v>
      </c>
      <c r="G111" s="497"/>
    </row>
    <row r="112" spans="2:7" s="533" customFormat="1">
      <c r="B112" s="523" t="s">
        <v>323</v>
      </c>
      <c r="C112" s="425" t="s">
        <v>7</v>
      </c>
      <c r="D112" s="308">
        <v>200000</v>
      </c>
      <c r="E112" s="308">
        <v>100000</v>
      </c>
      <c r="F112" s="579" t="s">
        <v>306</v>
      </c>
      <c r="G112" s="497"/>
    </row>
    <row r="113" spans="1:7" s="533" customFormat="1">
      <c r="B113" s="307" t="s">
        <v>324</v>
      </c>
      <c r="C113" s="425" t="s">
        <v>7</v>
      </c>
      <c r="D113" s="308">
        <v>100000</v>
      </c>
      <c r="E113" s="308">
        <v>100000</v>
      </c>
      <c r="F113" s="579" t="s">
        <v>306</v>
      </c>
      <c r="G113" s="497"/>
    </row>
    <row r="114" spans="1:7" s="533" customFormat="1">
      <c r="B114" s="780" t="s">
        <v>239</v>
      </c>
      <c r="C114" s="768"/>
      <c r="D114" s="772">
        <f>D115+D116</f>
        <v>91083206</v>
      </c>
      <c r="E114" s="772">
        <f>E115</f>
        <v>100000</v>
      </c>
      <c r="F114" s="773" t="s">
        <v>307</v>
      </c>
      <c r="G114" s="497"/>
    </row>
    <row r="115" spans="1:7" s="533" customFormat="1">
      <c r="A115" s="535">
        <f>E115</f>
        <v>100000</v>
      </c>
      <c r="B115" s="426"/>
      <c r="C115" s="514" t="s">
        <v>7</v>
      </c>
      <c r="D115" s="308">
        <v>51083206</v>
      </c>
      <c r="E115" s="308">
        <v>100000</v>
      </c>
      <c r="F115" s="579"/>
      <c r="G115" s="497"/>
    </row>
    <row r="116" spans="1:7" s="533" customFormat="1">
      <c r="A116" s="535"/>
      <c r="B116" s="433"/>
      <c r="C116" s="514" t="s">
        <v>8</v>
      </c>
      <c r="D116" s="308">
        <v>40000000</v>
      </c>
      <c r="E116" s="308">
        <v>0</v>
      </c>
      <c r="F116" s="579"/>
      <c r="G116" s="497"/>
    </row>
    <row r="117" spans="1:7" s="536" customFormat="1">
      <c r="B117" s="537" t="s">
        <v>270</v>
      </c>
      <c r="C117" s="401" t="s">
        <v>85</v>
      </c>
      <c r="D117" s="391">
        <f>D118+D119</f>
        <v>950000</v>
      </c>
      <c r="E117" s="391">
        <f>E118+E119</f>
        <v>950000</v>
      </c>
      <c r="F117" s="582"/>
      <c r="G117" s="497"/>
    </row>
    <row r="118" spans="1:7" s="536" customFormat="1">
      <c r="B118" s="307" t="s">
        <v>382</v>
      </c>
      <c r="C118" s="425" t="s">
        <v>7</v>
      </c>
      <c r="D118" s="393">
        <v>200000</v>
      </c>
      <c r="E118" s="393">
        <v>200000</v>
      </c>
      <c r="F118" s="581" t="s">
        <v>306</v>
      </c>
      <c r="G118" s="497"/>
    </row>
    <row r="119" spans="1:7" s="533" customFormat="1" ht="12.75" customHeight="1">
      <c r="A119" s="535">
        <f>E119</f>
        <v>750000</v>
      </c>
      <c r="B119" s="733" t="s">
        <v>412</v>
      </c>
      <c r="C119" s="690" t="s">
        <v>7</v>
      </c>
      <c r="D119" s="692">
        <v>750000</v>
      </c>
      <c r="E119" s="692">
        <v>750000</v>
      </c>
      <c r="F119" s="693" t="s">
        <v>302</v>
      </c>
      <c r="G119" s="497"/>
    </row>
    <row r="120" spans="1:7" s="533" customFormat="1">
      <c r="B120" s="398" t="s">
        <v>249</v>
      </c>
      <c r="C120" s="401" t="s">
        <v>85</v>
      </c>
      <c r="D120" s="391">
        <f>D121+D125</f>
        <v>562200</v>
      </c>
      <c r="E120" s="391">
        <f>E121+E125</f>
        <v>284700</v>
      </c>
      <c r="F120" s="582"/>
      <c r="G120" s="497"/>
    </row>
    <row r="121" spans="1:7" s="533" customFormat="1" ht="12.75" customHeight="1">
      <c r="B121" s="307" t="s">
        <v>325</v>
      </c>
      <c r="C121" s="425" t="s">
        <v>85</v>
      </c>
      <c r="D121" s="308">
        <f>D122+D123</f>
        <v>500000</v>
      </c>
      <c r="E121" s="308">
        <f>E122+E123</f>
        <v>222500</v>
      </c>
      <c r="F121" s="579" t="s">
        <v>306</v>
      </c>
      <c r="G121" s="497"/>
    </row>
    <row r="122" spans="1:7" s="533" customFormat="1" ht="12.75" customHeight="1">
      <c r="B122" s="240" t="s">
        <v>82</v>
      </c>
      <c r="C122" s="310" t="s">
        <v>7</v>
      </c>
      <c r="D122" s="308">
        <v>250000</v>
      </c>
      <c r="E122" s="308">
        <v>111250</v>
      </c>
      <c r="F122" s="579"/>
      <c r="G122" s="497"/>
    </row>
    <row r="123" spans="1:7" s="536" customFormat="1">
      <c r="B123" s="242"/>
      <c r="C123" s="310" t="s">
        <v>83</v>
      </c>
      <c r="D123" s="308">
        <v>250000</v>
      </c>
      <c r="E123" s="308">
        <v>111250</v>
      </c>
      <c r="F123" s="579"/>
      <c r="G123" s="497"/>
    </row>
    <row r="124" spans="1:7" s="533" customFormat="1">
      <c r="B124" s="538" t="s">
        <v>80</v>
      </c>
      <c r="C124" s="310"/>
      <c r="D124" s="243">
        <v>30000</v>
      </c>
      <c r="E124" s="311">
        <v>7500</v>
      </c>
      <c r="F124" s="461"/>
      <c r="G124" s="497"/>
    </row>
    <row r="125" spans="1:7" s="533" customFormat="1">
      <c r="B125" s="539" t="s">
        <v>404</v>
      </c>
      <c r="C125" s="425" t="s">
        <v>7</v>
      </c>
      <c r="D125" s="402">
        <v>62200</v>
      </c>
      <c r="E125" s="308">
        <v>62200</v>
      </c>
      <c r="F125" s="579" t="s">
        <v>306</v>
      </c>
      <c r="G125" s="497"/>
    </row>
    <row r="126" spans="1:7" s="533" customFormat="1">
      <c r="B126" s="398" t="s">
        <v>218</v>
      </c>
      <c r="C126" s="401" t="s">
        <v>85</v>
      </c>
      <c r="D126" s="391">
        <f>D132+D138+D141+D144+D145+D127+D151+D131+D150</f>
        <v>7371938</v>
      </c>
      <c r="E126" s="391">
        <f>E132+E138+E141+E144+E145+E127+E151+E131+E150</f>
        <v>5888425</v>
      </c>
      <c r="F126" s="582"/>
      <c r="G126" s="497"/>
    </row>
    <row r="127" spans="1:7" s="533" customFormat="1" ht="25.5">
      <c r="B127" s="307" t="s">
        <v>233</v>
      </c>
      <c r="C127" s="425" t="s">
        <v>85</v>
      </c>
      <c r="D127" s="308">
        <f>D128+D129</f>
        <v>431800</v>
      </c>
      <c r="E127" s="308">
        <f>E128+E129</f>
        <v>211800</v>
      </c>
      <c r="F127" s="579" t="s">
        <v>306</v>
      </c>
      <c r="G127" s="497"/>
    </row>
    <row r="128" spans="1:7" s="533" customFormat="1">
      <c r="B128" s="240" t="s">
        <v>82</v>
      </c>
      <c r="C128" s="310" t="s">
        <v>7</v>
      </c>
      <c r="D128" s="308">
        <v>64770</v>
      </c>
      <c r="E128" s="308">
        <v>31770</v>
      </c>
      <c r="F128" s="579"/>
      <c r="G128" s="497"/>
    </row>
    <row r="129" spans="1:7" s="533" customFormat="1" ht="12.75" customHeight="1">
      <c r="B129" s="242"/>
      <c r="C129" s="310" t="s">
        <v>83</v>
      </c>
      <c r="D129" s="308">
        <v>367030</v>
      </c>
      <c r="E129" s="308">
        <v>180030</v>
      </c>
      <c r="F129" s="579"/>
      <c r="G129" s="497"/>
    </row>
    <row r="130" spans="1:7" s="533" customFormat="1">
      <c r="B130" s="538" t="s">
        <v>80</v>
      </c>
      <c r="C130" s="310"/>
      <c r="D130" s="243">
        <v>37000</v>
      </c>
      <c r="E130" s="311">
        <v>18200</v>
      </c>
      <c r="F130" s="461"/>
      <c r="G130" s="497"/>
    </row>
    <row r="131" spans="1:7" s="533" customFormat="1">
      <c r="B131" s="645" t="s">
        <v>429</v>
      </c>
      <c r="C131" s="627" t="s">
        <v>7</v>
      </c>
      <c r="D131" s="646">
        <v>200000</v>
      </c>
      <c r="E131" s="628">
        <v>200000</v>
      </c>
      <c r="F131" s="629" t="s">
        <v>299</v>
      </c>
      <c r="G131" s="497"/>
    </row>
    <row r="132" spans="1:7" s="533" customFormat="1">
      <c r="B132" s="523" t="s">
        <v>469</v>
      </c>
      <c r="C132" s="524" t="s">
        <v>7</v>
      </c>
      <c r="D132" s="308">
        <v>1255000</v>
      </c>
      <c r="E132" s="308">
        <v>1235000</v>
      </c>
      <c r="F132" s="579"/>
      <c r="G132" s="497"/>
    </row>
    <row r="133" spans="1:7" s="533" customFormat="1">
      <c r="B133" s="746" t="s">
        <v>470</v>
      </c>
      <c r="C133" s="747"/>
      <c r="D133" s="748"/>
      <c r="E133" s="749"/>
      <c r="F133" s="750" t="s">
        <v>300</v>
      </c>
      <c r="G133" s="497"/>
    </row>
    <row r="134" spans="1:7" s="533" customFormat="1">
      <c r="B134" s="700" t="s">
        <v>471</v>
      </c>
      <c r="C134" s="696"/>
      <c r="D134" s="697"/>
      <c r="E134" s="697"/>
      <c r="F134" s="698" t="s">
        <v>302</v>
      </c>
      <c r="G134" s="497"/>
    </row>
    <row r="135" spans="1:7" s="533" customFormat="1">
      <c r="B135" s="781" t="s">
        <v>472</v>
      </c>
      <c r="C135" s="776"/>
      <c r="D135" s="777"/>
      <c r="E135" s="777"/>
      <c r="F135" s="778" t="s">
        <v>307</v>
      </c>
      <c r="G135" s="497"/>
    </row>
    <row r="136" spans="1:7" s="533" customFormat="1">
      <c r="B136" s="611" t="s">
        <v>473</v>
      </c>
      <c r="C136" s="601"/>
      <c r="D136" s="451"/>
      <c r="E136" s="451"/>
      <c r="F136" s="612" t="s">
        <v>305</v>
      </c>
      <c r="G136" s="497"/>
    </row>
    <row r="137" spans="1:7" s="533" customFormat="1">
      <c r="B137" s="700" t="s">
        <v>373</v>
      </c>
      <c r="C137" s="696"/>
      <c r="D137" s="697"/>
      <c r="E137" s="697"/>
      <c r="F137" s="698" t="s">
        <v>302</v>
      </c>
      <c r="G137" s="497"/>
    </row>
    <row r="138" spans="1:7" s="536" customFormat="1">
      <c r="B138" s="307" t="s">
        <v>474</v>
      </c>
      <c r="C138" s="524" t="s">
        <v>7</v>
      </c>
      <c r="D138" s="308">
        <v>135000</v>
      </c>
      <c r="E138" s="308">
        <v>135000</v>
      </c>
      <c r="F138" s="579"/>
      <c r="G138" s="497"/>
    </row>
    <row r="139" spans="1:7" s="533" customFormat="1">
      <c r="B139" s="718" t="s">
        <v>475</v>
      </c>
      <c r="C139" s="719"/>
      <c r="D139" s="720"/>
      <c r="E139" s="720"/>
      <c r="F139" s="721" t="s">
        <v>301</v>
      </c>
      <c r="G139" s="497"/>
    </row>
    <row r="140" spans="1:7" s="533" customFormat="1">
      <c r="A140" s="497"/>
      <c r="B140" s="787" t="s">
        <v>476</v>
      </c>
      <c r="C140" s="788"/>
      <c r="D140" s="789"/>
      <c r="E140" s="789"/>
      <c r="F140" s="790" t="s">
        <v>326</v>
      </c>
      <c r="G140" s="497"/>
    </row>
    <row r="141" spans="1:7" s="533" customFormat="1">
      <c r="B141" s="523" t="s">
        <v>234</v>
      </c>
      <c r="C141" s="425" t="s">
        <v>7</v>
      </c>
      <c r="D141" s="308">
        <f>SUM(D142:D143)</f>
        <v>1696800</v>
      </c>
      <c r="E141" s="308">
        <f>SUM(E142:E143)</f>
        <v>1450000</v>
      </c>
      <c r="F141" s="579"/>
      <c r="G141" s="497"/>
    </row>
    <row r="142" spans="1:7" s="533" customFormat="1">
      <c r="B142" s="647" t="s">
        <v>477</v>
      </c>
      <c r="C142" s="631"/>
      <c r="D142" s="632">
        <v>1246800</v>
      </c>
      <c r="E142" s="632">
        <v>1000000</v>
      </c>
      <c r="F142" s="633" t="s">
        <v>299</v>
      </c>
      <c r="G142" s="497"/>
    </row>
    <row r="143" spans="1:7" s="533" customFormat="1">
      <c r="B143" s="787" t="s">
        <v>478</v>
      </c>
      <c r="C143" s="791"/>
      <c r="D143" s="792">
        <v>450000</v>
      </c>
      <c r="E143" s="792">
        <v>450000</v>
      </c>
      <c r="F143" s="793" t="s">
        <v>479</v>
      </c>
      <c r="G143" s="497"/>
    </row>
    <row r="144" spans="1:7" s="533" customFormat="1">
      <c r="B144" s="307" t="s">
        <v>235</v>
      </c>
      <c r="C144" s="524" t="s">
        <v>7</v>
      </c>
      <c r="D144" s="394">
        <v>400000</v>
      </c>
      <c r="E144" s="394">
        <f>250000+150000</f>
        <v>400000</v>
      </c>
      <c r="F144" s="579" t="s">
        <v>306</v>
      </c>
      <c r="G144" s="497"/>
    </row>
    <row r="145" spans="1:7" s="536" customFormat="1">
      <c r="B145" s="307" t="s">
        <v>480</v>
      </c>
      <c r="C145" s="425" t="s">
        <v>7</v>
      </c>
      <c r="D145" s="393">
        <v>1215000</v>
      </c>
      <c r="E145" s="393">
        <v>1215000</v>
      </c>
      <c r="F145" s="581"/>
      <c r="G145" s="497"/>
    </row>
    <row r="146" spans="1:7" s="533" customFormat="1">
      <c r="A146" s="497"/>
      <c r="B146" s="722" t="s">
        <v>481</v>
      </c>
      <c r="C146" s="715"/>
      <c r="D146" s="716">
        <v>1170000</v>
      </c>
      <c r="E146" s="716">
        <v>1170000</v>
      </c>
      <c r="F146" s="717" t="s">
        <v>301</v>
      </c>
      <c r="G146" s="497"/>
    </row>
    <row r="147" spans="1:7" ht="12.75" customHeight="1">
      <c r="B147" s="642" t="s">
        <v>482</v>
      </c>
      <c r="C147" s="648"/>
      <c r="D147" s="632">
        <v>20000</v>
      </c>
      <c r="E147" s="632">
        <v>20000</v>
      </c>
      <c r="F147" s="633" t="s">
        <v>299</v>
      </c>
      <c r="G147" s="497"/>
    </row>
    <row r="148" spans="1:7" s="536" customFormat="1" ht="12.6" customHeight="1">
      <c r="B148" s="611" t="s">
        <v>483</v>
      </c>
      <c r="C148" s="601"/>
      <c r="D148" s="451">
        <v>20000</v>
      </c>
      <c r="E148" s="451">
        <v>20000</v>
      </c>
      <c r="F148" s="612" t="s">
        <v>305</v>
      </c>
      <c r="G148" s="497"/>
    </row>
    <row r="149" spans="1:7" s="533" customFormat="1">
      <c r="B149" s="611" t="s">
        <v>484</v>
      </c>
      <c r="C149" s="601"/>
      <c r="D149" s="451">
        <v>5000</v>
      </c>
      <c r="E149" s="451">
        <v>5000</v>
      </c>
      <c r="F149" s="612" t="s">
        <v>305</v>
      </c>
      <c r="G149" s="497"/>
    </row>
    <row r="150" spans="1:7">
      <c r="A150" s="497"/>
      <c r="B150" s="782" t="s">
        <v>402</v>
      </c>
      <c r="C150" s="783" t="s">
        <v>7</v>
      </c>
      <c r="D150" s="769">
        <v>250000</v>
      </c>
      <c r="E150" s="769">
        <v>210000</v>
      </c>
      <c r="F150" s="770" t="s">
        <v>307</v>
      </c>
      <c r="G150" s="497"/>
    </row>
    <row r="151" spans="1:7">
      <c r="A151" s="497">
        <f>E151</f>
        <v>831625</v>
      </c>
      <c r="B151" s="542" t="s">
        <v>428</v>
      </c>
      <c r="C151" s="541" t="s">
        <v>85</v>
      </c>
      <c r="D151" s="393">
        <f>D152+D153</f>
        <v>1788338</v>
      </c>
      <c r="E151" s="393">
        <f>E152+E153</f>
        <v>831625</v>
      </c>
      <c r="F151" s="581"/>
      <c r="G151" s="497"/>
    </row>
    <row r="152" spans="1:7">
      <c r="B152" s="543" t="s">
        <v>82</v>
      </c>
      <c r="C152" s="310" t="s">
        <v>7</v>
      </c>
      <c r="D152" s="544">
        <v>1423338</v>
      </c>
      <c r="E152" s="313">
        <v>831625</v>
      </c>
      <c r="F152" s="460"/>
      <c r="G152" s="497"/>
    </row>
    <row r="153" spans="1:7">
      <c r="B153" s="242"/>
      <c r="C153" s="310" t="s">
        <v>8</v>
      </c>
      <c r="D153" s="544">
        <v>365000</v>
      </c>
      <c r="E153" s="544">
        <v>0</v>
      </c>
      <c r="F153" s="587"/>
      <c r="G153" s="497"/>
    </row>
    <row r="154" spans="1:7">
      <c r="B154" s="676" t="s">
        <v>485</v>
      </c>
      <c r="C154" s="677"/>
      <c r="D154" s="678"/>
      <c r="E154" s="678"/>
      <c r="F154" s="679" t="s">
        <v>303</v>
      </c>
      <c r="G154" s="497"/>
    </row>
    <row r="155" spans="1:7">
      <c r="B155" s="540" t="s">
        <v>327</v>
      </c>
      <c r="C155" s="545"/>
      <c r="D155" s="546"/>
      <c r="E155" s="396"/>
      <c r="F155" s="585" t="s">
        <v>306</v>
      </c>
      <c r="G155" s="497"/>
    </row>
    <row r="156" spans="1:7" ht="22.5">
      <c r="B156" s="540" t="s">
        <v>328</v>
      </c>
      <c r="C156" s="545"/>
      <c r="D156" s="546"/>
      <c r="E156" s="396"/>
      <c r="F156" s="585" t="s">
        <v>306</v>
      </c>
      <c r="G156" s="497"/>
    </row>
    <row r="157" spans="1:7" ht="22.5">
      <c r="B157" s="540" t="s">
        <v>329</v>
      </c>
      <c r="C157" s="545"/>
      <c r="D157" s="546"/>
      <c r="E157" s="396"/>
      <c r="F157" s="585" t="s">
        <v>306</v>
      </c>
      <c r="G157" s="497"/>
    </row>
    <row r="158" spans="1:7" ht="22.5">
      <c r="B158" s="540" t="s">
        <v>330</v>
      </c>
      <c r="C158" s="545"/>
      <c r="D158" s="546"/>
      <c r="E158" s="396"/>
      <c r="F158" s="585" t="s">
        <v>306</v>
      </c>
      <c r="G158" s="497"/>
    </row>
    <row r="159" spans="1:7">
      <c r="B159" s="398" t="s">
        <v>273</v>
      </c>
      <c r="C159" s="401" t="s">
        <v>85</v>
      </c>
      <c r="D159" s="391">
        <f>D160+D163</f>
        <v>229800</v>
      </c>
      <c r="E159" s="391">
        <f>E160+E163</f>
        <v>90000</v>
      </c>
      <c r="F159" s="582"/>
      <c r="G159" s="497"/>
    </row>
    <row r="160" spans="1:7" ht="25.5">
      <c r="B160" s="613" t="s">
        <v>349</v>
      </c>
      <c r="C160" s="614" t="s">
        <v>85</v>
      </c>
      <c r="D160" s="615">
        <f>D161+D162</f>
        <v>170000</v>
      </c>
      <c r="E160" s="615">
        <v>70000</v>
      </c>
      <c r="F160" s="616" t="s">
        <v>305</v>
      </c>
      <c r="G160" s="497"/>
    </row>
    <row r="161" spans="2:7">
      <c r="B161" s="547" t="s">
        <v>82</v>
      </c>
      <c r="C161" s="548" t="s">
        <v>7</v>
      </c>
      <c r="D161" s="544">
        <v>26520</v>
      </c>
      <c r="E161" s="544">
        <f>E160*0.156</f>
        <v>10920</v>
      </c>
      <c r="F161" s="587"/>
      <c r="G161" s="497"/>
    </row>
    <row r="162" spans="2:7">
      <c r="B162" s="549"/>
      <c r="C162" s="548" t="s">
        <v>83</v>
      </c>
      <c r="D162" s="544">
        <v>143480</v>
      </c>
      <c r="E162" s="544">
        <f>E160-E161</f>
        <v>59080</v>
      </c>
      <c r="F162" s="587"/>
      <c r="G162" s="497"/>
    </row>
    <row r="163" spans="2:7">
      <c r="B163" s="530" t="s">
        <v>393</v>
      </c>
      <c r="C163" s="425" t="s">
        <v>85</v>
      </c>
      <c r="D163" s="308">
        <f>D164+D165</f>
        <v>59800</v>
      </c>
      <c r="E163" s="308">
        <f>E164+E165</f>
        <v>20000</v>
      </c>
      <c r="F163" s="579"/>
      <c r="G163" s="497"/>
    </row>
    <row r="164" spans="2:7">
      <c r="B164" s="434" t="s">
        <v>82</v>
      </c>
      <c r="C164" s="310" t="s">
        <v>7</v>
      </c>
      <c r="D164" s="243">
        <v>23920</v>
      </c>
      <c r="E164" s="311">
        <v>8000</v>
      </c>
      <c r="F164" s="461"/>
      <c r="G164" s="497"/>
    </row>
    <row r="165" spans="2:7">
      <c r="B165" s="434"/>
      <c r="C165" s="310" t="s">
        <v>83</v>
      </c>
      <c r="D165" s="311">
        <v>35880</v>
      </c>
      <c r="E165" s="311">
        <v>12000</v>
      </c>
      <c r="F165" s="461"/>
      <c r="G165" s="497"/>
    </row>
    <row r="166" spans="2:7">
      <c r="B166" s="398" t="s">
        <v>271</v>
      </c>
      <c r="C166" s="401" t="s">
        <v>85</v>
      </c>
      <c r="D166" s="391">
        <f>D167+D230+D237+D238+D242+D243+D209+D234+D229</f>
        <v>110085113</v>
      </c>
      <c r="E166" s="391">
        <f>E167+E230+E237+E238+E242+E243+E209+E234+E229</f>
        <v>46726237</v>
      </c>
      <c r="F166" s="582"/>
      <c r="G166" s="497"/>
    </row>
    <row r="167" spans="2:7">
      <c r="B167" s="307" t="s">
        <v>360</v>
      </c>
      <c r="C167" s="425"/>
      <c r="D167" s="393">
        <f>D168+D182</f>
        <v>85639290</v>
      </c>
      <c r="E167" s="393">
        <f>E168+E182</f>
        <v>36572580</v>
      </c>
      <c r="F167" s="581"/>
      <c r="G167" s="497"/>
    </row>
    <row r="168" spans="2:7">
      <c r="B168" s="550" t="s">
        <v>359</v>
      </c>
      <c r="C168" s="425" t="s">
        <v>85</v>
      </c>
      <c r="D168" s="393">
        <f>D169+D170+D171</f>
        <v>59989290</v>
      </c>
      <c r="E168" s="393">
        <f>E169+E170+E171</f>
        <v>15422580</v>
      </c>
      <c r="F168" s="581"/>
      <c r="G168" s="497"/>
    </row>
    <row r="169" spans="2:7">
      <c r="B169" s="240" t="s">
        <v>82</v>
      </c>
      <c r="C169" s="514" t="s">
        <v>7</v>
      </c>
      <c r="D169" s="393">
        <f>+D173+D180+D177</f>
        <v>18517944</v>
      </c>
      <c r="E169" s="393">
        <f>+E173+E180+E177</f>
        <v>2429182</v>
      </c>
      <c r="F169" s="581"/>
      <c r="G169" s="497"/>
    </row>
    <row r="170" spans="2:7">
      <c r="B170" s="551"/>
      <c r="C170" s="514" t="s">
        <v>105</v>
      </c>
      <c r="D170" s="393">
        <f>D174</f>
        <v>2850096</v>
      </c>
      <c r="E170" s="393">
        <f>E174</f>
        <v>1786146</v>
      </c>
      <c r="F170" s="581"/>
      <c r="G170" s="497"/>
    </row>
    <row r="171" spans="2:7">
      <c r="B171" s="552"/>
      <c r="C171" s="514" t="s">
        <v>83</v>
      </c>
      <c r="D171" s="393">
        <f>+D175+D181+D178</f>
        <v>38621250</v>
      </c>
      <c r="E171" s="393">
        <f>+E175+E181+E178</f>
        <v>11207252</v>
      </c>
      <c r="F171" s="581"/>
      <c r="G171" s="497"/>
    </row>
    <row r="172" spans="2:7">
      <c r="B172" s="649" t="s">
        <v>486</v>
      </c>
      <c r="C172" s="631" t="s">
        <v>85</v>
      </c>
      <c r="D172" s="632">
        <f>D173+D174+D175</f>
        <v>40950172</v>
      </c>
      <c r="E172" s="632">
        <f>E173+E174+E175</f>
        <v>13932547</v>
      </c>
      <c r="F172" s="633" t="s">
        <v>299</v>
      </c>
      <c r="G172" s="497"/>
    </row>
    <row r="173" spans="2:7">
      <c r="B173" s="543" t="s">
        <v>82</v>
      </c>
      <c r="C173" s="517" t="s">
        <v>7</v>
      </c>
      <c r="D173" s="311">
        <v>13874260</v>
      </c>
      <c r="E173" s="311">
        <v>939149</v>
      </c>
      <c r="F173" s="461"/>
      <c r="G173" s="497"/>
    </row>
    <row r="174" spans="2:7">
      <c r="B174" s="553"/>
      <c r="C174" s="517" t="s">
        <v>105</v>
      </c>
      <c r="D174" s="311">
        <v>2850096</v>
      </c>
      <c r="E174" s="311">
        <v>1786146</v>
      </c>
      <c r="F174" s="461"/>
      <c r="G174" s="497"/>
    </row>
    <row r="175" spans="2:7">
      <c r="B175" s="554"/>
      <c r="C175" s="517" t="s">
        <v>83</v>
      </c>
      <c r="D175" s="311">
        <v>24225816</v>
      </c>
      <c r="E175" s="311">
        <v>11207252</v>
      </c>
      <c r="F175" s="461"/>
      <c r="G175" s="497"/>
    </row>
    <row r="176" spans="2:7">
      <c r="B176" s="650" t="s">
        <v>211</v>
      </c>
      <c r="C176" s="631" t="s">
        <v>85</v>
      </c>
      <c r="D176" s="632">
        <f>D177+D178</f>
        <v>7651200</v>
      </c>
      <c r="E176" s="632">
        <f>E177+E178</f>
        <v>760800</v>
      </c>
      <c r="F176" s="633" t="s">
        <v>299</v>
      </c>
      <c r="G176" s="497"/>
    </row>
    <row r="177" spans="2:7">
      <c r="B177" s="543" t="s">
        <v>82</v>
      </c>
      <c r="C177" s="517" t="s">
        <v>7</v>
      </c>
      <c r="D177" s="311">
        <v>1909365</v>
      </c>
      <c r="E177" s="311">
        <v>760800</v>
      </c>
      <c r="F177" s="461"/>
      <c r="G177" s="497"/>
    </row>
    <row r="178" spans="2:7">
      <c r="B178" s="554"/>
      <c r="C178" s="517" t="s">
        <v>83</v>
      </c>
      <c r="D178" s="311">
        <v>5741835</v>
      </c>
      <c r="E178" s="311">
        <v>0</v>
      </c>
      <c r="F178" s="461"/>
      <c r="G178" s="497"/>
    </row>
    <row r="179" spans="2:7" ht="22.5">
      <c r="B179" s="651" t="s">
        <v>331</v>
      </c>
      <c r="C179" s="631" t="s">
        <v>85</v>
      </c>
      <c r="D179" s="632">
        <f>D180+D181</f>
        <v>11387918</v>
      </c>
      <c r="E179" s="632">
        <f>E180+E181</f>
        <v>729233</v>
      </c>
      <c r="F179" s="633" t="s">
        <v>299</v>
      </c>
      <c r="G179" s="497"/>
    </row>
    <row r="180" spans="2:7">
      <c r="B180" s="543" t="s">
        <v>82</v>
      </c>
      <c r="C180" s="310" t="s">
        <v>7</v>
      </c>
      <c r="D180" s="311">
        <v>2734319</v>
      </c>
      <c r="E180" s="311">
        <f>788300-59067</f>
        <v>729233</v>
      </c>
      <c r="F180" s="461"/>
      <c r="G180" s="497"/>
    </row>
    <row r="181" spans="2:7">
      <c r="B181" s="554"/>
      <c r="C181" s="310" t="s">
        <v>83</v>
      </c>
      <c r="D181" s="311">
        <v>8653599</v>
      </c>
      <c r="E181" s="311">
        <v>0</v>
      </c>
      <c r="F181" s="461"/>
      <c r="G181" s="497"/>
    </row>
    <row r="182" spans="2:7">
      <c r="B182" s="399" t="s">
        <v>361</v>
      </c>
      <c r="C182" s="425" t="s">
        <v>85</v>
      </c>
      <c r="D182" s="393">
        <f>D183+D184</f>
        <v>25650000</v>
      </c>
      <c r="E182" s="393">
        <f>E183+E184</f>
        <v>21150000</v>
      </c>
      <c r="F182" s="581" t="s">
        <v>306</v>
      </c>
      <c r="G182" s="497"/>
    </row>
    <row r="183" spans="2:7">
      <c r="B183" s="240" t="s">
        <v>82</v>
      </c>
      <c r="C183" s="425" t="s">
        <v>7</v>
      </c>
      <c r="D183" s="393">
        <v>22224285</v>
      </c>
      <c r="E183" s="393">
        <v>17724285</v>
      </c>
      <c r="F183" s="581"/>
      <c r="G183" s="497"/>
    </row>
    <row r="184" spans="2:7" ht="13.5" customHeight="1">
      <c r="B184" s="555"/>
      <c r="C184" s="425" t="s">
        <v>8</v>
      </c>
      <c r="D184" s="393">
        <v>3425715</v>
      </c>
      <c r="E184" s="393">
        <v>3425715</v>
      </c>
      <c r="F184" s="581"/>
      <c r="G184" s="497"/>
    </row>
    <row r="185" spans="2:7">
      <c r="B185" s="680" t="s">
        <v>487</v>
      </c>
      <c r="C185" s="681"/>
      <c r="D185" s="682"/>
      <c r="E185" s="683"/>
      <c r="F185" s="684" t="s">
        <v>303</v>
      </c>
      <c r="G185" s="497"/>
    </row>
    <row r="186" spans="2:7">
      <c r="B186" s="652" t="s">
        <v>488</v>
      </c>
      <c r="C186" s="639"/>
      <c r="D186" s="653"/>
      <c r="E186" s="654"/>
      <c r="F186" s="655" t="s">
        <v>299</v>
      </c>
      <c r="G186" s="497"/>
    </row>
    <row r="187" spans="2:7">
      <c r="B187" s="701" t="s">
        <v>489</v>
      </c>
      <c r="C187" s="699"/>
      <c r="D187" s="702"/>
      <c r="E187" s="703"/>
      <c r="F187" s="734" t="s">
        <v>302</v>
      </c>
      <c r="G187" s="497"/>
    </row>
    <row r="188" spans="2:7">
      <c r="B188" s="701" t="s">
        <v>490</v>
      </c>
      <c r="C188" s="699"/>
      <c r="D188" s="702"/>
      <c r="E188" s="703"/>
      <c r="F188" s="734" t="s">
        <v>302</v>
      </c>
      <c r="G188" s="497"/>
    </row>
    <row r="189" spans="2:7">
      <c r="B189" s="652" t="s">
        <v>491</v>
      </c>
      <c r="C189" s="639"/>
      <c r="D189" s="653"/>
      <c r="E189" s="654"/>
      <c r="F189" s="655" t="s">
        <v>299</v>
      </c>
      <c r="G189" s="497"/>
    </row>
    <row r="190" spans="2:7">
      <c r="B190" s="652" t="s">
        <v>492</v>
      </c>
      <c r="C190" s="639"/>
      <c r="D190" s="653"/>
      <c r="E190" s="654"/>
      <c r="F190" s="655" t="s">
        <v>299</v>
      </c>
      <c r="G190" s="497"/>
    </row>
    <row r="191" spans="2:7">
      <c r="B191" s="723" t="s">
        <v>493</v>
      </c>
      <c r="C191" s="719"/>
      <c r="D191" s="724"/>
      <c r="E191" s="725"/>
      <c r="F191" s="726" t="s">
        <v>301</v>
      </c>
      <c r="G191" s="497"/>
    </row>
    <row r="192" spans="2:7">
      <c r="B192" s="723" t="s">
        <v>494</v>
      </c>
      <c r="C192" s="719"/>
      <c r="D192" s="724"/>
      <c r="E192" s="725"/>
      <c r="F192" s="726" t="s">
        <v>301</v>
      </c>
      <c r="G192" s="497"/>
    </row>
    <row r="193" spans="2:7">
      <c r="B193" s="664" t="s">
        <v>495</v>
      </c>
      <c r="C193" s="660"/>
      <c r="D193" s="665"/>
      <c r="E193" s="666"/>
      <c r="F193" s="764" t="s">
        <v>308</v>
      </c>
      <c r="G193" s="497"/>
    </row>
    <row r="194" spans="2:7">
      <c r="B194" s="723" t="s">
        <v>496</v>
      </c>
      <c r="C194" s="719"/>
      <c r="D194" s="724"/>
      <c r="E194" s="725"/>
      <c r="F194" s="726" t="s">
        <v>301</v>
      </c>
      <c r="G194" s="497"/>
    </row>
    <row r="195" spans="2:7">
      <c r="B195" s="617" t="s">
        <v>497</v>
      </c>
      <c r="C195" s="618"/>
      <c r="D195" s="619"/>
      <c r="E195" s="620"/>
      <c r="F195" s="621" t="s">
        <v>498</v>
      </c>
      <c r="G195" s="497"/>
    </row>
    <row r="196" spans="2:7">
      <c r="B196" s="723" t="s">
        <v>499</v>
      </c>
      <c r="C196" s="719"/>
      <c r="D196" s="724"/>
      <c r="E196" s="725"/>
      <c r="F196" s="726" t="s">
        <v>301</v>
      </c>
      <c r="G196" s="497"/>
    </row>
    <row r="197" spans="2:7">
      <c r="B197" s="701" t="s">
        <v>500</v>
      </c>
      <c r="C197" s="699"/>
      <c r="D197" s="702"/>
      <c r="E197" s="703"/>
      <c r="F197" s="734" t="s">
        <v>302</v>
      </c>
      <c r="G197" s="497"/>
    </row>
    <row r="198" spans="2:7">
      <c r="B198" s="751" t="s">
        <v>501</v>
      </c>
      <c r="C198" s="752"/>
      <c r="D198" s="753"/>
      <c r="E198" s="754"/>
      <c r="F198" s="755" t="s">
        <v>300</v>
      </c>
      <c r="G198" s="497"/>
    </row>
    <row r="199" spans="2:7">
      <c r="B199" s="751" t="s">
        <v>502</v>
      </c>
      <c r="C199" s="752"/>
      <c r="D199" s="753"/>
      <c r="E199" s="754"/>
      <c r="F199" s="755" t="s">
        <v>300</v>
      </c>
      <c r="G199" s="497"/>
    </row>
    <row r="200" spans="2:7">
      <c r="B200" s="751" t="s">
        <v>503</v>
      </c>
      <c r="C200" s="752"/>
      <c r="D200" s="753"/>
      <c r="E200" s="754"/>
      <c r="F200" s="755" t="s">
        <v>300</v>
      </c>
      <c r="G200" s="497"/>
    </row>
    <row r="201" spans="2:7">
      <c r="B201" s="685" t="s">
        <v>504</v>
      </c>
      <c r="C201" s="681"/>
      <c r="D201" s="682"/>
      <c r="E201" s="683"/>
      <c r="F201" s="684" t="s">
        <v>303</v>
      </c>
      <c r="G201" s="497"/>
    </row>
    <row r="202" spans="2:7">
      <c r="B202" s="723" t="s">
        <v>505</v>
      </c>
      <c r="C202" s="719"/>
      <c r="D202" s="724"/>
      <c r="E202" s="725"/>
      <c r="F202" s="726" t="s">
        <v>301</v>
      </c>
      <c r="G202" s="497"/>
    </row>
    <row r="203" spans="2:7">
      <c r="B203" s="558" t="s">
        <v>506</v>
      </c>
      <c r="C203" s="559"/>
      <c r="D203" s="560"/>
      <c r="E203" s="561"/>
      <c r="F203" s="589" t="s">
        <v>306</v>
      </c>
      <c r="G203" s="497"/>
    </row>
    <row r="204" spans="2:7">
      <c r="B204" s="558" t="s">
        <v>507</v>
      </c>
      <c r="C204" s="559"/>
      <c r="D204" s="560"/>
      <c r="E204" s="561"/>
      <c r="F204" s="589" t="s">
        <v>306</v>
      </c>
      <c r="G204" s="497"/>
    </row>
    <row r="205" spans="2:7">
      <c r="B205" s="558" t="s">
        <v>508</v>
      </c>
      <c r="C205" s="529"/>
      <c r="D205" s="556"/>
      <c r="E205" s="557"/>
      <c r="F205" s="588" t="s">
        <v>306</v>
      </c>
      <c r="G205" s="497"/>
    </row>
    <row r="206" spans="2:7">
      <c r="B206" s="558" t="s">
        <v>509</v>
      </c>
      <c r="C206" s="529"/>
      <c r="D206" s="556"/>
      <c r="E206" s="557"/>
      <c r="F206" s="588" t="s">
        <v>306</v>
      </c>
      <c r="G206" s="497"/>
    </row>
    <row r="207" spans="2:7">
      <c r="B207" s="558" t="s">
        <v>510</v>
      </c>
      <c r="C207" s="529"/>
      <c r="D207" s="556"/>
      <c r="E207" s="557"/>
      <c r="F207" s="588" t="s">
        <v>306</v>
      </c>
      <c r="G207" s="497"/>
    </row>
    <row r="208" spans="2:7">
      <c r="B208" s="558" t="s">
        <v>511</v>
      </c>
      <c r="C208" s="529"/>
      <c r="D208" s="556"/>
      <c r="E208" s="557"/>
      <c r="F208" s="588" t="s">
        <v>306</v>
      </c>
      <c r="G208" s="497"/>
    </row>
    <row r="209" spans="2:7">
      <c r="B209" s="307" t="s">
        <v>362</v>
      </c>
      <c r="C209" s="310"/>
      <c r="D209" s="308">
        <f>D210+D225</f>
        <v>14528523</v>
      </c>
      <c r="E209" s="308">
        <f>E210+E225</f>
        <v>5411677</v>
      </c>
      <c r="F209" s="579"/>
      <c r="G209" s="497"/>
    </row>
    <row r="210" spans="2:7">
      <c r="B210" s="399" t="s">
        <v>359</v>
      </c>
      <c r="C210" s="425" t="s">
        <v>85</v>
      </c>
      <c r="D210" s="393">
        <f>D211+D212</f>
        <v>10578523</v>
      </c>
      <c r="E210" s="393">
        <f>E213+E216+E219+E222</f>
        <v>3763077</v>
      </c>
      <c r="F210" s="581"/>
      <c r="G210" s="497"/>
    </row>
    <row r="211" spans="2:7">
      <c r="B211" s="240" t="s">
        <v>82</v>
      </c>
      <c r="C211" s="425" t="s">
        <v>7</v>
      </c>
      <c r="D211" s="393">
        <f>SUM(D214,D217,D220,D223)</f>
        <v>4174815</v>
      </c>
      <c r="E211" s="393">
        <v>1521553</v>
      </c>
      <c r="F211" s="581"/>
      <c r="G211" s="497"/>
    </row>
    <row r="212" spans="2:7">
      <c r="B212" s="555"/>
      <c r="C212" s="425" t="s">
        <v>83</v>
      </c>
      <c r="D212" s="393">
        <f>SUM(D215,D218,D221,D224)</f>
        <v>6403708</v>
      </c>
      <c r="E212" s="393">
        <v>2241524</v>
      </c>
      <c r="F212" s="581"/>
      <c r="G212" s="497"/>
    </row>
    <row r="213" spans="2:7">
      <c r="B213" s="756" t="s">
        <v>512</v>
      </c>
      <c r="C213" s="747" t="s">
        <v>85</v>
      </c>
      <c r="D213" s="757">
        <f>SUM(D214:D215)</f>
        <v>1753670</v>
      </c>
      <c r="E213" s="757">
        <f>E214+E215</f>
        <v>1223283</v>
      </c>
      <c r="F213" s="750" t="s">
        <v>300</v>
      </c>
      <c r="G213" s="497"/>
    </row>
    <row r="214" spans="2:7">
      <c r="B214" s="543" t="s">
        <v>82</v>
      </c>
      <c r="C214" s="310" t="s">
        <v>7</v>
      </c>
      <c r="D214" s="395">
        <v>958070</v>
      </c>
      <c r="E214" s="395">
        <v>876313</v>
      </c>
      <c r="F214" s="460"/>
      <c r="G214" s="497"/>
    </row>
    <row r="215" spans="2:7">
      <c r="B215" s="554"/>
      <c r="C215" s="310" t="s">
        <v>83</v>
      </c>
      <c r="D215" s="395">
        <v>795600</v>
      </c>
      <c r="E215" s="395">
        <v>346970</v>
      </c>
      <c r="F215" s="460"/>
      <c r="G215" s="497"/>
    </row>
    <row r="216" spans="2:7">
      <c r="B216" s="794" t="s">
        <v>215</v>
      </c>
      <c r="C216" s="791" t="s">
        <v>85</v>
      </c>
      <c r="D216" s="795">
        <f>SUM(D217:D218)</f>
        <v>1464927</v>
      </c>
      <c r="E216" s="795">
        <f>E217+E218</f>
        <v>732449</v>
      </c>
      <c r="F216" s="796" t="s">
        <v>332</v>
      </c>
      <c r="G216" s="497"/>
    </row>
    <row r="217" spans="2:7">
      <c r="B217" s="543" t="s">
        <v>82</v>
      </c>
      <c r="C217" s="310" t="s">
        <v>7</v>
      </c>
      <c r="D217" s="395">
        <v>225819</v>
      </c>
      <c r="E217" s="395">
        <v>112895</v>
      </c>
      <c r="F217" s="460"/>
      <c r="G217" s="497"/>
    </row>
    <row r="218" spans="2:7">
      <c r="B218" s="554"/>
      <c r="C218" s="310" t="s">
        <v>83</v>
      </c>
      <c r="D218" s="395">
        <v>1239108</v>
      </c>
      <c r="E218" s="395">
        <v>619554</v>
      </c>
      <c r="F218" s="460"/>
      <c r="G218" s="497"/>
    </row>
    <row r="219" spans="2:7">
      <c r="B219" s="794" t="s">
        <v>333</v>
      </c>
      <c r="C219" s="791" t="s">
        <v>85</v>
      </c>
      <c r="D219" s="795">
        <f>SUM(D220:D221)</f>
        <v>3014718</v>
      </c>
      <c r="E219" s="795">
        <f>E220+E221</f>
        <v>1507345</v>
      </c>
      <c r="F219" s="796" t="s">
        <v>334</v>
      </c>
      <c r="G219" s="497"/>
    </row>
    <row r="220" spans="2:7">
      <c r="B220" s="543" t="s">
        <v>82</v>
      </c>
      <c r="C220" s="310" t="s">
        <v>7</v>
      </c>
      <c r="D220" s="395">
        <v>464718</v>
      </c>
      <c r="E220" s="395">
        <v>232345</v>
      </c>
      <c r="F220" s="460"/>
      <c r="G220" s="497"/>
    </row>
    <row r="221" spans="2:7">
      <c r="B221" s="554"/>
      <c r="C221" s="310" t="s">
        <v>83</v>
      </c>
      <c r="D221" s="395">
        <v>2550000</v>
      </c>
      <c r="E221" s="395">
        <v>1275000</v>
      </c>
      <c r="F221" s="460"/>
      <c r="G221" s="497"/>
    </row>
    <row r="222" spans="2:7">
      <c r="B222" s="784" t="s">
        <v>217</v>
      </c>
      <c r="C222" s="776" t="s">
        <v>85</v>
      </c>
      <c r="D222" s="785">
        <f>SUM(D223:D224)</f>
        <v>4345208</v>
      </c>
      <c r="E222" s="777">
        <f>E223</f>
        <v>300000</v>
      </c>
      <c r="F222" s="778" t="s">
        <v>307</v>
      </c>
      <c r="G222" s="497"/>
    </row>
    <row r="223" spans="2:7">
      <c r="B223" s="543" t="s">
        <v>82</v>
      </c>
      <c r="C223" s="310" t="s">
        <v>7</v>
      </c>
      <c r="D223" s="311">
        <v>2526208</v>
      </c>
      <c r="E223" s="311">
        <v>300000</v>
      </c>
      <c r="F223" s="461"/>
      <c r="G223" s="497"/>
    </row>
    <row r="224" spans="2:7">
      <c r="B224" s="554"/>
      <c r="C224" s="310" t="s">
        <v>83</v>
      </c>
      <c r="D224" s="311">
        <v>1819000</v>
      </c>
      <c r="E224" s="311"/>
      <c r="F224" s="461"/>
      <c r="G224" s="497"/>
    </row>
    <row r="225" spans="2:7">
      <c r="B225" s="399" t="s">
        <v>361</v>
      </c>
      <c r="C225" s="425" t="s">
        <v>7</v>
      </c>
      <c r="D225" s="393">
        <v>3950000</v>
      </c>
      <c r="E225" s="393">
        <v>1648600</v>
      </c>
      <c r="F225" s="581" t="s">
        <v>306</v>
      </c>
      <c r="G225" s="497"/>
    </row>
    <row r="226" spans="2:7">
      <c r="B226" s="765" t="s">
        <v>513</v>
      </c>
      <c r="C226" s="766"/>
      <c r="D226" s="661"/>
      <c r="E226" s="661"/>
      <c r="F226" s="659" t="s">
        <v>308</v>
      </c>
      <c r="G226" s="497"/>
    </row>
    <row r="227" spans="2:7" ht="22.5">
      <c r="B227" s="667" t="s">
        <v>335</v>
      </c>
      <c r="C227" s="766"/>
      <c r="D227" s="661"/>
      <c r="E227" s="661"/>
      <c r="F227" s="659" t="s">
        <v>308</v>
      </c>
      <c r="G227" s="497"/>
    </row>
    <row r="228" spans="2:7">
      <c r="B228" s="622" t="s">
        <v>336</v>
      </c>
      <c r="C228" s="623"/>
      <c r="D228" s="624"/>
      <c r="E228" s="624"/>
      <c r="F228" s="625" t="s">
        <v>305</v>
      </c>
      <c r="G228" s="497"/>
    </row>
    <row r="229" spans="2:7" ht="25.5">
      <c r="B229" s="307" t="s">
        <v>514</v>
      </c>
      <c r="C229" s="425" t="s">
        <v>7</v>
      </c>
      <c r="D229" s="308">
        <v>247500</v>
      </c>
      <c r="E229" s="308">
        <v>247500</v>
      </c>
      <c r="F229" s="579" t="s">
        <v>515</v>
      </c>
      <c r="G229" s="497"/>
    </row>
    <row r="230" spans="2:7">
      <c r="B230" s="426" t="s">
        <v>401</v>
      </c>
      <c r="C230" s="425" t="s">
        <v>85</v>
      </c>
      <c r="D230" s="562">
        <f>D231+D232</f>
        <v>775200</v>
      </c>
      <c r="E230" s="308">
        <f>SUM(E231:E232)</f>
        <v>383680</v>
      </c>
      <c r="F230" s="579" t="s">
        <v>306</v>
      </c>
      <c r="G230" s="497"/>
    </row>
    <row r="231" spans="2:7">
      <c r="B231" s="543" t="s">
        <v>82</v>
      </c>
      <c r="C231" s="310" t="s">
        <v>7</v>
      </c>
      <c r="D231" s="563">
        <v>387600</v>
      </c>
      <c r="E231" s="311">
        <v>191840</v>
      </c>
      <c r="F231" s="461"/>
      <c r="G231" s="497"/>
    </row>
    <row r="232" spans="2:7">
      <c r="B232" s="564"/>
      <c r="C232" s="427" t="s">
        <v>83</v>
      </c>
      <c r="D232" s="563">
        <v>387600</v>
      </c>
      <c r="E232" s="311">
        <v>191840</v>
      </c>
      <c r="F232" s="461"/>
      <c r="G232" s="497"/>
    </row>
    <row r="233" spans="2:7">
      <c r="B233" s="538" t="s">
        <v>80</v>
      </c>
      <c r="C233" s="427"/>
      <c r="D233" s="311">
        <v>71700</v>
      </c>
      <c r="E233" s="311">
        <v>30180</v>
      </c>
      <c r="F233" s="461"/>
      <c r="G233" s="497"/>
    </row>
    <row r="234" spans="2:7">
      <c r="B234" s="689" t="s">
        <v>351</v>
      </c>
      <c r="C234" s="690" t="s">
        <v>85</v>
      </c>
      <c r="D234" s="735">
        <f>D235+D236</f>
        <v>3567600</v>
      </c>
      <c r="E234" s="735">
        <f>E235+E236</f>
        <v>1783800</v>
      </c>
      <c r="F234" s="736" t="s">
        <v>302</v>
      </c>
      <c r="G234" s="497"/>
    </row>
    <row r="235" spans="2:7">
      <c r="B235" s="543" t="s">
        <v>82</v>
      </c>
      <c r="C235" s="310" t="s">
        <v>7</v>
      </c>
      <c r="D235" s="313">
        <v>727600</v>
      </c>
      <c r="E235" s="313">
        <v>363800</v>
      </c>
      <c r="F235" s="460"/>
      <c r="G235" s="497"/>
    </row>
    <row r="236" spans="2:7">
      <c r="B236" s="554"/>
      <c r="C236" s="310" t="s">
        <v>83</v>
      </c>
      <c r="D236" s="313">
        <v>2840000</v>
      </c>
      <c r="E236" s="313">
        <v>1420000</v>
      </c>
      <c r="F236" s="460"/>
      <c r="G236" s="497"/>
    </row>
    <row r="237" spans="2:7">
      <c r="B237" s="307" t="s">
        <v>516</v>
      </c>
      <c r="C237" s="425" t="s">
        <v>7</v>
      </c>
      <c r="D237" s="308">
        <v>4000000</v>
      </c>
      <c r="E237" s="308">
        <v>1000000</v>
      </c>
      <c r="F237" s="579" t="s">
        <v>306</v>
      </c>
      <c r="G237" s="497"/>
    </row>
    <row r="238" spans="2:7">
      <c r="B238" s="307" t="s">
        <v>427</v>
      </c>
      <c r="C238" s="425" t="s">
        <v>7</v>
      </c>
      <c r="D238" s="308">
        <v>617000</v>
      </c>
      <c r="E238" s="308">
        <v>617000</v>
      </c>
      <c r="F238" s="579"/>
      <c r="G238" s="497"/>
    </row>
    <row r="239" spans="2:7">
      <c r="B239" s="686" t="s">
        <v>424</v>
      </c>
      <c r="C239" s="677"/>
      <c r="D239" s="687"/>
      <c r="E239" s="687"/>
      <c r="F239" s="688" t="s">
        <v>303</v>
      </c>
      <c r="G239" s="497"/>
    </row>
    <row r="240" spans="2:7">
      <c r="B240" s="714" t="s">
        <v>425</v>
      </c>
      <c r="C240" s="727"/>
      <c r="D240" s="720"/>
      <c r="E240" s="720"/>
      <c r="F240" s="721" t="s">
        <v>301</v>
      </c>
      <c r="G240" s="497"/>
    </row>
    <row r="241" spans="2:7">
      <c r="B241" s="714" t="s">
        <v>426</v>
      </c>
      <c r="C241" s="727"/>
      <c r="D241" s="720"/>
      <c r="E241" s="720"/>
      <c r="F241" s="721" t="s">
        <v>301</v>
      </c>
      <c r="G241" s="497"/>
    </row>
    <row r="242" spans="2:7" ht="25.5">
      <c r="B242" s="523" t="s">
        <v>423</v>
      </c>
      <c r="C242" s="425" t="s">
        <v>7</v>
      </c>
      <c r="D242" s="521">
        <v>500000</v>
      </c>
      <c r="E242" s="521">
        <v>500000</v>
      </c>
      <c r="F242" s="583" t="s">
        <v>306</v>
      </c>
      <c r="G242" s="497"/>
    </row>
    <row r="243" spans="2:7">
      <c r="B243" s="307" t="s">
        <v>231</v>
      </c>
      <c r="C243" s="425" t="s">
        <v>7</v>
      </c>
      <c r="D243" s="394">
        <v>210000</v>
      </c>
      <c r="E243" s="394">
        <v>210000</v>
      </c>
      <c r="F243" s="579" t="s">
        <v>306</v>
      </c>
      <c r="G243" s="497"/>
    </row>
    <row r="244" spans="2:7">
      <c r="B244" s="398" t="s">
        <v>274</v>
      </c>
      <c r="C244" s="401" t="s">
        <v>85</v>
      </c>
      <c r="D244" s="391">
        <f>SUM(D245:D245)</f>
        <v>60000</v>
      </c>
      <c r="E244" s="391">
        <f>SUM(E245:E245)</f>
        <v>60000</v>
      </c>
      <c r="F244" s="582"/>
      <c r="G244" s="497"/>
    </row>
    <row r="245" spans="2:7">
      <c r="B245" s="307" t="s">
        <v>240</v>
      </c>
      <c r="C245" s="425" t="s">
        <v>7</v>
      </c>
      <c r="D245" s="308">
        <v>60000</v>
      </c>
      <c r="E245" s="308">
        <v>60000</v>
      </c>
      <c r="F245" s="579" t="s">
        <v>306</v>
      </c>
      <c r="G245" s="497"/>
    </row>
    <row r="246" spans="2:7">
      <c r="B246" s="398" t="s">
        <v>262</v>
      </c>
      <c r="C246" s="401" t="s">
        <v>85</v>
      </c>
      <c r="D246" s="391">
        <f>SUM(D247:D251)</f>
        <v>77702844</v>
      </c>
      <c r="E246" s="391">
        <f>SUM(E247:E251)</f>
        <v>413040</v>
      </c>
      <c r="F246" s="582"/>
      <c r="G246" s="497"/>
    </row>
    <row r="247" spans="2:7">
      <c r="B247" s="307" t="s">
        <v>374</v>
      </c>
      <c r="C247" s="425" t="s">
        <v>7</v>
      </c>
      <c r="D247" s="308">
        <f>155000+50000</f>
        <v>205000</v>
      </c>
      <c r="E247" s="308">
        <f>155000+50000</f>
        <v>205000</v>
      </c>
      <c r="F247" s="579" t="s">
        <v>306</v>
      </c>
      <c r="G247" s="497"/>
    </row>
    <row r="248" spans="2:7">
      <c r="B248" s="626" t="s">
        <v>353</v>
      </c>
      <c r="C248" s="627" t="s">
        <v>7</v>
      </c>
      <c r="D248" s="628">
        <v>76368000</v>
      </c>
      <c r="E248" s="628">
        <v>60000</v>
      </c>
      <c r="F248" s="629" t="s">
        <v>337</v>
      </c>
      <c r="G248" s="497"/>
    </row>
    <row r="249" spans="2:7" ht="25.5">
      <c r="B249" s="626" t="s">
        <v>517</v>
      </c>
      <c r="C249" s="627" t="s">
        <v>7</v>
      </c>
      <c r="D249" s="628">
        <v>644400</v>
      </c>
      <c r="E249" s="628">
        <v>58000</v>
      </c>
      <c r="F249" s="629" t="s">
        <v>299</v>
      </c>
      <c r="G249" s="497"/>
    </row>
    <row r="250" spans="2:7">
      <c r="B250" s="307" t="s">
        <v>383</v>
      </c>
      <c r="C250" s="425" t="s">
        <v>7</v>
      </c>
      <c r="D250" s="308">
        <v>420404</v>
      </c>
      <c r="E250" s="308">
        <v>25000</v>
      </c>
      <c r="F250" s="579" t="s">
        <v>306</v>
      </c>
      <c r="G250" s="497"/>
    </row>
    <row r="251" spans="2:7">
      <c r="B251" s="626" t="s">
        <v>422</v>
      </c>
      <c r="C251" s="627" t="s">
        <v>7</v>
      </c>
      <c r="D251" s="628">
        <v>65040</v>
      </c>
      <c r="E251" s="628">
        <v>65040</v>
      </c>
      <c r="F251" s="629" t="s">
        <v>299</v>
      </c>
      <c r="G251" s="497"/>
    </row>
    <row r="252" spans="2:7" ht="14.25">
      <c r="B252" s="565"/>
      <c r="C252" s="566"/>
      <c r="D252" s="428"/>
      <c r="E252" s="428"/>
      <c r="F252" s="590"/>
    </row>
    <row r="253" spans="2:7" ht="14.25">
      <c r="B253" s="224" t="s">
        <v>518</v>
      </c>
      <c r="C253" s="566"/>
      <c r="D253" s="428"/>
      <c r="E253" s="428"/>
      <c r="F253" s="590"/>
    </row>
    <row r="254" spans="2:7" ht="14.25">
      <c r="B254" s="567" t="s">
        <v>519</v>
      </c>
      <c r="C254" s="566"/>
      <c r="D254" s="428"/>
      <c r="E254" s="428"/>
      <c r="F254" s="590"/>
    </row>
    <row r="255" spans="2:7">
      <c r="B255" s="567" t="s">
        <v>520</v>
      </c>
      <c r="C255" s="568"/>
      <c r="D255" s="569"/>
      <c r="E255" s="570"/>
      <c r="F255" s="591"/>
    </row>
    <row r="256" spans="2:7">
      <c r="B256" s="224" t="s">
        <v>521</v>
      </c>
      <c r="C256" s="568"/>
      <c r="D256" s="569"/>
      <c r="E256" s="570"/>
      <c r="F256" s="591"/>
    </row>
    <row r="257" spans="2:6">
      <c r="B257" s="224" t="s">
        <v>522</v>
      </c>
      <c r="C257" s="568"/>
      <c r="D257" s="569"/>
      <c r="E257" s="570"/>
      <c r="F257" s="591"/>
    </row>
    <row r="258" spans="2:6">
      <c r="B258" s="224" t="s">
        <v>523</v>
      </c>
      <c r="C258" s="568"/>
      <c r="D258" s="569"/>
      <c r="E258" s="570"/>
      <c r="F258" s="591"/>
    </row>
    <row r="259" spans="2:6">
      <c r="B259" s="224" t="s">
        <v>524</v>
      </c>
      <c r="C259" s="568"/>
      <c r="D259" s="569"/>
      <c r="E259" s="570"/>
      <c r="F259" s="591"/>
    </row>
    <row r="260" spans="2:6">
      <c r="B260" s="224" t="s">
        <v>527</v>
      </c>
    </row>
    <row r="261" spans="2:6">
      <c r="B261" s="786" t="s">
        <v>536</v>
      </c>
    </row>
    <row r="262" spans="2:6">
      <c r="B262" s="595" t="s">
        <v>528</v>
      </c>
    </row>
    <row r="263" spans="2:6">
      <c r="B263" s="597" t="s">
        <v>529</v>
      </c>
    </row>
    <row r="264" spans="2:6">
      <c r="B264" s="594" t="s">
        <v>530</v>
      </c>
    </row>
    <row r="265" spans="2:6">
      <c r="B265" s="592" t="s">
        <v>531</v>
      </c>
    </row>
    <row r="266" spans="2:6">
      <c r="B266" s="596" t="s">
        <v>532</v>
      </c>
    </row>
    <row r="267" spans="2:6">
      <c r="B267" s="593" t="s">
        <v>533</v>
      </c>
    </row>
    <row r="268" spans="2:6">
      <c r="B268" s="598" t="s">
        <v>534</v>
      </c>
    </row>
    <row r="269" spans="2:6">
      <c r="B269" s="599" t="s">
        <v>535</v>
      </c>
    </row>
    <row r="270" spans="2:6">
      <c r="B270" s="224"/>
    </row>
    <row r="271" spans="2:6">
      <c r="B271" s="224"/>
    </row>
    <row r="272" spans="2:6">
      <c r="B272" s="224"/>
    </row>
    <row r="273" spans="2:2">
      <c r="B273" s="224"/>
    </row>
    <row r="274" spans="2:2">
      <c r="B274" s="224"/>
    </row>
    <row r="275" spans="2:2">
      <c r="B275" s="224"/>
    </row>
    <row r="276" spans="2:2">
      <c r="B276" s="224"/>
    </row>
    <row r="277" spans="2:2">
      <c r="B277" s="224"/>
    </row>
    <row r="278" spans="2:2">
      <c r="B278" s="224"/>
    </row>
    <row r="279" spans="2:2">
      <c r="B279" s="224"/>
    </row>
    <row r="280" spans="2:2">
      <c r="B280" s="224"/>
    </row>
    <row r="281" spans="2:2">
      <c r="B281" s="224"/>
    </row>
    <row r="282" spans="2:2">
      <c r="B282" s="224"/>
    </row>
  </sheetData>
  <autoFilter ref="B5:F251"/>
  <pageMargins left="1.1811023622047245" right="0.47244094488188981" top="0.47244094488188981" bottom="0.98425196850393704" header="0.23622047244094491" footer="0.19685039370078741"/>
  <pageSetup paperSize="9" scale="90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33"/>
  <sheetViews>
    <sheetView workbookViewId="0">
      <selection activeCell="D9" sqref="D9"/>
    </sheetView>
  </sheetViews>
  <sheetFormatPr defaultRowHeight="12.75"/>
  <cols>
    <col min="1" max="1" width="60.28515625" bestFit="1" customWidth="1"/>
    <col min="2" max="2" width="11.140625" bestFit="1" customWidth="1"/>
    <col min="3" max="3" width="12.7109375" bestFit="1" customWidth="1"/>
    <col min="4" max="4" width="11.140625" bestFit="1" customWidth="1"/>
  </cols>
  <sheetData>
    <row r="1" spans="1:4">
      <c r="B1" s="806" t="s">
        <v>296</v>
      </c>
      <c r="C1" s="807"/>
      <c r="D1" s="807"/>
    </row>
    <row r="2" spans="1:4">
      <c r="B2" s="62" t="s">
        <v>293</v>
      </c>
      <c r="C2" s="62" t="s">
        <v>294</v>
      </c>
      <c r="D2" s="62" t="s">
        <v>11</v>
      </c>
    </row>
    <row r="3" spans="1:4">
      <c r="A3" s="3" t="s">
        <v>261</v>
      </c>
      <c r="B3" s="79" t="e">
        <f>'3 KULUD'!#REF!</f>
        <v>#REF!</v>
      </c>
      <c r="C3" s="81"/>
      <c r="D3" s="79" t="e">
        <f>B3+C3</f>
        <v>#REF!</v>
      </c>
    </row>
    <row r="4" spans="1:4">
      <c r="A4" s="3" t="s">
        <v>262</v>
      </c>
      <c r="B4" s="79" t="e">
        <f>'3 KULUD'!#REF!</f>
        <v>#REF!</v>
      </c>
      <c r="C4" s="79" t="e">
        <f>#REF!</f>
        <v>#REF!</v>
      </c>
      <c r="D4" s="79" t="e">
        <f t="shared" ref="D4:D32" si="0">B4+C4</f>
        <v>#REF!</v>
      </c>
    </row>
    <row r="5" spans="1:4">
      <c r="A5" s="3" t="s">
        <v>263</v>
      </c>
      <c r="B5" s="79" t="e">
        <f>'3 KULUD'!#REF!</f>
        <v>#REF!</v>
      </c>
      <c r="C5" s="79" t="e">
        <f>#REF!</f>
        <v>#REF!</v>
      </c>
      <c r="D5" s="79" t="e">
        <f t="shared" si="0"/>
        <v>#REF!</v>
      </c>
    </row>
    <row r="6" spans="1:4">
      <c r="A6" s="3" t="s">
        <v>264</v>
      </c>
      <c r="B6" s="79" t="e">
        <f>'3 KULUD'!#REF!</f>
        <v>#REF!</v>
      </c>
      <c r="C6" s="79" t="e">
        <f>#REF!</f>
        <v>#REF!</v>
      </c>
      <c r="D6" s="79" t="e">
        <f t="shared" si="0"/>
        <v>#REF!</v>
      </c>
    </row>
    <row r="7" spans="1:4">
      <c r="A7" s="3" t="s">
        <v>265</v>
      </c>
      <c r="B7" s="79" t="e">
        <f>'3 KULUD'!#REF!</f>
        <v>#REF!</v>
      </c>
      <c r="C7" s="79" t="e">
        <f>#REF!</f>
        <v>#REF!</v>
      </c>
      <c r="D7" s="79" t="e">
        <f t="shared" si="0"/>
        <v>#REF!</v>
      </c>
    </row>
    <row r="8" spans="1:4">
      <c r="A8" s="3" t="s">
        <v>266</v>
      </c>
      <c r="B8" s="79" t="e">
        <f>'3 KULUD'!#REF!</f>
        <v>#REF!</v>
      </c>
      <c r="C8" s="79" t="e">
        <f>#REF!</f>
        <v>#REF!</v>
      </c>
      <c r="D8" s="79" t="e">
        <f t="shared" si="0"/>
        <v>#REF!</v>
      </c>
    </row>
    <row r="9" spans="1:4">
      <c r="A9" s="3" t="s">
        <v>144</v>
      </c>
      <c r="B9" s="79" t="e">
        <f>'3 KULUD'!#REF!</f>
        <v>#REF!</v>
      </c>
      <c r="C9" s="79" t="e">
        <f>#REF!</f>
        <v>#REF!</v>
      </c>
      <c r="D9" s="79" t="e">
        <f t="shared" si="0"/>
        <v>#REF!</v>
      </c>
    </row>
    <row r="10" spans="1:4">
      <c r="A10" s="3" t="s">
        <v>146</v>
      </c>
      <c r="B10" s="79" t="e">
        <f>'3 KULUD'!#REF!</f>
        <v>#REF!</v>
      </c>
      <c r="C10" s="79" t="e">
        <f>#REF!</f>
        <v>#REF!</v>
      </c>
      <c r="D10" s="79" t="e">
        <f t="shared" si="0"/>
        <v>#REF!</v>
      </c>
    </row>
    <row r="11" spans="1:4">
      <c r="A11" s="3" t="s">
        <v>267</v>
      </c>
      <c r="B11" s="79" t="e">
        <f>'3 KULUD'!#REF!</f>
        <v>#REF!</v>
      </c>
      <c r="C11" s="79" t="e">
        <f>#REF!</f>
        <v>#REF!</v>
      </c>
      <c r="D11" s="79" t="e">
        <f t="shared" si="0"/>
        <v>#REF!</v>
      </c>
    </row>
    <row r="12" spans="1:4">
      <c r="A12" s="3" t="s">
        <v>268</v>
      </c>
      <c r="B12" s="79" t="e">
        <f>'3 KULUD'!#REF!</f>
        <v>#REF!</v>
      </c>
      <c r="C12" s="79" t="e">
        <f>#REF!</f>
        <v>#REF!</v>
      </c>
      <c r="D12" s="79" t="e">
        <f t="shared" si="0"/>
        <v>#REF!</v>
      </c>
    </row>
    <row r="13" spans="1:4">
      <c r="A13" s="3" t="s">
        <v>269</v>
      </c>
      <c r="B13" s="79" t="e">
        <f>'3 KULUD'!#REF!</f>
        <v>#REF!</v>
      </c>
      <c r="C13" s="79" t="e">
        <f>#REF!</f>
        <v>#REF!</v>
      </c>
      <c r="D13" s="79" t="e">
        <f t="shared" si="0"/>
        <v>#REF!</v>
      </c>
    </row>
    <row r="14" spans="1:4">
      <c r="A14" s="3" t="s">
        <v>270</v>
      </c>
      <c r="B14" s="79" t="e">
        <f>'3 KULUD'!#REF!</f>
        <v>#REF!</v>
      </c>
      <c r="C14" s="79" t="e">
        <f>#REF!</f>
        <v>#REF!</v>
      </c>
      <c r="D14" s="79" t="e">
        <f t="shared" si="0"/>
        <v>#REF!</v>
      </c>
    </row>
    <row r="15" spans="1:4">
      <c r="A15" s="3" t="s">
        <v>271</v>
      </c>
      <c r="B15" s="79" t="e">
        <f>'3 KULUD'!#REF!</f>
        <v>#REF!</v>
      </c>
      <c r="C15" s="79" t="e">
        <f>#REF!</f>
        <v>#REF!</v>
      </c>
      <c r="D15" s="79" t="e">
        <f t="shared" si="0"/>
        <v>#REF!</v>
      </c>
    </row>
    <row r="16" spans="1:4">
      <c r="A16" s="3" t="s">
        <v>218</v>
      </c>
      <c r="B16" s="79" t="e">
        <f>'3 KULUD'!#REF!</f>
        <v>#REF!</v>
      </c>
      <c r="C16" s="79" t="e">
        <f>#REF!</f>
        <v>#REF!</v>
      </c>
      <c r="D16" s="79" t="e">
        <f t="shared" si="0"/>
        <v>#REF!</v>
      </c>
    </row>
    <row r="17" spans="1:4">
      <c r="A17" s="3" t="s">
        <v>249</v>
      </c>
      <c r="B17" s="79" t="e">
        <f>'3 KULUD'!#REF!</f>
        <v>#REF!</v>
      </c>
      <c r="C17" s="79" t="e">
        <f>#REF!</f>
        <v>#REF!</v>
      </c>
      <c r="D17" s="79" t="e">
        <f t="shared" si="0"/>
        <v>#REF!</v>
      </c>
    </row>
    <row r="18" spans="1:4">
      <c r="A18" s="3" t="s">
        <v>272</v>
      </c>
      <c r="B18" s="79" t="e">
        <f>'3 KULUD'!#REF!</f>
        <v>#REF!</v>
      </c>
      <c r="C18" s="79" t="e">
        <f>#REF!</f>
        <v>#REF!</v>
      </c>
      <c r="D18" s="79" t="e">
        <f t="shared" si="0"/>
        <v>#REF!</v>
      </c>
    </row>
    <row r="19" spans="1:4">
      <c r="A19" s="3" t="s">
        <v>273</v>
      </c>
      <c r="B19" s="79" t="e">
        <f>'3 KULUD'!#REF!</f>
        <v>#REF!</v>
      </c>
      <c r="C19" s="79" t="e">
        <f>#REF!</f>
        <v>#REF!</v>
      </c>
      <c r="D19" s="79" t="e">
        <f t="shared" si="0"/>
        <v>#REF!</v>
      </c>
    </row>
    <row r="20" spans="1:4">
      <c r="A20" s="3" t="s">
        <v>274</v>
      </c>
      <c r="B20" s="79" t="e">
        <f>'3 KULUD'!#REF!</f>
        <v>#REF!</v>
      </c>
      <c r="C20" s="79" t="e">
        <f>#REF!</f>
        <v>#REF!</v>
      </c>
      <c r="D20" s="79" t="e">
        <f t="shared" si="0"/>
        <v>#REF!</v>
      </c>
    </row>
    <row r="21" spans="1:4">
      <c r="A21" s="3" t="s">
        <v>275</v>
      </c>
      <c r="B21" s="79" t="e">
        <f>'3 KULUD'!#REF!</f>
        <v>#REF!</v>
      </c>
      <c r="C21" s="79" t="e">
        <f>#REF!</f>
        <v>#REF!</v>
      </c>
      <c r="D21" s="79" t="e">
        <f t="shared" si="0"/>
        <v>#REF!</v>
      </c>
    </row>
    <row r="22" spans="1:4">
      <c r="A22" s="3" t="s">
        <v>276</v>
      </c>
      <c r="B22" s="79" t="e">
        <f>'3 KULUD'!#REF!</f>
        <v>#REF!</v>
      </c>
      <c r="C22" s="79" t="e">
        <f>#REF!</f>
        <v>#REF!</v>
      </c>
      <c r="D22" s="79" t="e">
        <f t="shared" si="0"/>
        <v>#REF!</v>
      </c>
    </row>
    <row r="23" spans="1:4">
      <c r="A23" s="265" t="s">
        <v>277</v>
      </c>
      <c r="B23" s="59" t="e">
        <f>'3 KULUD'!#REF!</f>
        <v>#REF!</v>
      </c>
      <c r="C23" s="59" t="e">
        <f>#REF!</f>
        <v>#REF!</v>
      </c>
      <c r="D23" s="59" t="e">
        <f t="shared" si="0"/>
        <v>#REF!</v>
      </c>
    </row>
    <row r="24" spans="1:4">
      <c r="A24" s="3" t="s">
        <v>278</v>
      </c>
      <c r="B24" s="79" t="e">
        <f>'3 KULUD'!#REF!</f>
        <v>#REF!</v>
      </c>
      <c r="C24" s="59"/>
      <c r="D24" s="79" t="e">
        <f t="shared" si="0"/>
        <v>#REF!</v>
      </c>
    </row>
    <row r="25" spans="1:4">
      <c r="A25" s="3" t="s">
        <v>279</v>
      </c>
      <c r="B25" s="79" t="e">
        <f>'3 KULUD'!#REF!</f>
        <v>#REF!</v>
      </c>
      <c r="C25" s="79"/>
      <c r="D25" s="79" t="e">
        <f t="shared" si="0"/>
        <v>#REF!</v>
      </c>
    </row>
    <row r="26" spans="1:4">
      <c r="A26" s="3" t="s">
        <v>280</v>
      </c>
      <c r="B26" s="79" t="e">
        <f>'3 KULUD'!#REF!</f>
        <v>#REF!</v>
      </c>
      <c r="C26" s="79"/>
      <c r="D26" s="79" t="e">
        <f t="shared" si="0"/>
        <v>#REF!</v>
      </c>
    </row>
    <row r="27" spans="1:4">
      <c r="A27" s="266" t="s">
        <v>281</v>
      </c>
      <c r="B27" s="79" t="e">
        <f>'3 KULUD'!#REF!</f>
        <v>#REF!</v>
      </c>
      <c r="C27" s="79"/>
      <c r="D27" s="79" t="e">
        <f t="shared" si="0"/>
        <v>#REF!</v>
      </c>
    </row>
    <row r="28" spans="1:4">
      <c r="A28" s="170" t="s">
        <v>282</v>
      </c>
      <c r="B28" s="79" t="e">
        <f>'3 KULUD'!#REF!</f>
        <v>#REF!</v>
      </c>
      <c r="C28" s="79"/>
      <c r="D28" s="79" t="e">
        <f t="shared" si="0"/>
        <v>#REF!</v>
      </c>
    </row>
    <row r="29" spans="1:4">
      <c r="A29" s="170" t="s">
        <v>242</v>
      </c>
      <c r="B29" s="79" t="e">
        <f>'3 KULUD'!#REF!</f>
        <v>#REF!</v>
      </c>
      <c r="C29" s="79"/>
      <c r="D29" s="79" t="e">
        <f t="shared" si="0"/>
        <v>#REF!</v>
      </c>
    </row>
    <row r="30" spans="1:4">
      <c r="A30" s="265" t="s">
        <v>283</v>
      </c>
      <c r="B30" s="59" t="e">
        <f>'3 KULUD'!#REF!</f>
        <v>#REF!</v>
      </c>
      <c r="C30" s="59" t="e">
        <f>SUM(C23:C29)</f>
        <v>#REF!</v>
      </c>
      <c r="D30" s="59" t="e">
        <f t="shared" si="0"/>
        <v>#REF!</v>
      </c>
    </row>
    <row r="31" spans="1:4">
      <c r="A31" s="3" t="s">
        <v>284</v>
      </c>
      <c r="B31" s="79" t="e">
        <f>'3 KULUD'!#REF!</f>
        <v>#REF!</v>
      </c>
      <c r="C31" s="59"/>
      <c r="D31" s="79" t="e">
        <f t="shared" si="0"/>
        <v>#REF!</v>
      </c>
    </row>
    <row r="32" spans="1:4">
      <c r="A32" s="265" t="s">
        <v>11</v>
      </c>
      <c r="B32" s="59" t="e">
        <f>'3 KULUD'!#REF!</f>
        <v>#REF!</v>
      </c>
      <c r="C32" s="59" t="e">
        <f>C30+C31</f>
        <v>#REF!</v>
      </c>
      <c r="D32" s="59" t="e">
        <f t="shared" si="0"/>
        <v>#REF!</v>
      </c>
    </row>
    <row r="33" spans="3:3">
      <c r="C33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Valdkonnad</vt:lpstr>
      <vt:lpstr>'2 TULUDE KOOND'!Print_Titles</vt:lpstr>
      <vt:lpstr>'2.1 LK TULUD'!Print_Titles</vt:lpstr>
      <vt:lpstr>'2.2 OMATULUD'!Print_Titles</vt:lpstr>
      <vt:lpstr>'2.3 TOETUSED'!Print_Titles</vt:lpstr>
      <vt:lpstr>'3 KULUD'!Print_Titles</vt:lpstr>
      <vt:lpstr>'4 INVEST'!Print_Titles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2018-10-29T11:08:28Z</cp:lastPrinted>
  <dcterms:created xsi:type="dcterms:W3CDTF">2011-11-17T06:19:29Z</dcterms:created>
  <dcterms:modified xsi:type="dcterms:W3CDTF">2018-11-02T09:04:10Z</dcterms:modified>
</cp:coreProperties>
</file>