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30" windowHeight="6150" tabRatio="461" firstSheet="1" activeTab="1"/>
  </bookViews>
  <sheets>
    <sheet name="Sheet2" sheetId="15" state="hidden" r:id="rId1"/>
    <sheet name="Koondvorm (1)" sheetId="24" r:id="rId2"/>
    <sheet name="Omatulud (3)" sheetId="23" r:id="rId3"/>
    <sheet name="Toetused (4)" sheetId="26" r:id="rId4"/>
    <sheet name="Piirsumma" sheetId="28" r:id="rId5"/>
    <sheet name="Kulud (5)" sheetId="8" r:id="rId6"/>
    <sheet name="Lisanduvad kulud (5a)" sheetId="19" r:id="rId7"/>
    <sheet name="Vähenevad kulud (5b)" sheetId="20" r:id="rId8"/>
    <sheet name="Inv koond (6a)" sheetId="32" r:id="rId9"/>
    <sheet name="Inv infokaart (6b)" sheetId="35" r:id="rId10"/>
    <sheet name="Inv infokaardi lisa(6c)" sheetId="34" r:id="rId11"/>
    <sheet name="välisprojektid (7)" sheetId="27" r:id="rId12"/>
  </sheets>
  <externalReferences>
    <externalReference r:id="rId13"/>
    <externalReference r:id="rId14"/>
  </externalReferences>
  <definedNames>
    <definedName name="_xlnm._FilterDatabase" localSheetId="5" hidden="1">'Kulud (5)'!$C$5:$AD$261</definedName>
    <definedName name="_xlnm._FilterDatabase" localSheetId="6" hidden="1">'Lisanduvad kulud (5a)'!$A$3:$F$16</definedName>
    <definedName name="_xlnm._FilterDatabase" localSheetId="2" hidden="1">'Omatulud (3)'!$A$6:$B$79</definedName>
    <definedName name="_xlnm._FilterDatabase" localSheetId="3" hidden="1">'Toetused (4)'!$A$5:$B$8</definedName>
    <definedName name="a">'[1]8 KULUD'!#REF!</definedName>
    <definedName name="job_levels" localSheetId="10">OFFSET(job_levels_range,0,0,COUNTA(job_levels_range),1)</definedName>
    <definedName name="job_levels" localSheetId="9">OFFSET(job_levels_range,0,0,COUNTA(job_levels_range),1)</definedName>
    <definedName name="job_levels" localSheetId="8">OFFSET(job_levels_range,0,0,COUNTA(job_levels_range),1)</definedName>
    <definedName name="job_levels" localSheetId="1">OFFSET(job_levels_range,0,0,COUNTA(job_levels_range),1)</definedName>
    <definedName name="job_levels" localSheetId="3">OFFSET(job_levels_range,0,0,COUNTA(job_levels_range),1)</definedName>
    <definedName name="job_levels" localSheetId="11">OFFSET(job_levels_range,0,0,COUNTA(job_levels_range),1)</definedName>
    <definedName name="job_levels">OFFSET(job_levels_range,0,0,COUNTA(job_levels_range),1)</definedName>
    <definedName name="job_names" localSheetId="10">OFFSET(job_names_range,0,0,COUNTA(job_names_range),1)</definedName>
    <definedName name="job_names" localSheetId="9">OFFSET(job_names_range,0,0,COUNTA(job_names_range),1)</definedName>
    <definedName name="job_names" localSheetId="8">OFFSET(job_names_range,0,0,COUNTA(job_names_range),1)</definedName>
    <definedName name="job_names" localSheetId="1">OFFSET(job_names_range,0,0,COUNTA(job_names_range),1)</definedName>
    <definedName name="job_names" localSheetId="3">OFFSET(job_names_range,0,0,COUNTA(job_names_range),1)</definedName>
    <definedName name="job_names" localSheetId="11">OFFSET(job_names_range,0,0,COUNTA(job_names_range),1)</definedName>
    <definedName name="job_names">OFFSET(job_names_range,0,0,COUNTA(job_names_range),1)</definedName>
    <definedName name="joblevels">'[2]Job Names'!$H$9:$H$35</definedName>
    <definedName name="jobnames">#N/A</definedName>
    <definedName name="language_list">'[2]Job Names'!$E$2:$E$5</definedName>
    <definedName name="Maalist">[2]Maakonnad!$A$1:$A$15</definedName>
    <definedName name="OLE_LINK1" localSheetId="5">'Kulud (5)'!#REF!</definedName>
    <definedName name="Prinditiitlid" localSheetId="1">'Koondvorm (1)'!#REF!</definedName>
    <definedName name="_xlnm.Print_Titles" localSheetId="1">'Koondvorm (1)'!$A:$A</definedName>
    <definedName name="_xlnm.Print_Titles" localSheetId="6">'Lisanduvad kulud (5a)'!$3:$3</definedName>
    <definedName name="_xlnm.Print_Titles" localSheetId="2">'Omatulud (3)'!$4:$4</definedName>
    <definedName name="_xlnm.Print_Titles" localSheetId="7">'Vähenevad kulud (5b)'!$3:$3</definedName>
    <definedName name="zJob">'[2]Job Families'!$D$1:$D$481</definedName>
    <definedName name="zLev">'[2]Job Families'!$E$1:$E$481</definedName>
    <definedName name="zPnt">'[2]Job Families'!$F$1:$F$481</definedName>
    <definedName name="zPntH">'[2]Job Families'!$H$1:$H$481</definedName>
    <definedName name="zPntL">'[2]Job Families'!$G$1:$G$481</definedName>
    <definedName name="test">OFFSET(job_levels_range,0,0,COUNTA(job_levels_range),1)</definedName>
  </definedNames>
  <calcPr calcId="145621"/>
</workbook>
</file>

<file path=xl/calcChain.xml><?xml version="1.0" encoding="utf-8"?>
<calcChain xmlns="http://schemas.openxmlformats.org/spreadsheetml/2006/main">
  <c r="B9" i="24" l="1"/>
  <c r="B10" i="24"/>
  <c r="B11" i="24"/>
  <c r="B12" i="24"/>
  <c r="B13" i="24"/>
  <c r="B14" i="24"/>
  <c r="B15" i="24"/>
  <c r="B16" i="24"/>
  <c r="B17" i="24"/>
  <c r="B18" i="24"/>
  <c r="B19" i="24"/>
  <c r="B20" i="24"/>
  <c r="B21" i="24"/>
  <c r="B22" i="24"/>
  <c r="B23" i="24"/>
  <c r="B24" i="24"/>
  <c r="B25" i="24"/>
  <c r="B26" i="24"/>
  <c r="B27" i="24"/>
  <c r="B28" i="24"/>
  <c r="B29" i="24"/>
  <c r="B30" i="24"/>
  <c r="B8" i="24"/>
  <c r="N23" i="24"/>
  <c r="N22" i="24"/>
  <c r="N21" i="24"/>
  <c r="N19" i="24"/>
  <c r="N18" i="24"/>
  <c r="N17" i="24"/>
  <c r="N16" i="24"/>
  <c r="N15" i="24"/>
  <c r="N14" i="24"/>
  <c r="N13" i="24"/>
  <c r="N10" i="24"/>
  <c r="Y221" i="8" l="1"/>
  <c r="K221" i="8"/>
  <c r="B38" i="35" l="1"/>
  <c r="B37" i="35"/>
  <c r="B36" i="35"/>
  <c r="B35" i="35"/>
  <c r="B34" i="35"/>
  <c r="B33" i="35"/>
  <c r="B32" i="35"/>
  <c r="B31" i="35"/>
  <c r="B30" i="35"/>
  <c r="G29" i="35"/>
  <c r="F29" i="35"/>
  <c r="E29" i="35"/>
  <c r="D29" i="35"/>
  <c r="C29" i="35"/>
  <c r="B29" i="35"/>
  <c r="G26" i="35"/>
  <c r="F26" i="35"/>
  <c r="E26" i="35"/>
  <c r="D26" i="35"/>
  <c r="B26" i="35" s="1"/>
  <c r="C26" i="35"/>
  <c r="G24" i="35"/>
  <c r="G22" i="35" s="1"/>
  <c r="F24" i="35"/>
  <c r="F22" i="35" s="1"/>
  <c r="E24" i="35"/>
  <c r="D24" i="35"/>
  <c r="D22" i="35" s="1"/>
  <c r="C24" i="35"/>
  <c r="C22" i="35" s="1"/>
  <c r="B24" i="35"/>
  <c r="B22" i="35" s="1"/>
  <c r="B23" i="35"/>
  <c r="E22" i="35"/>
  <c r="I295" i="32" l="1"/>
  <c r="G295" i="32"/>
  <c r="F295" i="32"/>
  <c r="E295" i="32"/>
  <c r="D295" i="32"/>
  <c r="I293" i="32"/>
  <c r="G293" i="32"/>
  <c r="F293" i="32"/>
  <c r="F288" i="32" s="1"/>
  <c r="E293" i="32"/>
  <c r="D293" i="32"/>
  <c r="I291" i="32"/>
  <c r="G291" i="32"/>
  <c r="F291" i="32"/>
  <c r="E291" i="32"/>
  <c r="D291" i="32"/>
  <c r="I289" i="32"/>
  <c r="G289" i="32"/>
  <c r="G288" i="32" s="1"/>
  <c r="F289" i="32"/>
  <c r="E289" i="32"/>
  <c r="D289" i="32"/>
  <c r="I288" i="32"/>
  <c r="E288" i="32"/>
  <c r="D288" i="32"/>
  <c r="I285" i="32"/>
  <c r="G285" i="32"/>
  <c r="F285" i="32"/>
  <c r="F282" i="32" s="1"/>
  <c r="E285" i="32"/>
  <c r="E282" i="32" s="1"/>
  <c r="D285" i="32"/>
  <c r="C285" i="32"/>
  <c r="I282" i="32"/>
  <c r="G282" i="32"/>
  <c r="D282" i="32"/>
  <c r="C282" i="32"/>
  <c r="I280" i="32"/>
  <c r="G280" i="32"/>
  <c r="F280" i="32"/>
  <c r="E280" i="32"/>
  <c r="D280" i="32"/>
  <c r="C280" i="32"/>
  <c r="I271" i="32"/>
  <c r="G271" i="32"/>
  <c r="F271" i="32"/>
  <c r="C271" i="32"/>
  <c r="G220" i="32"/>
  <c r="I219" i="32"/>
  <c r="G219" i="32"/>
  <c r="F219" i="32"/>
  <c r="E219" i="32"/>
  <c r="D219" i="32"/>
  <c r="I218" i="32"/>
  <c r="G218" i="32"/>
  <c r="F218" i="32"/>
  <c r="E218" i="32"/>
  <c r="D218" i="32"/>
  <c r="C218" i="32"/>
  <c r="I217" i="32"/>
  <c r="I216" i="32" s="1"/>
  <c r="G217" i="32"/>
  <c r="G216" i="32" s="1"/>
  <c r="F217" i="32"/>
  <c r="E217" i="32"/>
  <c r="D217" i="32"/>
  <c r="D216" i="32" s="1"/>
  <c r="C217" i="32"/>
  <c r="C216" i="32" s="1"/>
  <c r="F216" i="32"/>
  <c r="E216" i="32"/>
  <c r="E195" i="32"/>
  <c r="I184" i="32"/>
  <c r="I183" i="32" s="1"/>
  <c r="G184" i="32"/>
  <c r="F184" i="32"/>
  <c r="E184" i="32"/>
  <c r="E183" i="32" s="1"/>
  <c r="D184" i="32"/>
  <c r="D183" i="32" s="1"/>
  <c r="C184" i="32"/>
  <c r="G183" i="32"/>
  <c r="F183" i="32"/>
  <c r="C183" i="32"/>
  <c r="I179" i="32"/>
  <c r="G179" i="32"/>
  <c r="F179" i="32"/>
  <c r="E179" i="32"/>
  <c r="D179" i="32"/>
  <c r="C179" i="32"/>
  <c r="I177" i="32"/>
  <c r="G177" i="32"/>
  <c r="F177" i="32"/>
  <c r="E177" i="32"/>
  <c r="D177" i="32"/>
  <c r="C177" i="32"/>
  <c r="I176" i="32"/>
  <c r="I175" i="32" s="1"/>
  <c r="G176" i="32"/>
  <c r="F176" i="32"/>
  <c r="E176" i="32"/>
  <c r="E175" i="32" s="1"/>
  <c r="D176" i="32"/>
  <c r="D175" i="32" s="1"/>
  <c r="C176" i="32"/>
  <c r="G175" i="32"/>
  <c r="F175" i="32"/>
  <c r="C175" i="32"/>
  <c r="I172" i="32"/>
  <c r="G172" i="32"/>
  <c r="F172" i="32"/>
  <c r="E172" i="32"/>
  <c r="D172" i="32"/>
  <c r="C172" i="32"/>
  <c r="I169" i="32"/>
  <c r="G169" i="32"/>
  <c r="G168" i="32" s="1"/>
  <c r="F169" i="32"/>
  <c r="F168" i="32" s="1"/>
  <c r="E169" i="32"/>
  <c r="D169" i="32"/>
  <c r="C169" i="32"/>
  <c r="C168" i="32" s="1"/>
  <c r="I168" i="32"/>
  <c r="E168" i="32"/>
  <c r="D168" i="32"/>
  <c r="I164" i="32"/>
  <c r="G164" i="32"/>
  <c r="F164" i="32"/>
  <c r="E164" i="32"/>
  <c r="D164" i="32"/>
  <c r="C164" i="32"/>
  <c r="I162" i="32"/>
  <c r="G162" i="32"/>
  <c r="F162" i="32"/>
  <c r="E162" i="32"/>
  <c r="D162" i="32"/>
  <c r="C162" i="32"/>
  <c r="I158" i="32"/>
  <c r="G158" i="32"/>
  <c r="F158" i="32"/>
  <c r="E158" i="32"/>
  <c r="D158" i="32"/>
  <c r="C158" i="32"/>
  <c r="I155" i="32"/>
  <c r="I154" i="32" s="1"/>
  <c r="G155" i="32"/>
  <c r="F155" i="32"/>
  <c r="E155" i="32"/>
  <c r="E154" i="32" s="1"/>
  <c r="E95" i="32" s="1"/>
  <c r="E94" i="32" s="1"/>
  <c r="D155" i="32"/>
  <c r="D154" i="32" s="1"/>
  <c r="C155" i="32"/>
  <c r="G154" i="32"/>
  <c r="F154" i="32"/>
  <c r="C154" i="32"/>
  <c r="I149" i="32"/>
  <c r="G149" i="32"/>
  <c r="F149" i="32"/>
  <c r="E149" i="32"/>
  <c r="D149" i="32"/>
  <c r="C149" i="32"/>
  <c r="I145" i="32"/>
  <c r="G145" i="32"/>
  <c r="F145" i="32"/>
  <c r="C145" i="32"/>
  <c r="G143" i="32"/>
  <c r="I136" i="32"/>
  <c r="G136" i="32"/>
  <c r="D136" i="32"/>
  <c r="C136" i="32"/>
  <c r="I132" i="32"/>
  <c r="I127" i="32" s="1"/>
  <c r="G132" i="32"/>
  <c r="G127" i="32" s="1"/>
  <c r="G126" i="32" s="1"/>
  <c r="F132" i="32"/>
  <c r="E132" i="32"/>
  <c r="D132" i="32"/>
  <c r="D127" i="32" s="1"/>
  <c r="C132" i="32"/>
  <c r="C127" i="32" s="1"/>
  <c r="C126" i="32" s="1"/>
  <c r="I129" i="32"/>
  <c r="G129" i="32"/>
  <c r="F129" i="32"/>
  <c r="E129" i="32"/>
  <c r="D129" i="32"/>
  <c r="C129" i="32"/>
  <c r="I128" i="32"/>
  <c r="I98" i="32" s="1"/>
  <c r="I9" i="32" s="1"/>
  <c r="I299" i="32" s="1"/>
  <c r="G128" i="32"/>
  <c r="F128" i="32"/>
  <c r="E128" i="32"/>
  <c r="D128" i="32"/>
  <c r="D98" i="32" s="1"/>
  <c r="D9" i="32" s="1"/>
  <c r="D299" i="32" s="1"/>
  <c r="C128" i="32"/>
  <c r="F127" i="32"/>
  <c r="F95" i="32" s="1"/>
  <c r="F94" i="32" s="1"/>
  <c r="E127" i="32"/>
  <c r="E126" i="32" s="1"/>
  <c r="E93" i="32" s="1"/>
  <c r="I122" i="32"/>
  <c r="G122" i="32"/>
  <c r="E122" i="32"/>
  <c r="D122" i="32"/>
  <c r="C122" i="32"/>
  <c r="I117" i="32"/>
  <c r="G117" i="32"/>
  <c r="E117" i="32"/>
  <c r="D117" i="32"/>
  <c r="C117" i="32"/>
  <c r="I100" i="32"/>
  <c r="G100" i="32"/>
  <c r="G99" i="32" s="1"/>
  <c r="E100" i="32"/>
  <c r="D100" i="32"/>
  <c r="C100" i="32"/>
  <c r="C99" i="32" s="1"/>
  <c r="I99" i="32"/>
  <c r="F99" i="32"/>
  <c r="E99" i="32"/>
  <c r="D99" i="32"/>
  <c r="G98" i="32"/>
  <c r="F98" i="32"/>
  <c r="E98" i="32"/>
  <c r="C98" i="32"/>
  <c r="I97" i="32"/>
  <c r="G97" i="32"/>
  <c r="F97" i="32"/>
  <c r="E97" i="32"/>
  <c r="D97" i="32"/>
  <c r="C97" i="32"/>
  <c r="I96" i="32"/>
  <c r="G96" i="32"/>
  <c r="F96" i="32"/>
  <c r="E96" i="32"/>
  <c r="D96" i="32"/>
  <c r="C96" i="32"/>
  <c r="I90" i="32"/>
  <c r="G90" i="32"/>
  <c r="F90" i="32"/>
  <c r="E90" i="32"/>
  <c r="D90" i="32"/>
  <c r="C90" i="32"/>
  <c r="I89" i="32"/>
  <c r="G89" i="32"/>
  <c r="F89" i="32"/>
  <c r="E89" i="32"/>
  <c r="D89" i="32"/>
  <c r="C89" i="32"/>
  <c r="I88" i="32"/>
  <c r="G88" i="32"/>
  <c r="G87" i="32" s="1"/>
  <c r="F88" i="32"/>
  <c r="F87" i="32" s="1"/>
  <c r="E88" i="32"/>
  <c r="D88" i="32"/>
  <c r="C88" i="32"/>
  <c r="C87" i="32" s="1"/>
  <c r="I87" i="32"/>
  <c r="E87" i="32"/>
  <c r="D87" i="32"/>
  <c r="I84" i="32"/>
  <c r="G84" i="32"/>
  <c r="F84" i="32"/>
  <c r="E84" i="32"/>
  <c r="D84" i="32"/>
  <c r="C84" i="32"/>
  <c r="I83" i="32"/>
  <c r="G83" i="32"/>
  <c r="F83" i="32"/>
  <c r="E83" i="32"/>
  <c r="E81" i="32" s="1"/>
  <c r="D83" i="32"/>
  <c r="C83" i="32"/>
  <c r="I82" i="32"/>
  <c r="G82" i="32"/>
  <c r="G81" i="32" s="1"/>
  <c r="F82" i="32"/>
  <c r="F81" i="32" s="1"/>
  <c r="E82" i="32"/>
  <c r="D82" i="32"/>
  <c r="C82" i="32"/>
  <c r="C81" i="32" s="1"/>
  <c r="I81" i="32"/>
  <c r="D81" i="32"/>
  <c r="I78" i="32"/>
  <c r="G78" i="32"/>
  <c r="F78" i="32"/>
  <c r="E78" i="32"/>
  <c r="D78" i="32"/>
  <c r="C78" i="32"/>
  <c r="I75" i="32"/>
  <c r="G75" i="32"/>
  <c r="F75" i="32"/>
  <c r="E75" i="32"/>
  <c r="D75" i="32"/>
  <c r="C75" i="32"/>
  <c r="I72" i="32"/>
  <c r="G72" i="32"/>
  <c r="F72" i="32"/>
  <c r="E72" i="32"/>
  <c r="D72" i="32"/>
  <c r="C72" i="32"/>
  <c r="I69" i="32"/>
  <c r="G69" i="32"/>
  <c r="F69" i="32"/>
  <c r="E69" i="32"/>
  <c r="D69" i="32"/>
  <c r="C69" i="32"/>
  <c r="I66" i="32"/>
  <c r="G66" i="32"/>
  <c r="F66" i="32"/>
  <c r="E66" i="32"/>
  <c r="D66" i="32"/>
  <c r="C66" i="32"/>
  <c r="G65" i="32"/>
  <c r="G43" i="32" s="1"/>
  <c r="G40" i="32" s="1"/>
  <c r="F65" i="32"/>
  <c r="E65" i="32"/>
  <c r="D65" i="32"/>
  <c r="C65" i="32"/>
  <c r="C63" i="32" s="1"/>
  <c r="G64" i="32"/>
  <c r="F64" i="32"/>
  <c r="E64" i="32"/>
  <c r="E63" i="32" s="1"/>
  <c r="D64" i="32"/>
  <c r="D63" i="32" s="1"/>
  <c r="C64" i="32"/>
  <c r="I63" i="32"/>
  <c r="G63" i="32"/>
  <c r="F63" i="32"/>
  <c r="I60" i="32"/>
  <c r="G60" i="32"/>
  <c r="F60" i="32"/>
  <c r="E60" i="32"/>
  <c r="D60" i="32"/>
  <c r="C60" i="32"/>
  <c r="I56" i="32"/>
  <c r="G56" i="32"/>
  <c r="F56" i="32"/>
  <c r="E56" i="32"/>
  <c r="D56" i="32"/>
  <c r="C56" i="32"/>
  <c r="I52" i="32"/>
  <c r="G52" i="32"/>
  <c r="F52" i="32"/>
  <c r="E52" i="32"/>
  <c r="D52" i="32"/>
  <c r="C52" i="32"/>
  <c r="I49" i="32"/>
  <c r="G49" i="32"/>
  <c r="F49" i="32"/>
  <c r="E49" i="32"/>
  <c r="D49" i="32"/>
  <c r="C49" i="32"/>
  <c r="I47" i="32"/>
  <c r="G47" i="32"/>
  <c r="F47" i="32"/>
  <c r="E47" i="32"/>
  <c r="D47" i="32"/>
  <c r="C47" i="32"/>
  <c r="I46" i="32"/>
  <c r="G46" i="32"/>
  <c r="F46" i="32"/>
  <c r="E46" i="32"/>
  <c r="D46" i="32"/>
  <c r="C46" i="32"/>
  <c r="I45" i="32"/>
  <c r="I44" i="32" s="1"/>
  <c r="G45" i="32"/>
  <c r="F45" i="32"/>
  <c r="E45" i="32"/>
  <c r="E44" i="32" s="1"/>
  <c r="D45" i="32"/>
  <c r="D44" i="32" s="1"/>
  <c r="C45" i="32"/>
  <c r="G44" i="32"/>
  <c r="F44" i="32"/>
  <c r="C44" i="32"/>
  <c r="I43" i="32"/>
  <c r="F43" i="32"/>
  <c r="E43" i="32"/>
  <c r="D43" i="32"/>
  <c r="I42" i="32"/>
  <c r="G42" i="32"/>
  <c r="F42" i="32"/>
  <c r="E42" i="32"/>
  <c r="D42" i="32"/>
  <c r="C42" i="32"/>
  <c r="I41" i="32"/>
  <c r="I40" i="32" s="1"/>
  <c r="G41" i="32"/>
  <c r="F41" i="32"/>
  <c r="E41" i="32"/>
  <c r="E40" i="32" s="1"/>
  <c r="D41" i="32"/>
  <c r="D40" i="32" s="1"/>
  <c r="C41" i="32"/>
  <c r="F40" i="32"/>
  <c r="I37" i="32"/>
  <c r="G37" i="32"/>
  <c r="F37" i="32"/>
  <c r="E37" i="32"/>
  <c r="D37" i="32"/>
  <c r="C37" i="32"/>
  <c r="I36" i="32"/>
  <c r="G36" i="32"/>
  <c r="F36" i="32"/>
  <c r="E36" i="32"/>
  <c r="D36" i="32"/>
  <c r="C36" i="32"/>
  <c r="I35" i="32"/>
  <c r="I34" i="32" s="1"/>
  <c r="G35" i="32"/>
  <c r="F35" i="32"/>
  <c r="E35" i="32"/>
  <c r="E34" i="32" s="1"/>
  <c r="D35" i="32"/>
  <c r="D34" i="32" s="1"/>
  <c r="C35" i="32"/>
  <c r="G34" i="32"/>
  <c r="F34" i="32"/>
  <c r="C34" i="32"/>
  <c r="I31" i="32"/>
  <c r="G31" i="32"/>
  <c r="F31" i="32"/>
  <c r="E31" i="32"/>
  <c r="D31" i="32"/>
  <c r="C31" i="32"/>
  <c r="I30" i="32"/>
  <c r="G30" i="32"/>
  <c r="F30" i="32"/>
  <c r="E30" i="32"/>
  <c r="D30" i="32"/>
  <c r="C30" i="32"/>
  <c r="I29" i="32"/>
  <c r="I28" i="32" s="1"/>
  <c r="G29" i="32"/>
  <c r="F29" i="32"/>
  <c r="E29" i="32"/>
  <c r="E28" i="32" s="1"/>
  <c r="D29" i="32"/>
  <c r="D28" i="32" s="1"/>
  <c r="C29" i="32"/>
  <c r="G28" i="32"/>
  <c r="F28" i="32"/>
  <c r="C28" i="32"/>
  <c r="I25" i="32"/>
  <c r="G25" i="32"/>
  <c r="F25" i="32"/>
  <c r="E25" i="32"/>
  <c r="D25" i="32"/>
  <c r="C25" i="32"/>
  <c r="I22" i="32"/>
  <c r="G22" i="32"/>
  <c r="F22" i="32"/>
  <c r="E22" i="32"/>
  <c r="D22" i="32"/>
  <c r="C22" i="32"/>
  <c r="I19" i="32"/>
  <c r="G19" i="32"/>
  <c r="F19" i="32"/>
  <c r="E19" i="32"/>
  <c r="D19" i="32"/>
  <c r="C19" i="32"/>
  <c r="I18" i="32"/>
  <c r="G18" i="32"/>
  <c r="G15" i="32" s="1"/>
  <c r="F18" i="32"/>
  <c r="F15" i="32" s="1"/>
  <c r="F10" i="32" s="1"/>
  <c r="F302" i="32" s="1"/>
  <c r="E18" i="32"/>
  <c r="D18" i="32"/>
  <c r="C18" i="32"/>
  <c r="I17" i="32"/>
  <c r="I16" i="32" s="1"/>
  <c r="I11" i="32" s="1"/>
  <c r="G17" i="32"/>
  <c r="F17" i="32"/>
  <c r="E17" i="32"/>
  <c r="E16" i="32" s="1"/>
  <c r="E11" i="32" s="1"/>
  <c r="D17" i="32"/>
  <c r="D16" i="32" s="1"/>
  <c r="D11" i="32" s="1"/>
  <c r="C17" i="32"/>
  <c r="G16" i="32"/>
  <c r="F16" i="32"/>
  <c r="F11" i="32" s="1"/>
  <c r="C16" i="32"/>
  <c r="I15" i="32"/>
  <c r="I10" i="32" s="1"/>
  <c r="I302" i="32" s="1"/>
  <c r="E15" i="32"/>
  <c r="E10" i="32" s="1"/>
  <c r="E302" i="32" s="1"/>
  <c r="D15" i="32"/>
  <c r="D10" i="32" s="1"/>
  <c r="D302" i="32" s="1"/>
  <c r="I14" i="32"/>
  <c r="G14" i="32"/>
  <c r="G7" i="32" s="1"/>
  <c r="G301" i="32" s="1"/>
  <c r="F14" i="32"/>
  <c r="F7" i="32" s="1"/>
  <c r="F301" i="32" s="1"/>
  <c r="E14" i="32"/>
  <c r="D14" i="32"/>
  <c r="C14" i="32"/>
  <c r="C7" i="32" s="1"/>
  <c r="I13" i="32"/>
  <c r="I12" i="32" s="1"/>
  <c r="G13" i="32"/>
  <c r="E13" i="32"/>
  <c r="E12" i="32" s="1"/>
  <c r="D13" i="32"/>
  <c r="D12" i="32" s="1"/>
  <c r="C13" i="32"/>
  <c r="G9" i="32"/>
  <c r="G299" i="32" s="1"/>
  <c r="F9" i="32"/>
  <c r="F299" i="32" s="1"/>
  <c r="E9" i="32"/>
  <c r="E299" i="32" s="1"/>
  <c r="C9" i="32"/>
  <c r="I8" i="32"/>
  <c r="I300" i="32" s="1"/>
  <c r="G8" i="32"/>
  <c r="G300" i="32" s="1"/>
  <c r="F8" i="32"/>
  <c r="F300" i="32" s="1"/>
  <c r="E8" i="32"/>
  <c r="E300" i="32" s="1"/>
  <c r="D8" i="32"/>
  <c r="D300" i="32" s="1"/>
  <c r="C8" i="32"/>
  <c r="I7" i="32"/>
  <c r="I301" i="32" s="1"/>
  <c r="E7" i="32"/>
  <c r="E301" i="32" s="1"/>
  <c r="D7" i="32"/>
  <c r="D301" i="32" s="1"/>
  <c r="G11" i="32" l="1"/>
  <c r="G2" i="32" s="1"/>
  <c r="D126" i="32"/>
  <c r="D93" i="32" s="1"/>
  <c r="D95" i="32"/>
  <c r="D94" i="32" s="1"/>
  <c r="I126" i="32"/>
  <c r="I93" i="32" s="1"/>
  <c r="I95" i="32"/>
  <c r="I94" i="32" s="1"/>
  <c r="G95" i="32"/>
  <c r="G93" i="32"/>
  <c r="G12" i="32"/>
  <c r="G10" i="32"/>
  <c r="G302" i="32" s="1"/>
  <c r="C95" i="32"/>
  <c r="C93" i="32"/>
  <c r="E6" i="32"/>
  <c r="C43" i="32"/>
  <c r="C40" i="32" s="1"/>
  <c r="C11" i="32" s="1"/>
  <c r="C2" i="32" s="1"/>
  <c r="F126" i="32"/>
  <c r="F93" i="32" s="1"/>
  <c r="D6" i="32"/>
  <c r="I6" i="32"/>
  <c r="F13" i="32"/>
  <c r="I298" i="32" l="1"/>
  <c r="I297" i="32" s="1"/>
  <c r="I5" i="32"/>
  <c r="C6" i="32"/>
  <c r="C94" i="32"/>
  <c r="F12" i="32"/>
  <c r="F6" i="32"/>
  <c r="C15" i="32"/>
  <c r="G94" i="32"/>
  <c r="G6" i="32"/>
  <c r="E5" i="32"/>
  <c r="E298" i="32"/>
  <c r="E297" i="32" s="1"/>
  <c r="D298" i="32"/>
  <c r="D297" i="32" s="1"/>
  <c r="D5" i="32"/>
  <c r="C10" i="32" l="1"/>
  <c r="C12" i="32"/>
  <c r="C5" i="32"/>
  <c r="F5" i="32"/>
  <c r="F298" i="32"/>
  <c r="F297" i="32" s="1"/>
  <c r="G298" i="32"/>
  <c r="G297" i="32" s="1"/>
  <c r="G5" i="32"/>
  <c r="I104" i="8" l="1"/>
  <c r="G104" i="8"/>
  <c r="X104" i="8" s="1"/>
  <c r="W228" i="8"/>
  <c r="W221" i="8"/>
  <c r="W172" i="8"/>
  <c r="W138" i="8"/>
  <c r="W109" i="8"/>
  <c r="W107" i="8" s="1"/>
  <c r="W94" i="8"/>
  <c r="W63" i="8"/>
  <c r="W60" i="8" s="1"/>
  <c r="W43" i="8"/>
  <c r="W18" i="8" s="1"/>
  <c r="W15" i="8"/>
  <c r="T104" i="8"/>
  <c r="G103" i="8"/>
  <c r="I103" i="8" s="1"/>
  <c r="G102" i="8"/>
  <c r="X102" i="8" s="1"/>
  <c r="G101" i="8"/>
  <c r="X101" i="8" s="1"/>
  <c r="T100" i="8"/>
  <c r="G100" i="8"/>
  <c r="X100" i="8" s="1"/>
  <c r="T99" i="8"/>
  <c r="G99" i="8"/>
  <c r="X99" i="8" s="1"/>
  <c r="G98" i="8"/>
  <c r="X98" i="8" s="1"/>
  <c r="G97" i="8"/>
  <c r="I97" i="8" s="1"/>
  <c r="X97" i="8" l="1"/>
  <c r="I102" i="8"/>
  <c r="W170" i="8"/>
  <c r="W80" i="8"/>
  <c r="W17" i="8" s="1"/>
  <c r="I99" i="8"/>
  <c r="I100" i="8"/>
  <c r="I101" i="8"/>
  <c r="I98" i="8"/>
  <c r="W9" i="8" l="1"/>
  <c r="W14" i="8" s="1"/>
  <c r="W11" i="8" s="1"/>
  <c r="G240" i="8"/>
  <c r="I240" i="8" s="1"/>
  <c r="G239" i="8"/>
  <c r="X239" i="8" s="1"/>
  <c r="G238" i="8"/>
  <c r="X238" i="8" s="1"/>
  <c r="G237" i="8"/>
  <c r="I237" i="8" s="1"/>
  <c r="G236" i="8"/>
  <c r="I236" i="8" s="1"/>
  <c r="G235" i="8"/>
  <c r="X235" i="8" s="1"/>
  <c r="G234" i="8"/>
  <c r="X234" i="8" s="1"/>
  <c r="G233" i="8"/>
  <c r="I233" i="8" s="1"/>
  <c r="G232" i="8"/>
  <c r="X232" i="8" s="1"/>
  <c r="G231" i="8"/>
  <c r="X231" i="8" s="1"/>
  <c r="G230" i="8"/>
  <c r="X230" i="8" s="1"/>
  <c r="G229" i="8"/>
  <c r="I229" i="8" s="1"/>
  <c r="T116" i="8"/>
  <c r="I116" i="8"/>
  <c r="G116" i="8"/>
  <c r="T115" i="8"/>
  <c r="I115" i="8"/>
  <c r="G115" i="8"/>
  <c r="P114" i="8"/>
  <c r="T114" i="8" s="1"/>
  <c r="I114" i="8"/>
  <c r="G114" i="8"/>
  <c r="P113" i="8"/>
  <c r="T113" i="8" s="1"/>
  <c r="I113" i="8"/>
  <c r="G113" i="8"/>
  <c r="P112" i="8"/>
  <c r="T112" i="8" s="1"/>
  <c r="I112" i="8"/>
  <c r="G112" i="8"/>
  <c r="P111" i="8"/>
  <c r="P109" i="8" s="1"/>
  <c r="T109" i="8" s="1"/>
  <c r="I111" i="8"/>
  <c r="G111" i="8"/>
  <c r="T110" i="8"/>
  <c r="I110" i="8"/>
  <c r="G110" i="8"/>
  <c r="H109" i="8"/>
  <c r="D109" i="8"/>
  <c r="T105" i="8"/>
  <c r="I105" i="8"/>
  <c r="G105" i="8"/>
  <c r="T66" i="8"/>
  <c r="I66" i="8"/>
  <c r="G66" i="8"/>
  <c r="T65" i="8"/>
  <c r="I65" i="8"/>
  <c r="G65" i="8"/>
  <c r="G54" i="8"/>
  <c r="X54" i="8" s="1"/>
  <c r="G53" i="8"/>
  <c r="I53" i="8" s="1"/>
  <c r="T49" i="8"/>
  <c r="I49" i="8"/>
  <c r="G49" i="8"/>
  <c r="T48" i="8"/>
  <c r="I48" i="8"/>
  <c r="F48" i="8"/>
  <c r="G48" i="8" s="1"/>
  <c r="I47" i="8"/>
  <c r="G47" i="8"/>
  <c r="X47" i="8" s="1"/>
  <c r="I46" i="8"/>
  <c r="F46" i="8"/>
  <c r="G46" i="8" s="1"/>
  <c r="X46" i="8" s="1"/>
  <c r="I45" i="8"/>
  <c r="G45" i="8"/>
  <c r="X45" i="8" s="1"/>
  <c r="I37" i="8"/>
  <c r="G37" i="8"/>
  <c r="X37" i="8" s="1"/>
  <c r="I36" i="8"/>
  <c r="G36" i="8"/>
  <c r="X36" i="8" s="1"/>
  <c r="X48" i="8" l="1"/>
  <c r="X236" i="8"/>
  <c r="X240" i="8"/>
  <c r="I109" i="8"/>
  <c r="X110" i="8"/>
  <c r="X114" i="8"/>
  <c r="X233" i="8"/>
  <c r="X229" i="8"/>
  <c r="I232" i="8"/>
  <c r="X116" i="8"/>
  <c r="X237" i="8"/>
  <c r="I231" i="8"/>
  <c r="I235" i="8"/>
  <c r="I239" i="8"/>
  <c r="I230" i="8"/>
  <c r="I234" i="8"/>
  <c r="I238" i="8"/>
  <c r="X113" i="8"/>
  <c r="G109" i="8"/>
  <c r="X109" i="8" s="1"/>
  <c r="X49" i="8"/>
  <c r="X66" i="8"/>
  <c r="X115" i="8"/>
  <c r="X65" i="8"/>
  <c r="X105" i="8"/>
  <c r="X112" i="8"/>
  <c r="T111" i="8"/>
  <c r="X111" i="8" s="1"/>
  <c r="AB105" i="8"/>
  <c r="X53" i="8"/>
  <c r="I54" i="8"/>
  <c r="AA240" i="8" l="1"/>
  <c r="AB240" i="8" s="1"/>
  <c r="AA239" i="8"/>
  <c r="AB239" i="8" s="1"/>
  <c r="AA238" i="8"/>
  <c r="AB238" i="8" s="1"/>
  <c r="AA237" i="8"/>
  <c r="AB237" i="8" s="1"/>
  <c r="AA236" i="8"/>
  <c r="AB236" i="8" s="1"/>
  <c r="AA235" i="8"/>
  <c r="AB235" i="8" s="1"/>
  <c r="AA234" i="8"/>
  <c r="AB234" i="8" s="1"/>
  <c r="AA233" i="8"/>
  <c r="AB233" i="8" s="1"/>
  <c r="AA232" i="8"/>
  <c r="AB232" i="8" s="1"/>
  <c r="AA231" i="8"/>
  <c r="AB231" i="8" s="1"/>
  <c r="AA230" i="8"/>
  <c r="AB230" i="8" s="1"/>
  <c r="AA229" i="8"/>
  <c r="AB229" i="8" s="1"/>
  <c r="AB211" i="8"/>
  <c r="AA211" i="8"/>
  <c r="AB210" i="8"/>
  <c r="AA210" i="8"/>
  <c r="AB209" i="8"/>
  <c r="AA209" i="8"/>
  <c r="Z209" i="8"/>
  <c r="AA49" i="8"/>
  <c r="AB49" i="8" s="1"/>
  <c r="AA48" i="8"/>
  <c r="AB48" i="8" s="1"/>
  <c r="AA47" i="8"/>
  <c r="AB47" i="8" s="1"/>
  <c r="AA46" i="8"/>
  <c r="AB46" i="8" s="1"/>
  <c r="AA45" i="8"/>
  <c r="AB45" i="8" s="1"/>
  <c r="AA37" i="8"/>
  <c r="AB37" i="8" s="1"/>
  <c r="Z37" i="8"/>
  <c r="AA36" i="8"/>
  <c r="AB36" i="8" s="1"/>
  <c r="Z36" i="8"/>
  <c r="Y205" i="8" l="1"/>
  <c r="R15" i="8"/>
  <c r="N15" i="8"/>
  <c r="T211" i="8"/>
  <c r="X211" i="8" s="1"/>
  <c r="Z211" i="8" s="1"/>
  <c r="T199" i="8"/>
  <c r="K210" i="8"/>
  <c r="T210" i="8" s="1"/>
  <c r="X210" i="8" s="1"/>
  <c r="Z210" i="8" s="1"/>
  <c r="T245" i="8" l="1"/>
  <c r="Y245" i="8"/>
  <c r="F5" i="20" l="1"/>
  <c r="T177" i="8" l="1"/>
  <c r="Y177" i="8" s="1"/>
  <c r="T175" i="8"/>
  <c r="Y224" i="8" l="1"/>
  <c r="G8" i="26" l="1"/>
  <c r="G7" i="26"/>
  <c r="G6" i="26"/>
  <c r="G5" i="26"/>
  <c r="D8" i="26" l="1"/>
  <c r="H8" i="26" s="1"/>
  <c r="D7" i="26"/>
  <c r="H7" i="26" s="1"/>
  <c r="C6" i="26"/>
  <c r="D6" i="26" s="1"/>
  <c r="H6" i="26" s="1"/>
  <c r="D5" i="26"/>
  <c r="H5" i="26" s="1"/>
  <c r="N30" i="24" l="1"/>
  <c r="N29" i="24"/>
  <c r="N28" i="24"/>
  <c r="N27" i="24"/>
  <c r="N26" i="24"/>
  <c r="N25" i="24"/>
  <c r="N24" i="24"/>
  <c r="N20" i="24"/>
  <c r="R12" i="24"/>
  <c r="Q12" i="24"/>
  <c r="P12" i="24"/>
  <c r="O12" i="24"/>
  <c r="N12" i="24" s="1"/>
  <c r="N11" i="24"/>
  <c r="N9" i="24"/>
  <c r="N8" i="24"/>
  <c r="F12" i="24"/>
  <c r="E12" i="24"/>
  <c r="D12" i="24"/>
  <c r="C12" i="24"/>
  <c r="X216" i="8" l="1"/>
  <c r="Z216" i="8" s="1"/>
  <c r="X215" i="8"/>
  <c r="Z215" i="8" s="1"/>
  <c r="X201" i="8"/>
  <c r="Z201" i="8" s="1"/>
  <c r="X168" i="8"/>
  <c r="Z168" i="8" s="1"/>
  <c r="X167" i="8"/>
  <c r="Z167" i="8" s="1"/>
  <c r="X166" i="8"/>
  <c r="Z166" i="8" s="1"/>
  <c r="X13" i="8"/>
  <c r="Z13" i="8" s="1"/>
  <c r="X8" i="8"/>
  <c r="Z8" i="8" s="1"/>
  <c r="X7" i="8"/>
  <c r="Z7" i="8" s="1"/>
  <c r="X6" i="8"/>
  <c r="Z6" i="8" s="1"/>
  <c r="I261" i="8" l="1"/>
  <c r="I260" i="8"/>
  <c r="I259" i="8"/>
  <c r="AA259" i="8" s="1"/>
  <c r="AB259" i="8" s="1"/>
  <c r="I258" i="8"/>
  <c r="I257" i="8"/>
  <c r="I256" i="8"/>
  <c r="I255" i="8"/>
  <c r="AA255" i="8" s="1"/>
  <c r="AB255" i="8" s="1"/>
  <c r="I254" i="8"/>
  <c r="I253" i="8"/>
  <c r="I252" i="8"/>
  <c r="I251" i="8"/>
  <c r="AA251" i="8" s="1"/>
  <c r="AB251" i="8" s="1"/>
  <c r="I250" i="8"/>
  <c r="I249" i="8"/>
  <c r="AA249" i="8" s="1"/>
  <c r="AB249" i="8" s="1"/>
  <c r="I248" i="8"/>
  <c r="I247" i="8"/>
  <c r="AA247" i="8" s="1"/>
  <c r="AB247" i="8" s="1"/>
  <c r="I246" i="8"/>
  <c r="I244" i="8"/>
  <c r="I243" i="8"/>
  <c r="AA243" i="8" s="1"/>
  <c r="AB243" i="8" s="1"/>
  <c r="I242" i="8"/>
  <c r="I241" i="8"/>
  <c r="AA241" i="8" s="1"/>
  <c r="AB241" i="8" s="1"/>
  <c r="I227" i="8"/>
  <c r="I225" i="8"/>
  <c r="I224" i="8"/>
  <c r="AA224" i="8" s="1"/>
  <c r="AB224" i="8" s="1"/>
  <c r="I223" i="8"/>
  <c r="I222" i="8"/>
  <c r="I220" i="8"/>
  <c r="I219" i="8"/>
  <c r="I218" i="8"/>
  <c r="I217" i="8"/>
  <c r="I216" i="8"/>
  <c r="AA216" i="8" s="1"/>
  <c r="AB216" i="8" s="1"/>
  <c r="I215" i="8"/>
  <c r="I214" i="8"/>
  <c r="I213" i="8"/>
  <c r="AA213" i="8" s="1"/>
  <c r="AB213" i="8" s="1"/>
  <c r="I212" i="8"/>
  <c r="I208" i="8"/>
  <c r="AA208" i="8" s="1"/>
  <c r="AB208" i="8" s="1"/>
  <c r="I207" i="8"/>
  <c r="AA207" i="8" s="1"/>
  <c r="AB207" i="8" s="1"/>
  <c r="I206" i="8"/>
  <c r="I204" i="8"/>
  <c r="I203" i="8"/>
  <c r="I202" i="8"/>
  <c r="I201" i="8"/>
  <c r="I200" i="8"/>
  <c r="AA200" i="8" s="1"/>
  <c r="AB200" i="8" s="1"/>
  <c r="I199" i="8"/>
  <c r="AA199" i="8" s="1"/>
  <c r="AB199" i="8" s="1"/>
  <c r="I198" i="8"/>
  <c r="I196" i="8"/>
  <c r="I195" i="8"/>
  <c r="I194" i="8"/>
  <c r="I193" i="8"/>
  <c r="AA193" i="8" s="1"/>
  <c r="AB193" i="8" s="1"/>
  <c r="I190" i="8"/>
  <c r="I189" i="8"/>
  <c r="AA189" i="8" s="1"/>
  <c r="AB189" i="8" s="1"/>
  <c r="I188" i="8"/>
  <c r="AA188" i="8" s="1"/>
  <c r="AB188" i="8" s="1"/>
  <c r="I187" i="8"/>
  <c r="I186" i="8"/>
  <c r="I185" i="8"/>
  <c r="AA185" i="8" s="1"/>
  <c r="AB185" i="8" s="1"/>
  <c r="I183" i="8"/>
  <c r="I181" i="8"/>
  <c r="I180" i="8"/>
  <c r="AA180" i="8" s="1"/>
  <c r="AB180" i="8" s="1"/>
  <c r="I179" i="8"/>
  <c r="I178" i="8"/>
  <c r="I177" i="8"/>
  <c r="AA177" i="8" s="1"/>
  <c r="AB177" i="8" s="1"/>
  <c r="I176" i="8"/>
  <c r="I175" i="8"/>
  <c r="I174" i="8"/>
  <c r="I173" i="8"/>
  <c r="I171" i="8"/>
  <c r="I169" i="8"/>
  <c r="I168" i="8"/>
  <c r="AA168" i="8" s="1"/>
  <c r="AB168" i="8" s="1"/>
  <c r="I167" i="8"/>
  <c r="I166" i="8"/>
  <c r="I165" i="8"/>
  <c r="AA165" i="8" s="1"/>
  <c r="AB165" i="8" s="1"/>
  <c r="I164" i="8"/>
  <c r="AA164" i="8" s="1"/>
  <c r="AB164" i="8" s="1"/>
  <c r="I163" i="8"/>
  <c r="I162" i="8"/>
  <c r="I161" i="8"/>
  <c r="AA161" i="8" s="1"/>
  <c r="AB161" i="8" s="1"/>
  <c r="I160" i="8"/>
  <c r="I159" i="8"/>
  <c r="I158" i="8"/>
  <c r="I157" i="8"/>
  <c r="I156" i="8"/>
  <c r="I154" i="8"/>
  <c r="I152" i="8"/>
  <c r="I151" i="8"/>
  <c r="I150" i="8"/>
  <c r="I149" i="8"/>
  <c r="I148" i="8"/>
  <c r="I147" i="8"/>
  <c r="I146" i="8"/>
  <c r="I145" i="8"/>
  <c r="I144" i="8"/>
  <c r="AA144" i="8" s="1"/>
  <c r="AB144" i="8" s="1"/>
  <c r="I143" i="8"/>
  <c r="I142" i="8"/>
  <c r="I141" i="8"/>
  <c r="AA141" i="8" s="1"/>
  <c r="AB141" i="8" s="1"/>
  <c r="I140" i="8"/>
  <c r="I137" i="8"/>
  <c r="I136" i="8"/>
  <c r="AA136" i="8" s="1"/>
  <c r="AB136" i="8" s="1"/>
  <c r="I135" i="8"/>
  <c r="I134" i="8"/>
  <c r="I133" i="8"/>
  <c r="I132" i="8"/>
  <c r="AA132" i="8" s="1"/>
  <c r="AB132" i="8" s="1"/>
  <c r="I131" i="8"/>
  <c r="I130" i="8"/>
  <c r="I129" i="8"/>
  <c r="I128" i="8"/>
  <c r="AA128" i="8" s="1"/>
  <c r="AB128" i="8" s="1"/>
  <c r="I127" i="8"/>
  <c r="I126" i="8"/>
  <c r="I125" i="8"/>
  <c r="I124" i="8"/>
  <c r="AA124" i="8" s="1"/>
  <c r="AB124" i="8" s="1"/>
  <c r="I123" i="8"/>
  <c r="I122" i="8"/>
  <c r="I121" i="8"/>
  <c r="I120" i="8"/>
  <c r="AA120" i="8" s="1"/>
  <c r="AB120" i="8" s="1"/>
  <c r="I119" i="8"/>
  <c r="I118" i="8"/>
  <c r="I117" i="8"/>
  <c r="I108" i="8"/>
  <c r="AA108" i="8" s="1"/>
  <c r="AB108" i="8" s="1"/>
  <c r="I107" i="8"/>
  <c r="I106" i="8"/>
  <c r="I96" i="8"/>
  <c r="AA96" i="8" s="1"/>
  <c r="AB96" i="8" s="1"/>
  <c r="I95" i="8"/>
  <c r="AA95" i="8" s="1"/>
  <c r="AB95" i="8" s="1"/>
  <c r="I94" i="8"/>
  <c r="I93" i="8"/>
  <c r="I92" i="8"/>
  <c r="I91" i="8"/>
  <c r="AA91" i="8" s="1"/>
  <c r="AB91" i="8" s="1"/>
  <c r="I90" i="8"/>
  <c r="I89" i="8"/>
  <c r="I88" i="8"/>
  <c r="I87" i="8"/>
  <c r="AA87" i="8" s="1"/>
  <c r="AB87" i="8" s="1"/>
  <c r="I86" i="8"/>
  <c r="I85" i="8"/>
  <c r="I84" i="8"/>
  <c r="I83" i="8"/>
  <c r="AA83" i="8" s="1"/>
  <c r="AB83" i="8" s="1"/>
  <c r="I82" i="8"/>
  <c r="I79" i="8"/>
  <c r="I78" i="8"/>
  <c r="I77" i="8"/>
  <c r="I76" i="8"/>
  <c r="I75" i="8"/>
  <c r="AA75" i="8" s="1"/>
  <c r="AB75" i="8" s="1"/>
  <c r="I74" i="8"/>
  <c r="I73" i="8"/>
  <c r="I72" i="8"/>
  <c r="AA72" i="8" s="1"/>
  <c r="AB72" i="8" s="1"/>
  <c r="I71" i="8"/>
  <c r="I70" i="8"/>
  <c r="I69" i="8"/>
  <c r="I68" i="8"/>
  <c r="I67" i="8"/>
  <c r="I64" i="8"/>
  <c r="AA64" i="8" s="1"/>
  <c r="AB64" i="8" s="1"/>
  <c r="I63" i="8"/>
  <c r="AA63" i="8" s="1"/>
  <c r="AB63" i="8" s="1"/>
  <c r="I62" i="8"/>
  <c r="I59" i="8"/>
  <c r="I58" i="8"/>
  <c r="I57" i="8"/>
  <c r="I56" i="8"/>
  <c r="I55" i="8"/>
  <c r="I52" i="8"/>
  <c r="AA52" i="8" s="1"/>
  <c r="AB52" i="8" s="1"/>
  <c r="I51" i="8"/>
  <c r="I50" i="8"/>
  <c r="I44" i="8"/>
  <c r="AA44" i="8" s="1"/>
  <c r="AB44" i="8" s="1"/>
  <c r="I43" i="8"/>
  <c r="I42" i="8"/>
  <c r="I41" i="8"/>
  <c r="I40" i="8"/>
  <c r="AA40" i="8" s="1"/>
  <c r="AB40" i="8" s="1"/>
  <c r="I39" i="8"/>
  <c r="I38" i="8"/>
  <c r="I35" i="8"/>
  <c r="I34" i="8"/>
  <c r="I33" i="8"/>
  <c r="I32" i="8"/>
  <c r="AA32" i="8" s="1"/>
  <c r="AB32" i="8" s="1"/>
  <c r="I31" i="8"/>
  <c r="I30" i="8"/>
  <c r="I29" i="8"/>
  <c r="I28" i="8"/>
  <c r="AA28" i="8" s="1"/>
  <c r="AB28" i="8" s="1"/>
  <c r="I27" i="8"/>
  <c r="I26" i="8"/>
  <c r="I25" i="8"/>
  <c r="I24" i="8"/>
  <c r="AA24" i="8" s="1"/>
  <c r="AB24" i="8" s="1"/>
  <c r="I23" i="8"/>
  <c r="I22" i="8"/>
  <c r="I21" i="8"/>
  <c r="AA21" i="8" s="1"/>
  <c r="AB21" i="8" s="1"/>
  <c r="I20" i="8"/>
  <c r="I16" i="8"/>
  <c r="I13" i="8"/>
  <c r="AA13" i="8" s="1"/>
  <c r="AB13" i="8" s="1"/>
  <c r="I12" i="8"/>
  <c r="AA12" i="8" s="1"/>
  <c r="AB12" i="8" s="1"/>
  <c r="I10" i="8"/>
  <c r="I8" i="8"/>
  <c r="I7" i="8"/>
  <c r="I6" i="8"/>
  <c r="AA10" i="8" l="1"/>
  <c r="AB10" i="8"/>
  <c r="AB20" i="8"/>
  <c r="AA20" i="8"/>
  <c r="AB38" i="8"/>
  <c r="AA38" i="8"/>
  <c r="AA42" i="8"/>
  <c r="AB42" i="8"/>
  <c r="AA51" i="8"/>
  <c r="AB51" i="8"/>
  <c r="AA57" i="8"/>
  <c r="AB57" i="8" s="1"/>
  <c r="AA69" i="8"/>
  <c r="AB69" i="8" s="1"/>
  <c r="AA73" i="8"/>
  <c r="AB73" i="8"/>
  <c r="AB77" i="8"/>
  <c r="AA77" i="8"/>
  <c r="AA107" i="8"/>
  <c r="AB107" i="8" s="1"/>
  <c r="AA119" i="8"/>
  <c r="AB119" i="8" s="1"/>
  <c r="AA123" i="8"/>
  <c r="AB123" i="8" s="1"/>
  <c r="AA127" i="8"/>
  <c r="AB127" i="8" s="1"/>
  <c r="AA131" i="8"/>
  <c r="AB131" i="8" s="1"/>
  <c r="AA135" i="8"/>
  <c r="AB135" i="8" s="1"/>
  <c r="AA145" i="8"/>
  <c r="AB145" i="8"/>
  <c r="AA149" i="8"/>
  <c r="AB149" i="8"/>
  <c r="AA154" i="8"/>
  <c r="AB154" i="8" s="1"/>
  <c r="AB159" i="8"/>
  <c r="AA159" i="8"/>
  <c r="AA163" i="8"/>
  <c r="AB163" i="8"/>
  <c r="AA167" i="8"/>
  <c r="AB167" i="8"/>
  <c r="AA173" i="8"/>
  <c r="AB173" i="8"/>
  <c r="AB181" i="8"/>
  <c r="AA181" i="8"/>
  <c r="AA187" i="8"/>
  <c r="AB187" i="8" s="1"/>
  <c r="AA198" i="8"/>
  <c r="AB198" i="8" s="1"/>
  <c r="AA202" i="8"/>
  <c r="AB202" i="8" s="1"/>
  <c r="AA214" i="8"/>
  <c r="AB214" i="8" s="1"/>
  <c r="AB218" i="8"/>
  <c r="AA218" i="8"/>
  <c r="AA223" i="8"/>
  <c r="AB223" i="8" s="1"/>
  <c r="AB246" i="8"/>
  <c r="AA246" i="8"/>
  <c r="AB250" i="8"/>
  <c r="AA250" i="8"/>
  <c r="AA254" i="8"/>
  <c r="AB254" i="8"/>
  <c r="AB258" i="8"/>
  <c r="AA258" i="8"/>
  <c r="AB6" i="8"/>
  <c r="AA6" i="8"/>
  <c r="AA25" i="8"/>
  <c r="AB25" i="8"/>
  <c r="AB29" i="8"/>
  <c r="AA29" i="8"/>
  <c r="AA33" i="8"/>
  <c r="AB33" i="8"/>
  <c r="AA39" i="8"/>
  <c r="AB39" i="8"/>
  <c r="AA43" i="8"/>
  <c r="AB43" i="8" s="1"/>
  <c r="AA58" i="8"/>
  <c r="AB58" i="8" s="1"/>
  <c r="AA70" i="8"/>
  <c r="AB70" i="8"/>
  <c r="AB74" i="8"/>
  <c r="AA74" i="8"/>
  <c r="AA78" i="8"/>
  <c r="AB78" i="8" s="1"/>
  <c r="AA84" i="8"/>
  <c r="AB84" i="8"/>
  <c r="AB88" i="8"/>
  <c r="AA88" i="8"/>
  <c r="AA92" i="8"/>
  <c r="AB92" i="8"/>
  <c r="AA142" i="8"/>
  <c r="AB142" i="8"/>
  <c r="AB146" i="8"/>
  <c r="AA146" i="8"/>
  <c r="AA150" i="8"/>
  <c r="AB150" i="8" s="1"/>
  <c r="AA156" i="8"/>
  <c r="AB156" i="8"/>
  <c r="AA160" i="8"/>
  <c r="AB160" i="8"/>
  <c r="AA174" i="8"/>
  <c r="AB174" i="8" s="1"/>
  <c r="AB178" i="8"/>
  <c r="AA178" i="8"/>
  <c r="AA183" i="8"/>
  <c r="AB183" i="8"/>
  <c r="AA194" i="8"/>
  <c r="AB194" i="8" s="1"/>
  <c r="AB203" i="8"/>
  <c r="AA203" i="8"/>
  <c r="AB215" i="8"/>
  <c r="AA215" i="8"/>
  <c r="AB219" i="8"/>
  <c r="AA219" i="8"/>
  <c r="AB242" i="8"/>
  <c r="AA242" i="8"/>
  <c r="AA7" i="8"/>
  <c r="AB7" i="8"/>
  <c r="AA22" i="8"/>
  <c r="AB22" i="8"/>
  <c r="AB26" i="8"/>
  <c r="AA26" i="8"/>
  <c r="AA30" i="8"/>
  <c r="AB30" i="8"/>
  <c r="AB34" i="8"/>
  <c r="AA34" i="8"/>
  <c r="AA55" i="8"/>
  <c r="AB55" i="8"/>
  <c r="AA59" i="8"/>
  <c r="AB59" i="8"/>
  <c r="AB67" i="8"/>
  <c r="AA67" i="8"/>
  <c r="AB71" i="8"/>
  <c r="AA71" i="8"/>
  <c r="AB79" i="8"/>
  <c r="AA79" i="8"/>
  <c r="AB85" i="8"/>
  <c r="AA85" i="8"/>
  <c r="AA89" i="8"/>
  <c r="AB89" i="8"/>
  <c r="AB93" i="8"/>
  <c r="AA93" i="8"/>
  <c r="AB117" i="8"/>
  <c r="AA117" i="8"/>
  <c r="AA121" i="8"/>
  <c r="AB121" i="8"/>
  <c r="AB125" i="8"/>
  <c r="AA125" i="8"/>
  <c r="AA129" i="8"/>
  <c r="AB129" i="8"/>
  <c r="AB133" i="8"/>
  <c r="AA133" i="8"/>
  <c r="AA137" i="8"/>
  <c r="AB137" i="8"/>
  <c r="AB143" i="8"/>
  <c r="AA143" i="8"/>
  <c r="AA147" i="8"/>
  <c r="AB147" i="8" s="1"/>
  <c r="AA151" i="8"/>
  <c r="AB151" i="8"/>
  <c r="AB157" i="8"/>
  <c r="AA157" i="8"/>
  <c r="AB169" i="8"/>
  <c r="AA169" i="8"/>
  <c r="AA175" i="8"/>
  <c r="AB175" i="8" s="1"/>
  <c r="AA179" i="8"/>
  <c r="AB179" i="8" s="1"/>
  <c r="AB195" i="8"/>
  <c r="AA195" i="8"/>
  <c r="AB204" i="8"/>
  <c r="AA204" i="8"/>
  <c r="AB212" i="8"/>
  <c r="AA212" i="8"/>
  <c r="AB220" i="8"/>
  <c r="AA220" i="8"/>
  <c r="AB225" i="8"/>
  <c r="AA225" i="8"/>
  <c r="AA248" i="8"/>
  <c r="AB248" i="8"/>
  <c r="AB252" i="8"/>
  <c r="AA252" i="8"/>
  <c r="AB256" i="8"/>
  <c r="AA256" i="8"/>
  <c r="AA260" i="8"/>
  <c r="AB260" i="8" s="1"/>
  <c r="AB8" i="8"/>
  <c r="AA8" i="8"/>
  <c r="AA16" i="8"/>
  <c r="AB16" i="8"/>
  <c r="AB23" i="8"/>
  <c r="AA23" i="8"/>
  <c r="AA27" i="8"/>
  <c r="AB27" i="8" s="1"/>
  <c r="AA31" i="8"/>
  <c r="AB31" i="8" s="1"/>
  <c r="AA35" i="8"/>
  <c r="AB35" i="8" s="1"/>
  <c r="AB41" i="8"/>
  <c r="AA41" i="8"/>
  <c r="AB50" i="8"/>
  <c r="AA50" i="8"/>
  <c r="AB56" i="8"/>
  <c r="AA56" i="8"/>
  <c r="AA62" i="8"/>
  <c r="AB62" i="8"/>
  <c r="AA68" i="8"/>
  <c r="AB68" i="8"/>
  <c r="AA76" i="8"/>
  <c r="AB76" i="8"/>
  <c r="AB82" i="8"/>
  <c r="AA82" i="8"/>
  <c r="AA86" i="8"/>
  <c r="AB86" i="8" s="1"/>
  <c r="AA90" i="8"/>
  <c r="AB90" i="8" s="1"/>
  <c r="AA94" i="8"/>
  <c r="AB94" i="8" s="1"/>
  <c r="AB106" i="8"/>
  <c r="AA106" i="8"/>
  <c r="AA118" i="8"/>
  <c r="AB118" i="8"/>
  <c r="AB122" i="8"/>
  <c r="AA122" i="8"/>
  <c r="AA126" i="8"/>
  <c r="AB126" i="8"/>
  <c r="AB130" i="8"/>
  <c r="AA130" i="8"/>
  <c r="AA134" i="8"/>
  <c r="AB134" i="8"/>
  <c r="AB140" i="8"/>
  <c r="AA140" i="8"/>
  <c r="AB148" i="8"/>
  <c r="AA148" i="8"/>
  <c r="AB152" i="8"/>
  <c r="AA152" i="8"/>
  <c r="AA158" i="8"/>
  <c r="AB158" i="8" s="1"/>
  <c r="AB162" i="8"/>
  <c r="AA162" i="8"/>
  <c r="AB166" i="8"/>
  <c r="AA166" i="8"/>
  <c r="AB171" i="8"/>
  <c r="AA171" i="8"/>
  <c r="AB176" i="8"/>
  <c r="AA176" i="8"/>
  <c r="AA186" i="8"/>
  <c r="AB186" i="8" s="1"/>
  <c r="AB190" i="8"/>
  <c r="AA190" i="8"/>
  <c r="AB196" i="8"/>
  <c r="AA196" i="8"/>
  <c r="AB201" i="8"/>
  <c r="AA201" i="8"/>
  <c r="AA206" i="8"/>
  <c r="AB206" i="8" s="1"/>
  <c r="AA217" i="8"/>
  <c r="AB217" i="8"/>
  <c r="AB222" i="8"/>
  <c r="AA222" i="8"/>
  <c r="AA227" i="8"/>
  <c r="AB227" i="8" s="1"/>
  <c r="AB244" i="8"/>
  <c r="AA244" i="8"/>
  <c r="AA253" i="8"/>
  <c r="AB253" i="8" s="1"/>
  <c r="AA257" i="8"/>
  <c r="AB257" i="8" s="1"/>
  <c r="AB261" i="8"/>
  <c r="AA261" i="8"/>
  <c r="T203" i="8" l="1"/>
  <c r="T202" i="8"/>
  <c r="H197" i="8"/>
  <c r="H226" i="8"/>
  <c r="H221" i="8" s="1"/>
  <c r="H81" i="8"/>
  <c r="H80" i="8"/>
  <c r="H138" i="8"/>
  <c r="H139" i="8"/>
  <c r="H61" i="8"/>
  <c r="H60" i="8"/>
  <c r="H19" i="8"/>
  <c r="H18" i="8"/>
  <c r="X203" i="8" l="1"/>
  <c r="Z203" i="8" s="1"/>
  <c r="X202" i="8"/>
  <c r="Z202" i="8" s="1"/>
  <c r="H15" i="8"/>
  <c r="H182" i="8"/>
  <c r="H17" i="8"/>
  <c r="H172" i="8" l="1"/>
  <c r="H170" i="8" s="1"/>
  <c r="H9" i="8" s="1"/>
  <c r="H14" i="8" s="1"/>
  <c r="H11" i="8" l="1"/>
  <c r="Y228" i="8" l="1"/>
  <c r="Y226" i="8" s="1"/>
  <c r="Y197" i="8"/>
  <c r="Y191" i="8"/>
  <c r="Y184" i="8"/>
  <c r="Y155" i="8"/>
  <c r="Y153" i="8" s="1"/>
  <c r="Y139" i="8"/>
  <c r="Y81" i="8"/>
  <c r="Y80" i="8"/>
  <c r="Y61" i="8"/>
  <c r="Y60" i="8"/>
  <c r="Y19" i="8"/>
  <c r="Y18" i="8"/>
  <c r="Y138" i="8" l="1"/>
  <c r="Y17" i="8" s="1"/>
  <c r="Y15" i="8"/>
  <c r="Y182" i="8"/>
  <c r="Y172" i="8" l="1"/>
  <c r="Y170" i="8" s="1"/>
  <c r="Y9" i="8" l="1"/>
  <c r="Y14" i="8" s="1"/>
  <c r="Y11" i="8" l="1"/>
  <c r="G6" i="23" l="1"/>
  <c r="G8" i="23"/>
  <c r="G11" i="23"/>
  <c r="G12" i="23"/>
  <c r="G13" i="23"/>
  <c r="G14" i="23"/>
  <c r="G17" i="23"/>
  <c r="G18" i="23"/>
  <c r="G19" i="23"/>
  <c r="G20" i="23"/>
  <c r="G21" i="23"/>
  <c r="G23" i="23"/>
  <c r="G24" i="23"/>
  <c r="G25" i="23"/>
  <c r="G28" i="23"/>
  <c r="G29" i="23"/>
  <c r="G31" i="23"/>
  <c r="G32" i="23"/>
  <c r="G33" i="23"/>
  <c r="G36" i="23"/>
  <c r="G37" i="23"/>
  <c r="G38" i="23"/>
  <c r="G39" i="23"/>
  <c r="G40" i="23"/>
  <c r="G41" i="23"/>
  <c r="G42" i="23"/>
  <c r="G45" i="23"/>
  <c r="G46" i="23"/>
  <c r="G48" i="23"/>
  <c r="G51" i="23"/>
  <c r="G52" i="23"/>
  <c r="G55" i="23"/>
  <c r="G56" i="23"/>
  <c r="G57" i="23"/>
  <c r="G58" i="23"/>
  <c r="G59" i="23"/>
  <c r="G61" i="23"/>
  <c r="G63" i="23"/>
  <c r="G64" i="23"/>
  <c r="G65" i="23"/>
  <c r="G68" i="23"/>
  <c r="G69" i="23"/>
  <c r="G70" i="23"/>
  <c r="G71" i="23"/>
  <c r="G74" i="23"/>
  <c r="G75" i="23"/>
  <c r="G76" i="23"/>
  <c r="G77" i="23"/>
  <c r="G78" i="23"/>
  <c r="G79" i="23"/>
  <c r="E73" i="23"/>
  <c r="E72" i="23" s="1"/>
  <c r="E67" i="23"/>
  <c r="E66" i="23" s="1"/>
  <c r="E62" i="23"/>
  <c r="E60" i="23"/>
  <c r="E54" i="23"/>
  <c r="E53" i="23" s="1"/>
  <c r="E50" i="23"/>
  <c r="E49" i="23"/>
  <c r="E47" i="23" s="1"/>
  <c r="E44" i="23"/>
  <c r="E35" i="23"/>
  <c r="E34" i="23" s="1"/>
  <c r="E30" i="23"/>
  <c r="E27" i="23"/>
  <c r="E26" i="23"/>
  <c r="E22" i="23"/>
  <c r="E16" i="23"/>
  <c r="E10" i="23"/>
  <c r="E9" i="23"/>
  <c r="I59" i="23"/>
  <c r="I58" i="23"/>
  <c r="I39" i="23"/>
  <c r="I38" i="23"/>
  <c r="I37" i="23"/>
  <c r="I21" i="23"/>
  <c r="I20" i="23"/>
  <c r="H6" i="23"/>
  <c r="H8" i="23"/>
  <c r="H14" i="23"/>
  <c r="H20" i="23"/>
  <c r="H21" i="23"/>
  <c r="H25" i="23"/>
  <c r="H33" i="23"/>
  <c r="H37" i="23"/>
  <c r="H38" i="23"/>
  <c r="H39" i="23"/>
  <c r="H40" i="23"/>
  <c r="H41" i="23"/>
  <c r="H42" i="23"/>
  <c r="H52" i="23"/>
  <c r="H57" i="23"/>
  <c r="H58" i="23"/>
  <c r="H59" i="23"/>
  <c r="H65" i="23"/>
  <c r="H71" i="23"/>
  <c r="H75" i="23"/>
  <c r="H76" i="23"/>
  <c r="H77" i="23"/>
  <c r="H78" i="23"/>
  <c r="H79" i="23"/>
  <c r="E43" i="23" l="1"/>
  <c r="E15" i="23"/>
  <c r="E7" i="23" s="1"/>
  <c r="F54" i="23" l="1"/>
  <c r="G54" i="23" s="1"/>
  <c r="F35" i="23"/>
  <c r="G35" i="23" s="1"/>
  <c r="F16" i="23"/>
  <c r="G16" i="23" s="1"/>
  <c r="F73" i="23" l="1"/>
  <c r="G73" i="23" s="1"/>
  <c r="F67" i="23"/>
  <c r="G67" i="23" s="1"/>
  <c r="F62" i="23"/>
  <c r="G62" i="23" s="1"/>
  <c r="F60" i="23"/>
  <c r="G60" i="23" s="1"/>
  <c r="F50" i="23"/>
  <c r="G50" i="23" s="1"/>
  <c r="F49" i="23"/>
  <c r="G49" i="23" s="1"/>
  <c r="F44" i="23"/>
  <c r="G44" i="23" s="1"/>
  <c r="F34" i="23"/>
  <c r="G34" i="23" s="1"/>
  <c r="F30" i="23"/>
  <c r="G30" i="23" s="1"/>
  <c r="F27" i="23"/>
  <c r="G27" i="23" s="1"/>
  <c r="F22" i="23"/>
  <c r="G22" i="23" s="1"/>
  <c r="F10" i="23"/>
  <c r="G10" i="23" s="1"/>
  <c r="F72" i="23" l="1"/>
  <c r="G72" i="23" s="1"/>
  <c r="F9" i="23"/>
  <c r="G9" i="23" s="1"/>
  <c r="F47" i="23"/>
  <c r="F66" i="23"/>
  <c r="G66" i="23" s="1"/>
  <c r="F15" i="23"/>
  <c r="G15" i="23" s="1"/>
  <c r="F26" i="23"/>
  <c r="G26" i="23" s="1"/>
  <c r="F53" i="23"/>
  <c r="G53" i="23" s="1"/>
  <c r="F43" i="23" l="1"/>
  <c r="G43" i="23" s="1"/>
  <c r="G47" i="23"/>
  <c r="F7" i="23"/>
  <c r="G7" i="23" s="1"/>
  <c r="D79" i="23" l="1"/>
  <c r="I79" i="23" s="1"/>
  <c r="D78" i="23"/>
  <c r="I78" i="23" s="1"/>
  <c r="C77" i="23"/>
  <c r="D77" i="23" s="1"/>
  <c r="I77" i="23" s="1"/>
  <c r="D75" i="23"/>
  <c r="I75" i="23" s="1"/>
  <c r="C74" i="23"/>
  <c r="C73" i="23" s="1"/>
  <c r="C72" i="23" s="1"/>
  <c r="B73" i="23"/>
  <c r="B72" i="23" s="1"/>
  <c r="D71" i="23"/>
  <c r="I71" i="23" s="1"/>
  <c r="D70" i="23"/>
  <c r="D69" i="23"/>
  <c r="D68" i="23"/>
  <c r="C67" i="23"/>
  <c r="C66" i="23" s="1"/>
  <c r="B67" i="23"/>
  <c r="B66" i="23" s="1"/>
  <c r="D65" i="23"/>
  <c r="I65" i="23" s="1"/>
  <c r="D64" i="23"/>
  <c r="D63" i="23"/>
  <c r="C62" i="23"/>
  <c r="B62" i="23"/>
  <c r="D61" i="23"/>
  <c r="C60" i="23"/>
  <c r="B60" i="23"/>
  <c r="D57" i="23"/>
  <c r="I57" i="23" s="1"/>
  <c r="D56" i="23"/>
  <c r="D55" i="23"/>
  <c r="C54" i="23"/>
  <c r="B54" i="23"/>
  <c r="D52" i="23"/>
  <c r="I52" i="23" s="1"/>
  <c r="D51" i="23"/>
  <c r="C50" i="23"/>
  <c r="B50" i="23"/>
  <c r="B49" i="23"/>
  <c r="D49" i="23" s="1"/>
  <c r="D48" i="23"/>
  <c r="C47" i="23"/>
  <c r="D46" i="23"/>
  <c r="D45" i="23"/>
  <c r="C44" i="23"/>
  <c r="B44" i="23"/>
  <c r="D42" i="23"/>
  <c r="I42" i="23" s="1"/>
  <c r="D41" i="23"/>
  <c r="I41" i="23" s="1"/>
  <c r="C40" i="23"/>
  <c r="D40" i="23" s="1"/>
  <c r="I40" i="23" s="1"/>
  <c r="B36" i="23"/>
  <c r="D36" i="23" s="1"/>
  <c r="C35" i="23"/>
  <c r="D33" i="23"/>
  <c r="I33" i="23" s="1"/>
  <c r="D32" i="23"/>
  <c r="D31" i="23"/>
  <c r="C30" i="23"/>
  <c r="B30" i="23"/>
  <c r="D29" i="23"/>
  <c r="D28" i="23"/>
  <c r="C27" i="23"/>
  <c r="B27" i="23"/>
  <c r="D25" i="23"/>
  <c r="I25" i="23" s="1"/>
  <c r="D24" i="23"/>
  <c r="D23" i="23"/>
  <c r="C22" i="23"/>
  <c r="B22" i="23"/>
  <c r="D19" i="23"/>
  <c r="D18" i="23"/>
  <c r="D17" i="23"/>
  <c r="C16" i="23"/>
  <c r="B16" i="23"/>
  <c r="D14" i="23"/>
  <c r="I14" i="23" s="1"/>
  <c r="D13" i="23"/>
  <c r="D12" i="23"/>
  <c r="D11" i="23"/>
  <c r="C10" i="23"/>
  <c r="B10" i="23"/>
  <c r="B9" i="23" s="1"/>
  <c r="D8" i="23"/>
  <c r="I8" i="23" s="1"/>
  <c r="D6" i="23"/>
  <c r="I6" i="23" s="1"/>
  <c r="H12" i="23" l="1"/>
  <c r="I12" i="23" s="1"/>
  <c r="H29" i="23"/>
  <c r="I29" i="23"/>
  <c r="H32" i="23"/>
  <c r="I32" i="23" s="1"/>
  <c r="H48" i="23"/>
  <c r="I48" i="23"/>
  <c r="H51" i="23"/>
  <c r="I51" i="23" s="1"/>
  <c r="H55" i="23"/>
  <c r="I55" i="23" s="1"/>
  <c r="H63" i="23"/>
  <c r="I63" i="23" s="1"/>
  <c r="H13" i="23"/>
  <c r="I13" i="23" s="1"/>
  <c r="H17" i="23"/>
  <c r="I17" i="23" s="1"/>
  <c r="H45" i="23"/>
  <c r="I45" i="23" s="1"/>
  <c r="H49" i="23"/>
  <c r="I49" i="23" s="1"/>
  <c r="H56" i="23"/>
  <c r="I56" i="23" s="1"/>
  <c r="H61" i="23"/>
  <c r="I61" i="23" s="1"/>
  <c r="H64" i="23"/>
  <c r="I64" i="23" s="1"/>
  <c r="H68" i="23"/>
  <c r="I68" i="23" s="1"/>
  <c r="H18" i="23"/>
  <c r="I18" i="23" s="1"/>
  <c r="H23" i="23"/>
  <c r="I23" i="23" s="1"/>
  <c r="H46" i="23"/>
  <c r="I46" i="23" s="1"/>
  <c r="H69" i="23"/>
  <c r="I69" i="23" s="1"/>
  <c r="H11" i="23"/>
  <c r="I11" i="23" s="1"/>
  <c r="H19" i="23"/>
  <c r="I19" i="23" s="1"/>
  <c r="H24" i="23"/>
  <c r="I24" i="23" s="1"/>
  <c r="H28" i="23"/>
  <c r="I28" i="23" s="1"/>
  <c r="H31" i="23"/>
  <c r="I31" i="23" s="1"/>
  <c r="H36" i="23"/>
  <c r="I36" i="23" s="1"/>
  <c r="H70" i="23"/>
  <c r="I70" i="23" s="1"/>
  <c r="D16" i="23"/>
  <c r="C34" i="23"/>
  <c r="C15" i="23"/>
  <c r="D22" i="23"/>
  <c r="D10" i="23"/>
  <c r="D50" i="23"/>
  <c r="D27" i="23"/>
  <c r="B47" i="23"/>
  <c r="D47" i="23" s="1"/>
  <c r="B53" i="23"/>
  <c r="D62" i="23"/>
  <c r="D72" i="23"/>
  <c r="B26" i="23"/>
  <c r="C43" i="23"/>
  <c r="D54" i="23"/>
  <c r="C76" i="23"/>
  <c r="D76" i="23" s="1"/>
  <c r="I76" i="23" s="1"/>
  <c r="C26" i="23"/>
  <c r="D60" i="23"/>
  <c r="B15" i="23"/>
  <c r="D30" i="23"/>
  <c r="D44" i="23"/>
  <c r="C53" i="23"/>
  <c r="D74" i="23"/>
  <c r="D66" i="23"/>
  <c r="D67" i="23"/>
  <c r="D73" i="23"/>
  <c r="C9" i="23"/>
  <c r="B35" i="23"/>
  <c r="H74" i="23" l="1"/>
  <c r="I74" i="23" s="1"/>
  <c r="H54" i="23"/>
  <c r="I54" i="23" s="1"/>
  <c r="H62" i="23"/>
  <c r="I62" i="23" s="1"/>
  <c r="H67" i="23"/>
  <c r="I67" i="23" s="1"/>
  <c r="H10" i="23"/>
  <c r="I10" i="23" s="1"/>
  <c r="H44" i="23"/>
  <c r="I44" i="23" s="1"/>
  <c r="H30" i="23"/>
  <c r="I30" i="23" s="1"/>
  <c r="H60" i="23"/>
  <c r="I60" i="23"/>
  <c r="H72" i="23"/>
  <c r="I72" i="23" s="1"/>
  <c r="H27" i="23"/>
  <c r="I27" i="23" s="1"/>
  <c r="H22" i="23"/>
  <c r="I22" i="23" s="1"/>
  <c r="H66" i="23"/>
  <c r="I66" i="23" s="1"/>
  <c r="H73" i="23"/>
  <c r="I73" i="23" s="1"/>
  <c r="H47" i="23"/>
  <c r="I47" i="23" s="1"/>
  <c r="H50" i="23"/>
  <c r="I50" i="23" s="1"/>
  <c r="H16" i="23"/>
  <c r="I16" i="23" s="1"/>
  <c r="D53" i="23"/>
  <c r="D26" i="23"/>
  <c r="C7" i="23"/>
  <c r="B43" i="23"/>
  <c r="B34" i="23"/>
  <c r="D34" i="23" s="1"/>
  <c r="D35" i="23"/>
  <c r="D15" i="23"/>
  <c r="D9" i="23"/>
  <c r="H15" i="23" l="1"/>
  <c r="I15" i="23" s="1"/>
  <c r="H53" i="23"/>
  <c r="I53" i="23" s="1"/>
  <c r="H35" i="23"/>
  <c r="I35" i="23" s="1"/>
  <c r="H9" i="23"/>
  <c r="I9" i="23" s="1"/>
  <c r="H34" i="23"/>
  <c r="I34" i="23"/>
  <c r="H26" i="23"/>
  <c r="I26" i="23" s="1"/>
  <c r="B7" i="23"/>
  <c r="D7" i="23" s="1"/>
  <c r="D43" i="23"/>
  <c r="H7" i="23" l="1"/>
  <c r="I7" i="23" s="1"/>
  <c r="H43" i="23"/>
  <c r="I43" i="23" s="1"/>
  <c r="F5" i="19" l="1"/>
  <c r="K86" i="8" l="1"/>
  <c r="K63" i="8"/>
  <c r="K57" i="8"/>
  <c r="P180" i="8" l="1"/>
  <c r="P179" i="8"/>
  <c r="P165" i="8"/>
  <c r="P164" i="8"/>
  <c r="P128" i="8"/>
  <c r="P127" i="8"/>
  <c r="P124" i="8"/>
  <c r="P123" i="8"/>
  <c r="P108" i="8"/>
  <c r="P107" i="8"/>
  <c r="P95" i="8"/>
  <c r="P94" i="8"/>
  <c r="P91" i="8"/>
  <c r="P90" i="8"/>
  <c r="P87" i="8"/>
  <c r="P86" i="8"/>
  <c r="P64" i="8"/>
  <c r="P63" i="8"/>
  <c r="P44" i="8"/>
  <c r="P43" i="8"/>
  <c r="F223" i="8" l="1"/>
  <c r="T261" i="8" l="1"/>
  <c r="T260" i="8"/>
  <c r="T259" i="8"/>
  <c r="T258" i="8"/>
  <c r="T257" i="8"/>
  <c r="T256" i="8"/>
  <c r="T255" i="8"/>
  <c r="T254" i="8"/>
  <c r="T253" i="8"/>
  <c r="T252" i="8"/>
  <c r="T251" i="8"/>
  <c r="T250" i="8"/>
  <c r="T249" i="8"/>
  <c r="T248" i="8"/>
  <c r="T247" i="8"/>
  <c r="T246" i="8"/>
  <c r="T244" i="8"/>
  <c r="T243" i="8"/>
  <c r="T242" i="8"/>
  <c r="T241" i="8"/>
  <c r="T227" i="8"/>
  <c r="T225" i="8"/>
  <c r="T224" i="8"/>
  <c r="T223" i="8"/>
  <c r="T222" i="8"/>
  <c r="T220" i="8"/>
  <c r="T219" i="8"/>
  <c r="T218" i="8"/>
  <c r="T217" i="8"/>
  <c r="T214" i="8"/>
  <c r="T212" i="8"/>
  <c r="T208" i="8"/>
  <c r="T207" i="8"/>
  <c r="T206" i="8"/>
  <c r="T204" i="8"/>
  <c r="T200" i="8"/>
  <c r="T198" i="8"/>
  <c r="T196" i="8"/>
  <c r="T195" i="8"/>
  <c r="T194" i="8"/>
  <c r="T193" i="8"/>
  <c r="T190" i="8"/>
  <c r="T189" i="8"/>
  <c r="T188" i="8"/>
  <c r="T187" i="8"/>
  <c r="T186" i="8"/>
  <c r="T185" i="8"/>
  <c r="T183" i="8"/>
  <c r="T181" i="8"/>
  <c r="T180" i="8"/>
  <c r="T179" i="8"/>
  <c r="T178" i="8"/>
  <c r="T176" i="8"/>
  <c r="T174" i="8"/>
  <c r="T173" i="8"/>
  <c r="T171" i="8"/>
  <c r="T169" i="8"/>
  <c r="T165" i="8"/>
  <c r="T164" i="8"/>
  <c r="T163" i="8"/>
  <c r="T162" i="8"/>
  <c r="T161" i="8"/>
  <c r="T160" i="8"/>
  <c r="T159" i="8"/>
  <c r="T158" i="8"/>
  <c r="T157" i="8"/>
  <c r="T156" i="8"/>
  <c r="T155" i="8"/>
  <c r="T154" i="8"/>
  <c r="T152" i="8"/>
  <c r="T151" i="8"/>
  <c r="T150" i="8"/>
  <c r="T149" i="8"/>
  <c r="T148" i="8"/>
  <c r="T147" i="8"/>
  <c r="T146" i="8"/>
  <c r="T145" i="8"/>
  <c r="T144" i="8"/>
  <c r="T143" i="8"/>
  <c r="T142" i="8"/>
  <c r="T141" i="8"/>
  <c r="T140" i="8"/>
  <c r="T137" i="8"/>
  <c r="T136" i="8"/>
  <c r="T135" i="8"/>
  <c r="T134" i="8"/>
  <c r="T133" i="8"/>
  <c r="T132" i="8"/>
  <c r="T131" i="8"/>
  <c r="T130" i="8"/>
  <c r="T129" i="8"/>
  <c r="T128" i="8"/>
  <c r="T127" i="8"/>
  <c r="T126" i="8"/>
  <c r="T125" i="8"/>
  <c r="T124" i="8"/>
  <c r="T123" i="8"/>
  <c r="T122" i="8"/>
  <c r="T121" i="8"/>
  <c r="T120" i="8"/>
  <c r="T119" i="8"/>
  <c r="T118" i="8"/>
  <c r="T117" i="8"/>
  <c r="T106" i="8"/>
  <c r="T96" i="8"/>
  <c r="T95" i="8"/>
  <c r="T94" i="8"/>
  <c r="T93" i="8"/>
  <c r="T92" i="8"/>
  <c r="T91" i="8"/>
  <c r="T90" i="8"/>
  <c r="T89" i="8"/>
  <c r="T88" i="8"/>
  <c r="T85" i="8"/>
  <c r="T84" i="8"/>
  <c r="T83" i="8"/>
  <c r="T82" i="8"/>
  <c r="T79" i="8"/>
  <c r="T78" i="8"/>
  <c r="T77" i="8"/>
  <c r="T76" i="8"/>
  <c r="T75" i="8"/>
  <c r="T74" i="8"/>
  <c r="T73" i="8"/>
  <c r="T72" i="8"/>
  <c r="T71" i="8"/>
  <c r="T70" i="8"/>
  <c r="T69" i="8"/>
  <c r="T68" i="8"/>
  <c r="T67" i="8"/>
  <c r="T64" i="8"/>
  <c r="T63" i="8"/>
  <c r="T62" i="8"/>
  <c r="T59" i="8"/>
  <c r="T58" i="8"/>
  <c r="T56" i="8"/>
  <c r="T55" i="8"/>
  <c r="T52" i="8"/>
  <c r="T51" i="8"/>
  <c r="T50" i="8"/>
  <c r="T42" i="8"/>
  <c r="T41" i="8"/>
  <c r="T40" i="8"/>
  <c r="T39" i="8"/>
  <c r="T38" i="8"/>
  <c r="T35" i="8"/>
  <c r="T34" i="8"/>
  <c r="T33" i="8"/>
  <c r="T32" i="8"/>
  <c r="T31" i="8"/>
  <c r="T30" i="8"/>
  <c r="T29" i="8"/>
  <c r="T28" i="8"/>
  <c r="T27" i="8"/>
  <c r="T26" i="8"/>
  <c r="T25" i="8"/>
  <c r="T24" i="8"/>
  <c r="T23" i="8"/>
  <c r="T22" i="8"/>
  <c r="T21" i="8"/>
  <c r="T20" i="8"/>
  <c r="T16" i="8"/>
  <c r="T12" i="8"/>
  <c r="T10" i="8"/>
  <c r="X212" i="8" l="1"/>
  <c r="Z212" i="8" s="1"/>
  <c r="X214" i="8"/>
  <c r="Z214" i="8" s="1"/>
  <c r="T44" i="8" l="1"/>
  <c r="T108" i="8"/>
  <c r="T87" i="8"/>
  <c r="T86" i="8" l="1"/>
  <c r="T43" i="8"/>
  <c r="T107" i="8"/>
  <c r="T213" i="8"/>
  <c r="T228" i="8"/>
  <c r="T57" i="8"/>
  <c r="X213" i="8" l="1"/>
  <c r="Z213" i="8" s="1"/>
  <c r="G261" i="8" l="1"/>
  <c r="X261" i="8" s="1"/>
  <c r="Z261" i="8" s="1"/>
  <c r="G260" i="8"/>
  <c r="X260" i="8" s="1"/>
  <c r="Z260" i="8" s="1"/>
  <c r="G259" i="8"/>
  <c r="X259" i="8" s="1"/>
  <c r="Z259" i="8" s="1"/>
  <c r="G258" i="8"/>
  <c r="X258" i="8" s="1"/>
  <c r="Z258" i="8" s="1"/>
  <c r="G257" i="8"/>
  <c r="X257" i="8" s="1"/>
  <c r="Z257" i="8" s="1"/>
  <c r="G256" i="8"/>
  <c r="X256" i="8" s="1"/>
  <c r="Z256" i="8" s="1"/>
  <c r="G255" i="8"/>
  <c r="X255" i="8" s="1"/>
  <c r="Z255" i="8" s="1"/>
  <c r="G254" i="8"/>
  <c r="X254" i="8" s="1"/>
  <c r="Z254" i="8" s="1"/>
  <c r="G253" i="8"/>
  <c r="X253" i="8" s="1"/>
  <c r="Z253" i="8" s="1"/>
  <c r="G252" i="8"/>
  <c r="X252" i="8" s="1"/>
  <c r="Z252" i="8" s="1"/>
  <c r="G251" i="8"/>
  <c r="X251" i="8" s="1"/>
  <c r="Z251" i="8" s="1"/>
  <c r="G250" i="8"/>
  <c r="X250" i="8" s="1"/>
  <c r="Z250" i="8" s="1"/>
  <c r="G249" i="8"/>
  <c r="X249" i="8" s="1"/>
  <c r="Z249" i="8" s="1"/>
  <c r="G248" i="8"/>
  <c r="X248" i="8" s="1"/>
  <c r="Z248" i="8" s="1"/>
  <c r="G247" i="8"/>
  <c r="X247" i="8" s="1"/>
  <c r="Z247" i="8" s="1"/>
  <c r="G246" i="8"/>
  <c r="X246" i="8" s="1"/>
  <c r="Z246" i="8" s="1"/>
  <c r="G244" i="8"/>
  <c r="X244" i="8" s="1"/>
  <c r="Z244" i="8" s="1"/>
  <c r="G243" i="8"/>
  <c r="X243" i="8" s="1"/>
  <c r="Z243" i="8" s="1"/>
  <c r="G242" i="8"/>
  <c r="X242" i="8" s="1"/>
  <c r="Z242" i="8" s="1"/>
  <c r="G241" i="8"/>
  <c r="X241" i="8" s="1"/>
  <c r="Z241" i="8" s="1"/>
  <c r="G227" i="8"/>
  <c r="X227" i="8" s="1"/>
  <c r="Z227" i="8" s="1"/>
  <c r="G225" i="8"/>
  <c r="X225" i="8" s="1"/>
  <c r="Z225" i="8" s="1"/>
  <c r="G224" i="8"/>
  <c r="X224" i="8" s="1"/>
  <c r="Z224" i="8" s="1"/>
  <c r="G223" i="8"/>
  <c r="X223" i="8" s="1"/>
  <c r="Z223" i="8" s="1"/>
  <c r="G222" i="8"/>
  <c r="X222" i="8" s="1"/>
  <c r="Z222" i="8" s="1"/>
  <c r="G220" i="8"/>
  <c r="X220" i="8" s="1"/>
  <c r="Z220" i="8" s="1"/>
  <c r="G219" i="8"/>
  <c r="X219" i="8" s="1"/>
  <c r="Z219" i="8" s="1"/>
  <c r="G218" i="8"/>
  <c r="X218" i="8" s="1"/>
  <c r="Z218" i="8" s="1"/>
  <c r="G217" i="8"/>
  <c r="X217" i="8" s="1"/>
  <c r="Z217" i="8" s="1"/>
  <c r="G208" i="8"/>
  <c r="X208" i="8" s="1"/>
  <c r="Z208" i="8" s="1"/>
  <c r="G207" i="8"/>
  <c r="X207" i="8" s="1"/>
  <c r="Z207" i="8" s="1"/>
  <c r="G206" i="8"/>
  <c r="X206" i="8" s="1"/>
  <c r="Z206" i="8" s="1"/>
  <c r="G204" i="8"/>
  <c r="X204" i="8" s="1"/>
  <c r="Z204" i="8" s="1"/>
  <c r="G200" i="8"/>
  <c r="X200" i="8" s="1"/>
  <c r="Z200" i="8" s="1"/>
  <c r="G199" i="8"/>
  <c r="X199" i="8" s="1"/>
  <c r="Z199" i="8" s="1"/>
  <c r="G198" i="8"/>
  <c r="X198" i="8" s="1"/>
  <c r="Z198" i="8" s="1"/>
  <c r="G196" i="8"/>
  <c r="X196" i="8" s="1"/>
  <c r="Z196" i="8" s="1"/>
  <c r="G195" i="8"/>
  <c r="X195" i="8" s="1"/>
  <c r="Z195" i="8" s="1"/>
  <c r="G194" i="8"/>
  <c r="X194" i="8" s="1"/>
  <c r="Z194" i="8" s="1"/>
  <c r="G193" i="8"/>
  <c r="X193" i="8" s="1"/>
  <c r="Z193" i="8" s="1"/>
  <c r="G190" i="8"/>
  <c r="X190" i="8" s="1"/>
  <c r="Z190" i="8" s="1"/>
  <c r="G189" i="8"/>
  <c r="X189" i="8" s="1"/>
  <c r="Z189" i="8" s="1"/>
  <c r="G188" i="8"/>
  <c r="X188" i="8" s="1"/>
  <c r="Z188" i="8" s="1"/>
  <c r="G187" i="8"/>
  <c r="X187" i="8" s="1"/>
  <c r="Z187" i="8" s="1"/>
  <c r="G186" i="8"/>
  <c r="X186" i="8" s="1"/>
  <c r="Z186" i="8" s="1"/>
  <c r="G185" i="8"/>
  <c r="X185" i="8" s="1"/>
  <c r="Z185" i="8" s="1"/>
  <c r="G183" i="8"/>
  <c r="X183" i="8" s="1"/>
  <c r="Z183" i="8" s="1"/>
  <c r="G181" i="8"/>
  <c r="X181" i="8" s="1"/>
  <c r="Z181" i="8" s="1"/>
  <c r="G180" i="8"/>
  <c r="X180" i="8" s="1"/>
  <c r="Z180" i="8" s="1"/>
  <c r="G179" i="8"/>
  <c r="X179" i="8" s="1"/>
  <c r="Z179" i="8" s="1"/>
  <c r="G178" i="8"/>
  <c r="X178" i="8" s="1"/>
  <c r="Z178" i="8" s="1"/>
  <c r="G177" i="8"/>
  <c r="X177" i="8" s="1"/>
  <c r="Z177" i="8" s="1"/>
  <c r="G176" i="8"/>
  <c r="X176" i="8" s="1"/>
  <c r="Z176" i="8" s="1"/>
  <c r="G175" i="8"/>
  <c r="X175" i="8" s="1"/>
  <c r="Z175" i="8" s="1"/>
  <c r="G174" i="8"/>
  <c r="X174" i="8" s="1"/>
  <c r="Z174" i="8" s="1"/>
  <c r="G173" i="8"/>
  <c r="X173" i="8" s="1"/>
  <c r="Z173" i="8" s="1"/>
  <c r="G171" i="8"/>
  <c r="X171" i="8" s="1"/>
  <c r="Z171" i="8" s="1"/>
  <c r="G169" i="8"/>
  <c r="X169" i="8" s="1"/>
  <c r="Z169" i="8" s="1"/>
  <c r="G165" i="8"/>
  <c r="X165" i="8" s="1"/>
  <c r="Z165" i="8" s="1"/>
  <c r="G164" i="8"/>
  <c r="X164" i="8" s="1"/>
  <c r="Z164" i="8" s="1"/>
  <c r="G163" i="8"/>
  <c r="X163" i="8" s="1"/>
  <c r="Z163" i="8" s="1"/>
  <c r="G162" i="8"/>
  <c r="X162" i="8" s="1"/>
  <c r="Z162" i="8" s="1"/>
  <c r="G161" i="8"/>
  <c r="X161" i="8" s="1"/>
  <c r="Z161" i="8" s="1"/>
  <c r="G160" i="8"/>
  <c r="X160" i="8" s="1"/>
  <c r="Z160" i="8" s="1"/>
  <c r="G159" i="8"/>
  <c r="X159" i="8" s="1"/>
  <c r="Z159" i="8" s="1"/>
  <c r="G158" i="8"/>
  <c r="X158" i="8" s="1"/>
  <c r="Z158" i="8" s="1"/>
  <c r="G157" i="8"/>
  <c r="X157" i="8" s="1"/>
  <c r="Z157" i="8" s="1"/>
  <c r="G156" i="8"/>
  <c r="X156" i="8" s="1"/>
  <c r="Z156" i="8" s="1"/>
  <c r="G154" i="8"/>
  <c r="X154" i="8" s="1"/>
  <c r="Z154" i="8" s="1"/>
  <c r="G152" i="8"/>
  <c r="X152" i="8" s="1"/>
  <c r="Z152" i="8" s="1"/>
  <c r="G151" i="8"/>
  <c r="X151" i="8" s="1"/>
  <c r="Z151" i="8" s="1"/>
  <c r="G150" i="8"/>
  <c r="X150" i="8" s="1"/>
  <c r="Z150" i="8" s="1"/>
  <c r="G149" i="8"/>
  <c r="X149" i="8" s="1"/>
  <c r="Z149" i="8" s="1"/>
  <c r="G148" i="8"/>
  <c r="X148" i="8" s="1"/>
  <c r="Z148" i="8" s="1"/>
  <c r="G147" i="8"/>
  <c r="X147" i="8" s="1"/>
  <c r="Z147" i="8" s="1"/>
  <c r="G146" i="8"/>
  <c r="X146" i="8" s="1"/>
  <c r="Z146" i="8" s="1"/>
  <c r="G145" i="8"/>
  <c r="X145" i="8" s="1"/>
  <c r="Z145" i="8" s="1"/>
  <c r="G144" i="8"/>
  <c r="X144" i="8" s="1"/>
  <c r="Z144" i="8" s="1"/>
  <c r="G143" i="8"/>
  <c r="X143" i="8" s="1"/>
  <c r="Z143" i="8" s="1"/>
  <c r="G142" i="8"/>
  <c r="X142" i="8" s="1"/>
  <c r="Z142" i="8" s="1"/>
  <c r="G141" i="8"/>
  <c r="X141" i="8" s="1"/>
  <c r="Z141" i="8" s="1"/>
  <c r="G140" i="8"/>
  <c r="X140" i="8" s="1"/>
  <c r="Z140" i="8" s="1"/>
  <c r="G137" i="8"/>
  <c r="X137" i="8" s="1"/>
  <c r="Z137" i="8" s="1"/>
  <c r="G136" i="8"/>
  <c r="X136" i="8" s="1"/>
  <c r="Z136" i="8" s="1"/>
  <c r="G135" i="8"/>
  <c r="X135" i="8" s="1"/>
  <c r="Z135" i="8" s="1"/>
  <c r="G134" i="8"/>
  <c r="X134" i="8" s="1"/>
  <c r="Z134" i="8" s="1"/>
  <c r="G133" i="8"/>
  <c r="X133" i="8" s="1"/>
  <c r="Z133" i="8" s="1"/>
  <c r="G132" i="8"/>
  <c r="X132" i="8" s="1"/>
  <c r="Z132" i="8" s="1"/>
  <c r="G131" i="8"/>
  <c r="X131" i="8" s="1"/>
  <c r="Z131" i="8" s="1"/>
  <c r="G130" i="8"/>
  <c r="X130" i="8" s="1"/>
  <c r="Z130" i="8" s="1"/>
  <c r="G129" i="8"/>
  <c r="X129" i="8" s="1"/>
  <c r="Z129" i="8" s="1"/>
  <c r="G128" i="8"/>
  <c r="X128" i="8" s="1"/>
  <c r="Z128" i="8" s="1"/>
  <c r="G127" i="8"/>
  <c r="X127" i="8" s="1"/>
  <c r="Z127" i="8" s="1"/>
  <c r="G126" i="8"/>
  <c r="X126" i="8" s="1"/>
  <c r="Z126" i="8" s="1"/>
  <c r="G125" i="8"/>
  <c r="X125" i="8" s="1"/>
  <c r="Z125" i="8" s="1"/>
  <c r="G124" i="8"/>
  <c r="X124" i="8" s="1"/>
  <c r="Z124" i="8" s="1"/>
  <c r="G123" i="8"/>
  <c r="X123" i="8" s="1"/>
  <c r="Z123" i="8" s="1"/>
  <c r="G122" i="8"/>
  <c r="X122" i="8" s="1"/>
  <c r="Z122" i="8" s="1"/>
  <c r="G121" i="8"/>
  <c r="X121" i="8" s="1"/>
  <c r="Z121" i="8" s="1"/>
  <c r="G120" i="8"/>
  <c r="X120" i="8" s="1"/>
  <c r="Z120" i="8" s="1"/>
  <c r="G119" i="8"/>
  <c r="X119" i="8" s="1"/>
  <c r="Z119" i="8" s="1"/>
  <c r="G118" i="8"/>
  <c r="X118" i="8" s="1"/>
  <c r="Z118" i="8" s="1"/>
  <c r="G117" i="8"/>
  <c r="X117" i="8" s="1"/>
  <c r="Z117" i="8" s="1"/>
  <c r="G108" i="8"/>
  <c r="X108" i="8" s="1"/>
  <c r="Z108" i="8" s="1"/>
  <c r="G107" i="8"/>
  <c r="X107" i="8" s="1"/>
  <c r="Z107" i="8" s="1"/>
  <c r="G106" i="8"/>
  <c r="X106" i="8" s="1"/>
  <c r="Z106" i="8" s="1"/>
  <c r="G96" i="8"/>
  <c r="Z96" i="8" s="1"/>
  <c r="G95" i="8"/>
  <c r="X95" i="8" s="1"/>
  <c r="Z95" i="8" s="1"/>
  <c r="G94" i="8"/>
  <c r="X94" i="8" s="1"/>
  <c r="Z94" i="8" s="1"/>
  <c r="G93" i="8"/>
  <c r="X93" i="8" s="1"/>
  <c r="Z93" i="8" s="1"/>
  <c r="G92" i="8"/>
  <c r="X92" i="8" s="1"/>
  <c r="Z92" i="8" s="1"/>
  <c r="G91" i="8"/>
  <c r="X91" i="8" s="1"/>
  <c r="Z91" i="8" s="1"/>
  <c r="G90" i="8"/>
  <c r="X90" i="8" s="1"/>
  <c r="Z90" i="8" s="1"/>
  <c r="G89" i="8"/>
  <c r="X89" i="8" s="1"/>
  <c r="Z89" i="8" s="1"/>
  <c r="G88" i="8"/>
  <c r="X88" i="8" s="1"/>
  <c r="Z88" i="8" s="1"/>
  <c r="G87" i="8"/>
  <c r="X87" i="8" s="1"/>
  <c r="Z87" i="8" s="1"/>
  <c r="G86" i="8"/>
  <c r="X86" i="8" s="1"/>
  <c r="Z86" i="8" s="1"/>
  <c r="G85" i="8"/>
  <c r="X85" i="8" s="1"/>
  <c r="Z85" i="8" s="1"/>
  <c r="G84" i="8"/>
  <c r="X84" i="8" s="1"/>
  <c r="Z84" i="8" s="1"/>
  <c r="G83" i="8"/>
  <c r="X83" i="8" s="1"/>
  <c r="Z83" i="8" s="1"/>
  <c r="G82" i="8"/>
  <c r="X82" i="8" s="1"/>
  <c r="Z82" i="8" s="1"/>
  <c r="G79" i="8"/>
  <c r="X79" i="8" s="1"/>
  <c r="Z79" i="8" s="1"/>
  <c r="G78" i="8"/>
  <c r="X78" i="8" s="1"/>
  <c r="Z78" i="8" s="1"/>
  <c r="G77" i="8"/>
  <c r="X77" i="8" s="1"/>
  <c r="Z77" i="8" s="1"/>
  <c r="G76" i="8"/>
  <c r="X76" i="8" s="1"/>
  <c r="Z76" i="8" s="1"/>
  <c r="G75" i="8"/>
  <c r="X75" i="8" s="1"/>
  <c r="Z75" i="8" s="1"/>
  <c r="G74" i="8"/>
  <c r="X74" i="8" s="1"/>
  <c r="Z74" i="8" s="1"/>
  <c r="G73" i="8"/>
  <c r="X73" i="8" s="1"/>
  <c r="Z73" i="8" s="1"/>
  <c r="G72" i="8"/>
  <c r="X72" i="8" s="1"/>
  <c r="Z72" i="8" s="1"/>
  <c r="G71" i="8"/>
  <c r="X71" i="8" s="1"/>
  <c r="Z71" i="8" s="1"/>
  <c r="G70" i="8"/>
  <c r="X70" i="8" s="1"/>
  <c r="Z70" i="8" s="1"/>
  <c r="G69" i="8"/>
  <c r="X69" i="8" s="1"/>
  <c r="Z69" i="8" s="1"/>
  <c r="G68" i="8"/>
  <c r="X68" i="8" s="1"/>
  <c r="Z68" i="8" s="1"/>
  <c r="G67" i="8"/>
  <c r="X67" i="8" s="1"/>
  <c r="Z67" i="8" s="1"/>
  <c r="G64" i="8"/>
  <c r="X64" i="8" s="1"/>
  <c r="Z64" i="8" s="1"/>
  <c r="G63" i="8"/>
  <c r="X63" i="8" s="1"/>
  <c r="Z63" i="8" s="1"/>
  <c r="G62" i="8"/>
  <c r="X62" i="8" s="1"/>
  <c r="Z62" i="8" s="1"/>
  <c r="G59" i="8"/>
  <c r="X59" i="8" s="1"/>
  <c r="Z59" i="8" s="1"/>
  <c r="G58" i="8"/>
  <c r="X58" i="8" s="1"/>
  <c r="Z58" i="8" s="1"/>
  <c r="G57" i="8"/>
  <c r="X57" i="8" s="1"/>
  <c r="Z57" i="8" s="1"/>
  <c r="G56" i="8"/>
  <c r="X56" i="8" s="1"/>
  <c r="Z56" i="8" s="1"/>
  <c r="G55" i="8"/>
  <c r="X55" i="8" s="1"/>
  <c r="Z55" i="8" s="1"/>
  <c r="G52" i="8"/>
  <c r="X52" i="8" s="1"/>
  <c r="Z52" i="8" s="1"/>
  <c r="G51" i="8"/>
  <c r="X51" i="8" s="1"/>
  <c r="Z51" i="8" s="1"/>
  <c r="G50" i="8"/>
  <c r="X50" i="8" s="1"/>
  <c r="Z50" i="8" s="1"/>
  <c r="G44" i="8"/>
  <c r="X44" i="8" s="1"/>
  <c r="Z44" i="8" s="1"/>
  <c r="G43" i="8"/>
  <c r="X43" i="8" s="1"/>
  <c r="Z43" i="8" s="1"/>
  <c r="G42" i="8"/>
  <c r="X42" i="8" s="1"/>
  <c r="Z42" i="8" s="1"/>
  <c r="G41" i="8"/>
  <c r="X41" i="8" s="1"/>
  <c r="Z41" i="8" s="1"/>
  <c r="G40" i="8"/>
  <c r="X40" i="8" s="1"/>
  <c r="Z40" i="8" s="1"/>
  <c r="G39" i="8"/>
  <c r="X39" i="8" s="1"/>
  <c r="Z39" i="8" s="1"/>
  <c r="G38" i="8"/>
  <c r="X38" i="8" s="1"/>
  <c r="Z38" i="8" s="1"/>
  <c r="G35" i="8"/>
  <c r="X35" i="8" s="1"/>
  <c r="Z35" i="8" s="1"/>
  <c r="G34" i="8"/>
  <c r="X34" i="8" s="1"/>
  <c r="Z34" i="8" s="1"/>
  <c r="G33" i="8"/>
  <c r="X33" i="8" s="1"/>
  <c r="Z33" i="8" s="1"/>
  <c r="G32" i="8"/>
  <c r="X32" i="8" s="1"/>
  <c r="Z32" i="8" s="1"/>
  <c r="G31" i="8"/>
  <c r="X31" i="8" s="1"/>
  <c r="Z31" i="8" s="1"/>
  <c r="G30" i="8"/>
  <c r="X30" i="8" s="1"/>
  <c r="Z30" i="8" s="1"/>
  <c r="G29" i="8"/>
  <c r="X29" i="8" s="1"/>
  <c r="Z29" i="8" s="1"/>
  <c r="G28" i="8"/>
  <c r="X28" i="8" s="1"/>
  <c r="Z28" i="8" s="1"/>
  <c r="G27" i="8"/>
  <c r="X27" i="8" s="1"/>
  <c r="Z27" i="8" s="1"/>
  <c r="G26" i="8"/>
  <c r="X26" i="8" s="1"/>
  <c r="Z26" i="8" s="1"/>
  <c r="G25" i="8"/>
  <c r="X25" i="8" s="1"/>
  <c r="Z25" i="8" s="1"/>
  <c r="G24" i="8"/>
  <c r="X24" i="8" s="1"/>
  <c r="Z24" i="8" s="1"/>
  <c r="G23" i="8"/>
  <c r="X23" i="8" s="1"/>
  <c r="Z23" i="8" s="1"/>
  <c r="G22" i="8"/>
  <c r="X22" i="8" s="1"/>
  <c r="Z22" i="8" s="1"/>
  <c r="G21" i="8"/>
  <c r="X21" i="8" s="1"/>
  <c r="Z21" i="8" s="1"/>
  <c r="G20" i="8"/>
  <c r="X20" i="8" s="1"/>
  <c r="Z20" i="8" s="1"/>
  <c r="G16" i="8"/>
  <c r="X16" i="8" s="1"/>
  <c r="Z16" i="8" s="1"/>
  <c r="G10" i="8"/>
  <c r="X10" i="8" s="1"/>
  <c r="Z10" i="8" s="1"/>
  <c r="S226" i="8" l="1"/>
  <c r="S221" i="8" s="1"/>
  <c r="Q226" i="8"/>
  <c r="Q221" i="8" s="1"/>
  <c r="P226" i="8"/>
  <c r="P221" i="8" s="1"/>
  <c r="O226" i="8"/>
  <c r="O221" i="8" s="1"/>
  <c r="M226" i="8"/>
  <c r="M221" i="8" s="1"/>
  <c r="V226" i="8"/>
  <c r="V221" i="8" s="1"/>
  <c r="U226" i="8"/>
  <c r="U221" i="8" s="1"/>
  <c r="L221" i="8"/>
  <c r="J226" i="8"/>
  <c r="F226" i="8"/>
  <c r="F221" i="8" s="1"/>
  <c r="E226" i="8"/>
  <c r="S205" i="8"/>
  <c r="Q205" i="8"/>
  <c r="P205" i="8"/>
  <c r="O205" i="8"/>
  <c r="M205" i="8"/>
  <c r="V205" i="8"/>
  <c r="U205" i="8"/>
  <c r="L205" i="8"/>
  <c r="K205" i="8"/>
  <c r="J205" i="8"/>
  <c r="F205" i="8"/>
  <c r="E205" i="8"/>
  <c r="S197" i="8"/>
  <c r="Q197" i="8"/>
  <c r="P197" i="8"/>
  <c r="O197" i="8"/>
  <c r="M197" i="8"/>
  <c r="V197" i="8"/>
  <c r="U197" i="8"/>
  <c r="L197" i="8"/>
  <c r="K197" i="8"/>
  <c r="J197" i="8"/>
  <c r="F197" i="8"/>
  <c r="E197" i="8"/>
  <c r="S192" i="8"/>
  <c r="S191" i="8" s="1"/>
  <c r="Q192" i="8"/>
  <c r="Q191" i="8" s="1"/>
  <c r="P192" i="8"/>
  <c r="P191" i="8" s="1"/>
  <c r="O192" i="8"/>
  <c r="O191" i="8" s="1"/>
  <c r="M192" i="8"/>
  <c r="M191" i="8" s="1"/>
  <c r="V192" i="8"/>
  <c r="V191" i="8" s="1"/>
  <c r="U192" i="8"/>
  <c r="U191" i="8" s="1"/>
  <c r="L192" i="8"/>
  <c r="L191" i="8" s="1"/>
  <c r="K192" i="8"/>
  <c r="K191" i="8" s="1"/>
  <c r="J192" i="8"/>
  <c r="F192" i="8"/>
  <c r="F191" i="8" s="1"/>
  <c r="E192" i="8"/>
  <c r="E191" i="8" s="1"/>
  <c r="S184" i="8"/>
  <c r="Q184" i="8"/>
  <c r="P184" i="8"/>
  <c r="O184" i="8"/>
  <c r="M184" i="8"/>
  <c r="V184" i="8"/>
  <c r="U184" i="8"/>
  <c r="L184" i="8"/>
  <c r="K184" i="8"/>
  <c r="J184" i="8"/>
  <c r="F184" i="8"/>
  <c r="E184" i="8"/>
  <c r="S153" i="8"/>
  <c r="S138" i="8" s="1"/>
  <c r="Q153" i="8"/>
  <c r="Q138" i="8" s="1"/>
  <c r="P153" i="8"/>
  <c r="P138" i="8" s="1"/>
  <c r="O153" i="8"/>
  <c r="O138" i="8" s="1"/>
  <c r="M153" i="8"/>
  <c r="M138" i="8" s="1"/>
  <c r="V153" i="8"/>
  <c r="V138" i="8" s="1"/>
  <c r="U153" i="8"/>
  <c r="U138" i="8" s="1"/>
  <c r="L153" i="8"/>
  <c r="L138" i="8" s="1"/>
  <c r="K153" i="8"/>
  <c r="J153" i="8"/>
  <c r="F153" i="8"/>
  <c r="F138" i="8" s="1"/>
  <c r="E153" i="8"/>
  <c r="E138" i="8" s="1"/>
  <c r="S139" i="8"/>
  <c r="Q139" i="8"/>
  <c r="P139" i="8"/>
  <c r="O139" i="8"/>
  <c r="M139" i="8"/>
  <c r="V139" i="8"/>
  <c r="U139" i="8"/>
  <c r="L139" i="8"/>
  <c r="K139" i="8"/>
  <c r="J139" i="8"/>
  <c r="F139" i="8"/>
  <c r="E139" i="8"/>
  <c r="S81" i="8"/>
  <c r="Q81" i="8"/>
  <c r="P81" i="8"/>
  <c r="O81" i="8"/>
  <c r="M81" i="8"/>
  <c r="V81" i="8"/>
  <c r="U81" i="8"/>
  <c r="L81" i="8"/>
  <c r="K81" i="8"/>
  <c r="J81" i="8"/>
  <c r="F81" i="8"/>
  <c r="E81" i="8"/>
  <c r="S80" i="8"/>
  <c r="Q80" i="8"/>
  <c r="P80" i="8"/>
  <c r="O80" i="8"/>
  <c r="M80" i="8"/>
  <c r="V80" i="8"/>
  <c r="U80" i="8"/>
  <c r="L80" i="8"/>
  <c r="K80" i="8"/>
  <c r="J80" i="8"/>
  <c r="F80" i="8"/>
  <c r="E80" i="8"/>
  <c r="S61" i="8"/>
  <c r="Q61" i="8"/>
  <c r="P61" i="8"/>
  <c r="O61" i="8"/>
  <c r="M61" i="8"/>
  <c r="V61" i="8"/>
  <c r="U61" i="8"/>
  <c r="L61" i="8"/>
  <c r="K61" i="8"/>
  <c r="J61" i="8"/>
  <c r="F61" i="8"/>
  <c r="E61" i="8"/>
  <c r="S60" i="8"/>
  <c r="Q60" i="8"/>
  <c r="P60" i="8"/>
  <c r="O60" i="8"/>
  <c r="M60" i="8"/>
  <c r="V60" i="8"/>
  <c r="U60" i="8"/>
  <c r="L60" i="8"/>
  <c r="K60" i="8"/>
  <c r="J60" i="8"/>
  <c r="F60" i="8"/>
  <c r="E60" i="8"/>
  <c r="S19" i="8"/>
  <c r="S15" i="8" s="1"/>
  <c r="Q19" i="8"/>
  <c r="Q15" i="8" s="1"/>
  <c r="P19" i="8"/>
  <c r="P15" i="8" s="1"/>
  <c r="O19" i="8"/>
  <c r="O15" i="8" s="1"/>
  <c r="M19" i="8"/>
  <c r="M15" i="8" s="1"/>
  <c r="V19" i="8"/>
  <c r="V15" i="8" s="1"/>
  <c r="U19" i="8"/>
  <c r="U15" i="8" s="1"/>
  <c r="L19" i="8"/>
  <c r="L15" i="8" s="1"/>
  <c r="K19" i="8"/>
  <c r="K15" i="8" s="1"/>
  <c r="J19" i="8"/>
  <c r="F19" i="8"/>
  <c r="E19" i="8"/>
  <c r="S18" i="8"/>
  <c r="Q18" i="8"/>
  <c r="P18" i="8"/>
  <c r="O18" i="8"/>
  <c r="M18" i="8"/>
  <c r="V18" i="8"/>
  <c r="U18" i="8"/>
  <c r="L18" i="8"/>
  <c r="K18" i="8"/>
  <c r="J18" i="8"/>
  <c r="F18" i="8"/>
  <c r="E18" i="8"/>
  <c r="T60" i="8" l="1"/>
  <c r="T81" i="8"/>
  <c r="T153" i="8"/>
  <c r="T184" i="8"/>
  <c r="T205" i="8"/>
  <c r="T18" i="8"/>
  <c r="T192" i="8"/>
  <c r="T197" i="8"/>
  <c r="T19" i="8"/>
  <c r="T226" i="8"/>
  <c r="T61" i="8"/>
  <c r="T80" i="8"/>
  <c r="T139" i="8"/>
  <c r="J15" i="8"/>
  <c r="F15" i="8"/>
  <c r="J221" i="8"/>
  <c r="T221" i="8" s="1"/>
  <c r="J138" i="8"/>
  <c r="E17" i="8"/>
  <c r="V17" i="8"/>
  <c r="Q17" i="8"/>
  <c r="U182" i="8"/>
  <c r="U172" i="8" s="1"/>
  <c r="U170" i="8" s="1"/>
  <c r="F17" i="8"/>
  <c r="M17" i="8"/>
  <c r="S17" i="8"/>
  <c r="O17" i="8"/>
  <c r="U17" i="8"/>
  <c r="P17" i="8"/>
  <c r="L182" i="8"/>
  <c r="L172" i="8" s="1"/>
  <c r="L170" i="8" s="1"/>
  <c r="L17" i="8"/>
  <c r="F182" i="8"/>
  <c r="F172" i="8" s="1"/>
  <c r="F170" i="8" s="1"/>
  <c r="M182" i="8"/>
  <c r="M172" i="8" s="1"/>
  <c r="M170" i="8" s="1"/>
  <c r="S182" i="8"/>
  <c r="S172" i="8" s="1"/>
  <c r="S170" i="8" s="1"/>
  <c r="J191" i="8"/>
  <c r="T191" i="8" s="1"/>
  <c r="O182" i="8"/>
  <c r="O172" i="8" s="1"/>
  <c r="O170" i="8" s="1"/>
  <c r="P182" i="8"/>
  <c r="P172" i="8" s="1"/>
  <c r="P170" i="8" s="1"/>
  <c r="K182" i="8"/>
  <c r="K172" i="8" s="1"/>
  <c r="V182" i="8"/>
  <c r="V172" i="8" s="1"/>
  <c r="V170" i="8" s="1"/>
  <c r="Q182" i="8"/>
  <c r="Q172" i="8" s="1"/>
  <c r="Q170" i="8" s="1"/>
  <c r="E182" i="8"/>
  <c r="E15" i="8"/>
  <c r="E221" i="8"/>
  <c r="K138" i="8"/>
  <c r="T15" i="8" l="1"/>
  <c r="F12" i="8"/>
  <c r="J17" i="8"/>
  <c r="T138" i="8"/>
  <c r="U9" i="8"/>
  <c r="K170" i="8"/>
  <c r="Q9" i="8"/>
  <c r="Q14" i="8" s="1"/>
  <c r="V9" i="8"/>
  <c r="V14" i="8" s="1"/>
  <c r="V11" i="8" s="1"/>
  <c r="U12" i="8"/>
  <c r="J182" i="8"/>
  <c r="T182" i="8" s="1"/>
  <c r="P9" i="8"/>
  <c r="P14" i="8" s="1"/>
  <c r="P11" i="8" s="1"/>
  <c r="S9" i="8"/>
  <c r="S14" i="8" s="1"/>
  <c r="S11" i="8" s="1"/>
  <c r="M9" i="8"/>
  <c r="M14" i="8" s="1"/>
  <c r="M11" i="8" s="1"/>
  <c r="O9" i="8"/>
  <c r="O14" i="8" s="1"/>
  <c r="L9" i="8"/>
  <c r="L14" i="8" s="1"/>
  <c r="L11" i="8" s="1"/>
  <c r="F9" i="8"/>
  <c r="E172" i="8"/>
  <c r="K17" i="8"/>
  <c r="T17" i="8" l="1"/>
  <c r="U14" i="8"/>
  <c r="U11" i="8" s="1"/>
  <c r="Q11" i="8"/>
  <c r="J172" i="8"/>
  <c r="T172" i="8" s="1"/>
  <c r="F14" i="8"/>
  <c r="O11" i="8"/>
  <c r="K9" i="8"/>
  <c r="K14" i="8" s="1"/>
  <c r="E170" i="8"/>
  <c r="F11" i="8" l="1"/>
  <c r="J170" i="8"/>
  <c r="T170" i="8" s="1"/>
  <c r="X170" i="8" s="1"/>
  <c r="K11" i="8"/>
  <c r="E9" i="8"/>
  <c r="J9" i="8" l="1"/>
  <c r="T9" i="8" s="1"/>
  <c r="E14" i="8"/>
  <c r="J14" i="8" l="1"/>
  <c r="T14" i="8" s="1"/>
  <c r="E11" i="8"/>
  <c r="J11" i="8" l="1"/>
  <c r="T11" i="8" s="1"/>
  <c r="D245" i="8" l="1"/>
  <c r="I245" i="8" s="1"/>
  <c r="AA245" i="8" s="1"/>
  <c r="AB245" i="8" s="1"/>
  <c r="D228" i="8"/>
  <c r="I228" i="8" s="1"/>
  <c r="AA228" i="8" s="1"/>
  <c r="AB228" i="8" s="1"/>
  <c r="D155" i="8"/>
  <c r="I155" i="8" s="1"/>
  <c r="AA155" i="8" l="1"/>
  <c r="AB155" i="8" s="1"/>
  <c r="G245" i="8"/>
  <c r="X245" i="8" s="1"/>
  <c r="Z245" i="8" s="1"/>
  <c r="G155" i="8"/>
  <c r="X155" i="8" s="1"/>
  <c r="Z155" i="8" s="1"/>
  <c r="G228" i="8"/>
  <c r="X228" i="8" s="1"/>
  <c r="Z228" i="8" s="1"/>
  <c r="D226" i="8" l="1"/>
  <c r="D205" i="8"/>
  <c r="I205" i="8" s="1"/>
  <c r="AA205" i="8" s="1"/>
  <c r="AB205" i="8" s="1"/>
  <c r="D197" i="8"/>
  <c r="I197" i="8" s="1"/>
  <c r="AA197" i="8" s="1"/>
  <c r="AB197" i="8" s="1"/>
  <c r="D192" i="8"/>
  <c r="D184" i="8"/>
  <c r="I184" i="8" s="1"/>
  <c r="AA184" i="8" s="1"/>
  <c r="AB184" i="8" s="1"/>
  <c r="D153" i="8"/>
  <c r="D139" i="8"/>
  <c r="I139" i="8" s="1"/>
  <c r="D81" i="8"/>
  <c r="I81" i="8" s="1"/>
  <c r="D80" i="8"/>
  <c r="I80" i="8" s="1"/>
  <c r="AA80" i="8" s="1"/>
  <c r="AB80" i="8" s="1"/>
  <c r="D61" i="8"/>
  <c r="I61" i="8" s="1"/>
  <c r="D60" i="8"/>
  <c r="I60" i="8" s="1"/>
  <c r="AA60" i="8" s="1"/>
  <c r="AB60" i="8" s="1"/>
  <c r="D19" i="8"/>
  <c r="D18" i="8"/>
  <c r="I18" i="8" s="1"/>
  <c r="AA18" i="8" l="1"/>
  <c r="AB18" i="8" s="1"/>
  <c r="AA81" i="8"/>
  <c r="AB81" i="8" s="1"/>
  <c r="AA139" i="8"/>
  <c r="AB139" i="8" s="1"/>
  <c r="AA61" i="8"/>
  <c r="AB61" i="8" s="1"/>
  <c r="G153" i="8"/>
  <c r="I153" i="8"/>
  <c r="AA153" i="8" s="1"/>
  <c r="AB153" i="8" s="1"/>
  <c r="G226" i="8"/>
  <c r="I226" i="8"/>
  <c r="G19" i="8"/>
  <c r="I19" i="8"/>
  <c r="G192" i="8"/>
  <c r="I192" i="8"/>
  <c r="AA192" i="8" s="1"/>
  <c r="AB192" i="8" s="1"/>
  <c r="G139" i="8"/>
  <c r="X139" i="8" s="1"/>
  <c r="Z139" i="8" s="1"/>
  <c r="G81" i="8"/>
  <c r="X81" i="8" s="1"/>
  <c r="Z81" i="8" s="1"/>
  <c r="G60" i="8"/>
  <c r="X60" i="8" s="1"/>
  <c r="Z60" i="8" s="1"/>
  <c r="G197" i="8"/>
  <c r="G205" i="8"/>
  <c r="X205" i="8" s="1"/>
  <c r="Z205" i="8" s="1"/>
  <c r="G61" i="8"/>
  <c r="X61" i="8" s="1"/>
  <c r="Z61" i="8" s="1"/>
  <c r="G18" i="8"/>
  <c r="X18" i="8" s="1"/>
  <c r="Z18" i="8" s="1"/>
  <c r="G80" i="8"/>
  <c r="X80" i="8" s="1"/>
  <c r="Z80" i="8" s="1"/>
  <c r="G184" i="8"/>
  <c r="X184" i="8" s="1"/>
  <c r="Z184" i="8" s="1"/>
  <c r="D221" i="8"/>
  <c r="I221" i="8" s="1"/>
  <c r="AA221" i="8" s="1"/>
  <c r="AB221" i="8" s="1"/>
  <c r="D138" i="8"/>
  <c r="I138" i="8" s="1"/>
  <c r="D15" i="8"/>
  <c r="I15" i="8" s="1"/>
  <c r="D191" i="8"/>
  <c r="I191" i="8" s="1"/>
  <c r="X197" i="8" l="1"/>
  <c r="Z197" i="8" s="1"/>
  <c r="AA226" i="8"/>
  <c r="AB226" i="8" s="1"/>
  <c r="AA15" i="8"/>
  <c r="AB15" i="8" s="1"/>
  <c r="AA191" i="8"/>
  <c r="AB191" i="8" s="1"/>
  <c r="AA138" i="8"/>
  <c r="AB138" i="8" s="1"/>
  <c r="AA19" i="8"/>
  <c r="AB19" i="8" s="1"/>
  <c r="X19" i="8"/>
  <c r="Z19" i="8" s="1"/>
  <c r="X153" i="8"/>
  <c r="Z153" i="8" s="1"/>
  <c r="X192" i="8"/>
  <c r="Z192" i="8" s="1"/>
  <c r="X226" i="8"/>
  <c r="Z226" i="8" s="1"/>
  <c r="G15" i="8"/>
  <c r="G221" i="8"/>
  <c r="X221" i="8" s="1"/>
  <c r="Z221" i="8" s="1"/>
  <c r="G138" i="8"/>
  <c r="X138" i="8" s="1"/>
  <c r="Z138" i="8" s="1"/>
  <c r="G191" i="8"/>
  <c r="X191" i="8" s="1"/>
  <c r="Z191" i="8" s="1"/>
  <c r="D182" i="8"/>
  <c r="I182" i="8" s="1"/>
  <c r="D17" i="8"/>
  <c r="I17" i="8" s="1"/>
  <c r="AA17" i="8" s="1"/>
  <c r="AB17" i="8" s="1"/>
  <c r="AA182" i="8" l="1"/>
  <c r="AB182" i="8" s="1"/>
  <c r="X15" i="8"/>
  <c r="Z15" i="8" s="1"/>
  <c r="G17" i="8"/>
  <c r="X17" i="8" s="1"/>
  <c r="Z17" i="8" s="1"/>
  <c r="G182" i="8"/>
  <c r="X182" i="8" s="1"/>
  <c r="Z182" i="8" s="1"/>
  <c r="D172" i="8"/>
  <c r="G172" i="8" l="1"/>
  <c r="X172" i="8" s="1"/>
  <c r="Z172" i="8" s="1"/>
  <c r="I172" i="8"/>
  <c r="AA172" i="8" s="1"/>
  <c r="AB172" i="8" s="1"/>
  <c r="D170" i="8"/>
  <c r="G170" i="8" l="1"/>
  <c r="Z170" i="8" s="1"/>
  <c r="I170" i="8"/>
  <c r="D9" i="8"/>
  <c r="AA170" i="8" l="1"/>
  <c r="AB170" i="8" s="1"/>
  <c r="G9" i="8"/>
  <c r="X9" i="8" s="1"/>
  <c r="Z9" i="8" s="1"/>
  <c r="I9" i="8"/>
  <c r="AA9" i="8" s="1"/>
  <c r="AB9" i="8" s="1"/>
  <c r="G12" i="8" l="1"/>
  <c r="X12" i="8" s="1"/>
  <c r="Z12" i="8" s="1"/>
  <c r="D14" i="8" l="1"/>
  <c r="I14" i="8" s="1"/>
  <c r="AA14" i="8" l="1"/>
  <c r="AB14" i="8" s="1"/>
  <c r="D11" i="8"/>
  <c r="G14" i="8"/>
  <c r="X14" i="8" s="1"/>
  <c r="Z14" i="8" s="1"/>
  <c r="B7" i="15"/>
  <c r="B13" i="15"/>
  <c r="B17" i="15"/>
  <c r="B16" i="15"/>
  <c r="B5" i="15"/>
  <c r="B8" i="15"/>
  <c r="B6" i="15"/>
  <c r="B4" i="15"/>
  <c r="B9" i="15"/>
  <c r="B2" i="15"/>
  <c r="B3" i="15"/>
  <c r="B10" i="15"/>
  <c r="B14" i="15"/>
  <c r="G11" i="8" l="1"/>
  <c r="I11" i="8"/>
  <c r="B12" i="15"/>
  <c r="B15" i="15"/>
  <c r="B11" i="15"/>
  <c r="AA11" i="8" l="1"/>
  <c r="AB11" i="8" s="1"/>
  <c r="X11" i="8"/>
  <c r="Z11" i="8" s="1"/>
  <c r="B1" i="15" l="1"/>
  <c r="B18" i="15" l="1"/>
  <c r="B19" i="15" s="1"/>
</calcChain>
</file>

<file path=xl/comments1.xml><?xml version="1.0" encoding="utf-8"?>
<comments xmlns="http://schemas.openxmlformats.org/spreadsheetml/2006/main">
  <authors>
    <author>Maarja Valler</author>
  </authors>
  <commentList>
    <comment ref="F3" author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List>
</comments>
</file>

<file path=xl/comments2.xml><?xml version="1.0" encoding="utf-8"?>
<comments xmlns="http://schemas.openxmlformats.org/spreadsheetml/2006/main">
  <authors>
    <author>Maarja Valler</author>
  </authors>
  <commentList>
    <comment ref="F3" author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List>
</comments>
</file>

<file path=xl/comments3.xml><?xml version="1.0" encoding="utf-8"?>
<comments xmlns="http://schemas.openxmlformats.org/spreadsheetml/2006/main">
  <authors>
    <author>Maarja Valler</author>
    <author>Anne Viinapuu</author>
  </authors>
  <commentList>
    <comment ref="Y4" author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 ref="K87" authorId="1">
      <text>
        <r>
          <rPr>
            <b/>
            <sz val="9"/>
            <color indexed="81"/>
            <rFont val="Tahoma"/>
            <family val="2"/>
            <charset val="186"/>
          </rPr>
          <t>Anne Viinapuu:</t>
        </r>
        <r>
          <rPr>
            <sz val="9"/>
            <color indexed="81"/>
            <rFont val="Tahoma"/>
            <family val="2"/>
            <charset val="186"/>
          </rPr>
          <t xml:space="preserve">
Alates 1.09.2017 lisanduva personalitöötaja töötasuks 18000 €.
</t>
        </r>
      </text>
    </comment>
    <comment ref="K199" authorId="0">
      <text>
        <r>
          <rPr>
            <b/>
            <sz val="9"/>
            <color indexed="81"/>
            <rFont val="Tahoma"/>
            <family val="2"/>
            <charset val="186"/>
          </rPr>
          <t>Maarja Valler:</t>
        </r>
        <r>
          <rPr>
            <sz val="9"/>
            <color indexed="81"/>
            <rFont val="Tahoma"/>
            <family val="2"/>
            <charset val="186"/>
          </rPr>
          <t xml:space="preserve">
suunatud projekti "Erivajadusteha inimeste eluaseme füüsiline kohandamine" OF katteks</t>
        </r>
      </text>
    </comment>
  </commentList>
</comments>
</file>

<file path=xl/comments4.xml><?xml version="1.0" encoding="utf-8"?>
<comments xmlns="http://schemas.openxmlformats.org/spreadsheetml/2006/main">
  <authors>
    <author>Robert Kriesenthal</author>
    <author>Maarja Valler</author>
  </authors>
  <commentList>
    <comment ref="B22" authorId="0">
      <text>
        <r>
          <rPr>
            <b/>
            <sz val="8"/>
            <color indexed="81"/>
            <rFont val="Tahoma"/>
            <family val="2"/>
            <charset val="186"/>
          </rPr>
          <t>Robert Kriesenthal:</t>
        </r>
        <r>
          <rPr>
            <sz val="8"/>
            <color indexed="81"/>
            <rFont val="Tahoma"/>
            <family val="2"/>
            <charset val="186"/>
          </rPr>
          <t xml:space="preserve">
Peab võrduma objekti kogumaksumusega ivesteeringute koondis (vorm 6a) kogumaksumuse </t>
        </r>
      </text>
    </comment>
    <comment ref="F22" authorId="0">
      <text>
        <r>
          <rPr>
            <b/>
            <sz val="8"/>
            <color indexed="81"/>
            <rFont val="Tahoma"/>
            <family val="2"/>
            <charset val="186"/>
          </rPr>
          <t>Robert Kriesenthal:</t>
        </r>
        <r>
          <rPr>
            <sz val="8"/>
            <color indexed="81"/>
            <rFont val="Tahoma"/>
            <family val="2"/>
            <charset val="186"/>
          </rPr>
          <t xml:space="preserve">
Peab võrduma objekti 2018. a taotlusega investeeringute koondis (vorm 6a)</t>
        </r>
      </text>
    </comment>
    <comment ref="B27" authorId="1">
      <text>
        <r>
          <rPr>
            <b/>
            <sz val="9"/>
            <color indexed="81"/>
            <rFont val="Tahoma"/>
            <family val="2"/>
            <charset val="186"/>
          </rPr>
          <t>Maarja Valler:</t>
        </r>
        <r>
          <rPr>
            <sz val="9"/>
            <color indexed="81"/>
            <rFont val="Tahoma"/>
            <family val="2"/>
            <charset val="186"/>
          </rPr>
          <t xml:space="preserve">
sisesta</t>
        </r>
      </text>
    </comment>
  </commentList>
</comments>
</file>

<file path=xl/sharedStrings.xml><?xml version="1.0" encoding="utf-8"?>
<sst xmlns="http://schemas.openxmlformats.org/spreadsheetml/2006/main" count="1097" uniqueCount="608">
  <si>
    <t>TOETUSED</t>
  </si>
  <si>
    <t>Toetused kokku</t>
  </si>
  <si>
    <t>laste toitlustamine päevakeskustes</t>
  </si>
  <si>
    <t>Ravikindlustusega hõlmamata isikute ravikulud (a)</t>
  </si>
  <si>
    <t>Mittetulundustegevuse toetamine</t>
  </si>
  <si>
    <t>Viipekeeleteenus</t>
  </si>
  <si>
    <t>Isikliku abistaja teenused</t>
  </si>
  <si>
    <t>Töö- ja rakenduskeskuse teenused</t>
  </si>
  <si>
    <t>Nõustamisteenused</t>
  </si>
  <si>
    <t>Eaka inimese perekonda toetavad teenused</t>
  </si>
  <si>
    <t>Psühholoogiline nõustamine</t>
  </si>
  <si>
    <t>Perekonda toetavad teenused</t>
  </si>
  <si>
    <t>Hooldamine perekonnas</t>
  </si>
  <si>
    <t>Sotsiaalselt tundlike sihtgruppide rehabilitatsiooniteenused</t>
  </si>
  <si>
    <t>Kodutute öömaja- ja varjupaigateenused</t>
  </si>
  <si>
    <t>Supiköögiteenused</t>
  </si>
  <si>
    <t>Õigusalane nõustamine</t>
  </si>
  <si>
    <t>Toimetulekut soodustavad teenused</t>
  </si>
  <si>
    <t>Kriisiabi</t>
  </si>
  <si>
    <t>Puuetega inimeste hooldajatoetus (a)</t>
  </si>
  <si>
    <t>Sotsiaalvalve teenus</t>
  </si>
  <si>
    <t>Laste visiiditasust vabastamine</t>
  </si>
  <si>
    <t>Kainestusmaja haldamine</t>
  </si>
  <si>
    <t>Tulud majandustegevusest</t>
  </si>
  <si>
    <t>Võlalt arvestatud intressitulu</t>
  </si>
  <si>
    <t>KOKKU</t>
  </si>
  <si>
    <t>€</t>
  </si>
  <si>
    <t>välisrahastus</t>
  </si>
  <si>
    <t>Sotsiaal- ja Tervishoiuameti haldusala</t>
  </si>
  <si>
    <t>Kulud kokku</t>
  </si>
  <si>
    <t xml:space="preserve">Katteallikad </t>
  </si>
  <si>
    <t>sh omatulud</t>
  </si>
  <si>
    <t>linnakassa</t>
  </si>
  <si>
    <t>Muud eelarvepositsioonid</t>
  </si>
  <si>
    <t>sellest töötasu</t>
  </si>
  <si>
    <t>Toode:</t>
  </si>
  <si>
    <t>välisrahastuse arvelt</t>
  </si>
  <si>
    <t>ps amortisatsioon</t>
  </si>
  <si>
    <t>Tootevaldkond: sotsiaalhoolekanne</t>
  </si>
  <si>
    <t>Tootegrupp: puuetega isikute hoolekanne</t>
  </si>
  <si>
    <t>Puudega inimese perekonda toetavad teenused</t>
  </si>
  <si>
    <t>Tootegrupp: eakate hoolekanne</t>
  </si>
  <si>
    <t>Tootegrupp: laste hoolekanne</t>
  </si>
  <si>
    <t xml:space="preserve"> Imiku hoolduspakid (a)</t>
  </si>
  <si>
    <t>Tootegrupp: muude kriisirühmade hoolekanne</t>
  </si>
  <si>
    <t>Vältimatu sotsiaalabi</t>
  </si>
  <si>
    <t>Sotsiaalhoolekanne</t>
  </si>
  <si>
    <t>Sotsiaal- ja Tervishoiuamet</t>
  </si>
  <si>
    <t>Toetused lastele ja peredele (a)</t>
  </si>
  <si>
    <t>Toetused eakatele</t>
  </si>
  <si>
    <t>teenustasu Eesti Postile</t>
  </si>
  <si>
    <t>muu mittetulundustegevuse toetamine</t>
  </si>
  <si>
    <t>Tervishoid</t>
  </si>
  <si>
    <t>Tallinna Kiirabi</t>
  </si>
  <si>
    <t>Mitmesugused tervishoiukulud</t>
  </si>
  <si>
    <t xml:space="preserve">õendusabi korraldamine </t>
  </si>
  <si>
    <t>Noorte nõustamiskeskuste haldamine</t>
  </si>
  <si>
    <t>Eelarvepositsioon</t>
  </si>
  <si>
    <t>OMATULUD</t>
  </si>
  <si>
    <t>Kokku</t>
  </si>
  <si>
    <t>Üür ja rent</t>
  </si>
  <si>
    <t>äriruumide üüritulu</t>
  </si>
  <si>
    <t>kommunaalteenused</t>
  </si>
  <si>
    <t>Muu toodete ja teenuste müük</t>
  </si>
  <si>
    <t>muud eespoolnimetamata tulud majandustegevusest</t>
  </si>
  <si>
    <t>Tulud tugiteenustest</t>
  </si>
  <si>
    <t>teenused</t>
  </si>
  <si>
    <t xml:space="preserve">Tulud haridusalasest tegevusest </t>
  </si>
  <si>
    <t>Tulud kultuuri- ja kunstialasest tegevusest</t>
  </si>
  <si>
    <t>Tulud spordi- ja puhkealasest tegevusest</t>
  </si>
  <si>
    <t>muu tulu majandustegevusest</t>
  </si>
  <si>
    <t>Eespool nimetamata muud tulud</t>
  </si>
  <si>
    <t>Õiguste müük</t>
  </si>
  <si>
    <t>Elamu- ja kommunaaltegevuse tulud</t>
  </si>
  <si>
    <t>8. Sotsiaal- ja Tervishoiuameti haldusala</t>
  </si>
  <si>
    <t>8.1. Sotsiaal- ja Tervishoiuamet</t>
  </si>
  <si>
    <t>Tulud muudelt majandusaladelt</t>
  </si>
  <si>
    <t>8.2. Päevakeskus Käo</t>
  </si>
  <si>
    <t>Tulud sotsiaalabialasest tegevusest</t>
  </si>
  <si>
    <t>hooldustasu</t>
  </si>
  <si>
    <t>toitlustustasu</t>
  </si>
  <si>
    <t>õppekulude tasu</t>
  </si>
  <si>
    <t>8.3. Tallinna Lastekodu</t>
  </si>
  <si>
    <t>8.5. Iru Hooldekodu</t>
  </si>
  <si>
    <t>8.6. Tallinna Tugikeskus Juks</t>
  </si>
  <si>
    <t>majutusteenus</t>
  </si>
  <si>
    <t>8.7. Tallinna Sotsiaaltöö Keskus</t>
  </si>
  <si>
    <t>pesupesemisteenus</t>
  </si>
  <si>
    <t>8.8. Tallinna Kiirabi</t>
  </si>
  <si>
    <t>Tulud tervishoiualasest tegevusest</t>
  </si>
  <si>
    <t>Tulud transporditeenustest</t>
  </si>
  <si>
    <t>Tulu keskkonnaalasest tegevusest</t>
  </si>
  <si>
    <t>Toetus MTÜ-le AIDSi Tugikeskus uimastiennetustegevuseks</t>
  </si>
  <si>
    <t>Tegevustoetus Sotsiaalrehabilitatsiooni Keskusele Loksa</t>
  </si>
  <si>
    <t>Uimastiennetustegevus SA-s Tallinna Lastehaigla</t>
  </si>
  <si>
    <t>Eakate päevakeskuste haldamine</t>
  </si>
  <si>
    <t>sh Tšernobõli sotsiaalprogramm</t>
  </si>
  <si>
    <t>Toetus Tallinna Munitsipaalperearstikeskuse OÜ-le</t>
  </si>
  <si>
    <t>Kasum/kahjum varude müügist</t>
  </si>
  <si>
    <t>Omastehooldaja asendusteenus</t>
  </si>
  <si>
    <t>Reidi tee ehitus Tallinnas</t>
  </si>
  <si>
    <t>Gonsiori tänava rekonstrueerimine Tallinnas</t>
  </si>
  <si>
    <t>toiduabi</t>
  </si>
  <si>
    <t>8.4. Tallinna Vaimse Tervise Keskus</t>
  </si>
  <si>
    <t>KULUD</t>
  </si>
  <si>
    <t>toetused toimetulekuraskustes peredele</t>
  </si>
  <si>
    <t>esmakordselt kooli mineva lapse toetus</t>
  </si>
  <si>
    <t>sünnitoetus</t>
  </si>
  <si>
    <t>lapsehoiuteenuse hüvitis</t>
  </si>
  <si>
    <t>puudega lapse toetus</t>
  </si>
  <si>
    <t>ellusuunamise toetus</t>
  </si>
  <si>
    <t>eluruumi kohandamise hüvitis puudega inimesele (ü)</t>
  </si>
  <si>
    <t>pensionilisa*</t>
  </si>
  <si>
    <t>Vana-Kalamaja tänava rekonstrueerimine</t>
  </si>
  <si>
    <t>SOTSIAALHOOLEKANNE</t>
  </si>
  <si>
    <t>Pelguranna tn 31 tugikodu rajamine</t>
  </si>
  <si>
    <t>TERVISHOID</t>
  </si>
  <si>
    <t>Teed ja tänavad</t>
  </si>
  <si>
    <t>Kultuur</t>
  </si>
  <si>
    <t>Linnatransport</t>
  </si>
  <si>
    <t>Haridus</t>
  </si>
  <si>
    <t>Sotsiaaltransporditeenus (a)</t>
  </si>
  <si>
    <t>Toetused erivajadustega inimestele (a)</t>
  </si>
  <si>
    <t>eakate ja puuetega inimeste ürituste korraldamiseks</t>
  </si>
  <si>
    <t>Linna sotsiaalhoolekandeasutuste töötajate palgavahendite ühtlustamine alates 01.04.2017</t>
  </si>
  <si>
    <t>Projekt „Tallinna Haigla”</t>
  </si>
  <si>
    <r>
      <t xml:space="preserve">Raske ja sügava puudega laste tugiisikuteenus </t>
    </r>
    <r>
      <rPr>
        <sz val="8"/>
        <rFont val="Arial"/>
        <family val="2"/>
        <charset val="186"/>
      </rPr>
      <t>(Tallinna Perekeskus)</t>
    </r>
  </si>
  <si>
    <r>
      <t>Päevategevus ja -hoid</t>
    </r>
    <r>
      <rPr>
        <sz val="8"/>
        <rFont val="Arial"/>
        <family val="2"/>
        <charset val="186"/>
      </rPr>
      <t xml:space="preserve"> (Sotsiaal- ja Tervishoiuamet, Tallinna Tugikeskus Juks, Päevakeskus Käo)</t>
    </r>
  </si>
  <si>
    <r>
      <t>Teenused psüühiliste erivajadustega inimestele</t>
    </r>
    <r>
      <rPr>
        <sz val="8"/>
        <rFont val="Arial"/>
        <family val="2"/>
        <charset val="186"/>
      </rPr>
      <t xml:space="preserve"> (Tallinna Vaimse Tervise Keskus)</t>
    </r>
  </si>
  <si>
    <r>
      <t>Üldhooldekodu teenused</t>
    </r>
    <r>
      <rPr>
        <sz val="8"/>
        <rFont val="Arial"/>
        <family val="2"/>
        <charset val="186"/>
      </rPr>
      <t xml:space="preserve"> (Sotsiaal- ja Tervishoiuamet, Iru Hooldekodu)</t>
    </r>
  </si>
  <si>
    <r>
      <t>Perekeskuse teenused</t>
    </r>
    <r>
      <rPr>
        <sz val="8"/>
        <rFont val="Arial"/>
        <family val="2"/>
        <charset val="186"/>
      </rPr>
      <t xml:space="preserve"> (Tallinna Perekeskus)</t>
    </r>
  </si>
  <si>
    <r>
      <t>Noortekodu teenus</t>
    </r>
    <r>
      <rPr>
        <sz val="8"/>
        <rFont val="Arial"/>
        <family val="2"/>
        <charset val="186"/>
      </rPr>
      <t xml:space="preserve"> (Tallinna Lastekodu)</t>
    </r>
  </si>
  <si>
    <r>
      <t xml:space="preserve">Laste ja emad lastega turvakoduteenused </t>
    </r>
    <r>
      <rPr>
        <sz val="8"/>
        <rFont val="Arial"/>
        <family val="2"/>
        <charset val="186"/>
      </rPr>
      <t>(Sotsiaal- ja Tervishoiuamet, Tallinna Lastekodu, Tallinna Laste Turvakeskus)</t>
    </r>
  </si>
  <si>
    <r>
      <t>Hooldamine asenduskodus</t>
    </r>
    <r>
      <rPr>
        <sz val="8"/>
        <rFont val="Arial"/>
        <family val="2"/>
        <charset val="186"/>
      </rPr>
      <t xml:space="preserve"> (Tallinna Lastekodu)</t>
    </r>
  </si>
  <si>
    <r>
      <t>Käitumishäiretega laste rehabilitatsiooniteenus</t>
    </r>
    <r>
      <rPr>
        <sz val="8"/>
        <rFont val="Arial"/>
        <family val="2"/>
        <charset val="186"/>
      </rPr>
      <t xml:space="preserve"> (Tallinna Laste Turvakeskus)</t>
    </r>
  </si>
  <si>
    <r>
      <t>Sotsiaalmajutusüksused</t>
    </r>
    <r>
      <rPr>
        <sz val="8"/>
        <rFont val="Arial"/>
        <family val="2"/>
        <charset val="186"/>
      </rPr>
      <t xml:space="preserve"> (Tallinna Sotsiaaltöö Keskus)</t>
    </r>
  </si>
  <si>
    <r>
      <t>Muud hoolekandeteenused</t>
    </r>
    <r>
      <rPr>
        <sz val="8"/>
        <rFont val="Arial"/>
        <family val="2"/>
        <charset val="186"/>
      </rPr>
      <t xml:space="preserve"> (Tallinna Sotsiaaltöö Keskus)</t>
    </r>
  </si>
  <si>
    <r>
      <t xml:space="preserve">Muud sotsiaaltoetused, </t>
    </r>
    <r>
      <rPr>
        <i/>
        <u/>
        <sz val="10"/>
        <rFont val="Arial"/>
        <family val="2"/>
        <charset val="186"/>
      </rPr>
      <t>sh</t>
    </r>
  </si>
  <si>
    <r>
      <t>sh</t>
    </r>
    <r>
      <rPr>
        <sz val="8"/>
        <rFont val="Arial"/>
        <family val="2"/>
        <charset val="186"/>
      </rPr>
      <t xml:space="preserve"> toetus (a)</t>
    </r>
  </si>
  <si>
    <r>
      <t xml:space="preserve">* </t>
    </r>
    <r>
      <rPr>
        <i/>
        <sz val="8"/>
        <rFont val="Arial"/>
        <family val="2"/>
        <charset val="186"/>
      </rPr>
      <t>Peale selle soodustused 5 007 148 €.</t>
    </r>
  </si>
  <si>
    <r>
      <t xml:space="preserve">sh </t>
    </r>
    <r>
      <rPr>
        <sz val="8"/>
        <rFont val="Arial"/>
        <family val="2"/>
        <charset val="186"/>
      </rPr>
      <t>Tallinna Noorteklubi KODULINN</t>
    </r>
  </si>
  <si>
    <r>
      <t>sh</t>
    </r>
    <r>
      <rPr>
        <sz val="8"/>
        <rFont val="Arial"/>
        <family val="2"/>
        <charset val="186"/>
      </rPr>
      <t xml:space="preserve"> projektid ja programmid</t>
    </r>
  </si>
  <si>
    <t>juhtkoera pidamise toetus</t>
  </si>
  <si>
    <r>
      <t>Vanemlusprogrammi „Imelised aastad” koolitused</t>
    </r>
    <r>
      <rPr>
        <sz val="8"/>
        <rFont val="Arial"/>
        <family val="2"/>
        <charset val="186"/>
      </rPr>
      <t xml:space="preserve"> (Tallinna Laste Turvakeskus, Tallinna Perekeskus)</t>
    </r>
  </si>
  <si>
    <t>Esialgne eelarve</t>
  </si>
  <si>
    <t>I lisaeelarve</t>
  </si>
  <si>
    <t>Täpsustatud eelarve</t>
  </si>
  <si>
    <t>Linna tugiteenused</t>
  </si>
  <si>
    <t>Sport ja vaba aeg</t>
  </si>
  <si>
    <t>Linnamajandus</t>
  </si>
  <si>
    <t>Heakord</t>
  </si>
  <si>
    <t>Tehnovõrgud</t>
  </si>
  <si>
    <t>Linnaplaneerimine</t>
  </si>
  <si>
    <t>linnakassa arvelt</t>
  </si>
  <si>
    <t>töötasu</t>
  </si>
  <si>
    <t>OT arvelt</t>
  </si>
  <si>
    <t>LK arvelt</t>
  </si>
  <si>
    <t>PPP muudatus</t>
  </si>
  <si>
    <r>
      <t xml:space="preserve">2018 LK arvelt maha v.a PPP </t>
    </r>
    <r>
      <rPr>
        <b/>
        <sz val="10"/>
        <color rgb="FFFF0000"/>
        <rFont val="Times New Roman"/>
        <family val="1"/>
        <charset val="186"/>
      </rPr>
      <t>(-)</t>
    </r>
  </si>
  <si>
    <r>
      <t>2018 LK arvelt juurde v.a PPP</t>
    </r>
    <r>
      <rPr>
        <b/>
        <sz val="10"/>
        <color rgb="FFFF0000"/>
        <rFont val="Times New Roman"/>
        <family val="1"/>
        <charset val="186"/>
      </rPr>
      <t xml:space="preserve"> (+) </t>
    </r>
  </si>
  <si>
    <t>2018 LK arvelt muudatus kokku</t>
  </si>
  <si>
    <t>2018 OT arvelt (kogusumma)</t>
  </si>
  <si>
    <t>2018. aastal lisanduvad ja/või suurenevad kulud</t>
  </si>
  <si>
    <t>Ametiasutus</t>
  </si>
  <si>
    <t>Valdkond</t>
  </si>
  <si>
    <t>Kulu sisu</t>
  </si>
  <si>
    <t>2018. aastal vähenevad kulud</t>
  </si>
  <si>
    <t>Jrk nr</t>
  </si>
  <si>
    <t>Hariduse palgatõus 01.09.2017</t>
  </si>
  <si>
    <t>Ametiasutuste palgatõus 01.02.2017</t>
  </si>
  <si>
    <t>SHO palgatõus 01.04.2017</t>
  </si>
  <si>
    <t>Üldhooldekodu teenused</t>
  </si>
  <si>
    <t>Sotsiaaltransporditeenus</t>
  </si>
  <si>
    <t>Teenused psüühiliste erivajadustega inimestele</t>
  </si>
  <si>
    <t>Laste ja emad lastega turvakoduteenused</t>
  </si>
  <si>
    <t>Perekeskuse teenused</t>
  </si>
  <si>
    <t>Viipekeeleteenused</t>
  </si>
  <si>
    <t>Kultuuri palgavahendite kasv 01.04.2017</t>
  </si>
  <si>
    <r>
      <t xml:space="preserve">Sotsiaalhoolekanne </t>
    </r>
    <r>
      <rPr>
        <b/>
        <i/>
        <sz val="10"/>
        <color theme="0"/>
        <rFont val="Arial"/>
        <family val="2"/>
        <charset val="186"/>
      </rPr>
      <t>*</t>
    </r>
  </si>
  <si>
    <r>
      <t xml:space="preserve">Tervishoid </t>
    </r>
    <r>
      <rPr>
        <b/>
        <i/>
        <sz val="10"/>
        <color theme="0"/>
        <rFont val="Arial"/>
        <family val="2"/>
        <charset val="186"/>
      </rPr>
      <t>*</t>
    </r>
  </si>
  <si>
    <t>LOV lastekaitsjad/sots.töötajad (1 kuu+uued)</t>
  </si>
  <si>
    <r>
      <t xml:space="preserve">Hariduse palgatõus 01.09.2017
</t>
    </r>
    <r>
      <rPr>
        <sz val="8"/>
        <color rgb="FFFF0000"/>
        <rFont val="Times New Roman"/>
        <family val="1"/>
        <charset val="186"/>
      </rPr>
      <t>(I LEA 2017, 1000€-lt
1050€-le)</t>
    </r>
  </si>
  <si>
    <t>Sotsiaalmaksu kate (2017.a sots.maks on 33%, mitte 32,5%).</t>
  </si>
  <si>
    <t>Pensionilisa</t>
  </si>
  <si>
    <t>2018 projekt</t>
  </si>
  <si>
    <t>8.9. Tallinna Laste Turvakeskus</t>
  </si>
  <si>
    <t>rehabilitatsiooniteenus</t>
  </si>
  <si>
    <t>psüühiliste erivajadustega inimeste hoolekandeteenus</t>
  </si>
  <si>
    <t>kaitstud töö teenus</t>
  </si>
  <si>
    <t>%</t>
  </si>
  <si>
    <r>
      <t>€ ilma komakohata,</t>
    </r>
    <r>
      <rPr>
        <sz val="10"/>
        <color rgb="FFFF0000"/>
        <rFont val="Arial"/>
        <family val="2"/>
        <charset val="186"/>
      </rPr>
      <t xml:space="preserve"> võimalusel ümardatuna kümnelisteni</t>
    </r>
  </si>
  <si>
    <t>2017/2018 muutus</t>
  </si>
  <si>
    <t>2018 projekt - projekti ettepanek</t>
  </si>
  <si>
    <t xml:space="preserve">2018 
projekti 
ettepanek </t>
  </si>
  <si>
    <t>Lisataotlus</t>
  </si>
  <si>
    <t>Lühiselgitused lisataotluse kohta</t>
  </si>
  <si>
    <t>projekt</t>
  </si>
  <si>
    <t>2018/2017 põhitaotlus muutus</t>
  </si>
  <si>
    <t>2018 toetuste arvelt (kogusumma)</t>
  </si>
  <si>
    <t>sh toetuste arvelt</t>
  </si>
  <si>
    <t>Ümardused</t>
  </si>
  <si>
    <t>Tööharjutuskeskused</t>
  </si>
  <si>
    <t>Linnaosade valitsuste sotsiaal- ja lastekaitsetöötajate tööprotsesside kaardistamine ja töökorralduse analüüs</t>
  </si>
  <si>
    <t>Välisrahastusega projekt "Tööturul võrdväärset osalemist toetav intervallhoiuteenus Tallinnas ja Viimsis" (ü)</t>
  </si>
  <si>
    <t>Esialgne 
eelarve</t>
  </si>
  <si>
    <t>Halduskogude ja volikogu komisjonide tasud alates 01.01.2018</t>
  </si>
  <si>
    <t>Ametiasutuse haldusala 2018. aasta eelarve projekti koond asutuste lõikes</t>
  </si>
  <si>
    <t>VORM 1</t>
  </si>
  <si>
    <t>€ ilma komakohata</t>
  </si>
  <si>
    <t>Ameti või linnaosa valitsuse haldusala nimi:</t>
  </si>
  <si>
    <t>Haldusala kokku</t>
  </si>
  <si>
    <t>Linnakassa tulud kokku</t>
  </si>
  <si>
    <t>Omatulud kokku</t>
  </si>
  <si>
    <t xml:space="preserve"> sh toetused riigilt tegevuskuludeks</t>
  </si>
  <si>
    <t>toetused riigilt investeeringuteks</t>
  </si>
  <si>
    <t>toetused riigilt finantseerimistehinguteks</t>
  </si>
  <si>
    <t>toetus välisprojektide kaasfinantseerimiseks tegevuskuludeks</t>
  </si>
  <si>
    <t>toetus välisprojektide kaasfinantseerimiseks investeeringuteks</t>
  </si>
  <si>
    <t>välisrahastus tegevuskuludeks</t>
  </si>
  <si>
    <t>välisrahastus investeeringuteks</t>
  </si>
  <si>
    <t xml:space="preserve"> sellest töötasu</t>
  </si>
  <si>
    <t>era- ja avaliku sektori koostööprojektidest tulenevad maksed</t>
  </si>
  <si>
    <t>Investeeringud kokku</t>
  </si>
  <si>
    <t>Finantseerimistehingud kokku</t>
  </si>
  <si>
    <t>sellest era- ja avaliku sektori koostööprojektidest tulenevad maksed</t>
  </si>
  <si>
    <t>Amortisatsioon kokku</t>
  </si>
  <si>
    <t>Projekti kooskõlastused</t>
  </si>
  <si>
    <t>Linnavalitsuse liige:</t>
  </si>
  <si>
    <t>Ametiasutuse juht:</t>
  </si>
  <si>
    <t>Vormi täitnud isiku ees- ja perekonnanimi ning telefoninumber:</t>
  </si>
  <si>
    <t>Põhitaotlus</t>
  </si>
  <si>
    <t>projekti
ettepanek</t>
  </si>
  <si>
    <t>VORM 4</t>
  </si>
  <si>
    <t>2018 projekti ettepanek</t>
  </si>
  <si>
    <t>Vanasadama ja kesklinna vahelise liikuvuskeskkonna arendamine</t>
  </si>
  <si>
    <t>Mustamäe välisvalgustuse rekonstrueerimise I etapp</t>
  </si>
  <si>
    <t>Filtri teed Kadrioruga ja Ülemiste ühisterminaliga ühendav kergliiklustee</t>
  </si>
  <si>
    <t>sh puuetega inimeste kaitstud töö- ja rakenduskeskuse teenus</t>
  </si>
  <si>
    <t>puuetega inimeste tegevuskeskuse teenus</t>
  </si>
  <si>
    <t>sh Sotsiaal- ja Tervishoiuamet</t>
  </si>
  <si>
    <t>Tallinna Tugikeskus Juks</t>
  </si>
  <si>
    <t>Päevakeskus Käo</t>
  </si>
  <si>
    <t>sh puuetega laste päevahoid</t>
  </si>
  <si>
    <t>muud hoolekandeteenused</t>
  </si>
  <si>
    <t>sh Iru Hooldekodu</t>
  </si>
  <si>
    <t>sh ranitsad vähekindlustatud perede lastele</t>
  </si>
  <si>
    <t>intervallhoid</t>
  </si>
  <si>
    <t>valve- ja võrgustikuteenused</t>
  </si>
  <si>
    <t>muud perekonda toetavad teenused</t>
  </si>
  <si>
    <t xml:space="preserve">sh varjupaigateenus emadele ja lastele </t>
  </si>
  <si>
    <t>Tallinna Lastekodu</t>
  </si>
  <si>
    <t>varjupaigateenus väikelastele (Tallinna Lastekodu)</t>
  </si>
  <si>
    <t>apteegi öövahetuse teenuse osutamine</t>
  </si>
  <si>
    <t>koolitervishoiu programm</t>
  </si>
  <si>
    <t>ennetustegevus</t>
  </si>
  <si>
    <t>opiaatsõltuvate isikute asendusravi</t>
  </si>
  <si>
    <t>narkomaania ja AIDS-i ennetustegevus</t>
  </si>
  <si>
    <t>haiglaravile suunatud eakate transpordi toetamine</t>
  </si>
  <si>
    <t>tervisefond</t>
  </si>
  <si>
    <t>ülelinnalised tervishoiuüritused</t>
  </si>
  <si>
    <t>rahvusvahelised koostööprojektid</t>
  </si>
  <si>
    <t>Välisrahastusega projektid ja -programmid</t>
  </si>
  <si>
    <t>VORM 7</t>
  </si>
  <si>
    <t>Ametiasutus:</t>
  </si>
  <si>
    <t>Hallatava asutuse nimi:</t>
  </si>
  <si>
    <t>Jrk
nr</t>
  </si>
  <si>
    <t>Projekti 
nimetus</t>
  </si>
  <si>
    <t>Projekti
 eesmärk</t>
  </si>
  <si>
    <t>Projekti 
algus</t>
  </si>
  <si>
    <t>Projekti 
lõpp</t>
  </si>
  <si>
    <t xml:space="preserve">Välisabi puhul
abi vahendaja 
või andja </t>
  </si>
  <si>
    <t xml:space="preserve">Välisabi 
saaja
</t>
  </si>
  <si>
    <t>Projekti 
kogu-maksumus
(tuh kr)</t>
  </si>
  <si>
    <t>Finantseerimine*</t>
  </si>
  <si>
    <t>Kulud</t>
  </si>
  <si>
    <t>Toote/ eelarvepositsiooni nimetus</t>
  </si>
  <si>
    <t>(kuupäev, kuu, aasta)</t>
  </si>
  <si>
    <t>(linna asutus)</t>
  </si>
  <si>
    <t xml:space="preserve">finantseerimis-
allikas** </t>
  </si>
  <si>
    <t>summa</t>
  </si>
  <si>
    <t xml:space="preserve"> kuni 31.12.16</t>
  </si>
  <si>
    <t>2016.a. 2017.a-se üle-kantud</t>
  </si>
  <si>
    <t xml:space="preserve"> 2017 täps.
eelarve</t>
  </si>
  <si>
    <t>2021 ja järgmised aastad kokku</t>
  </si>
  <si>
    <t>Tegevuskulud</t>
  </si>
  <si>
    <t xml:space="preserve">1. </t>
  </si>
  <si>
    <t>1) linna vahendid</t>
  </si>
  <si>
    <r>
      <t xml:space="preserve">2) riigieelarve </t>
    </r>
    <r>
      <rPr>
        <sz val="8"/>
        <rFont val="Arial"/>
        <family val="2"/>
      </rPr>
      <t>(riigipoolne kaasfinantseerimine)</t>
    </r>
  </si>
  <si>
    <r>
      <t xml:space="preserve">3) välisrahastus </t>
    </r>
    <r>
      <rPr>
        <sz val="8"/>
        <rFont val="Arial"/>
        <family val="2"/>
      </rPr>
      <t>(sh riigieelarve kaudu välisrahastuse vahendamine)</t>
    </r>
  </si>
  <si>
    <t>4) muu (iga allikas eraldi)</t>
  </si>
  <si>
    <t>Investeeringud</t>
  </si>
  <si>
    <t>1.</t>
  </si>
  <si>
    <t>Summa</t>
  </si>
  <si>
    <t>Viipekeel (2017. a I lisaeelarve alusel)</t>
  </si>
  <si>
    <t>Isikliku abistaja teenus  (2017. a I lisaeelarve alusel)</t>
  </si>
  <si>
    <t>Perekeskuse teenused (Tallinna Perekeskus). 2017.a I lisaeelarvega eraldati vahendid personalitöötaja koha loomiseks alates 01.09.2017.</t>
  </si>
  <si>
    <t>Hetkel 76,7 €, 2018. a 100 €</t>
  </si>
  <si>
    <t>Laste turvakoduteenused (Tallinna Laste Turvakeskuse Männi korpus). 4-kohalise turvakodu (seksuaalselt väärkoheldud lastele) loomisega seonduvad kulud: 1,0 sotsiaalpedagoogi koht kokku 15 735 € ja majanduskulud kokku 5 406 €. Alates 1.01.2018.</t>
  </si>
  <si>
    <t>Toetatud elamise teenus. Hädavajalike kulude katteks viimaks Haabersti Klubimaja vastavusse Rahvusvahelise Klubimajade standardiga (oluline kvaliteetse teenuse pakkumiseks).  Standardite koolitus akrediteeritud klubimajas kohapeal (kestvusega 3 nädalat) vähemalt kahele töötajale ja kahele klubimaja liikmele. Koolitusmaksumus orienteeruvalt 4500 eurot grupile. Sellele lisanduvad töötajate päevarahad, majutus ja transport. Täpsed kalkulatsioonid selguvad pakkumiste võtmisel. Indikatiivselt saame öelda, et päevarahad moodustavad kahe töötaja kohta 1500 eurot.  Kokku orienteeruvad kulud 2018 aastal 6000 eurot.</t>
  </si>
  <si>
    <t>Toetatud elamise teenus. Teenused psüühil. erivaj. inimestele Pelguranna 31 vana hoone renoveerimine. Pelguranna 31 Teraapiakeskusele on vaja leida seoses hoone renoveerimisega 2018.aastal uued ruumid. Pelguranna 31 vanas hoones tegutseb hetkel ka Teraapiakeskus. Renoveerimisjärgselt ei jää sellesse hoonesse enam Teraapiakeskust. Linna tasandil ei ole vabu ruume leida antud keskuse tegevuste laiendamiseks. Otsime aktiivselt Teraapiakeskusele uusi rendiruume vabaturult. Teraapiakeskuse ruumivajadus on ca 150-170 m2. Rendihind on ca 7-8 €/m2. Seega Uute Teraapiakeskuse ruumide üürihind võib jääda vahemikku 14400-16320 eurot, millele lisanduvad ruumide kõrvalkulud kommunaalidele suurusjärgus 3 €/m2 mis teeb aastaseks kommunaalkuludeks 5400-6120 eurot.</t>
  </si>
  <si>
    <t>Puuetega inimestele mõeldud transporditeenused.  (2017. a I lisaeelarve alusel).</t>
  </si>
  <si>
    <t>Üldhooldusteenuse kaasrahastamine hooldekodudes (v.a Iru Hooldekodu) (2017. a I lisaeelarve alusel).</t>
  </si>
  <si>
    <t>Jrk.</t>
  </si>
  <si>
    <t>Ametiasutuse haldusala</t>
  </si>
  <si>
    <t>sellest</t>
  </si>
  <si>
    <t>nr.</t>
  </si>
  <si>
    <t>omatulude 
arvelt</t>
  </si>
  <si>
    <t>toetuste arvelt</t>
  </si>
  <si>
    <t>8.</t>
  </si>
  <si>
    <t>2018. aasta tegevuskulude piirsummad ametiasutuste haldusalade lõikes</t>
  </si>
  <si>
    <t>2018 piirsumma</t>
  </si>
  <si>
    <t>Puuetega inimeste hooldajatoetus</t>
  </si>
  <si>
    <t xml:space="preserve"> Alates 01.09.2017 suurendati hooldajatoetust sügava puudega isiku hooldamisel 40 euroni kuus (seni 25,60 eurot) ja raske puudega isiku hooldamisel 30 euroni kuus (seni 15,40 eurot). Sügava puudega isikute hooldajaid on 1100 inimest (1100 in x 40 € = 44 000 € - olemasolev 28 160 € = 15 840 € kuus) ja raske puudega isikute hooldajaid 1700 inimest (1700 in x 30 € = 51 000 € - olemasolev 26 180 € = 24 820 € kuus).</t>
  </si>
  <si>
    <t>2017.a vähendati I lisaeelarvega antud eelarvepositsiooni kulude eelarvet, kuna tegelik vajadus on planeeritust väiksem (vahendid lisati 2017.a eelarve menetlemise II lugemisel - vähendati Tallinna TV eelarvet ja STA suurendas vastavalt laste visiiditasust vabastamise eelarvet, kuid tegelik vajadus selleks puudus).</t>
  </si>
  <si>
    <t xml:space="preserve">Projekt "Erivajadustega inimeste eluaseme füüsiline kohandamine" </t>
  </si>
  <si>
    <t>Projekt "Erivajadustega inimeste eluaseme füüsiline kohandamine"</t>
  </si>
  <si>
    <t>Riik käivitab 2017 sügisel põhitaotlusvooru,  kus Tallinna linnale on planeeritud kodanike eluruumide füüsiliseks kohandamiseks perioodil 2017-2023 kokku 1 051 194 eurot Euroopa Regionaalarengu Fondi vahendeid 211 kohanduse elluviimiseks. Eluruumide kohandamise protsesse hakatakse korraldama Tallinnas tsentraalselt, selleks nähakse ette 1 ametikoha töötasu palgamääraga 1400 € (palgakulu aastas 22 500 €, sh töötasu 16 800 €). Kohandamiskuludest 15% tuleb katta kohalikul omavalitsusel. Esialgu nähakse nende kulude katteks ette 17 500 € + 10 000 € eluruumi kohandamise hüvitise kulude eelarvest.</t>
  </si>
  <si>
    <t>Investeerimisobjektid</t>
  </si>
  <si>
    <t>VORM 6 a</t>
  </si>
  <si>
    <t>Investeerimisobjekti nimetus</t>
  </si>
  <si>
    <t>Katte-alli-kas*</t>
  </si>
  <si>
    <t>Kogu-
maksumus</t>
  </si>
  <si>
    <t>Täitmine kuni 31.12.2016</t>
  </si>
  <si>
    <t>2017 täpsustatud eelarve</t>
  </si>
  <si>
    <t>2016.a-st 2017.a-sse ülekantud</t>
  </si>
  <si>
    <t>2018 eeltäidetud vorm</t>
  </si>
  <si>
    <t>2018 asutuse taotlus</t>
  </si>
  <si>
    <t>2019 ja üle prognoos</t>
  </si>
  <si>
    <t>Kõik investeerimisobjektid kokku</t>
  </si>
  <si>
    <t>sh</t>
  </si>
  <si>
    <t>LE</t>
  </si>
  <si>
    <t>SE</t>
  </si>
  <si>
    <t>OT</t>
  </si>
  <si>
    <t>RE</t>
  </si>
  <si>
    <t>VR</t>
  </si>
  <si>
    <t>I  VÄLISRAHASTUSEGA  OBJEKTID</t>
  </si>
  <si>
    <t>Välisrahastusega investeerimisprojektid kokku</t>
  </si>
  <si>
    <t>Järveotsa tee 33 lasteaiahoone renoveerimine</t>
  </si>
  <si>
    <t xml:space="preserve">Tallinna Männikäbi Lasteaia renoveerimine ja energiasääst </t>
  </si>
  <si>
    <t xml:space="preserve">sh </t>
  </si>
  <si>
    <r>
      <t>VR/CO</t>
    </r>
    <r>
      <rPr>
        <sz val="8"/>
        <rFont val="Calibri"/>
        <family val="2"/>
        <charset val="186"/>
      </rPr>
      <t>₂</t>
    </r>
  </si>
  <si>
    <t>Sitsi Lasteaia renoveerimine ja energiasääst</t>
  </si>
  <si>
    <t>Tallinna Loomaaeda projekt "Pilvemets"</t>
  </si>
  <si>
    <t>Välisrahastusega teede kapitaalremont ja rekonstrueerimine</t>
  </si>
  <si>
    <t>Välisrahastusega teede projekteerimine ja maade omandamine</t>
  </si>
  <si>
    <t>Haabersti ristmiku rekonstrueerimine, sh ühistranspordirada kesklinna</t>
  </si>
  <si>
    <t>Linnapiirkondade kergliiklusteede rajamine</t>
  </si>
  <si>
    <t>Viljandi mnt kergliiklustee (Pärnu mnt -Valdeku tn)</t>
  </si>
  <si>
    <t>Sadamaala kergliiklustee lõigus Kalaranna tn - Reidi tee</t>
  </si>
  <si>
    <t>KIK eitav otsus</t>
  </si>
  <si>
    <t>Tallinna linna hooldus-, heakorra- ja haljastustööde infosüsteemi loomine</t>
  </si>
  <si>
    <t>Taotlus menetkuses</t>
  </si>
  <si>
    <t>Tehnoloogilise lahenduse prototüübi loomine maa-aluste rajatiste 3D andmeseireks</t>
  </si>
  <si>
    <t>II MUUD OBJEKTID KOKKU</t>
  </si>
  <si>
    <t>Põhikoolide ja gümnaasiumite remont ja soetused</t>
  </si>
  <si>
    <t>sh Tallinna Prantsuse Lütseumi võimlahoone ehitus</t>
  </si>
  <si>
    <t>Tallinna Saksa Gümnaasiumi remondi lõpetamine</t>
  </si>
  <si>
    <t>Pääsküla Gümnaasiumi tervikrenoveerimine</t>
  </si>
  <si>
    <t>Tallinna Tondi Põhikooli tervikrenoveerimine</t>
  </si>
  <si>
    <t>Tallinna Pae Gümnaasiumi laiendus</t>
  </si>
  <si>
    <t>Vanalinna Hariduskolleegiumi Pühavaimu 8 hoone remont</t>
  </si>
  <si>
    <t>Tallinna Inglise Kolledzi, Kivimäe Põhikooli, Prantsuse Lütseumi, GAG, Tallinna Reaalkooli jt renoveerimisprojektid</t>
  </si>
  <si>
    <t>põhikoolide ja gümnaasiumide remontööd, soetused ja tuleohutusnõuete täitmine</t>
  </si>
  <si>
    <t>spordisaalide ja staadionite arendamine</t>
  </si>
  <si>
    <t>sh Haabersti Vene Lütseumi, Haabersti Vene Gümnaasiumi ja Õismäe Gümnaasiumi staadioni kunstmuru vahetus</t>
  </si>
  <si>
    <t>Valida loetelust objekte 1 000 000 € ulatuses.</t>
  </si>
  <si>
    <t>Koolide juurde jalgrattaparklate rajamine</t>
  </si>
  <si>
    <t>Tallinna Mustamäe Humanitaargümnaasiumi staadioni rajamine</t>
  </si>
  <si>
    <t>Tallinna Kadaka Põhikooli staadioni uuendamine</t>
  </si>
  <si>
    <t>Nõmme Gümnaasiumi spordihoone ehitus</t>
  </si>
  <si>
    <t>Tallinna Mustjõe Gümnaasiumi staadioni remont</t>
  </si>
  <si>
    <t>Haabersti Vene Gümnaasiumi staadion</t>
  </si>
  <si>
    <t>Koolieelsete lasteasutuste remont, soetused ja uued lasteaiad</t>
  </si>
  <si>
    <t>sh Pirita-Kose Lasteaia juurdeehitus</t>
  </si>
  <si>
    <t>koolieelsete lasteasutuste remontööd, soetused ja tuleohutusnõuete täitmine</t>
  </si>
  <si>
    <t>Lasteaedade välisvalgustus ja krundisisesed teed ja parklad</t>
  </si>
  <si>
    <t>Lasteaedade ja koolide 100  mänguväljaku projekt EV100</t>
  </si>
  <si>
    <t>Huvikoolid</t>
  </si>
  <si>
    <t>sh Kristiine kontserdisaali projekteerimine ja ehitamine (Huvikeskus Kullo juurde)</t>
  </si>
  <si>
    <t>Tallinna Muusikakooli Narva mnt 28 hoone renoveerimine</t>
  </si>
  <si>
    <t>huvikoolide remonttööd, soetused ja tuleohutusnõuete täitmine</t>
  </si>
  <si>
    <t>Kultuur ja muinsuskaitse</t>
  </si>
  <si>
    <t>Keskraamatukogu teavikute soetamine</t>
  </si>
  <si>
    <t>Tallinna Keskraamatukogu investeeringud</t>
  </si>
  <si>
    <t xml:space="preserve">sh filiaalide remonttööd </t>
  </si>
  <si>
    <t xml:space="preserve"> uue filiaali sisseseadmine Lasnamäele </t>
  </si>
  <si>
    <t>Mustpeade Maja restaureerimine</t>
  </si>
  <si>
    <t>Muuseumide investeeringud</t>
  </si>
  <si>
    <t xml:space="preserve">sh Tallinna Linnamuuseumi Vene tn 17 katuse remonttööd ja ekspositsiooni uuendamine </t>
  </si>
  <si>
    <t>Tallinna Botaanikaaia investeeringud (alpinaarium, salikaarium)</t>
  </si>
  <si>
    <t>Tallinna Linnateatri investeeringud</t>
  </si>
  <si>
    <t>Vene Kultuurikeskuse renoveerimine</t>
  </si>
  <si>
    <t>Dominiiklaste kloosterkompleksi renoveerimine</t>
  </si>
  <si>
    <t>Kultuuriasutuste remonttööd ja soetused</t>
  </si>
  <si>
    <t>Mustamäe Kultuurikeskus Kaja ja linnaosa haldushoone ehitamine</t>
  </si>
  <si>
    <t>Sõjakooli memoriaali rajamine</t>
  </si>
  <si>
    <t>Muinsuskaitsealased investeeringud</t>
  </si>
  <si>
    <t>sh Toompea tugimüügi korrastamine</t>
  </si>
  <si>
    <t>linnamüüri korrastamine ja kujundamine</t>
  </si>
  <si>
    <t>Pirita kloostrivaremete korrastamine</t>
  </si>
  <si>
    <t>M. Härma 14 spordiväljakute rajamise lõpetamine</t>
  </si>
  <si>
    <t>Spordiparkide rajamine Lastestaadionile ja linnaosadesse</t>
  </si>
  <si>
    <t>Hallatavate spordiasutuste remontööd ja soetused</t>
  </si>
  <si>
    <t>Linnaosadesse jalgpalli, korvpalli ja võrkpalli väliväljakute rajamine</t>
  </si>
  <si>
    <t>Tallinna Vaimse Tervise Keskuse investeeringud</t>
  </si>
  <si>
    <t>sh Pelguranna tn 31 hoone (olemasoleva, 2-kordse) renoveerimine</t>
  </si>
  <si>
    <t xml:space="preserve"> Peterburi mnt 11 hoone renoveerimine</t>
  </si>
  <si>
    <t>Päevakeskus Käo renoveerimistööd</t>
  </si>
  <si>
    <t>sh Maleva keskuse renoveerimine</t>
  </si>
  <si>
    <t>Põhja-Tallinna Sotsiaalkeskuse ehitus Sõle tn 61a</t>
  </si>
  <si>
    <t>Muud sotsiaalhoolekande projektid</t>
  </si>
  <si>
    <t>Tallinna Kiirabi meditsiinivarustuse soetamine</t>
  </si>
  <si>
    <t>Turgude arendamine</t>
  </si>
  <si>
    <t>Tallinna kinnisvararegistri arendamine</t>
  </si>
  <si>
    <t>Linnaasutuste ligipääsetavuse parendamine</t>
  </si>
  <si>
    <t>Elamumajandus</t>
  </si>
  <si>
    <t>Ühiselamu tüüpi hoonete renoveerimine</t>
  </si>
  <si>
    <t>sh Paagi tn 10</t>
  </si>
  <si>
    <t>Sõpruse pst 5</t>
  </si>
  <si>
    <t xml:space="preserve">Munitsipaalelamute projekteerimine, ehitamine ja sisustamine, sh: </t>
  </si>
  <si>
    <t xml:space="preserve">   sh  Maleva tn 18</t>
  </si>
  <si>
    <t>Muud linnavara valdkonna remonttööd ja soetused</t>
  </si>
  <si>
    <t>Ootekodade soetamine ja paigaldamine</t>
  </si>
  <si>
    <t>Viru keskuse bussiterminali remont</t>
  </si>
  <si>
    <t>Ühistranspordipeatustes reaalajas infotabloode paigaldamine</t>
  </si>
  <si>
    <t>Koguperemänguväljakute rajamine ja rekonstrueerimine</t>
  </si>
  <si>
    <t>sh Vabaduse pst 96</t>
  </si>
  <si>
    <t>Mänguväljakud ja treeningelemendid</t>
  </si>
  <si>
    <t>sh Lasnamäe, Mustamäe ja Haabersti ja Põhja-Tallinna  linnaosades</t>
  </si>
  <si>
    <t>Valida loetelust objekte 300 000 € ulatuses.</t>
  </si>
  <si>
    <t>Haaberstisse Tanuma tänava piirkonda</t>
  </si>
  <si>
    <t xml:space="preserve">Nõmme tee, Tedre ja Vindi tänaval, Välja tn, Tondimõisa pargis, Kirsi 8, Spordi 24, suurendada Räägu pargi mänguväljakut </t>
  </si>
  <si>
    <t>Mustamäele 9 mänguväljakut koos turvakaameratega</t>
  </si>
  <si>
    <t>harrastussportlastele treeninguväljaku rajamine Kakumäele</t>
  </si>
  <si>
    <t>Koerte jalutus- ja treeningväljakute rajamine ja rekonstrueerimine (Kopliranna, Kakumäe, Kadrioru, Varraku, Pihlaka)</t>
  </si>
  <si>
    <t>Kalmistute investeeringud</t>
  </si>
  <si>
    <t>Tammsaare pargi rekonstrueerimine</t>
  </si>
  <si>
    <t xml:space="preserve">LE </t>
  </si>
  <si>
    <t>Linnamööbli soetamine (prügikastid, pingid jm)</t>
  </si>
  <si>
    <t>Muud pargid ja rohealad</t>
  </si>
  <si>
    <t>Valida loetelust objekte 1 500 000 € ulatuses.</t>
  </si>
  <si>
    <t>sh Kakumäe randa laulukaar, lava ja väljak</t>
  </si>
  <si>
    <t>Kakumäe asumi külaplats</t>
  </si>
  <si>
    <t>Mustjõe asumi külaplats</t>
  </si>
  <si>
    <t>Haabersti metsa (Rocca al Mare Keskuse taga) puhkeala</t>
  </si>
  <si>
    <t>Õismäe tiigi ja purskkaevu renoveerimine</t>
  </si>
  <si>
    <t>Löwenruh pargi vabaõhulava ja külaplats</t>
  </si>
  <si>
    <t>Löwenruh pargi tiigi puhastamine</t>
  </si>
  <si>
    <t>Lindakivi puhkeala korrastamine</t>
  </si>
  <si>
    <t>Skoone bastioni korrastamine</t>
  </si>
  <si>
    <t>Pae pargi vabaõhulava</t>
  </si>
  <si>
    <t xml:space="preserve">Paevälja roheala </t>
  </si>
  <si>
    <t>Mustamäe parkide uuendamine (Männipark, Lepistiku, Parditiigi park, Sütiste parkmets)</t>
  </si>
  <si>
    <t>hoovialade korrastamine Mustamäel</t>
  </si>
  <si>
    <t>Nõmmel väliuisuplats</t>
  </si>
  <si>
    <t>raudteejaamade renoveerimine</t>
  </si>
  <si>
    <t>Pelgurand/Stroomi rannapargi rekonstrueerimine</t>
  </si>
  <si>
    <t>Kase pargi korrastamine</t>
  </si>
  <si>
    <t>Süsta pargi korrastamine</t>
  </si>
  <si>
    <t>Merimetsa terviserada ja puhkeala korrastamine</t>
  </si>
  <si>
    <t>Välisrahastuseta teede kapitaalremont ja rekonstrueerimine</t>
  </si>
  <si>
    <t>sh Vana-Pirita tee</t>
  </si>
  <si>
    <t>Tulika tn (Paldiski mnt - Endla tn)</t>
  </si>
  <si>
    <t>Poska tn (Vesivärava tn - Narva mnt)</t>
  </si>
  <si>
    <t>Õie tn (Vabaduse pst - Pärnu mnt)</t>
  </si>
  <si>
    <t>Kolde puiestee (Sõle tn - Pelguranna tn)</t>
  </si>
  <si>
    <t>Kadaka tee (Ehitajate tee - Akadeemia tee)</t>
  </si>
  <si>
    <t>Tähetorni tn (Paldiski mnt - Kadaka pst)</t>
  </si>
  <si>
    <t>Võidujooksu tn (Laagna tee - Valge tn)</t>
  </si>
  <si>
    <t xml:space="preserve">Sildade ja viaduktide kapitaalremont </t>
  </si>
  <si>
    <t>Ühistranspordipeatuste ja -radade rekonstrueerimine</t>
  </si>
  <si>
    <t>Tuuliku tn kõnnitee</t>
  </si>
  <si>
    <t>Vabaõhukooli tee kergliiklustee (Rahvakooli tee - Karukella tee)</t>
  </si>
  <si>
    <t>Hooldekodu tee kergliiklustee</t>
  </si>
  <si>
    <t>Ehitajate tee suusatunnel</t>
  </si>
  <si>
    <t>Gonsiori tn (Maneeži tn - Laikmaa tn)</t>
  </si>
  <si>
    <t>Koidu tn (Paldiski mnt - Endla tn), sh ristmik</t>
  </si>
  <si>
    <t xml:space="preserve">Liivalaia tn (Pärnu mnt – Juhkentali tn) </t>
  </si>
  <si>
    <t>Roosikrantsi tn</t>
  </si>
  <si>
    <t>Kvartalisisesed teed ja kõnniteed</t>
  </si>
  <si>
    <t>Vanalinna tänavate ühele tasapinnale viimine (Raekoja plats, Voorimehe tn, Nunne tn, Pikk jalg, Lühike jalg)</t>
  </si>
  <si>
    <t>Laagna tee sildade renoveerimine</t>
  </si>
  <si>
    <t>Nimetatud objektid on eelarvestrateegias planeeritud teostada 2021.a.lõpuks.</t>
  </si>
  <si>
    <t>Kalevi tn</t>
  </si>
  <si>
    <t>Juurdeveo tn</t>
  </si>
  <si>
    <t>Türi tn</t>
  </si>
  <si>
    <t>Raudtee tn</t>
  </si>
  <si>
    <t>Pärnu mnt linna piirini</t>
  </si>
  <si>
    <t>Ilmarise tn</t>
  </si>
  <si>
    <t xml:space="preserve">Nõmme raudteeülesõidu ja Alfredi pubi vahelisele lõigule korraliku kõnnitee ehitamine, bussipeatuse korrastamine. </t>
  </si>
  <si>
    <t xml:space="preserve">Rahumäe surnuaia äärde parkimiskohtade loomine </t>
  </si>
  <si>
    <t xml:space="preserve">Vilde teelt juurdesõidutee ehitamine Arte Gümnaasiumini - Tallinna Reaalgümnaasiumini ja Mustamäe Laste Loomingu Majani </t>
  </si>
  <si>
    <t>Mustakivi tee Kose teega ühendava tee ehitamine</t>
  </si>
  <si>
    <t>Pirita rannapromenaadi remont</t>
  </si>
  <si>
    <t>ohtlike ristmike ohutumaks muutmine (Kopli – Erika- Ristiku ristmik, Tööstuse-Sitsi-Kopli ristmik ja Sõle-Kopli ristmik)</t>
  </si>
  <si>
    <t>Balti jaama väljaku rajamine ja ümbruse korrastamine</t>
  </si>
  <si>
    <t>Raudtee tänava Vabaduse pst poolses küljel parkimisala väljaehitamine</t>
  </si>
  <si>
    <t>Sütiste tee</t>
  </si>
  <si>
    <t>muud teed ja tänavad</t>
  </si>
  <si>
    <t>Välisrahastuseta kergliiklusteede ja terviseradade rajamine</t>
  </si>
  <si>
    <t>Valida loetelust objekte 2 000 000 € ulatuses.</t>
  </si>
  <si>
    <t>sh Põhja-Puiestee kergliiklusteed</t>
  </si>
  <si>
    <t>Kloostrimetsa tee kergliiklus ja kõnnitee rajamine kuni Pirita keskuseni</t>
  </si>
  <si>
    <t>Lehiku tee kergliiklustee</t>
  </si>
  <si>
    <t xml:space="preserve">jalgrattateede ja terviseradade arendamine: Seebist - Kesklinna, Järves raudteega paralleelselt, Paldiski mnt - Tehnika - Toompuistee, Rahumäe tee, Tondi tn, Mustamäe tee, Kristiinest Nõmmele, Kristiinest Haaberstisse </t>
  </si>
  <si>
    <t xml:space="preserve">kitsarööpalise raudtee tammil oleva kergliiklustee pikendamine Glehni Lossini ja pargini </t>
  </si>
  <si>
    <t>kergliiklustee Kesklinna ja Põhja -Tallinna vahele</t>
  </si>
  <si>
    <t>laudtee rajamine läbi roostiku Tabasalu panga alt Kakumäe randa</t>
  </si>
  <si>
    <t>terviseraja ehitamine Õismäe rabasse</t>
  </si>
  <si>
    <t>Tänavavalgustuse ehitamine ja renoveerimine</t>
  </si>
  <si>
    <t>sh tänavavalgustuse ehitamine ja renoveerimine</t>
  </si>
  <si>
    <t>programm "Turvaline ülekäigurada"</t>
  </si>
  <si>
    <t>Fooriobjektide rajamine</t>
  </si>
  <si>
    <t>sh Rannamõisa/Kakumäe/Pikaliiva ristmik</t>
  </si>
  <si>
    <t>Kopli/Tööstuse/Paljassaare ristmik</t>
  </si>
  <si>
    <t>Narva mnt TLÜ foorid</t>
  </si>
  <si>
    <t xml:space="preserve">    Kadaka – Mäepealse</t>
  </si>
  <si>
    <t>Kadaka – Kassi</t>
  </si>
  <si>
    <t>Kandurite uuendamine</t>
  </si>
  <si>
    <t>Liikluskorralduse vahendid (elektroonilised liiklusmärgid,foorikontrollerid, fooripead, liiklusjärelvalve seadmed)</t>
  </si>
  <si>
    <t>Maade ja asjaõiguste omandamine</t>
  </si>
  <si>
    <t>Geoinfosüsteemide arendamine ja soetused</t>
  </si>
  <si>
    <t>Linna haldushoonete renoveerimistööd ja projektid</t>
  </si>
  <si>
    <t>Tallinna Linnaarhiivi Tolli tn 8 hoone keldriruumide ümberehitamine arhiivihoidlaks (projekt)</t>
  </si>
  <si>
    <t>Perekonnaseisuameti peahoone ja abihoone renoveerimine, Pärnu mnt 67, sh:</t>
  </si>
  <si>
    <t>peahoone küttesüsteemi, elektri- ja nõrkvoolupaigaldise renoveerimine</t>
  </si>
  <si>
    <t>abihoone küttesüsteemi, elektri- ja nõrkvoolupaigaldise renoveerimine</t>
  </si>
  <si>
    <t>Antav sihtfinantseering investeerimistegevuseks</t>
  </si>
  <si>
    <t>Tallinna Lauluväljaku investeeringud</t>
  </si>
  <si>
    <t>Kalevi staadioni investeeringud</t>
  </si>
  <si>
    <t>Tallinna Linnahalli rekonstrueerimine</t>
  </si>
  <si>
    <t>Trammide rekonstrueerimine</t>
  </si>
  <si>
    <t>Investeerimisprojektid ja antav sihtfinantseerimine investeerimistegevuseks kokku</t>
  </si>
  <si>
    <t>Investeeringuobjekti infokaart *</t>
  </si>
  <si>
    <t>VORM 6 b</t>
  </si>
  <si>
    <t>Üldinfo</t>
  </si>
  <si>
    <t>1. Investeeringuobjekti nimetus:</t>
  </si>
  <si>
    <r>
      <t xml:space="preserve">2. Investeeringuobjekti aadress </t>
    </r>
    <r>
      <rPr>
        <sz val="8"/>
        <rFont val="Arial"/>
        <family val="2"/>
        <charset val="186"/>
      </rPr>
      <t>(linnaosa, tänav)</t>
    </r>
    <r>
      <rPr>
        <sz val="10"/>
        <rFont val="Arial"/>
        <family val="2"/>
        <charset val="186"/>
      </rPr>
      <t>** ja katastri tunnus:</t>
    </r>
  </si>
  <si>
    <t>3. Investeeringu liik***:</t>
  </si>
  <si>
    <r>
      <t>4. Ehitatav/renoveeritav üldkasutatav pind m²</t>
    </r>
    <r>
      <rPr>
        <sz val="10"/>
        <rFont val="Calibri"/>
        <family val="2"/>
        <charset val="186"/>
      </rPr>
      <t xml:space="preserve"> (sh olemasoleva hoone puhul m² enne ja pärast):</t>
    </r>
  </si>
  <si>
    <t>5. Investeeringu 1 m² maksumus:</t>
  </si>
  <si>
    <t>6. Kelle bilansis on kinnistu ja selle osad (so maa, ehitis, rajatis jm):</t>
  </si>
  <si>
    <t>7. Kas detailplaneering on olemas või vaja kehtestada/muuta:</t>
  </si>
  <si>
    <t>8. Kas projekt olemas või vajalik projekti uuendamine:</t>
  </si>
  <si>
    <t>9. Kes on investeeringuobjekti kasutajad peale valmimist:</t>
  </si>
  <si>
    <t>*    investeerimisobjekti infokaart täidetakse üle 60 000 € objektide osas (hooned, spordi-, kultuuri-, sotsiaalhoolekande objektid). Ei täideta teerajatiste, tänavavalgustuse, kalmistute, spordiplatside, mänguväljakute, parkide, haljastute, fooriobjektide ja teiste sarnaste objektide osas.)</t>
  </si>
  <si>
    <t xml:space="preserve">**  kui investeeringuobjekt koosneb mitmest üksikobjektist, siis täidetakse lisaks käesolevale vormile investeeringu koondsumma selgitus (vorm 6c), kus loetletakse investeeringuprojekti kõik objektid, märkides nende asukohad, orienteeruvad maksumused jm rekvisiidid. </t>
  </si>
  <si>
    <t>*** märkida vastav liik, s.o kas uusehitus, rekonstrueerimine/renoveerimine või soetus.</t>
  </si>
  <si>
    <t>sh kuni 2016</t>
  </si>
  <si>
    <t>2017 eelarve</t>
  </si>
  <si>
    <t>2016.a-st 2017.a-sse ülekantavad</t>
  </si>
  <si>
    <t>2019 ja järgmised aastad kokku</t>
  </si>
  <si>
    <t>detailplaneering (algatamine, muutmine jms)</t>
  </si>
  <si>
    <t>projekteerimine (ideekonkurs, eskiisprojekt, tehniline projekt jne)</t>
  </si>
  <si>
    <t>kinnisvara soetamine (maa, hooned, rajatised)</t>
  </si>
  <si>
    <t>lammutustööd</t>
  </si>
  <si>
    <t>teostatavad tööd (ehitus, remonttööd jms)</t>
  </si>
  <si>
    <t>liitumistasud</t>
  </si>
  <si>
    <t>sisustamine (mööbel, inventar, seadmed jm)</t>
  </si>
  <si>
    <t>projektijuhtimine</t>
  </si>
  <si>
    <t>järelevalve</t>
  </si>
  <si>
    <t>12. Investeeringu vajaduse põhjendus:</t>
  </si>
  <si>
    <t>13. Investeerimisobjekti kasutusotstarve (enne ja pärast investeeringuid):</t>
  </si>
  <si>
    <t>14.Milliseid avalikke ja tasulisi teenuseid osutatakse objektil pärast valmimist (teenuse liik, sihtgrupp, saadav tulu kokku):</t>
  </si>
  <si>
    <t>15. Rendile antav pind m², mis otstarbeks ja kellele:</t>
  </si>
  <si>
    <t>16. Rekonstrueeritava objekti korral saavutatav halduskulude kokkuhoid €:</t>
  </si>
  <si>
    <t>17. Uute ehitiste ja juurdeehituste korral kavandatav töökohtade arv  ja planeeritav halduskulu €:</t>
  </si>
  <si>
    <t>Ametiasutuse juhi nimi:</t>
  </si>
  <si>
    <t>Investeeringuprojekti jaotus objektide lõikes</t>
  </si>
  <si>
    <t>VORM 6 c</t>
  </si>
  <si>
    <t>(täidavad ametiasutused, kelle investeeringuprojekt koosneb mitmest objektist)</t>
  </si>
  <si>
    <t>Ametiasutuse nimetus:</t>
  </si>
  <si>
    <t>Investeeringuprojekti nimetus:</t>
  </si>
  <si>
    <t>Investeeringuprojekti/objekti nimetus</t>
  </si>
  <si>
    <t>Asukoht (linnaosa ja tänav)</t>
  </si>
  <si>
    <t>Tööde alustamise aasta</t>
  </si>
  <si>
    <t>Tööde lõpetamise aasta</t>
  </si>
  <si>
    <t>Tööde  liigid*</t>
  </si>
  <si>
    <r>
      <t>Investeerimisprojekti maksumus kokku</t>
    </r>
    <r>
      <rPr>
        <sz val="8"/>
        <rFont val="Arial"/>
        <family val="2"/>
        <charset val="186"/>
      </rPr>
      <t xml:space="preserve"> (ilma sisendkäibemaksuta)</t>
    </r>
  </si>
  <si>
    <t>sh  2018. aastal</t>
  </si>
  <si>
    <t>Selgitused</t>
  </si>
  <si>
    <t>(vorm 6 b, rida 10, veerg e)</t>
  </si>
  <si>
    <t>(vorm 6 b, rida 14, veerg e)</t>
  </si>
  <si>
    <t>* Investeeringuprojektid jaotada järgmiselt: uusehitis - E, rekonstrueerimine või renoveerimine - R, soetused - S.  Märkida investeerimisprojekti liigi veergu vastav tähis (kas E, R või S).</t>
  </si>
  <si>
    <t>varjupaigateenus lastele (Tallinna Laste Turvakodu)</t>
  </si>
  <si>
    <t>tuberkuloosi riskigruppide uuring</t>
  </si>
  <si>
    <t>Lastekaitse Liidu ülekaaluliste laste suvelaager</t>
  </si>
  <si>
    <t>transport lastelaagrisse</t>
  </si>
  <si>
    <t>6.1. Asutuse, kelle bilansis on objekt, käibemaksukohustuse andmed (tuua välja investeeringu puhul kasutatava sisendkäibemaksu proportsiooni alus: kas asutuse üldine proportsioon või investeeringuobjekti oodatavast kasutusest lähtuv proportsioon maksustatava/mittemaksustatava käibe tekitamiseks):</t>
  </si>
  <si>
    <t xml:space="preserve">10. Kas kasutajad on käibemaksukohustuslased </t>
  </si>
  <si>
    <r>
      <t>Maksumus € (</t>
    </r>
    <r>
      <rPr>
        <b/>
        <i/>
        <sz val="10"/>
        <rFont val="Arial"/>
        <family val="2"/>
        <charset val="186"/>
      </rPr>
      <t>sisendkäibemaksuta, s.o käibemaksuta maksumus ja kuludesse kantav käibemaks)</t>
    </r>
    <r>
      <rPr>
        <b/>
        <sz val="10"/>
        <rFont val="Arial"/>
        <family val="2"/>
        <charset val="186"/>
      </rPr>
      <t xml:space="preserve">    </t>
    </r>
  </si>
  <si>
    <t>Kogu-maksumus</t>
  </si>
  <si>
    <r>
      <t xml:space="preserve">11. Investeeringuobjekti </t>
    </r>
    <r>
      <rPr>
        <b/>
        <sz val="10"/>
        <rFont val="Arial"/>
        <family val="2"/>
        <charset val="186"/>
      </rPr>
      <t>maksumus</t>
    </r>
    <r>
      <rPr>
        <sz val="10"/>
        <rFont val="Arial"/>
        <family val="2"/>
        <charset val="186"/>
      </rPr>
      <t>, sh</t>
    </r>
  </si>
  <si>
    <t xml:space="preserve">ilma käibemaksuta  </t>
  </si>
  <si>
    <t xml:space="preserve">kuludesse kantav käibemaks </t>
  </si>
  <si>
    <t>P.s sisendkäibemaks</t>
  </si>
  <si>
    <t>sisendkäibemaksu proportsioon (%)</t>
  </si>
  <si>
    <r>
      <t xml:space="preserve">Investeeringuobjekti </t>
    </r>
    <r>
      <rPr>
        <b/>
        <sz val="10"/>
        <rFont val="Arial"/>
        <family val="2"/>
        <charset val="186"/>
      </rPr>
      <t>maksumuse</t>
    </r>
    <r>
      <rPr>
        <sz val="10"/>
        <rFont val="Arial"/>
        <family val="2"/>
        <charset val="186"/>
      </rPr>
      <t xml:space="preserve"> aluseks olevate tööde maksumused:</t>
    </r>
  </si>
  <si>
    <t>muud kulud (nimetada):</t>
  </si>
  <si>
    <t>x</t>
  </si>
  <si>
    <t>Tööturul võrdväärset osalemist toetav intervallhoiuteenus Tallinnas ja Viimsis</t>
  </si>
  <si>
    <t>Tallinna Sotsiaal- ja Tervishoiuamet</t>
  </si>
  <si>
    <t>Iru Hooldekodu</t>
  </si>
  <si>
    <t>Tallinna Laste Turvakeskus</t>
  </si>
  <si>
    <t>Tallinna Vaimse Tervise Keskus</t>
  </si>
  <si>
    <t>Tallinna Sotsiaaltöö Keskus</t>
  </si>
  <si>
    <t>Tallinna Perekeskus</t>
  </si>
  <si>
    <t>Sotsiaal- ja Tervishoiu-amet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</si>
</sst>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r&quot;_-;\-* #,##0.00\ &quot;kr&quot;_-;_-* &quot;-&quot;??\ &quot;kr&quot;_-;_-@_-"/>
    <numFmt numFmtId="43" formatCode="_-* #,##0.00\ _k_r_-;\-* #,##0.00\ _k_r_-;_-* &quot;-&quot;??\ _k_r_-;_-@_-"/>
    <numFmt numFmtId="164" formatCode="#,##0.0"/>
    <numFmt numFmtId="165" formatCode="_-* #,##0.00\ _k_r_-;\-* #,##0.00\ _k_r_-;_-* \-??\ _k_r_-;_-@_-"/>
    <numFmt numFmtId="166" formatCode="0_ ;\-0\ "/>
    <numFmt numFmtId="167" formatCode="[$-425]General"/>
  </numFmts>
  <fonts count="136">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8"/>
      <name val="Arial"/>
      <family val="2"/>
      <charset val="186"/>
    </font>
    <font>
      <b/>
      <sz val="11"/>
      <name val="Arial"/>
      <family val="2"/>
    </font>
    <font>
      <b/>
      <sz val="10"/>
      <name val="Arial"/>
      <family val="2"/>
      <charset val="186"/>
    </font>
    <font>
      <i/>
      <sz val="10"/>
      <name val="Arial"/>
      <family val="2"/>
      <charset val="186"/>
    </font>
    <font>
      <sz val="8"/>
      <name val="Arial"/>
      <family val="2"/>
      <charset val="186"/>
    </font>
    <font>
      <sz val="10"/>
      <name val="Courier"/>
      <family val="1"/>
      <charset val="186"/>
    </font>
    <font>
      <b/>
      <sz val="11"/>
      <name val="Arial"/>
      <family val="2"/>
      <charset val="186"/>
    </font>
    <font>
      <b/>
      <i/>
      <sz val="10"/>
      <name val="Arial"/>
      <family val="2"/>
      <charset val="186"/>
    </font>
    <font>
      <b/>
      <u/>
      <sz val="10"/>
      <name val="Arial"/>
      <family val="2"/>
      <charset val="186"/>
    </font>
    <font>
      <b/>
      <sz val="12"/>
      <name val="Arial"/>
      <family val="2"/>
      <charset val="186"/>
    </font>
    <font>
      <u/>
      <sz val="10"/>
      <name val="Arial"/>
      <family val="2"/>
      <charset val="186"/>
    </font>
    <font>
      <i/>
      <sz val="8"/>
      <name val="Arial"/>
      <family val="2"/>
      <charset val="186"/>
    </font>
    <font>
      <b/>
      <sz val="10"/>
      <name val="Arial"/>
      <family val="2"/>
    </font>
    <font>
      <sz val="10"/>
      <name val="Arial"/>
      <family val="2"/>
    </font>
    <font>
      <i/>
      <sz val="10"/>
      <name val="Arial"/>
      <family val="2"/>
    </font>
    <font>
      <sz val="10"/>
      <name val="Courier"/>
      <family val="3"/>
    </font>
    <font>
      <sz val="12"/>
      <name val="Arial"/>
      <family val="2"/>
      <charset val="186"/>
    </font>
    <font>
      <i/>
      <sz val="9"/>
      <name val="Arial"/>
      <family val="2"/>
      <charset val="186"/>
    </font>
    <font>
      <sz val="8"/>
      <name val="Arial"/>
      <family val="2"/>
    </font>
    <font>
      <sz val="9"/>
      <name val="Arial"/>
      <family val="2"/>
      <charset val="186"/>
    </font>
    <font>
      <b/>
      <i/>
      <sz val="11"/>
      <name val="Arial"/>
      <family val="2"/>
      <charset val="186"/>
    </font>
    <font>
      <b/>
      <sz val="9"/>
      <name val="Arial"/>
      <family val="2"/>
      <charset val="186"/>
    </font>
    <font>
      <sz val="11"/>
      <color indexed="17"/>
      <name val="Calibri"/>
      <family val="2"/>
      <charset val="186"/>
    </font>
    <font>
      <sz val="11"/>
      <color indexed="9"/>
      <name val="Calibri"/>
      <family val="2"/>
      <charset val="186"/>
    </font>
    <font>
      <sz val="11"/>
      <color theme="1"/>
      <name val="Calibri"/>
      <family val="2"/>
      <charset val="186"/>
      <scheme val="minor"/>
    </font>
    <font>
      <sz val="11"/>
      <color indexed="8"/>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1"/>
      <color indexed="10"/>
      <name val="Calibri"/>
      <family val="2"/>
      <charset val="186"/>
    </font>
    <font>
      <sz val="10"/>
      <name val="Mangal"/>
      <family val="2"/>
    </font>
    <font>
      <u/>
      <sz val="8.5"/>
      <color indexed="12"/>
      <name val="Arial"/>
      <family val="2"/>
      <charset val="186"/>
    </font>
    <font>
      <sz val="10"/>
      <color theme="1"/>
      <name val="Arial"/>
      <family val="2"/>
      <charset val="186"/>
    </font>
    <font>
      <b/>
      <sz val="12"/>
      <color rgb="FF0070C0"/>
      <name val="Arial"/>
      <family val="2"/>
      <charset val="186"/>
    </font>
    <font>
      <sz val="10"/>
      <color rgb="FF0070C0"/>
      <name val="Arial"/>
      <family val="2"/>
      <charset val="186"/>
    </font>
    <font>
      <b/>
      <sz val="10"/>
      <color rgb="FF0070C0"/>
      <name val="Arial"/>
      <family val="2"/>
      <charset val="186"/>
    </font>
    <font>
      <u/>
      <sz val="10"/>
      <color rgb="FF0070C0"/>
      <name val="Arial"/>
      <family val="2"/>
      <charset val="186"/>
    </font>
    <font>
      <i/>
      <sz val="9"/>
      <color rgb="FF0070C0"/>
      <name val="Arial"/>
      <family val="2"/>
      <charset val="186"/>
    </font>
    <font>
      <i/>
      <sz val="8"/>
      <color rgb="FF0070C0"/>
      <name val="Arial"/>
      <family val="2"/>
      <charset val="186"/>
    </font>
    <font>
      <sz val="8"/>
      <color rgb="FF0070C0"/>
      <name val="Arial"/>
      <family val="2"/>
      <charset val="186"/>
    </font>
    <font>
      <b/>
      <sz val="10"/>
      <color theme="1"/>
      <name val="Arial"/>
      <family val="2"/>
      <charset val="186"/>
    </font>
    <font>
      <i/>
      <u/>
      <sz val="10"/>
      <name val="Arial"/>
      <family val="2"/>
      <charset val="186"/>
    </font>
    <font>
      <b/>
      <sz val="10"/>
      <name val="Times New Roman"/>
      <family val="1"/>
      <charset val="186"/>
    </font>
    <font>
      <b/>
      <sz val="10"/>
      <color rgb="FFFF0000"/>
      <name val="Times New Roman"/>
      <family val="1"/>
      <charset val="186"/>
    </font>
    <font>
      <b/>
      <sz val="8"/>
      <color rgb="FFFF0000"/>
      <name val="Times New Roman"/>
      <family val="1"/>
      <charset val="186"/>
    </font>
    <font>
      <u/>
      <sz val="11"/>
      <name val="Calibri"/>
      <family val="2"/>
      <charset val="186"/>
      <scheme val="minor"/>
    </font>
    <font>
      <sz val="11"/>
      <name val="Calibri"/>
      <family val="2"/>
      <charset val="186"/>
      <scheme val="minor"/>
    </font>
    <font>
      <b/>
      <u/>
      <sz val="12"/>
      <name val="Calibri"/>
      <family val="2"/>
      <charset val="186"/>
      <scheme val="minor"/>
    </font>
    <font>
      <b/>
      <sz val="11"/>
      <name val="Calibri"/>
      <family val="2"/>
      <charset val="186"/>
      <scheme val="minor"/>
    </font>
    <font>
      <i/>
      <sz val="9"/>
      <name val="Calibri"/>
      <family val="2"/>
      <charset val="186"/>
      <scheme val="minor"/>
    </font>
    <font>
      <sz val="11"/>
      <color rgb="FFFF0000"/>
      <name val="Calibri"/>
      <family val="2"/>
      <charset val="186"/>
      <scheme val="minor"/>
    </font>
    <font>
      <i/>
      <sz val="9"/>
      <color theme="1"/>
      <name val="Calibri"/>
      <family val="2"/>
      <charset val="186"/>
      <scheme val="minor"/>
    </font>
    <font>
      <b/>
      <sz val="9"/>
      <color indexed="81"/>
      <name val="Tahoma"/>
      <family val="2"/>
      <charset val="186"/>
    </font>
    <font>
      <sz val="9"/>
      <color indexed="81"/>
      <name val="Tahoma"/>
      <family val="2"/>
      <charset val="186"/>
    </font>
    <font>
      <sz val="10"/>
      <name val="Calibri"/>
      <family val="2"/>
      <charset val="186"/>
      <scheme val="minor"/>
    </font>
    <font>
      <sz val="10"/>
      <color theme="1"/>
      <name val="Arial1"/>
      <charset val="186"/>
    </font>
    <font>
      <b/>
      <sz val="10"/>
      <name val="Calibri"/>
      <family val="2"/>
      <charset val="186"/>
    </font>
    <font>
      <b/>
      <sz val="10"/>
      <name val="Calibri"/>
      <family val="2"/>
      <charset val="186"/>
      <scheme val="minor"/>
    </font>
    <font>
      <sz val="10"/>
      <name val="Calibri"/>
      <family val="2"/>
      <charset val="186"/>
    </font>
    <font>
      <sz val="10"/>
      <color indexed="17"/>
      <name val="Arial"/>
      <family val="2"/>
      <charset val="186"/>
    </font>
    <font>
      <b/>
      <i/>
      <sz val="10"/>
      <color theme="0"/>
      <name val="Arial"/>
      <family val="2"/>
      <charset val="186"/>
    </font>
    <font>
      <sz val="10"/>
      <name val="Arial"/>
      <family val="2"/>
      <charset val="186"/>
    </font>
    <font>
      <sz val="8"/>
      <color rgb="FFFF0000"/>
      <name val="Times New Roman"/>
      <family val="1"/>
      <charset val="186"/>
    </font>
    <font>
      <i/>
      <sz val="10"/>
      <color rgb="FFFF0000"/>
      <name val="Arial"/>
      <family val="2"/>
    </font>
    <font>
      <sz val="10"/>
      <color rgb="FFFF0000"/>
      <name val="Arial"/>
      <family val="2"/>
      <charset val="186"/>
    </font>
    <font>
      <b/>
      <sz val="10"/>
      <color rgb="FFFF0000"/>
      <name val="Arial"/>
      <family val="2"/>
    </font>
    <font>
      <b/>
      <sz val="10"/>
      <color rgb="FF0070C0"/>
      <name val="Times New Roman"/>
      <family val="1"/>
      <charset val="186"/>
    </font>
    <font>
      <b/>
      <sz val="10"/>
      <color rgb="FF0070C0"/>
      <name val="Arial"/>
      <family val="2"/>
    </font>
    <font>
      <sz val="10"/>
      <color rgb="FF0070C0"/>
      <name val="Arial"/>
      <family val="2"/>
    </font>
    <font>
      <i/>
      <sz val="10"/>
      <color rgb="FF0070C0"/>
      <name val="Arial"/>
      <family val="2"/>
    </font>
    <font>
      <i/>
      <sz val="10"/>
      <color rgb="FF0070C0"/>
      <name val="Arial"/>
      <family val="2"/>
      <charset val="186"/>
    </font>
    <font>
      <b/>
      <sz val="11"/>
      <color rgb="FF0070C0"/>
      <name val="Arial"/>
      <family val="2"/>
      <charset val="186"/>
    </font>
    <font>
      <b/>
      <i/>
      <sz val="10"/>
      <color rgb="FF0070C0"/>
      <name val="Arial"/>
      <family val="2"/>
      <charset val="186"/>
    </font>
    <font>
      <sz val="9"/>
      <color rgb="FF0070C0"/>
      <name val="Arial"/>
      <family val="2"/>
      <charset val="186"/>
    </font>
    <font>
      <sz val="9"/>
      <color theme="3" tint="0.39997558519241921"/>
      <name val="Arial"/>
      <family val="2"/>
      <charset val="186"/>
    </font>
    <font>
      <i/>
      <sz val="8"/>
      <color theme="3" tint="0.39997558519241921"/>
      <name val="Arial"/>
      <family val="2"/>
      <charset val="186"/>
    </font>
    <font>
      <i/>
      <sz val="9"/>
      <color theme="3" tint="0.39997558519241921"/>
      <name val="Arial"/>
      <family val="2"/>
      <charset val="186"/>
    </font>
    <font>
      <sz val="8"/>
      <color theme="3" tint="0.39997558519241921"/>
      <name val="Arial"/>
      <family val="2"/>
      <charset val="186"/>
    </font>
    <font>
      <sz val="10"/>
      <color theme="3" tint="0.39997558519241921"/>
      <name val="Arial"/>
      <family val="2"/>
      <charset val="186"/>
    </font>
    <font>
      <b/>
      <sz val="12"/>
      <name val="Arial"/>
      <family val="2"/>
    </font>
    <font>
      <b/>
      <sz val="8"/>
      <name val="Arial"/>
      <family val="2"/>
    </font>
    <font>
      <b/>
      <sz val="9"/>
      <name val="Arial"/>
      <family val="2"/>
    </font>
    <font>
      <b/>
      <sz val="8"/>
      <name val="Arial"/>
      <family val="2"/>
      <charset val="186"/>
    </font>
    <font>
      <sz val="12"/>
      <name val="Times New Roman"/>
      <family val="1"/>
      <charset val="186"/>
    </font>
    <font>
      <sz val="10"/>
      <name val="Times New Roman"/>
      <family val="1"/>
      <charset val="186"/>
    </font>
    <font>
      <sz val="11"/>
      <name val="Times New Roman"/>
      <family val="1"/>
      <charset val="186"/>
    </font>
    <font>
      <sz val="10"/>
      <name val="Helv"/>
    </font>
    <font>
      <sz val="8"/>
      <color theme="3"/>
      <name val="Arial"/>
      <family val="2"/>
      <charset val="186"/>
    </font>
    <font>
      <sz val="8"/>
      <name val="Calibri"/>
      <family val="2"/>
      <charset val="186"/>
    </font>
    <font>
      <sz val="10"/>
      <color theme="3" tint="-0.249977111117893"/>
      <name val="Arial"/>
      <family val="2"/>
      <charset val="186"/>
    </font>
    <font>
      <u/>
      <sz val="8"/>
      <name val="Arial"/>
      <family val="2"/>
      <charset val="186"/>
    </font>
    <font>
      <u/>
      <sz val="10"/>
      <name val="Arial"/>
      <family val="2"/>
    </font>
    <font>
      <sz val="8"/>
      <color rgb="FFFF0000"/>
      <name val="Arial"/>
      <family val="2"/>
      <charset val="186"/>
    </font>
    <font>
      <sz val="9"/>
      <name val="Arial"/>
      <family val="2"/>
    </font>
    <font>
      <b/>
      <sz val="8"/>
      <color indexed="81"/>
      <name val="Tahoma"/>
      <family val="2"/>
      <charset val="186"/>
    </font>
    <font>
      <sz val="8"/>
      <color indexed="81"/>
      <name val="Tahoma"/>
      <family val="2"/>
      <charset val="186"/>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right style="thin">
        <color indexed="64"/>
      </right>
      <top/>
      <bottom style="thin">
        <color auto="1"/>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51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36" fillId="0" borderId="0"/>
    <xf numFmtId="0" fontId="46" fillId="0" borderId="0"/>
    <xf numFmtId="0" fontId="47" fillId="0" borderId="0"/>
    <xf numFmtId="0" fontId="47" fillId="0" borderId="0"/>
    <xf numFmtId="0" fontId="26"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2" fillId="0" borderId="0"/>
    <xf numFmtId="0" fontId="53" fillId="4" borderId="0" applyNumberFormat="0" applyBorder="0" applyAlignment="0" applyProtection="0"/>
    <xf numFmtId="0" fontId="22" fillId="0" borderId="0" applyNumberFormat="0" applyFill="0" applyBorder="0" applyAlignment="0" applyProtection="0">
      <alignment vertical="top"/>
      <protection locked="0"/>
    </xf>
    <xf numFmtId="9" fontId="12" fillId="0" borderId="0" applyFont="0" applyFill="0" applyBorder="0" applyAlignment="0" applyProtection="0"/>
    <xf numFmtId="0" fontId="54" fillId="14" borderId="0" applyNumberFormat="0" applyBorder="0" applyAlignment="0" applyProtection="0"/>
    <xf numFmtId="0" fontId="54" fillId="19" borderId="0" applyNumberFormat="0" applyBorder="0" applyAlignment="0" applyProtection="0"/>
    <xf numFmtId="0" fontId="12" fillId="0" borderId="0"/>
    <xf numFmtId="0" fontId="12" fillId="0" borderId="0"/>
    <xf numFmtId="0" fontId="12" fillId="23" borderId="7" applyNumberFormat="0" applyFont="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70"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61" fillId="0" borderId="0" applyNumberFormat="0" applyFill="0" applyBorder="0" applyAlignment="0" applyProtection="0"/>
    <xf numFmtId="0" fontId="53" fillId="4" borderId="0" applyNumberFormat="0" applyBorder="0" applyAlignment="0" applyProtection="0"/>
    <xf numFmtId="0" fontId="53" fillId="24"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71" fillId="0" borderId="0" applyNumberFormat="0" applyFill="0" applyBorder="0" applyAlignment="0" applyProtection="0">
      <alignment vertical="top"/>
      <protection locked="0"/>
    </xf>
    <xf numFmtId="0" fontId="65" fillId="7" borderId="1" applyNumberFormat="0" applyAlignment="0" applyProtection="0"/>
    <xf numFmtId="0" fontId="66" fillId="0" borderId="6" applyNumberFormat="0" applyFill="0" applyAlignment="0" applyProtection="0"/>
    <xf numFmtId="0" fontId="67" fillId="22" borderId="0" applyNumberFormat="0" applyBorder="0" applyAlignment="0" applyProtection="0"/>
    <xf numFmtId="0" fontId="12" fillId="0" borderId="0"/>
    <xf numFmtId="0" fontId="12" fillId="0" borderId="0"/>
    <xf numFmtId="0" fontId="55" fillId="0" borderId="0"/>
    <xf numFmtId="0" fontId="55" fillId="0" borderId="0"/>
    <xf numFmtId="0" fontId="12" fillId="0" borderId="0"/>
    <xf numFmtId="0" fontId="1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2"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2" fillId="0" borderId="0"/>
    <xf numFmtId="0" fontId="56" fillId="0" borderId="0"/>
    <xf numFmtId="0" fontId="55" fillId="0" borderId="0"/>
    <xf numFmtId="0" fontId="55" fillId="0" borderId="0"/>
    <xf numFmtId="0" fontId="55" fillId="0" borderId="0"/>
    <xf numFmtId="0" fontId="55" fillId="0" borderId="0"/>
    <xf numFmtId="0" fontId="55" fillId="0" borderId="0"/>
    <xf numFmtId="0" fontId="12" fillId="0" borderId="0"/>
    <xf numFmtId="0" fontId="55" fillId="0" borderId="0"/>
    <xf numFmtId="0" fontId="55" fillId="0" borderId="0"/>
    <xf numFmtId="0" fontId="55" fillId="0" borderId="0"/>
    <xf numFmtId="0" fontId="55" fillId="0" borderId="0"/>
    <xf numFmtId="0" fontId="44" fillId="0" borderId="0"/>
    <xf numFmtId="0" fontId="55" fillId="0" borderId="0"/>
    <xf numFmtId="0" fontId="55" fillId="0" borderId="0"/>
    <xf numFmtId="0" fontId="55" fillId="0" borderId="0"/>
    <xf numFmtId="0" fontId="12" fillId="0" borderId="0"/>
    <xf numFmtId="0" fontId="56" fillId="23" borderId="7" applyNumberFormat="0" applyFont="0" applyAlignment="0" applyProtection="0"/>
    <xf numFmtId="0" fontId="68" fillId="20" borderId="8" applyNumberFormat="0" applyAlignment="0" applyProtection="0"/>
    <xf numFmtId="9" fontId="12" fillId="0" borderId="0" applyFont="0" applyFill="0" applyBorder="0" applyAlignment="0" applyProtection="0"/>
    <xf numFmtId="0" fontId="54" fillId="25" borderId="0" applyNumberFormat="0" applyBorder="0" applyAlignment="0" applyProtection="0"/>
    <xf numFmtId="0" fontId="54" fillId="26" borderId="0" applyNumberFormat="0" applyBorder="0" applyAlignment="0" applyProtection="0"/>
    <xf numFmtId="0" fontId="28" fillId="0" borderId="0" applyNumberFormat="0" applyFill="0" applyBorder="0" applyAlignment="0" applyProtection="0"/>
    <xf numFmtId="0" fontId="57" fillId="0" borderId="9" applyNumberFormat="0" applyFill="0" applyAlignment="0" applyProtection="0"/>
    <xf numFmtId="0" fontId="69" fillId="0" borderId="0" applyNumberFormat="0" applyFill="0" applyBorder="0" applyAlignment="0" applyProtection="0"/>
    <xf numFmtId="0" fontId="12" fillId="23" borderId="7" applyNumberFormat="0" applyFont="0" applyAlignment="0" applyProtection="0"/>
    <xf numFmtId="0" fontId="55" fillId="0" borderId="0"/>
    <xf numFmtId="0" fontId="11" fillId="0" borderId="0"/>
    <xf numFmtId="0" fontId="12" fillId="0" borderId="0"/>
    <xf numFmtId="0" fontId="12" fillId="0" borderId="0"/>
    <xf numFmtId="0" fontId="10" fillId="0" borderId="0"/>
    <xf numFmtId="0" fontId="47" fillId="0" borderId="0"/>
    <xf numFmtId="0" fontId="53" fillId="4" borderId="0" applyNumberFormat="0" applyBorder="0" applyAlignment="0" applyProtection="0"/>
    <xf numFmtId="0" fontId="12" fillId="0" borderId="0"/>
    <xf numFmtId="0" fontId="12" fillId="0" borderId="0"/>
    <xf numFmtId="0" fontId="54" fillId="14" borderId="0" applyNumberFormat="0" applyBorder="0" applyAlignment="0" applyProtection="0"/>
    <xf numFmtId="0" fontId="54" fillId="19" borderId="0" applyNumberFormat="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23" borderId="7"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67" fontId="95" fillId="0" borderId="0"/>
    <xf numFmtId="0" fontId="69" fillId="0" borderId="0" applyNumberFormat="0" applyFill="0" applyBorder="0" applyAlignment="0" applyProtection="0"/>
    <xf numFmtId="0" fontId="22" fillId="0" borderId="0" applyNumberFormat="0" applyFill="0" applyBorder="0" applyAlignment="0" applyProtection="0">
      <alignment vertical="top"/>
      <protection locked="0"/>
    </xf>
    <xf numFmtId="0" fontId="8" fillId="0" borderId="0"/>
    <xf numFmtId="0" fontId="12" fillId="0" borderId="0"/>
    <xf numFmtId="0" fontId="12" fillId="0" borderId="0"/>
    <xf numFmtId="0" fontId="8" fillId="0" borderId="0"/>
    <xf numFmtId="0" fontId="8" fillId="0" borderId="0"/>
    <xf numFmtId="0" fontId="12" fillId="0" borderId="0"/>
    <xf numFmtId="0" fontId="8" fillId="0" borderId="0"/>
    <xf numFmtId="9" fontId="12" fillId="0" borderId="0" applyFont="0" applyFill="0" applyBorder="0" applyAlignment="0" applyProtection="0"/>
    <xf numFmtId="0" fontId="99"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0" borderId="0"/>
    <xf numFmtId="0" fontId="6" fillId="0" borderId="0"/>
    <xf numFmtId="0" fontId="6" fillId="0" borderId="0"/>
    <xf numFmtId="0" fontId="6" fillId="0" borderId="0"/>
    <xf numFmtId="9" fontId="101" fillId="0" borderId="0" applyFont="0" applyFill="0" applyBorder="0" applyAlignment="0" applyProtection="0"/>
    <xf numFmtId="0" fontId="5"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pplyNumberFormat="0" applyFill="0" applyBorder="0" applyAlignment="0" applyProtection="0">
      <alignment vertical="top"/>
      <protection locked="0"/>
    </xf>
    <xf numFmtId="0" fontId="47" fillId="0" borderId="0"/>
    <xf numFmtId="0" fontId="12" fillId="0" borderId="0"/>
    <xf numFmtId="0" fontId="44" fillId="0" borderId="0"/>
    <xf numFmtId="0" fontId="2" fillId="0" borderId="0"/>
    <xf numFmtId="0" fontId="126" fillId="0" borderId="0"/>
    <xf numFmtId="0" fontId="1" fillId="0" borderId="0"/>
    <xf numFmtId="0" fontId="12" fillId="0" borderId="0"/>
  </cellStyleXfs>
  <cellXfs count="758">
    <xf numFmtId="0" fontId="0" fillId="0" borderId="0" xfId="0"/>
    <xf numFmtId="0" fontId="33" fillId="0" borderId="0" xfId="0" applyFont="1" applyFill="1"/>
    <xf numFmtId="0" fontId="12" fillId="0" borderId="0" xfId="0" applyFont="1" applyFill="1" applyBorder="1" applyAlignment="1">
      <alignment horizontal="left" vertical="top"/>
    </xf>
    <xf numFmtId="3" fontId="34" fillId="0" borderId="0" xfId="0" applyNumberFormat="1" applyFont="1" applyFill="1" applyAlignment="1">
      <alignment vertical="top"/>
    </xf>
    <xf numFmtId="0" fontId="12" fillId="0" borderId="0" xfId="0" applyFont="1" applyFill="1"/>
    <xf numFmtId="0" fontId="12" fillId="0" borderId="0" xfId="0" applyFont="1" applyFill="1" applyAlignment="1">
      <alignment horizontal="left" indent="2"/>
    </xf>
    <xf numFmtId="0" fontId="12" fillId="0" borderId="0" xfId="0" applyFont="1" applyFill="1" applyBorder="1" applyAlignment="1">
      <alignment horizontal="left" indent="2"/>
    </xf>
    <xf numFmtId="3" fontId="32" fillId="0" borderId="0" xfId="0" applyNumberFormat="1" applyFont="1" applyFill="1" applyBorder="1" applyAlignment="1"/>
    <xf numFmtId="3" fontId="12" fillId="0" borderId="0" xfId="0" applyNumberFormat="1" applyFont="1" applyFill="1" applyAlignment="1"/>
    <xf numFmtId="3" fontId="33" fillId="0" borderId="0" xfId="0" applyNumberFormat="1" applyFont="1" applyFill="1" applyAlignment="1"/>
    <xf numFmtId="0" fontId="12" fillId="0" borderId="0" xfId="0" applyFont="1"/>
    <xf numFmtId="0" fontId="12" fillId="0" borderId="0" xfId="0" applyFont="1" applyFill="1" applyBorder="1"/>
    <xf numFmtId="164" fontId="37" fillId="0" borderId="0" xfId="36" applyNumberFormat="1" applyFont="1" applyFill="1" applyBorder="1" applyAlignment="1">
      <alignment horizontal="left" wrapText="1"/>
    </xf>
    <xf numFmtId="0" fontId="48" fillId="0" borderId="0" xfId="0" applyFont="1" applyFill="1" applyBorder="1"/>
    <xf numFmtId="0" fontId="50" fillId="0" borderId="0" xfId="0" applyFont="1" applyBorder="1"/>
    <xf numFmtId="3" fontId="12" fillId="0" borderId="0" xfId="0" applyNumberFormat="1" applyFont="1"/>
    <xf numFmtId="0" fontId="33" fillId="0" borderId="0" xfId="0" applyNumberFormat="1" applyFont="1" applyFill="1" applyAlignment="1">
      <alignment horizontal="left" vertical="top"/>
    </xf>
    <xf numFmtId="3" fontId="38" fillId="0" borderId="0" xfId="0" applyNumberFormat="1" applyFont="1" applyFill="1" applyAlignment="1">
      <alignment vertical="top"/>
    </xf>
    <xf numFmtId="3" fontId="50" fillId="0" borderId="0" xfId="0" applyNumberFormat="1" applyFont="1" applyBorder="1" applyAlignment="1"/>
    <xf numFmtId="3" fontId="50" fillId="0" borderId="0" xfId="0" applyNumberFormat="1" applyFont="1" applyBorder="1" applyAlignment="1">
      <alignment vertical="top"/>
    </xf>
    <xf numFmtId="3" fontId="12" fillId="0" borderId="0" xfId="0" applyNumberFormat="1" applyFont="1" applyFill="1"/>
    <xf numFmtId="0" fontId="12" fillId="0" borderId="0" xfId="0" applyFont="1" applyAlignment="1">
      <alignment horizontal="right"/>
    </xf>
    <xf numFmtId="0" fontId="12" fillId="0" borderId="0" xfId="0" applyFont="1" applyFill="1" applyAlignment="1">
      <alignment horizontal="left" vertical="top"/>
    </xf>
    <xf numFmtId="3" fontId="12" fillId="0" borderId="0" xfId="0" applyNumberFormat="1" applyFont="1" applyBorder="1" applyAlignment="1"/>
    <xf numFmtId="0" fontId="12" fillId="0" borderId="0" xfId="0" applyFont="1" applyFill="1" applyBorder="1" applyAlignment="1" applyProtection="1">
      <alignment horizontal="left" vertical="top" wrapText="1" indent="4"/>
      <protection locked="0"/>
    </xf>
    <xf numFmtId="3" fontId="44" fillId="0" borderId="0" xfId="0" applyNumberFormat="1" applyFont="1" applyFill="1" applyBorder="1" applyAlignment="1"/>
    <xf numFmtId="0" fontId="12" fillId="0" borderId="0" xfId="0" applyFont="1" applyFill="1" applyAlignment="1">
      <alignment horizontal="left"/>
    </xf>
    <xf numFmtId="0" fontId="12" fillId="0" borderId="0" xfId="0" applyFont="1" applyAlignment="1">
      <alignment horizontal="left" indent="2"/>
    </xf>
    <xf numFmtId="0" fontId="12" fillId="0" borderId="0" xfId="0" applyFont="1" applyAlignment="1">
      <alignment horizontal="left" indent="4"/>
    </xf>
    <xf numFmtId="0" fontId="12" fillId="0" borderId="0" xfId="0" applyFont="1" applyAlignment="1">
      <alignment horizontal="left" wrapText="1"/>
    </xf>
    <xf numFmtId="3" fontId="72" fillId="0" borderId="0" xfId="0" applyNumberFormat="1" applyFont="1"/>
    <xf numFmtId="0" fontId="50" fillId="0" borderId="0" xfId="51" applyFont="1" applyBorder="1" applyAlignment="1">
      <alignment wrapText="1"/>
    </xf>
    <xf numFmtId="0" fontId="76" fillId="0" borderId="0" xfId="0" applyNumberFormat="1" applyFont="1" applyFill="1" applyAlignment="1">
      <alignment horizontal="left" vertical="top"/>
    </xf>
    <xf numFmtId="0" fontId="77" fillId="0" borderId="0" xfId="36" applyNumberFormat="1" applyFont="1" applyFill="1" applyBorder="1" applyAlignment="1" applyProtection="1">
      <alignment horizontal="left" vertical="top" indent="1"/>
    </xf>
    <xf numFmtId="0" fontId="74" fillId="0" borderId="0" xfId="36" applyNumberFormat="1" applyFont="1" applyFill="1" applyBorder="1" applyAlignment="1">
      <alignment horizontal="left" vertical="top"/>
    </xf>
    <xf numFmtId="0" fontId="74" fillId="0" borderId="0" xfId="0" applyFont="1" applyFill="1"/>
    <xf numFmtId="0" fontId="44" fillId="0" borderId="0" xfId="44" applyFont="1" applyFill="1" applyBorder="1" applyAlignment="1">
      <alignment horizontal="left" vertical="top"/>
    </xf>
    <xf numFmtId="0" fontId="45" fillId="0" borderId="0" xfId="44" applyFont="1" applyFill="1" applyBorder="1" applyAlignment="1">
      <alignment horizontal="left" vertical="top" indent="3"/>
    </xf>
    <xf numFmtId="0" fontId="43" fillId="0" borderId="0" xfId="44" applyFont="1" applyFill="1" applyBorder="1" applyAlignment="1">
      <alignment horizontal="left" vertical="top"/>
    </xf>
    <xf numFmtId="0" fontId="45" fillId="0" borderId="0" xfId="44" applyFont="1" applyFill="1" applyBorder="1" applyAlignment="1">
      <alignment horizontal="left" vertical="top" wrapText="1" indent="3"/>
    </xf>
    <xf numFmtId="0" fontId="44" fillId="0" borderId="0" xfId="44" applyFont="1" applyFill="1" applyBorder="1" applyAlignment="1">
      <alignment horizontal="left" vertical="top" wrapText="1"/>
    </xf>
    <xf numFmtId="3" fontId="43" fillId="0" borderId="0" xfId="44" applyNumberFormat="1" applyFont="1" applyFill="1" applyBorder="1" applyAlignment="1">
      <alignment vertical="top"/>
    </xf>
    <xf numFmtId="3" fontId="44" fillId="0" borderId="0" xfId="44" applyNumberFormat="1" applyFont="1" applyFill="1" applyBorder="1" applyAlignment="1">
      <alignment vertical="top"/>
    </xf>
    <xf numFmtId="3" fontId="45" fillId="0" borderId="0" xfId="44" applyNumberFormat="1" applyFont="1" applyFill="1" applyBorder="1" applyAlignment="1">
      <alignment vertical="top" wrapText="1"/>
    </xf>
    <xf numFmtId="3" fontId="45" fillId="0" borderId="0" xfId="44" applyNumberFormat="1" applyFont="1" applyFill="1" applyBorder="1" applyAlignment="1">
      <alignment vertical="top"/>
    </xf>
    <xf numFmtId="3" fontId="44" fillId="0" borderId="0" xfId="44" applyNumberFormat="1" applyFont="1" applyFill="1" applyBorder="1" applyAlignment="1">
      <alignment vertical="top" wrapText="1"/>
    </xf>
    <xf numFmtId="0" fontId="48" fillId="0" borderId="0" xfId="36" applyNumberFormat="1" applyFont="1" applyFill="1" applyBorder="1" applyAlignment="1" applyProtection="1">
      <alignment horizontal="left" vertical="top" indent="1"/>
    </xf>
    <xf numFmtId="0" fontId="48" fillId="0" borderId="0" xfId="36" applyNumberFormat="1" applyFont="1" applyFill="1" applyBorder="1" applyAlignment="1" applyProtection="1">
      <alignment horizontal="left" vertical="top" wrapText="1" indent="2"/>
    </xf>
    <xf numFmtId="0" fontId="34" fillId="0" borderId="0" xfId="36" applyNumberFormat="1" applyFont="1" applyFill="1" applyBorder="1" applyAlignment="1" applyProtection="1">
      <alignment horizontal="left" vertical="top" indent="2"/>
    </xf>
    <xf numFmtId="0" fontId="39" fillId="0" borderId="0" xfId="0" applyNumberFormat="1" applyFont="1" applyFill="1" applyAlignment="1">
      <alignment horizontal="left" vertical="top" indent="1"/>
    </xf>
    <xf numFmtId="0" fontId="48" fillId="0" borderId="0" xfId="36" applyNumberFormat="1" applyFont="1" applyFill="1" applyBorder="1" applyAlignment="1" applyProtection="1">
      <alignment horizontal="left" vertical="top" indent="2"/>
    </xf>
    <xf numFmtId="0" fontId="39" fillId="0" borderId="0" xfId="0" applyNumberFormat="1" applyFont="1" applyFill="1" applyAlignment="1">
      <alignment horizontal="left" vertical="top" wrapText="1" indent="1"/>
    </xf>
    <xf numFmtId="0" fontId="40" fillId="0" borderId="0" xfId="36" applyNumberFormat="1" applyFont="1" applyFill="1" applyBorder="1" applyAlignment="1" applyProtection="1">
      <alignment horizontal="left" vertical="top"/>
    </xf>
    <xf numFmtId="0" fontId="33" fillId="0" borderId="0" xfId="36" applyNumberFormat="1" applyFont="1" applyFill="1" applyBorder="1" applyAlignment="1" applyProtection="1">
      <alignment horizontal="left" vertical="top"/>
    </xf>
    <xf numFmtId="0" fontId="34" fillId="0" borderId="0" xfId="36" applyFont="1" applyFill="1" applyBorder="1" applyAlignment="1" applyProtection="1">
      <alignment horizontal="left" vertical="top" indent="1"/>
    </xf>
    <xf numFmtId="0" fontId="34" fillId="0" borderId="0" xfId="36" applyNumberFormat="1" applyFont="1" applyFill="1" applyBorder="1" applyAlignment="1" applyProtection="1">
      <alignment horizontal="left" vertical="top" indent="1"/>
    </xf>
    <xf numFmtId="0" fontId="37" fillId="0" borderId="0" xfId="0" applyNumberFormat="1" applyFont="1" applyFill="1" applyAlignment="1">
      <alignment horizontal="left" vertical="top"/>
    </xf>
    <xf numFmtId="0" fontId="48" fillId="0" borderId="0" xfId="36" applyNumberFormat="1" applyFont="1" applyFill="1" applyBorder="1" applyAlignment="1" applyProtection="1">
      <alignment horizontal="left" vertical="top" indent="3"/>
    </xf>
    <xf numFmtId="0" fontId="31" fillId="0" borderId="0" xfId="36" applyNumberFormat="1" applyFont="1" applyFill="1" applyBorder="1" applyAlignment="1" applyProtection="1">
      <alignment horizontal="left" vertical="top" indent="2"/>
    </xf>
    <xf numFmtId="0" fontId="33" fillId="0" borderId="0" xfId="0" applyNumberFormat="1" applyFont="1" applyFill="1" applyAlignment="1">
      <alignment horizontal="left" vertical="top" indent="2"/>
    </xf>
    <xf numFmtId="0" fontId="12" fillId="0" borderId="0" xfId="31" applyNumberFormat="1" applyFont="1" applyFill="1" applyBorder="1" applyAlignment="1" applyProtection="1">
      <alignment horizontal="left" vertical="top" wrapText="1" indent="2"/>
    </xf>
    <xf numFmtId="0" fontId="33" fillId="0" borderId="0" xfId="36" applyNumberFormat="1" applyFont="1" applyFill="1" applyBorder="1" applyAlignment="1">
      <alignment horizontal="left" vertical="top"/>
    </xf>
    <xf numFmtId="0" fontId="12" fillId="0" borderId="0" xfId="0" applyNumberFormat="1" applyFont="1" applyFill="1" applyAlignment="1">
      <alignment horizontal="left" vertical="top"/>
    </xf>
    <xf numFmtId="0" fontId="42" fillId="0" borderId="0" xfId="31" quotePrefix="1" applyNumberFormat="1" applyFont="1" applyFill="1" applyBorder="1" applyAlignment="1" applyProtection="1">
      <alignment horizontal="left" vertical="top" wrapText="1" indent="1"/>
    </xf>
    <xf numFmtId="0" fontId="12" fillId="0" borderId="0" xfId="31" applyNumberFormat="1" applyFont="1" applyFill="1" applyBorder="1" applyAlignment="1" applyProtection="1">
      <alignment horizontal="left" vertical="top" wrapText="1"/>
    </xf>
    <xf numFmtId="49" fontId="42" fillId="0" borderId="0" xfId="31" quotePrefix="1" applyNumberFormat="1" applyFont="1" applyFill="1" applyBorder="1" applyAlignment="1" applyProtection="1">
      <alignment horizontal="left" vertical="top" wrapText="1" indent="1"/>
    </xf>
    <xf numFmtId="0" fontId="48" fillId="0" borderId="0" xfId="36" applyNumberFormat="1" applyFont="1" applyFill="1" applyBorder="1" applyAlignment="1" applyProtection="1">
      <alignment horizontal="left" vertical="top" indent="4"/>
    </xf>
    <xf numFmtId="0" fontId="42" fillId="0" borderId="0" xfId="0" applyNumberFormat="1" applyFont="1" applyFill="1" applyAlignment="1">
      <alignment horizontal="left" wrapText="1" indent="3"/>
    </xf>
    <xf numFmtId="0" fontId="42" fillId="0" borderId="0" xfId="0" quotePrefix="1" applyNumberFormat="1" applyFont="1" applyFill="1" applyAlignment="1">
      <alignment horizontal="left" wrapText="1" indent="1"/>
    </xf>
    <xf numFmtId="0" fontId="42" fillId="0" borderId="0" xfId="31" applyNumberFormat="1" applyFont="1" applyFill="1" applyBorder="1" applyAlignment="1" applyProtection="1">
      <alignment horizontal="left" vertical="top" wrapText="1"/>
    </xf>
    <xf numFmtId="0" fontId="31" fillId="0" borderId="0" xfId="31" applyNumberFormat="1" applyFont="1" applyFill="1" applyBorder="1" applyAlignment="1" applyProtection="1">
      <alignment horizontal="left" vertical="top" wrapText="1" indent="3"/>
    </xf>
    <xf numFmtId="0" fontId="12" fillId="0" borderId="0" xfId="31" applyNumberFormat="1" applyFont="1" applyFill="1" applyBorder="1" applyAlignment="1" applyProtection="1">
      <alignment horizontal="left" vertical="top" indent="2"/>
    </xf>
    <xf numFmtId="0" fontId="12" fillId="0" borderId="0" xfId="0" applyNumberFormat="1" applyFont="1" applyFill="1" applyAlignment="1">
      <alignment horizontal="left" vertical="top" wrapText="1"/>
    </xf>
    <xf numFmtId="0" fontId="42" fillId="0" borderId="0" xfId="36" quotePrefix="1" applyNumberFormat="1" applyFont="1" applyFill="1" applyBorder="1" applyAlignment="1" applyProtection="1">
      <alignment horizontal="left" indent="1"/>
    </xf>
    <xf numFmtId="49" fontId="31" fillId="0" borderId="0" xfId="0" applyNumberFormat="1" applyFont="1" applyFill="1" applyAlignment="1">
      <alignment horizontal="left" vertical="top" indent="3"/>
    </xf>
    <xf numFmtId="49" fontId="31" fillId="0" borderId="0" xfId="0" applyNumberFormat="1" applyFont="1" applyFill="1" applyAlignment="1">
      <alignment horizontal="left" vertical="top" indent="4"/>
    </xf>
    <xf numFmtId="0" fontId="42" fillId="0" borderId="0" xfId="36" applyNumberFormat="1" applyFont="1" applyFill="1" applyBorder="1" applyAlignment="1" applyProtection="1">
      <alignment horizontal="left" vertical="top" indent="1"/>
    </xf>
    <xf numFmtId="0" fontId="38" fillId="0" borderId="0" xfId="0" applyNumberFormat="1" applyFont="1" applyFill="1" applyAlignment="1">
      <alignment horizontal="left" vertical="top"/>
    </xf>
    <xf numFmtId="0" fontId="41" fillId="0" borderId="0" xfId="36" applyNumberFormat="1" applyFont="1" applyFill="1" applyBorder="1" applyAlignment="1" applyProtection="1">
      <alignment horizontal="left" vertical="top"/>
    </xf>
    <xf numFmtId="0" fontId="12" fillId="0" borderId="0" xfId="36" applyNumberFormat="1" applyFont="1" applyFill="1" applyBorder="1" applyAlignment="1" applyProtection="1">
      <alignment horizontal="left" vertical="top" indent="1"/>
    </xf>
    <xf numFmtId="0" fontId="31" fillId="0" borderId="0" xfId="0" applyNumberFormat="1" applyFont="1" applyFill="1" applyAlignment="1">
      <alignment horizontal="left" vertical="top" indent="2"/>
    </xf>
    <xf numFmtId="0" fontId="34" fillId="0" borderId="0" xfId="0" applyNumberFormat="1" applyFont="1" applyFill="1" applyAlignment="1">
      <alignment horizontal="left" vertical="top"/>
    </xf>
    <xf numFmtId="0" fontId="42" fillId="0" borderId="0" xfId="36" applyNumberFormat="1" applyFont="1" applyFill="1" applyBorder="1" applyAlignment="1" applyProtection="1">
      <alignment horizontal="left" vertical="top" indent="3"/>
    </xf>
    <xf numFmtId="0" fontId="31" fillId="0" borderId="0" xfId="36" applyNumberFormat="1" applyFont="1" applyFill="1" applyBorder="1" applyAlignment="1" applyProtection="1">
      <alignment horizontal="left" vertical="top" indent="4"/>
    </xf>
    <xf numFmtId="0" fontId="42" fillId="0" borderId="0" xfId="36" applyNumberFormat="1" applyFont="1" applyFill="1" applyBorder="1" applyAlignment="1" applyProtection="1">
      <alignment horizontal="left" vertical="top" wrapText="1" indent="1"/>
    </xf>
    <xf numFmtId="0" fontId="31" fillId="0" borderId="0" xfId="36" applyNumberFormat="1" applyFont="1" applyFill="1" applyBorder="1" applyAlignment="1" applyProtection="1">
      <alignment horizontal="left" vertical="top" wrapText="1" indent="2"/>
    </xf>
    <xf numFmtId="0" fontId="31" fillId="0" borderId="0" xfId="0" applyFont="1" applyFill="1" applyBorder="1" applyAlignment="1">
      <alignment horizontal="left" indent="2"/>
    </xf>
    <xf numFmtId="0" fontId="38" fillId="0" borderId="0" xfId="36" applyNumberFormat="1" applyFont="1" applyFill="1" applyBorder="1" applyAlignment="1" applyProtection="1">
      <alignment horizontal="left" vertical="top"/>
    </xf>
    <xf numFmtId="0" fontId="31" fillId="0" borderId="0" xfId="36" applyNumberFormat="1" applyFont="1" applyFill="1" applyBorder="1" applyAlignment="1" applyProtection="1">
      <alignment horizontal="left" vertical="top" indent="1"/>
    </xf>
    <xf numFmtId="0" fontId="41" fillId="0" borderId="0" xfId="36" applyNumberFormat="1" applyFont="1" applyFill="1" applyBorder="1" applyAlignment="1" applyProtection="1">
      <alignment horizontal="left" vertical="top" wrapText="1"/>
    </xf>
    <xf numFmtId="0" fontId="41" fillId="0" borderId="0" xfId="36" applyFont="1" applyFill="1" applyBorder="1" applyAlignment="1" applyProtection="1">
      <alignment horizontal="left" vertical="top" wrapText="1"/>
    </xf>
    <xf numFmtId="3" fontId="40" fillId="0" borderId="0" xfId="36" applyNumberFormat="1" applyFont="1" applyFill="1" applyBorder="1" applyAlignment="1" applyProtection="1">
      <alignment vertical="top"/>
    </xf>
    <xf numFmtId="3" fontId="42" fillId="0" borderId="0" xfId="36" applyNumberFormat="1" applyFont="1" applyFill="1" applyBorder="1" applyAlignment="1" applyProtection="1">
      <alignment vertical="top"/>
    </xf>
    <xf numFmtId="3" fontId="74" fillId="0" borderId="0" xfId="31" applyNumberFormat="1" applyFont="1" applyFill="1" applyBorder="1" applyAlignment="1" applyProtection="1">
      <alignment vertical="top" wrapText="1"/>
    </xf>
    <xf numFmtId="3" fontId="79" fillId="0" borderId="0" xfId="36" applyNumberFormat="1" applyFont="1" applyFill="1" applyBorder="1" applyAlignment="1" applyProtection="1">
      <alignment vertical="top"/>
    </xf>
    <xf numFmtId="3" fontId="75" fillId="0" borderId="0" xfId="36" applyNumberFormat="1" applyFont="1" applyFill="1" applyBorder="1" applyAlignment="1" applyProtection="1">
      <alignment vertical="top"/>
    </xf>
    <xf numFmtId="3" fontId="74" fillId="0" borderId="0" xfId="0" applyNumberFormat="1" applyFont="1" applyFill="1" applyAlignment="1">
      <alignment vertical="top"/>
    </xf>
    <xf numFmtId="3" fontId="74" fillId="0" borderId="0" xfId="36" applyNumberFormat="1" applyFont="1" applyFill="1" applyBorder="1" applyAlignment="1">
      <alignment vertical="top"/>
    </xf>
    <xf numFmtId="3" fontId="42" fillId="0" borderId="0" xfId="0" applyNumberFormat="1" applyFont="1" applyFill="1" applyAlignment="1">
      <alignment wrapText="1"/>
    </xf>
    <xf numFmtId="3" fontId="42" fillId="0" borderId="0" xfId="31" applyNumberFormat="1" applyFont="1" applyFill="1" applyBorder="1" applyAlignment="1" applyProtection="1">
      <alignment vertical="top" wrapText="1"/>
    </xf>
    <xf numFmtId="3" fontId="31" fillId="0" borderId="0" xfId="31" applyNumberFormat="1" applyFont="1" applyFill="1" applyBorder="1" applyAlignment="1" applyProtection="1">
      <alignment vertical="top" wrapText="1"/>
    </xf>
    <xf numFmtId="3" fontId="12" fillId="0" borderId="0" xfId="31" applyNumberFormat="1" applyFont="1" applyFill="1" applyBorder="1" applyAlignment="1" applyProtection="1">
      <alignment vertical="top"/>
    </xf>
    <xf numFmtId="3" fontId="12" fillId="0" borderId="0" xfId="0" applyNumberFormat="1" applyFont="1" applyFill="1" applyAlignment="1">
      <alignment vertical="top" wrapText="1"/>
    </xf>
    <xf numFmtId="3" fontId="42" fillId="0" borderId="0" xfId="36" applyNumberFormat="1" applyFont="1" applyFill="1" applyBorder="1" applyAlignment="1" applyProtection="1">
      <alignment vertical="top" wrapText="1"/>
    </xf>
    <xf numFmtId="3" fontId="31" fillId="0" borderId="0" xfId="0" applyNumberFormat="1" applyFont="1" applyFill="1" applyBorder="1" applyAlignment="1"/>
    <xf numFmtId="3" fontId="38" fillId="0" borderId="0" xfId="36" applyNumberFormat="1" applyFont="1" applyFill="1" applyBorder="1" applyAlignment="1" applyProtection="1">
      <alignment vertical="top"/>
    </xf>
    <xf numFmtId="3" fontId="74" fillId="0" borderId="0" xfId="36" applyNumberFormat="1" applyFont="1" applyFill="1" applyBorder="1" applyAlignment="1" applyProtection="1">
      <alignment vertical="top"/>
    </xf>
    <xf numFmtId="3" fontId="78" fillId="0" borderId="0" xfId="36" applyNumberFormat="1" applyFont="1" applyFill="1" applyBorder="1" applyAlignment="1" applyProtection="1">
      <alignment vertical="top" wrapText="1"/>
    </xf>
    <xf numFmtId="3" fontId="12" fillId="0" borderId="0" xfId="0" applyNumberFormat="1" applyFont="1" applyFill="1" applyBorder="1" applyAlignment="1"/>
    <xf numFmtId="0" fontId="12" fillId="0" borderId="0" xfId="0" applyFont="1" applyFill="1" applyAlignment="1">
      <alignment horizontal="right"/>
    </xf>
    <xf numFmtId="3" fontId="48" fillId="0" borderId="0" xfId="0" applyNumberFormat="1" applyFont="1" applyFill="1" applyBorder="1" applyAlignment="1">
      <alignment vertical="top"/>
    </xf>
    <xf numFmtId="0" fontId="42" fillId="0" borderId="0" xfId="0" applyFont="1" applyFill="1"/>
    <xf numFmtId="3" fontId="42" fillId="0" borderId="0" xfId="0" applyNumberFormat="1" applyFont="1" applyFill="1" applyAlignment="1">
      <alignment horizontal="right" vertical="top"/>
    </xf>
    <xf numFmtId="0" fontId="42" fillId="27" borderId="0" xfId="36" applyFont="1" applyFill="1" applyBorder="1" applyAlignment="1" applyProtection="1">
      <alignment horizontal="right" vertical="top"/>
    </xf>
    <xf numFmtId="0" fontId="85" fillId="0" borderId="0" xfId="151" applyFont="1"/>
    <xf numFmtId="0" fontId="86" fillId="0" borderId="0" xfId="151" applyFont="1"/>
    <xf numFmtId="0" fontId="10" fillId="0" borderId="0" xfId="151"/>
    <xf numFmtId="0" fontId="86" fillId="0" borderId="0" xfId="151" applyFont="1" applyFill="1"/>
    <xf numFmtId="0" fontId="10" fillId="0" borderId="0" xfId="151" applyFill="1"/>
    <xf numFmtId="0" fontId="12" fillId="0" borderId="0" xfId="152" applyFont="1" applyAlignment="1">
      <alignment horizontal="left"/>
    </xf>
    <xf numFmtId="3" fontId="12" fillId="0" borderId="0" xfId="38" applyNumberFormat="1" applyFont="1" applyFill="1" applyBorder="1" applyAlignment="1">
      <alignment horizontal="right"/>
    </xf>
    <xf numFmtId="0" fontId="88" fillId="0" borderId="0" xfId="151" applyFont="1" applyFill="1"/>
    <xf numFmtId="0" fontId="89" fillId="0" borderId="0" xfId="151" applyFont="1" applyFill="1"/>
    <xf numFmtId="3" fontId="89" fillId="0" borderId="0" xfId="151" applyNumberFormat="1" applyFont="1" applyFill="1"/>
    <xf numFmtId="0" fontId="10" fillId="0" borderId="0" xfId="151" applyFont="1" applyFill="1"/>
    <xf numFmtId="0" fontId="90" fillId="0" borderId="0" xfId="151" applyFont="1" applyFill="1"/>
    <xf numFmtId="3" fontId="10" fillId="0" borderId="0" xfId="151" applyNumberFormat="1" applyFont="1" applyFill="1"/>
    <xf numFmtId="0" fontId="91" fillId="0" borderId="0" xfId="151" applyFont="1" applyFill="1"/>
    <xf numFmtId="3" fontId="91" fillId="0" borderId="0" xfId="151" applyNumberFormat="1" applyFont="1" applyFill="1"/>
    <xf numFmtId="0" fontId="0" fillId="0" borderId="0" xfId="0"/>
    <xf numFmtId="0" fontId="12" fillId="0" borderId="0" xfId="0" applyFont="1" applyFill="1"/>
    <xf numFmtId="3" fontId="31" fillId="0" borderId="0" xfId="0" applyNumberFormat="1" applyFont="1" applyFill="1" applyAlignment="1">
      <alignment vertical="top"/>
    </xf>
    <xf numFmtId="3" fontId="12" fillId="0" borderId="0" xfId="0" applyNumberFormat="1" applyFont="1" applyFill="1" applyAlignment="1">
      <alignment vertical="top"/>
    </xf>
    <xf numFmtId="3" fontId="12" fillId="0" borderId="0" xfId="0" applyNumberFormat="1" applyFont="1" applyFill="1" applyBorder="1" applyAlignment="1">
      <alignment vertical="top"/>
    </xf>
    <xf numFmtId="3" fontId="33" fillId="0" borderId="0" xfId="36" applyNumberFormat="1" applyFont="1" applyFill="1" applyBorder="1" applyAlignment="1" applyProtection="1">
      <alignment vertical="top"/>
    </xf>
    <xf numFmtId="3" fontId="34" fillId="0" borderId="0" xfId="36" applyNumberFormat="1" applyFont="1" applyFill="1" applyBorder="1" applyAlignment="1" applyProtection="1">
      <alignment vertical="top"/>
    </xf>
    <xf numFmtId="3" fontId="33" fillId="0" borderId="0" xfId="36" applyNumberFormat="1" applyFont="1" applyFill="1" applyBorder="1" applyAlignment="1">
      <alignment vertical="top"/>
    </xf>
    <xf numFmtId="3" fontId="12" fillId="0" borderId="0" xfId="36" applyNumberFormat="1" applyFont="1" applyFill="1" applyBorder="1" applyAlignment="1" applyProtection="1">
      <alignment vertical="top"/>
    </xf>
    <xf numFmtId="3" fontId="48" fillId="0" borderId="0" xfId="36" applyNumberFormat="1" applyFont="1" applyFill="1" applyBorder="1" applyAlignment="1" applyProtection="1">
      <alignment vertical="top"/>
    </xf>
    <xf numFmtId="3" fontId="77" fillId="0" borderId="0" xfId="36" applyNumberFormat="1" applyFont="1" applyFill="1" applyBorder="1" applyAlignment="1" applyProtection="1">
      <alignment vertical="top"/>
    </xf>
    <xf numFmtId="3" fontId="31" fillId="0" borderId="0" xfId="36" applyNumberFormat="1" applyFont="1" applyFill="1" applyBorder="1" applyAlignment="1" applyProtection="1">
      <alignment vertical="top"/>
    </xf>
    <xf numFmtId="3" fontId="12" fillId="0" borderId="0" xfId="36" applyNumberFormat="1" applyFont="1" applyFill="1" applyBorder="1" applyAlignment="1" applyProtection="1">
      <alignment vertical="top" wrapText="1"/>
    </xf>
    <xf numFmtId="3" fontId="33" fillId="0" borderId="0" xfId="0" applyNumberFormat="1" applyFont="1" applyFill="1" applyAlignment="1">
      <alignment vertical="top"/>
    </xf>
    <xf numFmtId="3" fontId="37" fillId="0" borderId="0" xfId="0" applyNumberFormat="1" applyFont="1" applyFill="1" applyAlignment="1">
      <alignment vertical="top"/>
    </xf>
    <xf numFmtId="3" fontId="33" fillId="0" borderId="0" xfId="0" applyNumberFormat="1" applyFont="1" applyFill="1" applyAlignment="1">
      <alignment vertical="top" wrapText="1"/>
    </xf>
    <xf numFmtId="3" fontId="31" fillId="0" borderId="0" xfId="36" applyNumberFormat="1" applyFont="1" applyFill="1" applyBorder="1" applyAlignment="1" applyProtection="1">
      <alignment vertical="top" wrapText="1"/>
    </xf>
    <xf numFmtId="3" fontId="12" fillId="0" borderId="0" xfId="31" applyNumberFormat="1" applyFont="1" applyFill="1" applyBorder="1" applyAlignment="1" applyProtection="1">
      <alignment vertical="top" wrapText="1"/>
    </xf>
    <xf numFmtId="3" fontId="42" fillId="0" borderId="0" xfId="0" quotePrefix="1" applyNumberFormat="1" applyFont="1" applyFill="1" applyAlignment="1">
      <alignment wrapText="1"/>
    </xf>
    <xf numFmtId="3" fontId="42" fillId="0" borderId="0" xfId="31" quotePrefix="1" applyNumberFormat="1" applyFont="1" applyFill="1" applyBorder="1" applyAlignment="1" applyProtection="1">
      <alignment vertical="top" wrapText="1"/>
    </xf>
    <xf numFmtId="3" fontId="42" fillId="0" borderId="0" xfId="36" quotePrefix="1" applyNumberFormat="1" applyFont="1" applyFill="1" applyBorder="1" applyAlignment="1" applyProtection="1"/>
    <xf numFmtId="0" fontId="94" fillId="0" borderId="0" xfId="47" applyNumberFormat="1" applyFont="1" applyFill="1" applyBorder="1" applyAlignment="1">
      <alignment vertical="top"/>
    </xf>
    <xf numFmtId="2" fontId="94" fillId="0" borderId="0" xfId="151" applyNumberFormat="1" applyFont="1" applyFill="1" applyBorder="1" applyAlignment="1">
      <alignment vertical="top" wrapText="1"/>
    </xf>
    <xf numFmtId="0" fontId="4" fillId="0" borderId="0" xfId="151" applyFont="1"/>
    <xf numFmtId="0" fontId="4" fillId="0" borderId="0" xfId="151" applyFont="1" applyFill="1"/>
    <xf numFmtId="0" fontId="94" fillId="0" borderId="0" xfId="51" applyFont="1" applyFill="1" applyBorder="1" applyAlignment="1">
      <alignment vertical="top" wrapText="1"/>
    </xf>
    <xf numFmtId="3" fontId="94" fillId="0" borderId="0" xfId="0" applyNumberFormat="1" applyFont="1" applyFill="1" applyBorder="1" applyAlignment="1" applyProtection="1">
      <alignment vertical="top"/>
      <protection locked="0"/>
    </xf>
    <xf numFmtId="0" fontId="4" fillId="0" borderId="0" xfId="151" applyFont="1" applyAlignment="1">
      <alignment vertical="top"/>
    </xf>
    <xf numFmtId="9" fontId="12" fillId="0" borderId="0" xfId="373" applyFont="1" applyFill="1" applyAlignment="1">
      <alignment vertical="top"/>
    </xf>
    <xf numFmtId="0" fontId="32" fillId="0" borderId="0" xfId="155" applyFont="1" applyFill="1" applyBorder="1"/>
    <xf numFmtId="3" fontId="32" fillId="0" borderId="0" xfId="155" applyNumberFormat="1" applyFont="1" applyFill="1" applyBorder="1" applyAlignment="1"/>
    <xf numFmtId="0" fontId="44" fillId="0" borderId="0" xfId="155" applyFont="1" applyFill="1"/>
    <xf numFmtId="0" fontId="44" fillId="0" borderId="0" xfId="155" applyFont="1" applyFill="1" applyBorder="1"/>
    <xf numFmtId="3" fontId="44" fillId="0" borderId="0" xfId="155" applyNumberFormat="1" applyFont="1" applyFill="1" applyBorder="1" applyAlignment="1"/>
    <xf numFmtId="0" fontId="103" fillId="0" borderId="0" xfId="44" applyFont="1" applyFill="1" applyBorder="1" applyAlignment="1">
      <alignment horizontal="left" vertical="top" wrapText="1" indent="3"/>
    </xf>
    <xf numFmtId="3" fontId="103" fillId="0" borderId="0" xfId="44" applyNumberFormat="1" applyFont="1" applyFill="1" applyBorder="1" applyAlignment="1">
      <alignment vertical="top" wrapText="1"/>
    </xf>
    <xf numFmtId="44" fontId="82" fillId="0" borderId="14" xfId="88" applyFont="1" applyFill="1" applyBorder="1" applyAlignment="1">
      <alignment horizontal="right" vertical="top" wrapText="1"/>
    </xf>
    <xf numFmtId="44" fontId="82" fillId="0" borderId="19" xfId="88" applyFont="1" applyFill="1" applyBorder="1" applyAlignment="1">
      <alignment horizontal="right" vertical="top" wrapText="1"/>
    </xf>
    <xf numFmtId="44" fontId="82" fillId="0" borderId="18" xfId="88" applyFont="1" applyFill="1" applyBorder="1" applyAlignment="1">
      <alignment horizontal="right" vertical="top" wrapText="1"/>
    </xf>
    <xf numFmtId="44" fontId="82" fillId="0" borderId="13" xfId="88" applyFont="1" applyFill="1" applyBorder="1" applyAlignment="1">
      <alignment horizontal="right" vertical="top" wrapText="1"/>
    </xf>
    <xf numFmtId="9" fontId="43" fillId="0" borderId="0" xfId="373" applyFont="1" applyFill="1" applyBorder="1" applyAlignment="1">
      <alignment vertical="top"/>
    </xf>
    <xf numFmtId="9" fontId="44" fillId="0" borderId="0" xfId="373" applyFont="1" applyFill="1" applyBorder="1" applyAlignment="1">
      <alignment vertical="top"/>
    </xf>
    <xf numFmtId="9" fontId="45" fillId="0" borderId="0" xfId="373" applyFont="1" applyFill="1" applyBorder="1" applyAlignment="1">
      <alignment vertical="top"/>
    </xf>
    <xf numFmtId="9" fontId="45" fillId="0" borderId="0" xfId="373" applyFont="1" applyFill="1" applyBorder="1" applyAlignment="1">
      <alignment vertical="top" wrapText="1"/>
    </xf>
    <xf numFmtId="9" fontId="44" fillId="0" borderId="0" xfId="373" applyFont="1" applyFill="1" applyBorder="1" applyAlignment="1">
      <alignment vertical="top" wrapText="1"/>
    </xf>
    <xf numFmtId="9" fontId="103" fillId="0" borderId="0" xfId="373" applyFont="1" applyFill="1" applyBorder="1" applyAlignment="1">
      <alignment vertical="top" wrapText="1"/>
    </xf>
    <xf numFmtId="0" fontId="12" fillId="0" borderId="0" xfId="0" applyFont="1" applyBorder="1" applyAlignment="1">
      <alignment horizontal="right"/>
    </xf>
    <xf numFmtId="0" fontId="105" fillId="0" borderId="0" xfId="155" applyFont="1" applyFill="1" applyBorder="1"/>
    <xf numFmtId="3" fontId="49" fillId="0" borderId="0" xfId="155" applyNumberFormat="1" applyFont="1" applyFill="1" applyBorder="1" applyAlignment="1">
      <alignment horizontal="center"/>
    </xf>
    <xf numFmtId="3" fontId="49" fillId="0" borderId="0" xfId="0" applyNumberFormat="1" applyFont="1" applyFill="1" applyBorder="1" applyAlignment="1">
      <alignment horizontal="center"/>
    </xf>
    <xf numFmtId="0" fontId="49" fillId="0" borderId="0" xfId="155" applyFont="1" applyFill="1" applyBorder="1" applyAlignment="1">
      <alignment horizontal="right"/>
    </xf>
    <xf numFmtId="44" fontId="82" fillId="30" borderId="17" xfId="88" applyFont="1" applyFill="1" applyBorder="1" applyAlignment="1">
      <alignment horizontal="center" vertical="top" wrapText="1"/>
    </xf>
    <xf numFmtId="3" fontId="107" fillId="0" borderId="0" xfId="44" applyNumberFormat="1" applyFont="1" applyFill="1" applyBorder="1" applyAlignment="1">
      <alignment vertical="top"/>
    </xf>
    <xf numFmtId="3" fontId="108" fillId="0" borderId="0" xfId="44" applyNumberFormat="1" applyFont="1" applyFill="1" applyBorder="1" applyAlignment="1">
      <alignment vertical="top"/>
    </xf>
    <xf numFmtId="3" fontId="109" fillId="0" borderId="0" xfId="44" applyNumberFormat="1" applyFont="1" applyFill="1" applyBorder="1" applyAlignment="1">
      <alignment vertical="top"/>
    </xf>
    <xf numFmtId="3" fontId="109" fillId="0" borderId="0" xfId="44" applyNumberFormat="1" applyFont="1" applyFill="1" applyBorder="1" applyAlignment="1">
      <alignment vertical="top" wrapText="1"/>
    </xf>
    <xf numFmtId="3" fontId="108" fillId="0" borderId="0" xfId="44" applyNumberFormat="1" applyFont="1" applyFill="1" applyBorder="1" applyAlignment="1">
      <alignment vertical="top" wrapText="1"/>
    </xf>
    <xf numFmtId="44" fontId="82" fillId="0" borderId="13" xfId="88" applyFont="1" applyFill="1" applyBorder="1" applyAlignment="1">
      <alignment horizontal="center" vertical="top" wrapText="1"/>
    </xf>
    <xf numFmtId="0" fontId="82" fillId="0" borderId="0" xfId="0" applyFont="1" applyFill="1" applyAlignment="1">
      <alignment horizontal="center" vertical="top" wrapText="1"/>
    </xf>
    <xf numFmtId="0" fontId="84" fillId="0" borderId="0" xfId="0" applyFont="1" applyFill="1" applyAlignment="1">
      <alignment horizontal="center" vertical="top" wrapText="1"/>
    </xf>
    <xf numFmtId="9" fontId="33" fillId="0" borderId="0" xfId="373" applyFont="1" applyFill="1" applyBorder="1" applyAlignment="1" applyProtection="1">
      <alignment vertical="top"/>
    </xf>
    <xf numFmtId="9" fontId="34" fillId="0" borderId="0" xfId="373" applyFont="1" applyFill="1" applyBorder="1" applyAlignment="1" applyProtection="1">
      <alignment vertical="top"/>
    </xf>
    <xf numFmtId="9" fontId="33" fillId="0" borderId="0" xfId="373" applyFont="1" applyFill="1" applyBorder="1" applyAlignment="1">
      <alignment vertical="top"/>
    </xf>
    <xf numFmtId="9" fontId="12" fillId="0" borderId="0" xfId="373" applyFont="1" applyFill="1" applyBorder="1" applyAlignment="1" applyProtection="1">
      <alignment vertical="top"/>
    </xf>
    <xf numFmtId="9" fontId="48" fillId="0" borderId="0" xfId="373" applyFont="1" applyFill="1" applyBorder="1" applyAlignment="1" applyProtection="1">
      <alignment vertical="top"/>
    </xf>
    <xf numFmtId="9" fontId="12" fillId="0" borderId="0" xfId="373" applyFont="1" applyFill="1" applyBorder="1" applyAlignment="1">
      <alignment vertical="top"/>
    </xf>
    <xf numFmtId="9" fontId="77" fillId="0" borderId="0" xfId="373" applyFont="1" applyFill="1" applyBorder="1" applyAlignment="1" applyProtection="1">
      <alignment vertical="top"/>
    </xf>
    <xf numFmtId="9" fontId="31" fillId="0" borderId="0" xfId="373" applyFont="1" applyFill="1" applyBorder="1" applyAlignment="1" applyProtection="1">
      <alignment vertical="top"/>
    </xf>
    <xf numFmtId="9" fontId="12" fillId="0" borderId="0" xfId="373" applyFont="1" applyFill="1" applyBorder="1" applyAlignment="1" applyProtection="1">
      <alignment vertical="top" wrapText="1"/>
    </xf>
    <xf numFmtId="9" fontId="33" fillId="0" borderId="0" xfId="373" applyFont="1" applyFill="1" applyAlignment="1">
      <alignment vertical="top"/>
    </xf>
    <xf numFmtId="9" fontId="12" fillId="0" borderId="0" xfId="373" applyFont="1" applyFill="1" applyAlignment="1">
      <alignment vertical="top" wrapText="1"/>
    </xf>
    <xf numFmtId="9" fontId="40" fillId="0" borderId="0" xfId="373" applyFont="1" applyFill="1" applyBorder="1" applyAlignment="1" applyProtection="1">
      <alignment vertical="top"/>
    </xf>
    <xf numFmtId="9" fontId="37" fillId="0" borderId="0" xfId="373" applyFont="1" applyFill="1" applyAlignment="1">
      <alignment vertical="top"/>
    </xf>
    <xf numFmtId="9" fontId="33" fillId="0" borderId="0" xfId="373" applyFont="1" applyFill="1" applyAlignment="1">
      <alignment vertical="top" wrapText="1"/>
    </xf>
    <xf numFmtId="9" fontId="42" fillId="0" borderId="0" xfId="373" applyFont="1" applyFill="1" applyBorder="1" applyAlignment="1" applyProtection="1">
      <alignment vertical="top"/>
    </xf>
    <xf numFmtId="9" fontId="31" fillId="0" borderId="0" xfId="373" applyFont="1" applyFill="1" applyBorder="1" applyAlignment="1" applyProtection="1">
      <alignment vertical="top" wrapText="1"/>
    </xf>
    <xf numFmtId="9" fontId="42" fillId="0" borderId="0" xfId="373" quotePrefix="1" applyFont="1" applyFill="1" applyAlignment="1">
      <alignment wrapText="1"/>
    </xf>
    <xf numFmtId="9" fontId="31" fillId="0" borderId="0" xfId="373" applyFont="1" applyFill="1" applyAlignment="1">
      <alignment vertical="top"/>
    </xf>
    <xf numFmtId="9" fontId="42" fillId="0" borderId="0" xfId="373" applyFont="1" applyFill="1" applyBorder="1" applyAlignment="1" applyProtection="1">
      <alignment vertical="top" wrapText="1"/>
    </xf>
    <xf numFmtId="9" fontId="74" fillId="0" borderId="0" xfId="373" applyFont="1" applyFill="1" applyAlignment="1">
      <alignment vertical="top"/>
    </xf>
    <xf numFmtId="9" fontId="42" fillId="0" borderId="0" xfId="373" quotePrefix="1" applyFont="1" applyFill="1" applyBorder="1" applyAlignment="1" applyProtection="1"/>
    <xf numFmtId="9" fontId="42" fillId="0" borderId="0" xfId="373" quotePrefix="1" applyFont="1" applyFill="1" applyBorder="1" applyAlignment="1" applyProtection="1">
      <alignment vertical="top" wrapText="1"/>
    </xf>
    <xf numFmtId="9" fontId="74" fillId="0" borderId="0" xfId="373" applyFont="1" applyFill="1" applyBorder="1" applyAlignment="1">
      <alignment vertical="top"/>
    </xf>
    <xf numFmtId="9" fontId="34" fillId="0" borderId="0" xfId="373" applyFont="1" applyFill="1" applyAlignment="1">
      <alignment vertical="top"/>
    </xf>
    <xf numFmtId="9" fontId="38" fillId="0" borderId="0" xfId="373" applyFont="1" applyFill="1" applyBorder="1" applyAlignment="1" applyProtection="1">
      <alignment vertical="top"/>
    </xf>
    <xf numFmtId="9" fontId="12" fillId="0" borderId="0" xfId="373" applyFont="1" applyFill="1" applyBorder="1" applyAlignment="1"/>
    <xf numFmtId="3" fontId="42" fillId="27" borderId="0" xfId="36" applyNumberFormat="1" applyFont="1" applyFill="1" applyBorder="1" applyAlignment="1" applyProtection="1">
      <alignment vertical="top"/>
    </xf>
    <xf numFmtId="0" fontId="41" fillId="0" borderId="0" xfId="35" applyNumberFormat="1" applyFont="1" applyFill="1" applyBorder="1" applyAlignment="1" applyProtection="1">
      <alignment horizontal="left" vertical="top" wrapText="1"/>
    </xf>
    <xf numFmtId="3" fontId="50" fillId="0" borderId="0" xfId="36" applyNumberFormat="1" applyFont="1" applyFill="1" applyBorder="1" applyAlignment="1" applyProtection="1">
      <alignment vertical="top"/>
    </xf>
    <xf numFmtId="3" fontId="42" fillId="0" borderId="0" xfId="0" quotePrefix="1" applyNumberFormat="1" applyFont="1" applyFill="1" applyAlignment="1">
      <alignment vertical="top" wrapText="1"/>
    </xf>
    <xf numFmtId="3" fontId="42" fillId="0" borderId="0" xfId="0" applyNumberFormat="1" applyFont="1" applyFill="1" applyAlignment="1">
      <alignment vertical="top" wrapText="1"/>
    </xf>
    <xf numFmtId="3" fontId="42" fillId="0" borderId="0" xfId="36" quotePrefix="1" applyNumberFormat="1" applyFont="1" applyFill="1" applyBorder="1" applyAlignment="1" applyProtection="1">
      <alignment vertical="top"/>
    </xf>
    <xf numFmtId="3" fontId="31" fillId="0" borderId="0" xfId="0" applyNumberFormat="1" applyFont="1" applyFill="1" applyBorder="1" applyAlignment="1">
      <alignment vertical="top"/>
    </xf>
    <xf numFmtId="0" fontId="106" fillId="0" borderId="0" xfId="0" applyFont="1" applyFill="1" applyAlignment="1">
      <alignment horizontal="center" vertical="top" wrapText="1"/>
    </xf>
    <xf numFmtId="3" fontId="73" fillId="0" borderId="0" xfId="36" applyNumberFormat="1" applyFont="1" applyFill="1" applyBorder="1" applyAlignment="1" applyProtection="1">
      <alignment vertical="top"/>
    </xf>
    <xf numFmtId="3" fontId="110" fillId="0" borderId="0" xfId="36" applyNumberFormat="1" applyFont="1" applyFill="1" applyBorder="1" applyAlignment="1" applyProtection="1">
      <alignment vertical="top"/>
    </xf>
    <xf numFmtId="3" fontId="75" fillId="0" borderId="0" xfId="36" applyNumberFormat="1" applyFont="1" applyFill="1" applyBorder="1" applyAlignment="1">
      <alignment vertical="top"/>
    </xf>
    <xf numFmtId="3" fontId="74" fillId="0" borderId="0" xfId="0" applyNumberFormat="1" applyFont="1" applyFill="1" applyBorder="1" applyAlignment="1">
      <alignment vertical="top"/>
    </xf>
    <xf numFmtId="3" fontId="78" fillId="0" borderId="0" xfId="36" applyNumberFormat="1" applyFont="1" applyFill="1" applyBorder="1" applyAlignment="1" applyProtection="1">
      <alignment vertical="top"/>
    </xf>
    <xf numFmtId="3" fontId="74" fillId="0" borderId="0" xfId="36" applyNumberFormat="1" applyFont="1" applyFill="1" applyBorder="1" applyAlignment="1" applyProtection="1">
      <alignment vertical="top" wrapText="1"/>
    </xf>
    <xf numFmtId="3" fontId="75" fillId="0" borderId="0" xfId="0" applyNumberFormat="1" applyFont="1" applyFill="1" applyAlignment="1">
      <alignment vertical="top"/>
    </xf>
    <xf numFmtId="3" fontId="111" fillId="0" borderId="0" xfId="0" applyNumberFormat="1" applyFont="1" applyFill="1" applyAlignment="1">
      <alignment vertical="top"/>
    </xf>
    <xf numFmtId="3" fontId="79" fillId="0" borderId="0" xfId="36" applyNumberFormat="1" applyFont="1" applyFill="1" applyBorder="1" applyAlignment="1" applyProtection="1">
      <alignment vertical="top" wrapText="1"/>
    </xf>
    <xf numFmtId="3" fontId="78" fillId="0" borderId="0" xfId="0" quotePrefix="1" applyNumberFormat="1" applyFont="1" applyFill="1" applyAlignment="1">
      <alignment wrapText="1"/>
    </xf>
    <xf numFmtId="3" fontId="79" fillId="0" borderId="0" xfId="0" applyNumberFormat="1" applyFont="1" applyFill="1" applyAlignment="1">
      <alignment vertical="top"/>
    </xf>
    <xf numFmtId="3" fontId="78" fillId="0" borderId="0" xfId="31" quotePrefix="1" applyNumberFormat="1" applyFont="1" applyFill="1" applyBorder="1" applyAlignment="1" applyProtection="1">
      <alignment vertical="top" wrapText="1"/>
    </xf>
    <xf numFmtId="3" fontId="78" fillId="0" borderId="0" xfId="0" applyNumberFormat="1" applyFont="1" applyFill="1" applyAlignment="1">
      <alignment wrapText="1"/>
    </xf>
    <xf numFmtId="3" fontId="78" fillId="0" borderId="0" xfId="31" applyNumberFormat="1" applyFont="1" applyFill="1" applyBorder="1" applyAlignment="1" applyProtection="1">
      <alignment vertical="top" wrapText="1"/>
    </xf>
    <xf numFmtId="3" fontId="79" fillId="0" borderId="0" xfId="31" applyNumberFormat="1" applyFont="1" applyFill="1" applyBorder="1" applyAlignment="1" applyProtection="1">
      <alignment vertical="top" wrapText="1"/>
    </xf>
    <xf numFmtId="3" fontId="74" fillId="0" borderId="0" xfId="31" applyNumberFormat="1" applyFont="1" applyFill="1" applyBorder="1" applyAlignment="1" applyProtection="1">
      <alignment vertical="top"/>
    </xf>
    <xf numFmtId="3" fontId="75" fillId="0" borderId="0" xfId="0" applyNumberFormat="1" applyFont="1" applyFill="1" applyAlignment="1">
      <alignment vertical="top" wrapText="1"/>
    </xf>
    <xf numFmtId="3" fontId="74" fillId="0" borderId="0" xfId="0" applyNumberFormat="1" applyFont="1" applyFill="1" applyAlignment="1">
      <alignment vertical="top" wrapText="1"/>
    </xf>
    <xf numFmtId="3" fontId="78" fillId="0" borderId="0" xfId="36" quotePrefix="1" applyNumberFormat="1" applyFont="1" applyFill="1" applyBorder="1" applyAlignment="1" applyProtection="1"/>
    <xf numFmtId="3" fontId="112" fillId="0" borderId="0" xfId="0" applyNumberFormat="1" applyFont="1" applyFill="1" applyAlignment="1">
      <alignment vertical="top"/>
    </xf>
    <xf numFmtId="3" fontId="110" fillId="0" borderId="0" xfId="0" applyNumberFormat="1" applyFont="1" applyFill="1" applyAlignment="1">
      <alignment vertical="top"/>
    </xf>
    <xf numFmtId="3" fontId="74" fillId="0" borderId="0" xfId="0" applyNumberFormat="1" applyFont="1" applyFill="1" applyBorder="1" applyAlignment="1"/>
    <xf numFmtId="3" fontId="79" fillId="0" borderId="0" xfId="0" applyNumberFormat="1" applyFont="1" applyFill="1" applyBorder="1" applyAlignment="1"/>
    <xf numFmtId="3" fontId="112" fillId="0" borderId="0" xfId="36" applyNumberFormat="1" applyFont="1" applyFill="1" applyBorder="1" applyAlignment="1" applyProtection="1">
      <alignment vertical="top"/>
    </xf>
    <xf numFmtId="0" fontId="12" fillId="0" borderId="0" xfId="152" applyFont="1" applyFill="1"/>
    <xf numFmtId="0" fontId="43" fillId="0" borderId="0" xfId="155" applyFont="1" applyAlignment="1">
      <alignment horizontal="right"/>
    </xf>
    <xf numFmtId="0" fontId="12" fillId="0" borderId="0" xfId="155" applyAlignment="1">
      <alignment wrapText="1"/>
    </xf>
    <xf numFmtId="0" fontId="33" fillId="0" borderId="0" xfId="152" applyFont="1" applyBorder="1" applyAlignment="1">
      <alignment horizontal="right"/>
    </xf>
    <xf numFmtId="0" fontId="43" fillId="0" borderId="0" xfId="37" applyFont="1" applyFill="1" applyAlignment="1"/>
    <xf numFmtId="0" fontId="12" fillId="0" borderId="0" xfId="37" applyFont="1" applyFill="1"/>
    <xf numFmtId="0" fontId="44" fillId="0" borderId="0" xfId="37" applyFont="1" applyBorder="1" applyAlignment="1">
      <alignment horizontal="right"/>
    </xf>
    <xf numFmtId="0" fontId="39" fillId="0" borderId="13" xfId="155" applyFont="1" applyBorder="1" applyAlignment="1">
      <alignment vertical="top"/>
    </xf>
    <xf numFmtId="0" fontId="12" fillId="0" borderId="13" xfId="155" applyFont="1" applyBorder="1"/>
    <xf numFmtId="3" fontId="12" fillId="0" borderId="13" xfId="152" applyNumberFormat="1" applyFont="1" applyBorder="1" applyAlignment="1">
      <alignment horizontal="right" vertical="top" wrapText="1"/>
    </xf>
    <xf numFmtId="0" fontId="12" fillId="0" borderId="13" xfId="155" applyBorder="1"/>
    <xf numFmtId="0" fontId="12" fillId="0" borderId="13" xfId="155" applyBorder="1" applyAlignment="1">
      <alignment horizontal="left" wrapText="1" indent="2"/>
    </xf>
    <xf numFmtId="0" fontId="12" fillId="0" borderId="13" xfId="155" applyBorder="1" applyAlignment="1">
      <alignment horizontal="left" wrapText="1" indent="4"/>
    </xf>
    <xf numFmtId="0" fontId="12" fillId="0" borderId="13" xfId="155" applyBorder="1" applyAlignment="1">
      <alignment horizontal="left" indent="4"/>
    </xf>
    <xf numFmtId="0" fontId="12" fillId="0" borderId="13" xfId="155" applyBorder="1" applyAlignment="1">
      <alignment horizontal="left" indent="1"/>
    </xf>
    <xf numFmtId="0" fontId="12" fillId="0" borderId="0" xfId="155" applyFont="1" applyBorder="1"/>
    <xf numFmtId="0" fontId="33" fillId="0" borderId="0" xfId="152" applyFont="1" applyBorder="1" applyAlignment="1">
      <alignment horizontal="center" vertical="top" wrapText="1"/>
    </xf>
    <xf numFmtId="0" fontId="33" fillId="0" borderId="0" xfId="37" applyFont="1" applyBorder="1" applyAlignment="1">
      <alignment horizontal="left"/>
    </xf>
    <xf numFmtId="0" fontId="12" fillId="0" borderId="0" xfId="152" applyFont="1" applyBorder="1"/>
    <xf numFmtId="0" fontId="12" fillId="0" borderId="0" xfId="152" applyFont="1"/>
    <xf numFmtId="0" fontId="31" fillId="0" borderId="0" xfId="152" applyFont="1" applyAlignment="1">
      <alignment vertical="top" wrapText="1"/>
    </xf>
    <xf numFmtId="0" fontId="12" fillId="0" borderId="0" xfId="155"/>
    <xf numFmtId="0" fontId="12" fillId="0" borderId="0" xfId="155" applyFill="1"/>
    <xf numFmtId="0" fontId="12" fillId="0" borderId="0" xfId="37" applyFont="1"/>
    <xf numFmtId="0" fontId="43" fillId="0" borderId="0" xfId="37" applyFont="1" applyAlignment="1">
      <alignment horizontal="left" wrapText="1"/>
    </xf>
    <xf numFmtId="0" fontId="43" fillId="0" borderId="0" xfId="37" applyFont="1" applyFill="1" applyAlignment="1">
      <alignment horizontal="center"/>
    </xf>
    <xf numFmtId="0" fontId="0" fillId="0" borderId="0" xfId="0" applyFill="1" applyBorder="1"/>
    <xf numFmtId="0" fontId="43" fillId="0" borderId="0" xfId="155" applyFont="1" applyFill="1" applyBorder="1"/>
    <xf numFmtId="164" fontId="33" fillId="0" borderId="0" xfId="36" applyNumberFormat="1" applyFont="1" applyFill="1" applyBorder="1" applyAlignment="1">
      <alignment horizontal="left" wrapText="1"/>
    </xf>
    <xf numFmtId="44" fontId="82" fillId="0" borderId="11" xfId="88" applyFont="1" applyFill="1" applyBorder="1" applyAlignment="1">
      <alignment horizontal="right" vertical="top" wrapText="1"/>
    </xf>
    <xf numFmtId="44" fontId="82" fillId="0" borderId="0" xfId="88" applyFont="1" applyFill="1" applyBorder="1" applyAlignment="1">
      <alignment horizontal="right" vertical="top" wrapText="1"/>
    </xf>
    <xf numFmtId="0" fontId="12" fillId="0" borderId="0" xfId="44"/>
    <xf numFmtId="0" fontId="51" fillId="0" borderId="0" xfId="44" applyFont="1" applyFill="1" applyBorder="1"/>
    <xf numFmtId="0" fontId="74" fillId="0" borderId="0" xfId="44" applyFont="1"/>
    <xf numFmtId="0" fontId="74" fillId="0" borderId="0" xfId="155" applyFont="1" applyBorder="1" applyAlignment="1">
      <alignment horizontal="right"/>
    </xf>
    <xf numFmtId="0" fontId="12" fillId="0" borderId="0" xfId="155" applyFont="1" applyBorder="1" applyAlignment="1">
      <alignment horizontal="right"/>
    </xf>
    <xf numFmtId="3" fontId="113" fillId="0" borderId="0" xfId="0" applyNumberFormat="1" applyFont="1" applyBorder="1" applyAlignment="1"/>
    <xf numFmtId="3" fontId="74" fillId="0" borderId="0" xfId="0" applyNumberFormat="1" applyFont="1" applyBorder="1" applyAlignment="1"/>
    <xf numFmtId="3" fontId="113" fillId="0" borderId="0" xfId="0" applyNumberFormat="1" applyFont="1" applyBorder="1" applyAlignment="1">
      <alignment vertical="top"/>
    </xf>
    <xf numFmtId="9" fontId="50" fillId="0" borderId="0" xfId="373" applyFont="1" applyBorder="1" applyAlignment="1"/>
    <xf numFmtId="9" fontId="12" fillId="0" borderId="0" xfId="373" applyFont="1" applyBorder="1" applyAlignment="1"/>
    <xf numFmtId="9" fontId="50" fillId="0" borderId="0" xfId="373" applyFont="1" applyBorder="1" applyAlignment="1">
      <alignment vertical="top"/>
    </xf>
    <xf numFmtId="0" fontId="116" fillId="0" borderId="0" xfId="36" applyNumberFormat="1" applyFont="1" applyFill="1" applyBorder="1" applyAlignment="1" applyProtection="1">
      <alignment horizontal="left" vertical="top" indent="4"/>
    </xf>
    <xf numFmtId="0" fontId="114" fillId="0" borderId="0" xfId="46" applyNumberFormat="1" applyFont="1" applyFill="1" applyBorder="1" applyAlignment="1" applyProtection="1">
      <alignment horizontal="left" vertical="top" wrapText="1" indent="3"/>
    </xf>
    <xf numFmtId="0" fontId="114" fillId="0" borderId="0" xfId="46" applyNumberFormat="1" applyFont="1" applyFill="1" applyBorder="1" applyAlignment="1" applyProtection="1">
      <alignment horizontal="left" vertical="top" wrapText="1" indent="2"/>
    </xf>
    <xf numFmtId="0" fontId="114" fillId="0" borderId="0" xfId="46" applyNumberFormat="1" applyFont="1" applyFill="1" applyBorder="1" applyAlignment="1" applyProtection="1">
      <alignment horizontal="left" vertical="top" wrapText="1" indent="4"/>
    </xf>
    <xf numFmtId="0" fontId="114" fillId="0" borderId="0" xfId="46" applyNumberFormat="1" applyFont="1" applyFill="1" applyBorder="1" applyAlignment="1" applyProtection="1">
      <alignment horizontal="left" vertical="top" wrapText="1" indent="5"/>
    </xf>
    <xf numFmtId="0" fontId="116" fillId="0" borderId="0" xfId="36" applyNumberFormat="1" applyFont="1" applyFill="1" applyBorder="1" applyAlignment="1" applyProtection="1">
      <alignment horizontal="left" vertical="top" indent="6"/>
    </xf>
    <xf numFmtId="0" fontId="114" fillId="0" borderId="0" xfId="46" applyNumberFormat="1" applyFont="1" applyFill="1" applyBorder="1" applyAlignment="1" applyProtection="1">
      <alignment horizontal="left" vertical="top" indent="5"/>
    </xf>
    <xf numFmtId="0" fontId="114" fillId="0" borderId="0" xfId="46" applyNumberFormat="1" applyFont="1" applyFill="1" applyBorder="1" applyAlignment="1" applyProtection="1">
      <alignment horizontal="left" vertical="top" wrapText="1" indent="6"/>
    </xf>
    <xf numFmtId="0" fontId="116" fillId="0" borderId="0" xfId="36" applyNumberFormat="1" applyFont="1" applyFill="1" applyBorder="1" applyAlignment="1" applyProtection="1">
      <alignment horizontal="left" vertical="top" indent="7"/>
    </xf>
    <xf numFmtId="0" fontId="117" fillId="0" borderId="0" xfId="36" applyNumberFormat="1" applyFont="1" applyFill="1" applyBorder="1" applyAlignment="1" applyProtection="1">
      <alignment horizontal="left" vertical="top" indent="4"/>
    </xf>
    <xf numFmtId="0" fontId="115" fillId="0" borderId="0" xfId="36" applyNumberFormat="1" applyFont="1" applyFill="1" applyBorder="1" applyAlignment="1" applyProtection="1">
      <alignment horizontal="left" vertical="top" indent="5"/>
    </xf>
    <xf numFmtId="9" fontId="42" fillId="27" borderId="0" xfId="373" applyFont="1" applyFill="1" applyBorder="1" applyAlignment="1" applyProtection="1">
      <alignment vertical="top"/>
    </xf>
    <xf numFmtId="9" fontId="42" fillId="0" borderId="0" xfId="373" applyFont="1" applyFill="1" applyAlignment="1">
      <alignment wrapText="1"/>
    </xf>
    <xf numFmtId="9" fontId="38" fillId="0" borderId="0" xfId="373" applyFont="1" applyFill="1" applyAlignment="1">
      <alignment vertical="top"/>
    </xf>
    <xf numFmtId="9" fontId="31" fillId="0" borderId="0" xfId="373" applyFont="1" applyFill="1" applyBorder="1" applyAlignment="1"/>
    <xf numFmtId="0" fontId="88" fillId="0" borderId="0" xfId="0" applyFont="1" applyAlignment="1">
      <alignment horizontal="left" vertical="top"/>
    </xf>
    <xf numFmtId="0" fontId="87" fillId="0" borderId="0" xfId="151" applyFont="1" applyAlignment="1">
      <alignment vertical="top"/>
    </xf>
    <xf numFmtId="0" fontId="32" fillId="0" borderId="0" xfId="44" applyFont="1" applyAlignment="1">
      <alignment horizontal="left"/>
    </xf>
    <xf numFmtId="0" fontId="43" fillId="0" borderId="0" xfId="44" applyFont="1" applyAlignment="1">
      <alignment horizontal="left"/>
    </xf>
    <xf numFmtId="0" fontId="44" fillId="0" borderId="0" xfId="44" applyFont="1"/>
    <xf numFmtId="0" fontId="12" fillId="0" borderId="0" xfId="44" applyAlignment="1">
      <alignment horizontal="right"/>
    </xf>
    <xf numFmtId="0" fontId="43" fillId="0" borderId="0" xfId="44" applyFont="1" applyAlignment="1">
      <alignment horizontal="right"/>
    </xf>
    <xf numFmtId="0" fontId="44" fillId="0" borderId="0" xfId="44" applyFont="1" applyAlignment="1"/>
    <xf numFmtId="0" fontId="119" fillId="0" borderId="0" xfId="44" applyFont="1" applyAlignment="1"/>
    <xf numFmtId="0" fontId="43" fillId="0" borderId="0" xfId="44" applyFont="1" applyAlignment="1"/>
    <xf numFmtId="0" fontId="44" fillId="0" borderId="0" xfId="44" applyFont="1" applyBorder="1"/>
    <xf numFmtId="0" fontId="44" fillId="0" borderId="0" xfId="44" applyFont="1" applyBorder="1" applyAlignment="1"/>
    <xf numFmtId="0" fontId="43" fillId="0" borderId="0" xfId="44" applyFont="1" applyBorder="1" applyAlignment="1">
      <alignment horizontal="right"/>
    </xf>
    <xf numFmtId="0" fontId="12" fillId="0" borderId="0" xfId="44" applyBorder="1" applyAlignment="1">
      <alignment horizontal="right"/>
    </xf>
    <xf numFmtId="0" fontId="120" fillId="0" borderId="21" xfId="44" applyFont="1" applyBorder="1" applyAlignment="1">
      <alignment horizontal="center" vertical="top" wrapText="1"/>
    </xf>
    <xf numFmtId="0" fontId="120" fillId="0" borderId="22" xfId="44" applyFont="1" applyBorder="1" applyAlignment="1">
      <alignment horizontal="center" vertical="top" wrapText="1"/>
    </xf>
    <xf numFmtId="0" fontId="120" fillId="0" borderId="23" xfId="44" applyFont="1" applyBorder="1" applyAlignment="1">
      <alignment horizontal="center" vertical="top" wrapText="1"/>
    </xf>
    <xf numFmtId="0" fontId="121" fillId="0" borderId="24" xfId="44" applyFont="1" applyBorder="1" applyAlignment="1">
      <alignment horizontal="center" vertical="top" wrapText="1"/>
    </xf>
    <xf numFmtId="0" fontId="122" fillId="0" borderId="27" xfId="44" applyFont="1" applyBorder="1" applyAlignment="1">
      <alignment horizontal="center" wrapText="1"/>
    </xf>
    <xf numFmtId="0" fontId="49" fillId="0" borderId="0" xfId="44" applyFont="1"/>
    <xf numFmtId="0" fontId="49" fillId="0" borderId="28" xfId="44" applyFont="1" applyBorder="1" applyAlignment="1"/>
    <xf numFmtId="0" fontId="49" fillId="0" borderId="29" xfId="44" applyFont="1" applyBorder="1" applyAlignment="1">
      <alignment wrapText="1"/>
    </xf>
    <xf numFmtId="0" fontId="49" fillId="0" borderId="29" xfId="44" applyFont="1" applyBorder="1" applyAlignment="1">
      <alignment horizontal="center" vertical="top" wrapText="1"/>
    </xf>
    <xf numFmtId="0" fontId="49" fillId="0" borderId="29" xfId="44" applyFont="1" applyBorder="1" applyAlignment="1"/>
    <xf numFmtId="0" fontId="49" fillId="0" borderId="30" xfId="44" applyFont="1" applyBorder="1" applyAlignment="1">
      <alignment vertical="top"/>
    </xf>
    <xf numFmtId="0" fontId="121" fillId="0" borderId="29" xfId="44" applyFont="1" applyBorder="1" applyAlignment="1">
      <alignment horizontal="center" vertical="top"/>
    </xf>
    <xf numFmtId="0" fontId="120" fillId="0" borderId="31" xfId="44" applyFont="1" applyBorder="1" applyAlignment="1">
      <alignment horizontal="center" vertical="top" wrapText="1"/>
    </xf>
    <xf numFmtId="0" fontId="120" fillId="0" borderId="30" xfId="44" applyFont="1" applyBorder="1" applyAlignment="1">
      <alignment horizontal="center" vertical="top" wrapText="1"/>
    </xf>
    <xf numFmtId="0" fontId="120" fillId="0" borderId="32" xfId="44" applyFont="1" applyBorder="1" applyAlignment="1">
      <alignment horizontal="center" vertical="top" wrapText="1"/>
    </xf>
    <xf numFmtId="0" fontId="121" fillId="0" borderId="32" xfId="44" applyFont="1" applyBorder="1" applyAlignment="1">
      <alignment horizontal="center" vertical="top"/>
    </xf>
    <xf numFmtId="0" fontId="121" fillId="0" borderId="33" xfId="44" applyFont="1" applyBorder="1" applyAlignment="1">
      <alignment horizontal="center" vertical="top"/>
    </xf>
    <xf numFmtId="0" fontId="121" fillId="0" borderId="33" xfId="44" applyFont="1" applyBorder="1" applyAlignment="1">
      <alignment horizontal="center" vertical="top" wrapText="1"/>
    </xf>
    <xf numFmtId="0" fontId="120" fillId="0" borderId="34" xfId="44" applyFont="1" applyBorder="1" applyAlignment="1">
      <alignment horizontal="center"/>
    </xf>
    <xf numFmtId="0" fontId="44" fillId="0" borderId="35" xfId="44" applyFont="1" applyBorder="1" applyAlignment="1">
      <alignment horizontal="center" vertical="top" wrapText="1"/>
    </xf>
    <xf numFmtId="0" fontId="44" fillId="0" borderId="17" xfId="44" applyFont="1" applyBorder="1" applyAlignment="1">
      <alignment horizontal="center" wrapText="1"/>
    </xf>
    <xf numFmtId="0" fontId="44" fillId="0" borderId="17" xfId="44" applyFont="1" applyBorder="1" applyAlignment="1">
      <alignment horizontal="center" vertical="top" wrapText="1"/>
    </xf>
    <xf numFmtId="0" fontId="44" fillId="0" borderId="14" xfId="44" applyFont="1" applyBorder="1" applyAlignment="1">
      <alignment horizontal="center" wrapText="1"/>
    </xf>
    <xf numFmtId="0" fontId="44" fillId="0" borderId="36" xfId="44" applyFont="1" applyBorder="1" applyAlignment="1">
      <alignment horizontal="center" wrapText="1"/>
    </xf>
    <xf numFmtId="0" fontId="44" fillId="0" borderId="17" xfId="44" applyFont="1" applyBorder="1" applyAlignment="1">
      <alignment wrapText="1"/>
    </xf>
    <xf numFmtId="0" fontId="44" fillId="0" borderId="18" xfId="44" applyFont="1" applyBorder="1"/>
    <xf numFmtId="0" fontId="44" fillId="0" borderId="17" xfId="44" applyFont="1" applyBorder="1"/>
    <xf numFmtId="0" fontId="44" fillId="0" borderId="14" xfId="44" applyFont="1" applyBorder="1"/>
    <xf numFmtId="0" fontId="44" fillId="0" borderId="36" xfId="44" applyFont="1" applyBorder="1"/>
    <xf numFmtId="0" fontId="44" fillId="0" borderId="29" xfId="44" applyFont="1" applyBorder="1" applyAlignment="1">
      <alignment wrapText="1"/>
    </xf>
    <xf numFmtId="0" fontId="44" fillId="0" borderId="41" xfId="44" applyFont="1" applyBorder="1"/>
    <xf numFmtId="0" fontId="44" fillId="0" borderId="29" xfId="44" applyFont="1" applyBorder="1"/>
    <xf numFmtId="0" fontId="44" fillId="0" borderId="30" xfId="44" applyFont="1" applyBorder="1"/>
    <xf numFmtId="0" fontId="44" fillId="0" borderId="42" xfId="44" applyFont="1" applyBorder="1"/>
    <xf numFmtId="0" fontId="12" fillId="0" borderId="0" xfId="512" applyFont="1" applyAlignment="1">
      <alignment horizontal="left"/>
    </xf>
    <xf numFmtId="0" fontId="45" fillId="0" borderId="0" xfId="44" applyFont="1" applyBorder="1" applyAlignment="1">
      <alignment wrapText="1"/>
    </xf>
    <xf numFmtId="0" fontId="12" fillId="0" borderId="0" xfId="44" applyAlignment="1"/>
    <xf numFmtId="0" fontId="80" fillId="0" borderId="13" xfId="155" applyFont="1" applyFill="1" applyBorder="1" applyAlignment="1">
      <alignment horizontal="center" vertical="top" wrapText="1"/>
    </xf>
    <xf numFmtId="0" fontId="97" fillId="28" borderId="0" xfId="151" applyFont="1" applyFill="1" applyBorder="1" applyAlignment="1">
      <alignment horizontal="center" vertical="top"/>
    </xf>
    <xf numFmtId="0" fontId="97" fillId="28" borderId="0" xfId="151" applyFont="1" applyFill="1" applyBorder="1" applyAlignment="1">
      <alignment horizontal="center" vertical="top" wrapText="1"/>
    </xf>
    <xf numFmtId="3" fontId="97" fillId="28" borderId="0" xfId="151" applyNumberFormat="1" applyFont="1" applyFill="1" applyBorder="1" applyAlignment="1">
      <alignment horizontal="right" vertical="top" wrapText="1"/>
    </xf>
    <xf numFmtId="0" fontId="94" fillId="0" borderId="0" xfId="51" applyFont="1" applyFill="1" applyBorder="1" applyAlignment="1">
      <alignment vertical="top"/>
    </xf>
    <xf numFmtId="0" fontId="94" fillId="0" borderId="0" xfId="0" applyFont="1" applyBorder="1" applyAlignment="1">
      <alignment vertical="top" wrapText="1"/>
    </xf>
    <xf numFmtId="3" fontId="94" fillId="0" borderId="0" xfId="0" applyNumberFormat="1" applyFont="1" applyBorder="1" applyAlignment="1">
      <alignment vertical="top"/>
    </xf>
    <xf numFmtId="0" fontId="94" fillId="0" borderId="0" xfId="112" applyFont="1" applyFill="1" applyBorder="1" applyAlignment="1">
      <alignment vertical="top" wrapText="1"/>
    </xf>
    <xf numFmtId="3" fontId="94" fillId="0" borderId="0" xfId="155" applyNumberFormat="1" applyFont="1" applyFill="1" applyBorder="1" applyAlignment="1" applyProtection="1">
      <alignment vertical="top"/>
      <protection locked="0"/>
    </xf>
    <xf numFmtId="1" fontId="94" fillId="0" borderId="0" xfId="0" applyNumberFormat="1" applyFont="1" applyBorder="1" applyAlignment="1">
      <alignment horizontal="right" vertical="top"/>
    </xf>
    <xf numFmtId="0" fontId="88" fillId="29" borderId="0" xfId="151" applyFont="1" applyFill="1" applyBorder="1" applyAlignment="1">
      <alignment horizontal="center" vertical="top" wrapText="1"/>
    </xf>
    <xf numFmtId="0" fontId="88" fillId="29" borderId="0" xfId="151" applyFont="1" applyFill="1" applyBorder="1" applyAlignment="1">
      <alignment vertical="top"/>
    </xf>
    <xf numFmtId="0" fontId="96" fillId="28" borderId="0" xfId="151" applyFont="1" applyFill="1" applyBorder="1" applyAlignment="1">
      <alignment horizontal="center" vertical="top"/>
    </xf>
    <xf numFmtId="0" fontId="94" fillId="0" borderId="0" xfId="51" applyFont="1" applyFill="1" applyBorder="1" applyAlignment="1">
      <alignment horizontal="right" vertical="top"/>
    </xf>
    <xf numFmtId="0" fontId="98" fillId="0" borderId="0" xfId="51" applyFont="1" applyFill="1" applyBorder="1" applyAlignment="1">
      <alignment vertical="top" wrapText="1"/>
    </xf>
    <xf numFmtId="3" fontId="98" fillId="0" borderId="0" xfId="0" applyNumberFormat="1" applyFont="1" applyFill="1" applyBorder="1" applyAlignment="1" applyProtection="1">
      <alignment vertical="top"/>
      <protection locked="0"/>
    </xf>
    <xf numFmtId="0" fontId="97" fillId="0" borderId="0" xfId="151" applyFont="1" applyFill="1" applyBorder="1"/>
    <xf numFmtId="0" fontId="98" fillId="28" borderId="0" xfId="151" applyFont="1" applyFill="1" applyBorder="1" applyAlignment="1">
      <alignment horizontal="right" vertical="top" wrapText="1"/>
    </xf>
    <xf numFmtId="0" fontId="96" fillId="28" borderId="0" xfId="151" applyFont="1" applyFill="1" applyBorder="1" applyAlignment="1">
      <alignment horizontal="left" vertical="top"/>
    </xf>
    <xf numFmtId="0" fontId="96" fillId="28" borderId="0" xfId="151" applyFont="1" applyFill="1" applyBorder="1" applyAlignment="1">
      <alignment horizontal="left" vertical="top" wrapText="1"/>
    </xf>
    <xf numFmtId="3" fontId="96" fillId="28" borderId="0" xfId="151" applyNumberFormat="1" applyFont="1" applyFill="1" applyBorder="1" applyAlignment="1">
      <alignment horizontal="right" vertical="top" wrapText="1"/>
    </xf>
    <xf numFmtId="0" fontId="97" fillId="0" borderId="0" xfId="151" applyFont="1" applyFill="1" applyBorder="1" applyAlignment="1">
      <alignment vertical="top"/>
    </xf>
    <xf numFmtId="3" fontId="33" fillId="0" borderId="0" xfId="38" applyNumberFormat="1" applyFont="1" applyFill="1" applyBorder="1" applyAlignment="1">
      <alignment horizontal="right" vertical="top"/>
    </xf>
    <xf numFmtId="0" fontId="33" fillId="0" borderId="0" xfId="0" applyFont="1" applyAlignment="1">
      <alignment horizontal="left"/>
    </xf>
    <xf numFmtId="0" fontId="86" fillId="0" borderId="0" xfId="151" applyFont="1" applyAlignment="1">
      <alignment horizontal="right"/>
    </xf>
    <xf numFmtId="3" fontId="97" fillId="0" borderId="0" xfId="38" applyNumberFormat="1" applyFont="1" applyFill="1" applyBorder="1" applyAlignment="1">
      <alignment horizontal="right" vertical="top"/>
    </xf>
    <xf numFmtId="0" fontId="94" fillId="28" borderId="0" xfId="151" applyFont="1" applyFill="1" applyBorder="1" applyAlignment="1">
      <alignment horizontal="right" vertical="top" wrapText="1"/>
    </xf>
    <xf numFmtId="0" fontId="97" fillId="28" borderId="0" xfId="151" applyFont="1" applyFill="1" applyBorder="1" applyAlignment="1">
      <alignment horizontal="left" vertical="top"/>
    </xf>
    <xf numFmtId="0" fontId="97" fillId="28" borderId="0" xfId="151" applyFont="1" applyFill="1" applyBorder="1" applyAlignment="1">
      <alignment horizontal="left" vertical="top" wrapText="1"/>
    </xf>
    <xf numFmtId="0" fontId="94" fillId="0" borderId="0" xfId="0" applyFont="1" applyFill="1" applyBorder="1" applyAlignment="1">
      <alignment vertical="top" wrapText="1"/>
    </xf>
    <xf numFmtId="3" fontId="94" fillId="0" borderId="0" xfId="0" applyNumberFormat="1" applyFont="1" applyFill="1" applyBorder="1" applyAlignment="1">
      <alignment vertical="top"/>
    </xf>
    <xf numFmtId="0" fontId="88" fillId="29" borderId="0" xfId="151" applyFont="1" applyFill="1" applyBorder="1" applyAlignment="1">
      <alignment horizontal="center" vertical="top"/>
    </xf>
    <xf numFmtId="0" fontId="123" fillId="0" borderId="0" xfId="44" applyFont="1"/>
    <xf numFmtId="0" fontId="123" fillId="0" borderId="0" xfId="44" applyFont="1" applyAlignment="1">
      <alignment horizontal="justify"/>
    </xf>
    <xf numFmtId="0" fontId="123" fillId="0" borderId="0" xfId="44" applyFont="1" applyAlignment="1">
      <alignment horizontal="right"/>
    </xf>
    <xf numFmtId="0" fontId="125" fillId="0" borderId="43" xfId="44" applyFont="1" applyBorder="1" applyAlignment="1">
      <alignment horizontal="center" vertical="top"/>
    </xf>
    <xf numFmtId="0" fontId="125" fillId="0" borderId="16" xfId="44" applyFont="1" applyBorder="1" applyAlignment="1">
      <alignment horizontal="center" vertical="top"/>
    </xf>
    <xf numFmtId="0" fontId="125" fillId="0" borderId="14" xfId="44" applyFont="1" applyBorder="1" applyAlignment="1">
      <alignment horizontal="justify" vertical="top"/>
    </xf>
    <xf numFmtId="0" fontId="125" fillId="0" borderId="17" xfId="44" applyFont="1" applyBorder="1" applyAlignment="1">
      <alignment horizontal="justify"/>
    </xf>
    <xf numFmtId="0" fontId="125" fillId="0" borderId="13" xfId="44" applyFont="1" applyBorder="1" applyAlignment="1">
      <alignment horizontal="center" wrapText="1"/>
    </xf>
    <xf numFmtId="3" fontId="124" fillId="0" borderId="13" xfId="44" applyNumberFormat="1" applyFont="1" applyFill="1" applyBorder="1" applyAlignment="1">
      <alignment horizontal="right" vertical="top"/>
    </xf>
    <xf numFmtId="0" fontId="12" fillId="0" borderId="0" xfId="44" applyAlignment="1">
      <alignment vertical="top"/>
    </xf>
    <xf numFmtId="3" fontId="12" fillId="0" borderId="0" xfId="44" applyNumberFormat="1"/>
    <xf numFmtId="0" fontId="124" fillId="0" borderId="13" xfId="44" applyFont="1" applyFill="1" applyBorder="1" applyAlignment="1">
      <alignment horizontal="justify" vertical="top"/>
    </xf>
    <xf numFmtId="0" fontId="33" fillId="0" borderId="0" xfId="44" applyFont="1"/>
    <xf numFmtId="0" fontId="123" fillId="0" borderId="0" xfId="44" applyFont="1" applyAlignment="1">
      <alignment horizontal="left" vertical="top"/>
    </xf>
    <xf numFmtId="3" fontId="116" fillId="0" borderId="0" xfId="36" applyNumberFormat="1" applyFont="1" applyFill="1" applyBorder="1" applyAlignment="1" applyProtection="1">
      <alignment vertical="top"/>
    </xf>
    <xf numFmtId="3" fontId="115" fillId="0" borderId="0" xfId="36" applyNumberFormat="1" applyFont="1" applyFill="1" applyBorder="1" applyAlignment="1" applyProtection="1">
      <alignment vertical="top"/>
    </xf>
    <xf numFmtId="0" fontId="94" fillId="0" borderId="0" xfId="36" applyNumberFormat="1" applyFont="1" applyFill="1" applyBorder="1" applyAlignment="1" applyProtection="1">
      <alignment horizontal="left" vertical="top" wrapText="1"/>
    </xf>
    <xf numFmtId="0" fontId="98" fillId="0" borderId="0" xfId="0" applyFont="1" applyAlignment="1">
      <alignment vertical="top" wrapText="1"/>
    </xf>
    <xf numFmtId="3" fontId="48" fillId="0" borderId="0" xfId="0" applyNumberFormat="1" applyFont="1" applyFill="1" applyBorder="1" applyAlignment="1"/>
    <xf numFmtId="3" fontId="77" fillId="0" borderId="0" xfId="0" applyNumberFormat="1" applyFont="1" applyFill="1" applyBorder="1" applyAlignment="1"/>
    <xf numFmtId="9" fontId="48" fillId="0" borderId="0" xfId="373" applyFont="1" applyFill="1" applyBorder="1" applyAlignment="1"/>
    <xf numFmtId="0" fontId="48" fillId="0" borderId="0" xfId="0" applyFont="1" applyFill="1"/>
    <xf numFmtId="0" fontId="114" fillId="0" borderId="0" xfId="0" applyFont="1" applyFill="1"/>
    <xf numFmtId="9" fontId="116" fillId="0" borderId="0" xfId="47" applyFont="1" applyFill="1" applyBorder="1" applyAlignment="1" applyProtection="1">
      <alignment vertical="top"/>
    </xf>
    <xf numFmtId="0" fontId="37"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protection locked="0"/>
    </xf>
    <xf numFmtId="3" fontId="104" fillId="0" borderId="0" xfId="0" applyNumberFormat="1" applyFont="1" applyFill="1" applyBorder="1" applyAlignment="1" applyProtection="1">
      <alignment vertical="top"/>
      <protection locked="0"/>
    </xf>
    <xf numFmtId="3" fontId="127" fillId="0" borderId="0" xfId="0" applyNumberFormat="1" applyFont="1"/>
    <xf numFmtId="0" fontId="33" fillId="44" borderId="16" xfId="518" applyFont="1" applyFill="1" applyBorder="1" applyAlignment="1" applyProtection="1">
      <alignment horizontal="left" vertical="top" wrapText="1"/>
      <protection locked="0"/>
    </xf>
    <xf numFmtId="0" fontId="122" fillId="44" borderId="13" xfId="518" applyFont="1" applyFill="1" applyBorder="1" applyAlignment="1" applyProtection="1">
      <alignment horizontal="left" vertical="top"/>
      <protection locked="0"/>
    </xf>
    <xf numFmtId="3" fontId="52" fillId="44" borderId="10" xfId="518" applyNumberFormat="1" applyFont="1" applyFill="1" applyBorder="1" applyAlignment="1" applyProtection="1">
      <alignment vertical="top"/>
      <protection locked="0"/>
    </xf>
    <xf numFmtId="3" fontId="52" fillId="44" borderId="13" xfId="518" applyNumberFormat="1" applyFont="1" applyFill="1" applyBorder="1" applyAlignment="1" applyProtection="1">
      <alignment vertical="top"/>
      <protection locked="0"/>
    </xf>
    <xf numFmtId="0" fontId="12" fillId="0" borderId="16" xfId="518" applyFont="1" applyFill="1" applyBorder="1" applyAlignment="1" applyProtection="1">
      <alignment horizontal="right" vertical="top" wrapText="1"/>
      <protection locked="0"/>
    </xf>
    <xf numFmtId="0" fontId="31" fillId="0" borderId="12" xfId="518" applyFont="1" applyFill="1" applyBorder="1" applyAlignment="1" applyProtection="1">
      <alignment horizontal="left" vertical="top"/>
      <protection locked="0"/>
    </xf>
    <xf numFmtId="3" fontId="50" fillId="0" borderId="10" xfId="518" applyNumberFormat="1" applyFont="1" applyFill="1" applyBorder="1" applyAlignment="1" applyProtection="1">
      <alignment vertical="top"/>
      <protection locked="0"/>
    </xf>
    <xf numFmtId="3" fontId="50" fillId="0" borderId="13" xfId="518" applyNumberFormat="1" applyFont="1" applyFill="1" applyBorder="1" applyAlignment="1" applyProtection="1">
      <alignment vertical="top"/>
      <protection locked="0"/>
    </xf>
    <xf numFmtId="0" fontId="12" fillId="0" borderId="15" xfId="518" applyFont="1" applyFill="1" applyBorder="1" applyAlignment="1" applyProtection="1">
      <alignment horizontal="right" vertical="top" wrapText="1"/>
      <protection locked="0"/>
    </xf>
    <xf numFmtId="0" fontId="12" fillId="0" borderId="15" xfId="518" applyFont="1" applyFill="1" applyBorder="1" applyAlignment="1" applyProtection="1">
      <alignment horizontal="left" vertical="top" wrapText="1"/>
      <protection locked="0"/>
    </xf>
    <xf numFmtId="0" fontId="31" fillId="0" borderId="44" xfId="518" applyFont="1" applyFill="1" applyBorder="1" applyAlignment="1" applyProtection="1">
      <alignment horizontal="left" vertical="top"/>
      <protection locked="0"/>
    </xf>
    <xf numFmtId="3" fontId="50" fillId="0" borderId="43" xfId="518" applyNumberFormat="1" applyFont="1" applyFill="1" applyBorder="1" applyAlignment="1" applyProtection="1">
      <alignment vertical="top"/>
      <protection locked="0"/>
    </xf>
    <xf numFmtId="3" fontId="50" fillId="0" borderId="16" xfId="518" applyNumberFormat="1" applyFont="1" applyFill="1" applyBorder="1" applyAlignment="1" applyProtection="1">
      <alignment vertical="top"/>
      <protection locked="0"/>
    </xf>
    <xf numFmtId="0" fontId="33" fillId="45" borderId="13" xfId="518" applyFont="1" applyFill="1" applyBorder="1" applyAlignment="1" applyProtection="1">
      <alignment horizontal="left" vertical="top" wrapText="1"/>
      <protection locked="0"/>
    </xf>
    <xf numFmtId="0" fontId="122" fillId="45" borderId="13" xfId="518" applyFont="1" applyFill="1" applyBorder="1" applyAlignment="1" applyProtection="1">
      <alignment horizontal="left" vertical="top"/>
      <protection locked="0"/>
    </xf>
    <xf numFmtId="3" fontId="127" fillId="45" borderId="10" xfId="518" applyNumberFormat="1" applyFont="1" applyFill="1" applyBorder="1" applyAlignment="1" applyProtection="1">
      <alignment vertical="top"/>
      <protection locked="0"/>
    </xf>
    <xf numFmtId="3" fontId="127" fillId="45" borderId="13" xfId="518" applyNumberFormat="1" applyFont="1" applyFill="1" applyBorder="1" applyAlignment="1" applyProtection="1">
      <alignment vertical="top"/>
      <protection locked="0"/>
    </xf>
    <xf numFmtId="0" fontId="33" fillId="45" borderId="16" xfId="518" applyFont="1" applyFill="1" applyBorder="1" applyAlignment="1" applyProtection="1">
      <alignment horizontal="left" vertical="top" wrapText="1"/>
      <protection locked="0"/>
    </xf>
    <xf numFmtId="3" fontId="52" fillId="45" borderId="10" xfId="518" applyNumberFormat="1" applyFont="1" applyFill="1" applyBorder="1" applyAlignment="1" applyProtection="1">
      <alignment vertical="top"/>
      <protection locked="0"/>
    </xf>
    <xf numFmtId="3" fontId="52" fillId="45" borderId="13" xfId="518" applyNumberFormat="1" applyFont="1" applyFill="1" applyBorder="1" applyAlignment="1" applyProtection="1">
      <alignment vertical="top"/>
      <protection locked="0"/>
    </xf>
    <xf numFmtId="0" fontId="31" fillId="0" borderId="18" xfId="518" applyFont="1" applyFill="1" applyBorder="1" applyAlignment="1" applyProtection="1">
      <alignment horizontal="left" vertical="top"/>
      <protection locked="0"/>
    </xf>
    <xf numFmtId="3" fontId="50" fillId="0" borderId="14" xfId="518" applyNumberFormat="1" applyFont="1" applyFill="1" applyBorder="1" applyAlignment="1" applyProtection="1">
      <alignment vertical="top"/>
      <protection locked="0"/>
    </xf>
    <xf numFmtId="3" fontId="50" fillId="0" borderId="17" xfId="518" applyNumberFormat="1" applyFont="1" applyFill="1" applyBorder="1" applyAlignment="1" applyProtection="1">
      <alignment vertical="top"/>
      <protection locked="0"/>
    </xf>
    <xf numFmtId="0" fontId="12" fillId="0" borderId="17" xfId="518" applyFont="1" applyFill="1" applyBorder="1" applyAlignment="1" applyProtection="1">
      <alignment horizontal="left" vertical="top" wrapText="1"/>
      <protection locked="0"/>
    </xf>
    <xf numFmtId="0" fontId="33" fillId="46" borderId="13" xfId="518" applyFont="1" applyFill="1" applyBorder="1" applyAlignment="1" applyProtection="1">
      <alignment horizontal="left" vertical="top" wrapText="1"/>
      <protection locked="0"/>
    </xf>
    <xf numFmtId="0" fontId="122" fillId="46" borderId="13" xfId="518" applyFont="1" applyFill="1" applyBorder="1" applyAlignment="1" applyProtection="1">
      <alignment horizontal="left" vertical="top"/>
      <protection locked="0"/>
    </xf>
    <xf numFmtId="3" fontId="33" fillId="46" borderId="10" xfId="518" applyNumberFormat="1" applyFont="1" applyFill="1" applyBorder="1" applyAlignment="1" applyProtection="1">
      <alignment vertical="top"/>
      <protection locked="0"/>
    </xf>
    <xf numFmtId="3" fontId="33" fillId="46" borderId="13" xfId="518" applyNumberFormat="1" applyFont="1" applyFill="1" applyBorder="1" applyAlignment="1" applyProtection="1">
      <alignment vertical="top"/>
      <protection locked="0"/>
    </xf>
    <xf numFmtId="0" fontId="31" fillId="0" borderId="13" xfId="518" applyFont="1" applyFill="1" applyBorder="1" applyAlignment="1" applyProtection="1">
      <alignment horizontal="left" vertical="top"/>
      <protection locked="0"/>
    </xf>
    <xf numFmtId="3" fontId="12" fillId="0" borderId="10" xfId="518" applyNumberFormat="1" applyFont="1" applyFill="1" applyBorder="1" applyAlignment="1" applyProtection="1">
      <alignment vertical="top"/>
      <protection locked="0"/>
    </xf>
    <xf numFmtId="3" fontId="12" fillId="0" borderId="13" xfId="518" applyNumberFormat="1" applyFont="1" applyFill="1" applyBorder="1" applyAlignment="1" applyProtection="1">
      <alignment vertical="top"/>
      <protection locked="0"/>
    </xf>
    <xf numFmtId="0" fontId="31" fillId="0" borderId="17" xfId="518" applyFont="1" applyFill="1" applyBorder="1" applyAlignment="1" applyProtection="1">
      <alignment horizontal="left" vertical="top"/>
      <protection locked="0"/>
    </xf>
    <xf numFmtId="0" fontId="12" fillId="0" borderId="13" xfId="518" applyFont="1" applyFill="1" applyBorder="1" applyAlignment="1" applyProtection="1">
      <alignment horizontal="left" vertical="top" wrapText="1"/>
      <protection locked="0"/>
    </xf>
    <xf numFmtId="3" fontId="12" fillId="0" borderId="43" xfId="518" applyNumberFormat="1" applyFont="1" applyFill="1" applyBorder="1" applyAlignment="1" applyProtection="1">
      <alignment vertical="top"/>
      <protection locked="0"/>
    </xf>
    <xf numFmtId="3" fontId="12" fillId="0" borderId="16" xfId="518" applyNumberFormat="1" applyFont="1" applyFill="1" applyBorder="1" applyAlignment="1" applyProtection="1">
      <alignment vertical="top"/>
      <protection locked="0"/>
    </xf>
    <xf numFmtId="0" fontId="12" fillId="28" borderId="13" xfId="518" applyFont="1" applyFill="1" applyBorder="1" applyAlignment="1" applyProtection="1">
      <alignment vertical="top" wrapText="1"/>
      <protection locked="0"/>
    </xf>
    <xf numFmtId="0" fontId="31" fillId="28" borderId="13" xfId="518" applyFont="1" applyFill="1" applyBorder="1" applyAlignment="1" applyProtection="1">
      <alignment horizontal="left" vertical="top"/>
      <protection locked="0"/>
    </xf>
    <xf numFmtId="3" fontId="12" fillId="28" borderId="10" xfId="50" applyNumberFormat="1" applyFont="1" applyFill="1" applyBorder="1" applyAlignment="1" applyProtection="1">
      <alignment vertical="top"/>
      <protection locked="0"/>
    </xf>
    <xf numFmtId="3" fontId="12" fillId="28" borderId="13" xfId="50" applyNumberFormat="1" applyFont="1" applyFill="1" applyBorder="1" applyAlignment="1" applyProtection="1">
      <alignment vertical="top"/>
      <protection locked="0"/>
    </xf>
    <xf numFmtId="0" fontId="12" fillId="0" borderId="12" xfId="518" applyFont="1" applyFill="1" applyBorder="1" applyAlignment="1" applyProtection="1">
      <alignment horizontal="left" vertical="top"/>
      <protection locked="0"/>
    </xf>
    <xf numFmtId="0" fontId="12" fillId="0" borderId="17" xfId="518" applyFont="1" applyFill="1" applyBorder="1" applyAlignment="1" applyProtection="1">
      <alignment horizontal="left" vertical="top" wrapText="1" indent="1"/>
      <protection locked="0"/>
    </xf>
    <xf numFmtId="0" fontId="12" fillId="0" borderId="13" xfId="518" applyFont="1" applyFill="1" applyBorder="1" applyAlignment="1" applyProtection="1">
      <alignment vertical="top" wrapText="1"/>
      <protection locked="0"/>
    </xf>
    <xf numFmtId="0" fontId="12" fillId="0" borderId="13" xfId="518" applyFont="1" applyFill="1" applyBorder="1" applyAlignment="1" applyProtection="1">
      <alignment horizontal="left" vertical="top"/>
      <protection locked="0"/>
    </xf>
    <xf numFmtId="3" fontId="129" fillId="0" borderId="13" xfId="518" applyNumberFormat="1" applyFont="1" applyFill="1" applyBorder="1" applyAlignment="1" applyProtection="1">
      <alignment vertical="top"/>
      <protection locked="0"/>
    </xf>
    <xf numFmtId="0" fontId="33" fillId="46" borderId="16" xfId="518" applyFont="1" applyFill="1" applyBorder="1" applyAlignment="1" applyProtection="1">
      <alignment horizontal="left" vertical="top" wrapText="1"/>
      <protection locked="0"/>
    </xf>
    <xf numFmtId="0" fontId="12" fillId="0" borderId="16" xfId="518" applyFont="1" applyFill="1" applyBorder="1" applyAlignment="1" applyProtection="1">
      <alignment horizontal="left" vertical="top" wrapText="1"/>
      <protection locked="0"/>
    </xf>
    <xf numFmtId="3" fontId="44" fillId="47" borderId="17" xfId="155" applyNumberFormat="1" applyFont="1" applyFill="1" applyBorder="1" applyAlignment="1" applyProtection="1">
      <alignment horizontal="right"/>
      <protection locked="0"/>
    </xf>
    <xf numFmtId="0" fontId="33" fillId="46" borderId="17" xfId="518" applyFont="1" applyFill="1" applyBorder="1" applyAlignment="1" applyProtection="1">
      <alignment horizontal="left" vertical="top" wrapText="1"/>
      <protection locked="0"/>
    </xf>
    <xf numFmtId="0" fontId="122" fillId="46" borderId="17" xfId="518" applyFont="1" applyFill="1" applyBorder="1" applyAlignment="1" applyProtection="1">
      <alignment horizontal="left" vertical="top"/>
      <protection locked="0"/>
    </xf>
    <xf numFmtId="3" fontId="33" fillId="46" borderId="14" xfId="518" applyNumberFormat="1" applyFont="1" applyFill="1" applyBorder="1" applyAlignment="1" applyProtection="1">
      <alignment vertical="top"/>
      <protection locked="0"/>
    </xf>
    <xf numFmtId="3" fontId="33" fillId="46" borderId="17" xfId="518" applyNumberFormat="1" applyFont="1" applyFill="1" applyBorder="1" applyAlignment="1" applyProtection="1">
      <alignment vertical="top"/>
      <protection locked="0"/>
    </xf>
    <xf numFmtId="0" fontId="12" fillId="0" borderId="13" xfId="518" applyFont="1" applyFill="1" applyBorder="1" applyAlignment="1" applyProtection="1">
      <alignment horizontal="left" wrapText="1"/>
      <protection locked="0"/>
    </xf>
    <xf numFmtId="3" fontId="33" fillId="46" borderId="10" xfId="50" applyNumberFormat="1" applyFont="1" applyFill="1" applyBorder="1" applyAlignment="1" applyProtection="1">
      <alignment vertical="top"/>
      <protection locked="0"/>
    </xf>
    <xf numFmtId="3" fontId="33" fillId="46" borderId="17" xfId="50" applyNumberFormat="1" applyFont="1" applyFill="1" applyBorder="1" applyAlignment="1" applyProtection="1">
      <alignment vertical="top"/>
      <protection locked="0"/>
    </xf>
    <xf numFmtId="3" fontId="44" fillId="0" borderId="14" xfId="50" applyNumberFormat="1" applyFont="1" applyFill="1" applyBorder="1" applyAlignment="1" applyProtection="1">
      <alignment vertical="top"/>
      <protection locked="0"/>
    </xf>
    <xf numFmtId="3" fontId="44" fillId="0" borderId="17" xfId="50" applyNumberFormat="1" applyFont="1" applyFill="1" applyBorder="1" applyAlignment="1" applyProtection="1">
      <alignment vertical="top"/>
      <protection locked="0"/>
    </xf>
    <xf numFmtId="0" fontId="41" fillId="0" borderId="13" xfId="518" applyFont="1" applyFill="1" applyBorder="1" applyAlignment="1" applyProtection="1">
      <alignment horizontal="left" vertical="top" wrapText="1"/>
      <protection locked="0"/>
    </xf>
    <xf numFmtId="0" fontId="130" fillId="0" borderId="13" xfId="518" applyFont="1" applyFill="1" applyBorder="1" applyAlignment="1" applyProtection="1">
      <alignment horizontal="left" vertical="top"/>
      <protection locked="0"/>
    </xf>
    <xf numFmtId="3" fontId="131" fillId="0" borderId="10" xfId="50" applyNumberFormat="1" applyFont="1" applyFill="1" applyBorder="1" applyAlignment="1" applyProtection="1">
      <alignment vertical="top"/>
      <protection locked="0"/>
    </xf>
    <xf numFmtId="3" fontId="131" fillId="0" borderId="13" xfId="50" applyNumberFormat="1" applyFont="1" applyFill="1" applyBorder="1" applyAlignment="1" applyProtection="1">
      <alignment vertical="top"/>
      <protection locked="0"/>
    </xf>
    <xf numFmtId="3" fontId="44" fillId="0" borderId="43" xfId="50" applyNumberFormat="1" applyFont="1" applyFill="1" applyBorder="1" applyAlignment="1" applyProtection="1">
      <alignment vertical="top"/>
      <protection locked="0"/>
    </xf>
    <xf numFmtId="3" fontId="44" fillId="0" borderId="16" xfId="50" applyNumberFormat="1" applyFont="1" applyFill="1" applyBorder="1" applyAlignment="1" applyProtection="1">
      <alignment vertical="top"/>
      <protection locked="0"/>
    </xf>
    <xf numFmtId="3" fontId="44" fillId="0" borderId="10" xfId="50" applyNumberFormat="1" applyFont="1" applyFill="1" applyBorder="1" applyAlignment="1" applyProtection="1">
      <alignment vertical="top"/>
      <protection locked="0"/>
    </xf>
    <xf numFmtId="3" fontId="44" fillId="0" borderId="13" xfId="50" applyNumberFormat="1" applyFont="1" applyFill="1" applyBorder="1" applyAlignment="1" applyProtection="1">
      <alignment vertical="top"/>
      <protection locked="0"/>
    </xf>
    <xf numFmtId="0" fontId="31" fillId="0" borderId="13" xfId="518" applyFont="1" applyFill="1" applyBorder="1" applyAlignment="1" applyProtection="1">
      <alignment horizontal="left" vertical="top" wrapText="1"/>
      <protection locked="0"/>
    </xf>
    <xf numFmtId="3" fontId="31" fillId="0" borderId="10" xfId="50" applyNumberFormat="1" applyFont="1" applyFill="1" applyBorder="1" applyAlignment="1" applyProtection="1">
      <alignment vertical="top"/>
      <protection locked="0"/>
    </xf>
    <xf numFmtId="3" fontId="12" fillId="0" borderId="13" xfId="50" applyNumberFormat="1" applyFont="1" applyFill="1" applyBorder="1" applyAlignment="1" applyProtection="1">
      <alignment vertical="top"/>
      <protection locked="0"/>
    </xf>
    <xf numFmtId="0" fontId="31" fillId="28" borderId="13" xfId="518" applyFont="1" applyFill="1" applyBorder="1" applyAlignment="1" applyProtection="1">
      <alignment horizontal="left" vertical="top" wrapText="1"/>
      <protection locked="0"/>
    </xf>
    <xf numFmtId="3" fontId="31" fillId="28" borderId="10" xfId="50" applyNumberFormat="1" applyFont="1" applyFill="1" applyBorder="1" applyAlignment="1" applyProtection="1">
      <alignment vertical="top"/>
      <protection locked="0"/>
    </xf>
    <xf numFmtId="3" fontId="31" fillId="28" borderId="13" xfId="50" applyNumberFormat="1" applyFont="1" applyFill="1" applyBorder="1" applyAlignment="1" applyProtection="1">
      <alignment vertical="top"/>
      <protection locked="0"/>
    </xf>
    <xf numFmtId="0" fontId="31" fillId="0" borderId="16" xfId="518" applyFont="1" applyFill="1" applyBorder="1" applyAlignment="1" applyProtection="1">
      <alignment horizontal="right" vertical="top" wrapText="1"/>
      <protection locked="0"/>
    </xf>
    <xf numFmtId="3" fontId="31" fillId="0" borderId="13" xfId="50" applyNumberFormat="1" applyFont="1" applyFill="1" applyBorder="1" applyAlignment="1" applyProtection="1">
      <alignment vertical="top"/>
      <protection locked="0"/>
    </xf>
    <xf numFmtId="0" fontId="130" fillId="0" borderId="15" xfId="518" applyFont="1" applyFill="1" applyBorder="1" applyAlignment="1" applyProtection="1">
      <alignment horizontal="left" vertical="top" wrapText="1"/>
      <protection locked="0"/>
    </xf>
    <xf numFmtId="0" fontId="31" fillId="0" borderId="15" xfId="518" applyFont="1" applyFill="1" applyBorder="1" applyAlignment="1" applyProtection="1">
      <alignment horizontal="left" vertical="top"/>
      <protection locked="0"/>
    </xf>
    <xf numFmtId="3" fontId="31" fillId="0" borderId="20" xfId="50" applyNumberFormat="1" applyFont="1" applyFill="1" applyBorder="1" applyAlignment="1" applyProtection="1">
      <alignment vertical="top"/>
      <protection locked="0"/>
    </xf>
    <xf numFmtId="3" fontId="31" fillId="0" borderId="15" xfId="50" applyNumberFormat="1" applyFont="1" applyFill="1" applyBorder="1" applyAlignment="1" applyProtection="1">
      <alignment vertical="top"/>
      <protection locked="0"/>
    </xf>
    <xf numFmtId="3" fontId="12" fillId="0" borderId="43" xfId="50" applyNumberFormat="1" applyFont="1" applyFill="1" applyBorder="1" applyAlignment="1" applyProtection="1">
      <alignment vertical="top"/>
      <protection locked="0"/>
    </xf>
    <xf numFmtId="3" fontId="31" fillId="0" borderId="13" xfId="0" applyNumberFormat="1" applyFont="1" applyFill="1" applyBorder="1" applyAlignment="1" applyProtection="1">
      <alignment vertical="top"/>
      <protection locked="0"/>
    </xf>
    <xf numFmtId="3" fontId="12" fillId="0" borderId="10" xfId="50" applyNumberFormat="1" applyFont="1" applyFill="1" applyBorder="1" applyAlignment="1" applyProtection="1">
      <alignment vertical="top"/>
      <protection locked="0"/>
    </xf>
    <xf numFmtId="3" fontId="12" fillId="0" borderId="20" xfId="50" applyNumberFormat="1" applyFont="1" applyFill="1" applyBorder="1" applyAlignment="1" applyProtection="1">
      <alignment vertical="top"/>
      <protection locked="0"/>
    </xf>
    <xf numFmtId="3" fontId="31" fillId="0" borderId="10" xfId="50" applyNumberFormat="1" applyFont="1" applyFill="1" applyBorder="1" applyAlignment="1" applyProtection="1">
      <alignment horizontal="right" vertical="top"/>
      <protection locked="0"/>
    </xf>
    <xf numFmtId="3" fontId="44" fillId="0" borderId="13" xfId="50" applyNumberFormat="1" applyFont="1" applyFill="1" applyBorder="1" applyAlignment="1" applyProtection="1">
      <alignment horizontal="right" vertical="top"/>
      <protection locked="0"/>
    </xf>
    <xf numFmtId="49" fontId="31" fillId="0" borderId="13" xfId="50" applyNumberFormat="1" applyFont="1" applyFill="1" applyBorder="1" applyAlignment="1" applyProtection="1">
      <alignment horizontal="right" vertical="top"/>
      <protection locked="0"/>
    </xf>
    <xf numFmtId="0" fontId="31" fillId="0" borderId="15" xfId="518" applyFont="1" applyFill="1" applyBorder="1" applyAlignment="1" applyProtection="1">
      <alignment horizontal="left" vertical="top" wrapText="1" indent="2"/>
      <protection locked="0"/>
    </xf>
    <xf numFmtId="3" fontId="31" fillId="0" borderId="14" xfId="50" applyNumberFormat="1" applyFont="1" applyFill="1" applyBorder="1" applyAlignment="1" applyProtection="1">
      <alignment horizontal="right" vertical="top"/>
      <protection locked="0"/>
    </xf>
    <xf numFmtId="49" fontId="31" fillId="0" borderId="17" xfId="50" applyNumberFormat="1" applyFont="1" applyFill="1" applyBorder="1" applyAlignment="1" applyProtection="1">
      <alignment horizontal="right" vertical="top"/>
      <protection locked="0"/>
    </xf>
    <xf numFmtId="3" fontId="49" fillId="0" borderId="10" xfId="50" applyNumberFormat="1" applyFont="1" applyFill="1" applyBorder="1" applyAlignment="1" applyProtection="1">
      <alignment horizontal="right" vertical="top"/>
      <protection locked="0"/>
    </xf>
    <xf numFmtId="3" fontId="49" fillId="0" borderId="13" xfId="50" applyNumberFormat="1" applyFont="1" applyFill="1" applyBorder="1" applyAlignment="1" applyProtection="1">
      <alignment horizontal="right" vertical="top"/>
      <protection locked="0"/>
    </xf>
    <xf numFmtId="0" fontId="31" fillId="0" borderId="16" xfId="518" applyFont="1" applyFill="1" applyBorder="1" applyAlignment="1" applyProtection="1">
      <alignment horizontal="left" vertical="top"/>
      <protection locked="0"/>
    </xf>
    <xf numFmtId="3" fontId="49" fillId="0" borderId="43" xfId="50" applyNumberFormat="1" applyFont="1" applyFill="1" applyBorder="1" applyAlignment="1" applyProtection="1">
      <alignment horizontal="right" vertical="top"/>
      <protection locked="0"/>
    </xf>
    <xf numFmtId="3" fontId="49" fillId="0" borderId="13" xfId="0" applyNumberFormat="1" applyFont="1" applyFill="1" applyBorder="1" applyAlignment="1" applyProtection="1">
      <alignment vertical="top"/>
      <protection locked="0"/>
    </xf>
    <xf numFmtId="0" fontId="31" fillId="0" borderId="17" xfId="518" applyFont="1" applyFill="1" applyBorder="1" applyAlignment="1" applyProtection="1">
      <alignment horizontal="left" vertical="top" wrapText="1"/>
      <protection locked="0"/>
    </xf>
    <xf numFmtId="0" fontId="31" fillId="0" borderId="15" xfId="518" applyFont="1" applyFill="1" applyBorder="1" applyAlignment="1" applyProtection="1">
      <alignment horizontal="right" vertical="top" wrapText="1"/>
      <protection locked="0"/>
    </xf>
    <xf numFmtId="3" fontId="49" fillId="0" borderId="16" xfId="50" applyNumberFormat="1" applyFont="1" applyFill="1" applyBorder="1" applyAlignment="1" applyProtection="1">
      <alignment vertical="top"/>
      <protection locked="0"/>
    </xf>
    <xf numFmtId="3" fontId="49" fillId="0" borderId="14" xfId="50" applyNumberFormat="1" applyFont="1" applyFill="1" applyBorder="1" applyAlignment="1" applyProtection="1">
      <alignment horizontal="right" vertical="top"/>
      <protection locked="0"/>
    </xf>
    <xf numFmtId="3" fontId="49" fillId="0" borderId="13" xfId="50" applyNumberFormat="1" applyFont="1" applyFill="1" applyBorder="1" applyAlignment="1" applyProtection="1">
      <alignment vertical="top"/>
      <protection locked="0"/>
    </xf>
    <xf numFmtId="0" fontId="31" fillId="0" borderId="20" xfId="518" applyFont="1" applyFill="1" applyBorder="1" applyAlignment="1" applyProtection="1">
      <alignment horizontal="right" vertical="top" wrapText="1"/>
      <protection locked="0"/>
    </xf>
    <xf numFmtId="3" fontId="49" fillId="0" borderId="10" xfId="50" applyNumberFormat="1" applyFont="1" applyFill="1" applyBorder="1" applyAlignment="1" applyProtection="1">
      <alignment vertical="top"/>
      <protection locked="0"/>
    </xf>
    <xf numFmtId="0" fontId="31" fillId="0" borderId="14" xfId="518" applyFont="1" applyFill="1" applyBorder="1" applyAlignment="1" applyProtection="1">
      <alignment horizontal="left" vertical="top" wrapText="1"/>
      <protection locked="0"/>
    </xf>
    <xf numFmtId="3" fontId="49" fillId="0" borderId="14" xfId="50" applyNumberFormat="1" applyFont="1" applyFill="1" applyBorder="1" applyAlignment="1" applyProtection="1">
      <alignment vertical="top"/>
      <protection locked="0"/>
    </xf>
    <xf numFmtId="0" fontId="31" fillId="0" borderId="0" xfId="0" applyFont="1" applyFill="1" applyBorder="1"/>
    <xf numFmtId="0" fontId="12" fillId="0" borderId="15" xfId="518" applyFont="1" applyFill="1" applyBorder="1" applyAlignment="1" applyProtection="1">
      <alignment horizontal="left" vertical="top" wrapText="1" indent="2"/>
      <protection locked="0"/>
    </xf>
    <xf numFmtId="3" fontId="12" fillId="0" borderId="15" xfId="50" applyNumberFormat="1" applyFont="1" applyFill="1" applyBorder="1" applyAlignment="1" applyProtection="1">
      <alignment vertical="top"/>
      <protection locked="0"/>
    </xf>
    <xf numFmtId="0" fontId="12" fillId="0" borderId="20" xfId="518" applyFont="1" applyFill="1" applyBorder="1" applyAlignment="1" applyProtection="1">
      <alignment horizontal="left" vertical="top" wrapText="1"/>
      <protection locked="0"/>
    </xf>
    <xf numFmtId="0" fontId="31" fillId="0" borderId="0" xfId="518" applyFont="1" applyFill="1" applyBorder="1" applyAlignment="1" applyProtection="1">
      <alignment horizontal="left" vertical="top"/>
      <protection locked="0"/>
    </xf>
    <xf numFmtId="3" fontId="127" fillId="0" borderId="0" xfId="518" applyNumberFormat="1" applyFont="1" applyBorder="1"/>
    <xf numFmtId="3" fontId="127" fillId="0" borderId="15" xfId="518" applyNumberFormat="1" applyFont="1" applyBorder="1"/>
    <xf numFmtId="0" fontId="33" fillId="0" borderId="15" xfId="518" applyFont="1" applyFill="1" applyBorder="1" applyAlignment="1" applyProtection="1">
      <alignment horizontal="left" vertical="top" wrapText="1"/>
      <protection locked="0"/>
    </xf>
    <xf numFmtId="0" fontId="33" fillId="0" borderId="17" xfId="518" applyFont="1" applyFill="1" applyBorder="1" applyAlignment="1" applyProtection="1">
      <alignment horizontal="left" vertical="top" wrapText="1"/>
      <protection locked="0"/>
    </xf>
    <xf numFmtId="0" fontId="122" fillId="0" borderId="13" xfId="518" applyFont="1" applyFill="1" applyBorder="1" applyAlignment="1" applyProtection="1">
      <alignment horizontal="left" vertical="top"/>
      <protection locked="0"/>
    </xf>
    <xf numFmtId="3" fontId="33" fillId="0" borderId="10" xfId="518" applyNumberFormat="1" applyFont="1" applyFill="1" applyBorder="1" applyAlignment="1" applyProtection="1">
      <alignment vertical="top"/>
      <protection locked="0"/>
    </xf>
    <xf numFmtId="3" fontId="33" fillId="0" borderId="13" xfId="518" applyNumberFormat="1" applyFont="1" applyFill="1" applyBorder="1" applyAlignment="1" applyProtection="1">
      <alignment vertical="top"/>
      <protection locked="0"/>
    </xf>
    <xf numFmtId="0" fontId="31" fillId="28" borderId="13" xfId="518" applyFont="1" applyFill="1" applyBorder="1" applyAlignment="1" applyProtection="1">
      <alignment horizontal="left" vertical="top" wrapText="1" indent="1"/>
      <protection locked="0"/>
    </xf>
    <xf numFmtId="0" fontId="31" fillId="0" borderId="13" xfId="518" applyFont="1" applyFill="1" applyBorder="1" applyAlignment="1" applyProtection="1">
      <alignment horizontal="left" vertical="top" wrapText="1" indent="1"/>
      <protection locked="0"/>
    </xf>
    <xf numFmtId="3" fontId="31" fillId="0" borderId="10" xfId="518" applyNumberFormat="1" applyFont="1" applyFill="1" applyBorder="1" applyAlignment="1" applyProtection="1">
      <alignment vertical="top"/>
      <protection locked="0"/>
    </xf>
    <xf numFmtId="3" fontId="31" fillId="0" borderId="13" xfId="518" applyNumberFormat="1" applyFont="1" applyFill="1" applyBorder="1" applyAlignment="1" applyProtection="1">
      <alignment vertical="top"/>
      <protection locked="0"/>
    </xf>
    <xf numFmtId="0" fontId="31" fillId="0" borderId="17" xfId="150" applyFont="1" applyFill="1" applyBorder="1" applyAlignment="1" applyProtection="1">
      <alignment horizontal="left" vertical="top" wrapText="1" indent="1"/>
      <protection locked="0"/>
    </xf>
    <xf numFmtId="3" fontId="31" fillId="0" borderId="14" xfId="518" applyNumberFormat="1" applyFont="1" applyFill="1" applyBorder="1" applyAlignment="1" applyProtection="1">
      <alignment vertical="top"/>
      <protection locked="0"/>
    </xf>
    <xf numFmtId="3" fontId="31" fillId="0" borderId="17" xfId="150" applyNumberFormat="1" applyFont="1" applyFill="1" applyBorder="1" applyAlignment="1" applyProtection="1">
      <alignment vertical="top"/>
      <protection locked="0"/>
    </xf>
    <xf numFmtId="0" fontId="31" fillId="0" borderId="16" xfId="518" applyFont="1" applyFill="1" applyBorder="1" applyAlignment="1" applyProtection="1">
      <alignment horizontal="left" vertical="top" wrapText="1" indent="1"/>
      <protection locked="0"/>
    </xf>
    <xf numFmtId="3" fontId="12" fillId="0" borderId="0" xfId="0" applyNumberFormat="1" applyFont="1" applyFill="1" applyBorder="1" applyAlignment="1" applyProtection="1">
      <alignment vertical="top"/>
      <protection locked="0"/>
    </xf>
    <xf numFmtId="0" fontId="31" fillId="48" borderId="16" xfId="518" applyFont="1" applyFill="1" applyBorder="1" applyAlignment="1" applyProtection="1">
      <alignment horizontal="left" vertical="top" wrapText="1" indent="1"/>
      <protection locked="0"/>
    </xf>
    <xf numFmtId="0" fontId="31" fillId="48" borderId="13" xfId="518" applyFont="1" applyFill="1" applyBorder="1" applyAlignment="1" applyProtection="1">
      <alignment horizontal="left" vertical="top"/>
      <protection locked="0"/>
    </xf>
    <xf numFmtId="3" fontId="31" fillId="48" borderId="10" xfId="518" applyNumberFormat="1" applyFont="1" applyFill="1" applyBorder="1" applyAlignment="1" applyProtection="1">
      <alignment vertical="top"/>
      <protection locked="0"/>
    </xf>
    <xf numFmtId="3" fontId="31" fillId="48" borderId="13" xfId="518" applyNumberFormat="1" applyFont="1" applyFill="1" applyBorder="1" applyAlignment="1" applyProtection="1">
      <alignment vertical="top"/>
      <protection locked="0"/>
    </xf>
    <xf numFmtId="0" fontId="31" fillId="28" borderId="13" xfId="518" applyFont="1" applyFill="1" applyBorder="1" applyAlignment="1" applyProtection="1">
      <alignment horizontal="left" vertical="top" wrapText="1" indent="2"/>
      <protection locked="0"/>
    </xf>
    <xf numFmtId="0" fontId="31" fillId="43" borderId="16" xfId="518" applyFont="1" applyFill="1" applyBorder="1" applyAlignment="1" applyProtection="1">
      <alignment horizontal="left" vertical="top" wrapText="1" indent="2"/>
      <protection locked="0"/>
    </xf>
    <xf numFmtId="0" fontId="31" fillId="43" borderId="18" xfId="518" applyFont="1" applyFill="1" applyBorder="1" applyAlignment="1" applyProtection="1">
      <alignment horizontal="left" vertical="top"/>
      <protection locked="0"/>
    </xf>
    <xf numFmtId="3" fontId="31" fillId="43" borderId="10" xfId="518" applyNumberFormat="1" applyFont="1" applyFill="1" applyBorder="1" applyAlignment="1" applyProtection="1">
      <alignment vertical="top"/>
      <protection locked="0"/>
    </xf>
    <xf numFmtId="3" fontId="31" fillId="43" borderId="13" xfId="518" applyNumberFormat="1" applyFont="1" applyFill="1" applyBorder="1" applyAlignment="1" applyProtection="1">
      <alignment vertical="top"/>
      <protection locked="0"/>
    </xf>
    <xf numFmtId="0" fontId="33" fillId="0" borderId="16" xfId="518" applyFont="1" applyFill="1" applyBorder="1" applyAlignment="1" applyProtection="1">
      <alignment horizontal="left" vertical="top" wrapText="1"/>
      <protection locked="0"/>
    </xf>
    <xf numFmtId="0" fontId="122" fillId="0" borderId="17" xfId="518" applyFont="1" applyFill="1" applyBorder="1" applyAlignment="1" applyProtection="1">
      <alignment horizontal="left" vertical="top"/>
      <protection locked="0"/>
    </xf>
    <xf numFmtId="0" fontId="31" fillId="43" borderId="16" xfId="518" applyFont="1" applyFill="1" applyBorder="1" applyAlignment="1" applyProtection="1">
      <alignment horizontal="left" vertical="top" wrapText="1" indent="1"/>
      <protection locked="0"/>
    </xf>
    <xf numFmtId="3" fontId="31" fillId="0" borderId="14" xfId="50" applyNumberFormat="1" applyFont="1" applyFill="1" applyBorder="1" applyAlignment="1" applyProtection="1">
      <alignment vertical="top"/>
      <protection locked="0"/>
    </xf>
    <xf numFmtId="3" fontId="12" fillId="0" borderId="14" xfId="518" applyNumberFormat="1" applyFont="1" applyFill="1" applyBorder="1" applyAlignment="1" applyProtection="1">
      <alignment vertical="top"/>
      <protection locked="0"/>
    </xf>
    <xf numFmtId="3" fontId="12" fillId="0" borderId="17" xfId="518" applyNumberFormat="1" applyFont="1" applyFill="1" applyBorder="1" applyAlignment="1" applyProtection="1">
      <alignment vertical="top"/>
      <protection locked="0"/>
    </xf>
    <xf numFmtId="0" fontId="31" fillId="0" borderId="17" xfId="155" applyFont="1" applyFill="1" applyBorder="1" applyAlignment="1" applyProtection="1">
      <alignment horizontal="left" wrapText="1" indent="1"/>
      <protection locked="0"/>
    </xf>
    <xf numFmtId="3" fontId="31" fillId="0" borderId="14" xfId="155" applyNumberFormat="1" applyFont="1" applyFill="1" applyBorder="1" applyAlignment="1" applyProtection="1">
      <alignment horizontal="right"/>
      <protection locked="0"/>
    </xf>
    <xf numFmtId="3" fontId="31" fillId="0" borderId="17" xfId="155" applyNumberFormat="1" applyFont="1" applyFill="1" applyBorder="1" applyAlignment="1" applyProtection="1">
      <alignment horizontal="right"/>
      <protection locked="0"/>
    </xf>
    <xf numFmtId="3" fontId="12" fillId="0" borderId="13" xfId="0" applyNumberFormat="1" applyFont="1" applyFill="1" applyBorder="1" applyAlignment="1" applyProtection="1">
      <alignment vertical="top"/>
      <protection locked="0"/>
    </xf>
    <xf numFmtId="3" fontId="50" fillId="0" borderId="13" xfId="0" applyNumberFormat="1" applyFont="1" applyFill="1" applyBorder="1" applyAlignment="1" applyProtection="1">
      <alignment horizontal="right"/>
      <protection locked="0"/>
    </xf>
    <xf numFmtId="0" fontId="12" fillId="0" borderId="17" xfId="0" applyFont="1" applyFill="1" applyBorder="1" applyAlignment="1" applyProtection="1">
      <alignment horizontal="left" vertical="top" wrapText="1"/>
      <protection locked="0"/>
    </xf>
    <xf numFmtId="0" fontId="31" fillId="0" borderId="13" xfId="0" applyFont="1" applyFill="1" applyBorder="1" applyAlignment="1" applyProtection="1">
      <alignment horizontal="left" vertical="top"/>
      <protection locked="0"/>
    </xf>
    <xf numFmtId="3" fontId="50" fillId="0" borderId="13" xfId="155" applyNumberFormat="1" applyFont="1" applyFill="1" applyBorder="1" applyAlignment="1" applyProtection="1">
      <alignment horizontal="right"/>
      <protection locked="0"/>
    </xf>
    <xf numFmtId="0" fontId="12" fillId="0" borderId="17" xfId="155" applyFont="1" applyFill="1" applyBorder="1" applyAlignment="1" applyProtection="1">
      <alignment horizontal="left" wrapText="1"/>
      <protection locked="0"/>
    </xf>
    <xf numFmtId="0" fontId="12" fillId="28" borderId="13" xfId="518" applyFont="1" applyFill="1" applyBorder="1" applyAlignment="1" applyProtection="1">
      <alignment horizontal="left" vertical="top" wrapText="1"/>
      <protection locked="0"/>
    </xf>
    <xf numFmtId="0" fontId="12" fillId="28" borderId="13" xfId="518" applyFont="1" applyFill="1" applyBorder="1" applyAlignment="1" applyProtection="1">
      <alignment horizontal="left" vertical="top"/>
      <protection locked="0"/>
    </xf>
    <xf numFmtId="0" fontId="12" fillId="28" borderId="12" xfId="518" applyFont="1" applyFill="1" applyBorder="1" applyAlignment="1" applyProtection="1">
      <alignment horizontal="left" vertical="top"/>
      <protection locked="0"/>
    </xf>
    <xf numFmtId="0" fontId="12" fillId="0" borderId="17" xfId="518" applyFont="1" applyFill="1" applyBorder="1" applyAlignment="1" applyProtection="1">
      <alignment horizontal="left" vertical="top"/>
      <protection locked="0"/>
    </xf>
    <xf numFmtId="3" fontId="12" fillId="0" borderId="14" xfId="50" applyNumberFormat="1" applyFont="1" applyFill="1" applyBorder="1" applyAlignment="1" applyProtection="1">
      <alignment vertical="top"/>
      <protection locked="0"/>
    </xf>
    <xf numFmtId="3" fontId="12" fillId="0" borderId="17" xfId="50" applyNumberFormat="1" applyFont="1" applyFill="1" applyBorder="1" applyAlignment="1" applyProtection="1">
      <alignment vertical="top"/>
      <protection locked="0"/>
    </xf>
    <xf numFmtId="0" fontId="49" fillId="0" borderId="17" xfId="0" applyFont="1" applyFill="1" applyBorder="1" applyAlignment="1" applyProtection="1">
      <alignment horizontal="left" vertical="top" wrapText="1" indent="1"/>
      <protection locked="0"/>
    </xf>
    <xf numFmtId="0" fontId="49" fillId="0" borderId="13" xfId="0" applyFont="1" applyFill="1" applyBorder="1" applyAlignment="1" applyProtection="1">
      <alignment horizontal="left" vertical="top"/>
      <protection locked="0"/>
    </xf>
    <xf numFmtId="3" fontId="49" fillId="0" borderId="14" xfId="518" applyNumberFormat="1" applyFont="1" applyFill="1" applyBorder="1" applyAlignment="1" applyProtection="1">
      <alignment vertical="top"/>
      <protection locked="0"/>
    </xf>
    <xf numFmtId="3" fontId="49" fillId="0" borderId="17" xfId="518" applyNumberFormat="1" applyFont="1" applyFill="1" applyBorder="1" applyAlignment="1" applyProtection="1">
      <alignment vertical="top"/>
      <protection locked="0"/>
    </xf>
    <xf numFmtId="0" fontId="50" fillId="0" borderId="17" xfId="0" applyFont="1" applyFill="1" applyBorder="1" applyAlignment="1" applyProtection="1">
      <alignment horizontal="left" vertical="top"/>
      <protection locked="0"/>
    </xf>
    <xf numFmtId="0" fontId="50" fillId="0" borderId="13" xfId="0" applyFont="1" applyFill="1" applyBorder="1" applyAlignment="1" applyProtection="1">
      <alignment horizontal="left" vertical="top"/>
      <protection locked="0"/>
    </xf>
    <xf numFmtId="3" fontId="0" fillId="0" borderId="0" xfId="0" applyNumberFormat="1" applyFill="1" applyBorder="1"/>
    <xf numFmtId="0" fontId="12" fillId="0" borderId="13" xfId="0" applyFont="1" applyFill="1" applyBorder="1" applyAlignment="1" applyProtection="1">
      <alignment horizontal="left" vertical="top"/>
      <protection locked="0"/>
    </xf>
    <xf numFmtId="0" fontId="31" fillId="0" borderId="17" xfId="518" applyFont="1" applyFill="1" applyBorder="1" applyAlignment="1" applyProtection="1">
      <alignment horizontal="left" vertical="top" wrapText="1" indent="1"/>
      <protection locked="0"/>
    </xf>
    <xf numFmtId="3" fontId="31" fillId="0" borderId="17" xfId="518" applyNumberFormat="1" applyFont="1" applyFill="1" applyBorder="1" applyAlignment="1" applyProtection="1">
      <alignment vertical="top"/>
      <protection locked="0"/>
    </xf>
    <xf numFmtId="0" fontId="31" fillId="0" borderId="17" xfId="518" applyFont="1" applyFill="1" applyBorder="1" applyAlignment="1" applyProtection="1">
      <alignment horizontal="left" vertical="top" wrapText="1" indent="2"/>
      <protection locked="0"/>
    </xf>
    <xf numFmtId="0" fontId="132" fillId="0" borderId="17" xfId="518" applyFont="1" applyFill="1" applyBorder="1" applyAlignment="1" applyProtection="1">
      <alignment horizontal="left" vertical="top"/>
      <protection locked="0"/>
    </xf>
    <xf numFmtId="0" fontId="12" fillId="0" borderId="13" xfId="0" applyFont="1" applyFill="1" applyBorder="1" applyAlignment="1" applyProtection="1">
      <alignment horizontal="left" vertical="top" wrapText="1"/>
      <protection locked="0"/>
    </xf>
    <xf numFmtId="0" fontId="31" fillId="0" borderId="13" xfId="0" applyFont="1" applyFill="1" applyBorder="1" applyAlignment="1" applyProtection="1">
      <alignment horizontal="left" vertical="top" wrapText="1" indent="1"/>
      <protection locked="0"/>
    </xf>
    <xf numFmtId="0" fontId="31" fillId="0" borderId="17" xfId="0" applyFont="1" applyFill="1" applyBorder="1" applyAlignment="1" applyProtection="1">
      <alignment horizontal="left" vertical="top" wrapText="1" indent="1"/>
      <protection locked="0"/>
    </xf>
    <xf numFmtId="0" fontId="12" fillId="47" borderId="16" xfId="518" applyFont="1" applyFill="1" applyBorder="1" applyAlignment="1" applyProtection="1">
      <alignment horizontal="right" vertical="top" wrapText="1"/>
      <protection locked="0"/>
    </xf>
    <xf numFmtId="0" fontId="31" fillId="47" borderId="12" xfId="518" applyFont="1" applyFill="1" applyBorder="1" applyAlignment="1" applyProtection="1">
      <alignment horizontal="left" vertical="top"/>
      <protection locked="0"/>
    </xf>
    <xf numFmtId="3" fontId="12" fillId="47" borderId="10" xfId="518" applyNumberFormat="1" applyFont="1" applyFill="1" applyBorder="1" applyAlignment="1" applyProtection="1">
      <alignment vertical="top"/>
      <protection locked="0"/>
    </xf>
    <xf numFmtId="3" fontId="12" fillId="47" borderId="13" xfId="518" applyNumberFormat="1" applyFont="1" applyFill="1" applyBorder="1" applyAlignment="1" applyProtection="1">
      <alignment vertical="top"/>
      <protection locked="0"/>
    </xf>
    <xf numFmtId="0" fontId="12" fillId="47" borderId="17" xfId="518" applyFont="1" applyFill="1" applyBorder="1" applyAlignment="1" applyProtection="1">
      <alignment horizontal="left" vertical="top" wrapText="1"/>
      <protection locked="0"/>
    </xf>
    <xf numFmtId="0" fontId="44" fillId="0" borderId="17" xfId="0" applyFont="1" applyFill="1" applyBorder="1" applyAlignment="1" applyProtection="1">
      <alignment horizontal="left" vertical="top" wrapText="1"/>
      <protection locked="0"/>
    </xf>
    <xf numFmtId="3" fontId="44" fillId="0" borderId="17" xfId="0" applyNumberFormat="1" applyFont="1" applyFill="1" applyBorder="1" applyAlignment="1" applyProtection="1">
      <alignment vertical="top"/>
      <protection locked="0"/>
    </xf>
    <xf numFmtId="0" fontId="12" fillId="0" borderId="15" xfId="0" applyFont="1" applyFill="1" applyBorder="1" applyAlignment="1" applyProtection="1">
      <alignment horizontal="left" vertical="top" wrapText="1"/>
      <protection locked="0"/>
    </xf>
    <xf numFmtId="3" fontId="44" fillId="0" borderId="14" xfId="0" applyNumberFormat="1" applyFont="1" applyFill="1" applyBorder="1" applyAlignment="1" applyProtection="1">
      <alignment vertical="top"/>
      <protection locked="0"/>
    </xf>
    <xf numFmtId="0" fontId="12" fillId="0" borderId="16" xfId="0" applyFont="1" applyFill="1" applyBorder="1" applyAlignment="1" applyProtection="1">
      <alignment horizontal="right" vertical="top" wrapText="1"/>
      <protection locked="0"/>
    </xf>
    <xf numFmtId="0" fontId="31" fillId="0" borderId="12" xfId="0" applyFont="1" applyFill="1" applyBorder="1" applyAlignment="1" applyProtection="1">
      <alignment horizontal="left" vertical="top"/>
      <protection locked="0"/>
    </xf>
    <xf numFmtId="3" fontId="12" fillId="0" borderId="14" xfId="0" applyNumberFormat="1" applyFont="1" applyFill="1" applyBorder="1" applyAlignment="1" applyProtection="1">
      <alignment vertical="top"/>
      <protection locked="0"/>
    </xf>
    <xf numFmtId="3" fontId="12" fillId="0" borderId="17" xfId="0" applyNumberFormat="1" applyFont="1" applyFill="1" applyBorder="1" applyAlignment="1" applyProtection="1">
      <alignment vertical="top"/>
      <protection locked="0"/>
    </xf>
    <xf numFmtId="0" fontId="31" fillId="43" borderId="13" xfId="518" applyFont="1" applyFill="1" applyBorder="1" applyAlignment="1" applyProtection="1">
      <alignment horizontal="left" vertical="top" wrapText="1" indent="1"/>
      <protection locked="0"/>
    </xf>
    <xf numFmtId="0" fontId="31" fillId="43" borderId="12" xfId="518" applyFont="1" applyFill="1" applyBorder="1" applyAlignment="1" applyProtection="1">
      <alignment horizontal="left" vertical="top"/>
      <protection locked="0"/>
    </xf>
    <xf numFmtId="3" fontId="104" fillId="0" borderId="13" xfId="518" applyNumberFormat="1" applyFont="1" applyFill="1" applyBorder="1" applyAlignment="1" applyProtection="1">
      <alignment vertical="top"/>
      <protection locked="0"/>
    </xf>
    <xf numFmtId="0" fontId="31" fillId="43" borderId="17" xfId="518" applyFont="1" applyFill="1" applyBorder="1" applyAlignment="1" applyProtection="1">
      <alignment horizontal="left" vertical="top" wrapText="1" indent="1"/>
      <protection locked="0"/>
    </xf>
    <xf numFmtId="3" fontId="31" fillId="0" borderId="14" xfId="0" applyNumberFormat="1" applyFont="1" applyFill="1" applyBorder="1" applyAlignment="1" applyProtection="1">
      <alignment vertical="top"/>
      <protection locked="0"/>
    </xf>
    <xf numFmtId="3" fontId="31" fillId="0" borderId="17" xfId="0" applyNumberFormat="1" applyFont="1" applyFill="1" applyBorder="1" applyAlignment="1" applyProtection="1">
      <alignment vertical="top"/>
      <protection locked="0"/>
    </xf>
    <xf numFmtId="0" fontId="34" fillId="0" borderId="17" xfId="518" applyFont="1" applyFill="1" applyBorder="1" applyAlignment="1" applyProtection="1">
      <alignment horizontal="left" vertical="top" wrapText="1"/>
      <protection locked="0"/>
    </xf>
    <xf numFmtId="3" fontId="41" fillId="0" borderId="10" xfId="518" applyNumberFormat="1" applyFont="1" applyFill="1" applyBorder="1" applyAlignment="1" applyProtection="1">
      <alignment vertical="top"/>
      <protection locked="0"/>
    </xf>
    <xf numFmtId="3" fontId="41" fillId="0" borderId="13" xfId="518" applyNumberFormat="1" applyFont="1" applyFill="1" applyBorder="1" applyAlignment="1" applyProtection="1">
      <alignment vertical="top"/>
      <protection locked="0"/>
    </xf>
    <xf numFmtId="0" fontId="42" fillId="0" borderId="17" xfId="518" applyFont="1" applyFill="1" applyBorder="1" applyAlignment="1" applyProtection="1">
      <alignment horizontal="left" vertical="top" wrapText="1" indent="1"/>
      <protection locked="0"/>
    </xf>
    <xf numFmtId="0" fontId="31" fillId="28" borderId="12" xfId="518" applyFont="1" applyFill="1" applyBorder="1" applyAlignment="1" applyProtection="1">
      <alignment horizontal="left" vertical="top"/>
      <protection locked="0"/>
    </xf>
    <xf numFmtId="0" fontId="132" fillId="0" borderId="13" xfId="518" applyFont="1" applyFill="1" applyBorder="1" applyAlignment="1" applyProtection="1">
      <alignment horizontal="left" vertical="top" wrapText="1" indent="1"/>
      <protection locked="0"/>
    </xf>
    <xf numFmtId="0" fontId="132" fillId="0" borderId="12" xfId="518" applyFont="1" applyFill="1" applyBorder="1" applyAlignment="1" applyProtection="1">
      <alignment horizontal="left" vertical="top"/>
      <protection locked="0"/>
    </xf>
    <xf numFmtId="3" fontId="132" fillId="0" borderId="10" xfId="518" applyNumberFormat="1" applyFont="1" applyFill="1" applyBorder="1" applyAlignment="1" applyProtection="1">
      <alignment vertical="top"/>
      <protection locked="0"/>
    </xf>
    <xf numFmtId="3" fontId="132" fillId="0" borderId="13" xfId="518" applyNumberFormat="1" applyFont="1" applyFill="1" applyBorder="1" applyAlignment="1" applyProtection="1">
      <alignment vertical="top"/>
      <protection locked="0"/>
    </xf>
    <xf numFmtId="0" fontId="49" fillId="0" borderId="13" xfId="518" applyFont="1" applyFill="1" applyBorder="1" applyAlignment="1" applyProtection="1">
      <alignment horizontal="left" vertical="top"/>
      <protection locked="0"/>
    </xf>
    <xf numFmtId="3" fontId="44" fillId="0" borderId="10" xfId="518" applyNumberFormat="1" applyFont="1" applyFill="1" applyBorder="1" applyAlignment="1" applyProtection="1">
      <alignment vertical="top"/>
      <protection locked="0"/>
    </xf>
    <xf numFmtId="0" fontId="44" fillId="0" borderId="13" xfId="0" applyFont="1" applyFill="1" applyBorder="1" applyAlignment="1" applyProtection="1">
      <alignment horizontal="left" vertical="top" wrapText="1"/>
      <protection locked="0"/>
    </xf>
    <xf numFmtId="3" fontId="49" fillId="0" borderId="14" xfId="0" applyNumberFormat="1" applyFont="1" applyFill="1" applyBorder="1" applyAlignment="1" applyProtection="1">
      <alignment vertical="top"/>
      <protection locked="0"/>
    </xf>
    <xf numFmtId="3" fontId="49" fillId="0" borderId="17" xfId="0" applyNumberFormat="1" applyFont="1" applyFill="1" applyBorder="1" applyAlignment="1" applyProtection="1">
      <alignment vertical="top"/>
      <protection locked="0"/>
    </xf>
    <xf numFmtId="3" fontId="33" fillId="45" borderId="10" xfId="518" applyNumberFormat="1" applyFont="1" applyFill="1" applyBorder="1" applyAlignment="1" applyProtection="1">
      <alignment vertical="top"/>
      <protection locked="0"/>
    </xf>
    <xf numFmtId="3" fontId="33" fillId="45" borderId="13" xfId="518" applyNumberFormat="1" applyFont="1" applyFill="1" applyBorder="1" applyAlignment="1" applyProtection="1">
      <alignment vertical="top"/>
      <protection locked="0"/>
    </xf>
    <xf numFmtId="0" fontId="33" fillId="46" borderId="13" xfId="0" applyFont="1" applyFill="1" applyBorder="1" applyAlignment="1" applyProtection="1">
      <alignment horizontal="left" vertical="top" wrapText="1"/>
      <protection locked="0"/>
    </xf>
    <xf numFmtId="0" fontId="122" fillId="46" borderId="13" xfId="0" applyFont="1" applyFill="1" applyBorder="1" applyAlignment="1" applyProtection="1">
      <alignment horizontal="left" vertical="top"/>
      <protection locked="0"/>
    </xf>
    <xf numFmtId="0" fontId="12" fillId="0" borderId="13" xfId="50" applyFont="1" applyFill="1" applyBorder="1" applyAlignment="1" applyProtection="1">
      <alignment horizontal="left" vertical="top" wrapText="1"/>
      <protection locked="0"/>
    </xf>
    <xf numFmtId="0" fontId="33" fillId="44" borderId="13" xfId="518" applyFont="1" applyFill="1" applyBorder="1" applyAlignment="1" applyProtection="1">
      <alignment horizontal="left" vertical="top" wrapText="1"/>
      <protection locked="0"/>
    </xf>
    <xf numFmtId="0" fontId="12" fillId="0" borderId="17" xfId="518" applyFont="1" applyFill="1" applyBorder="1" applyAlignment="1" applyProtection="1">
      <alignment horizontal="right" vertical="top" wrapText="1"/>
      <protection locked="0"/>
    </xf>
    <xf numFmtId="0" fontId="33" fillId="0" borderId="0" xfId="44" applyFont="1" applyAlignment="1">
      <alignment horizontal="right"/>
    </xf>
    <xf numFmtId="0" fontId="52" fillId="0" borderId="52" xfId="44" applyFont="1" applyFill="1" applyBorder="1" applyAlignment="1" applyProtection="1">
      <alignment horizontal="center" vertical="top" wrapText="1"/>
      <protection locked="0"/>
    </xf>
    <xf numFmtId="3" fontId="12" fillId="0" borderId="13" xfId="44" applyNumberFormat="1" applyFont="1" applyBorder="1"/>
    <xf numFmtId="9" fontId="12" fillId="0" borderId="13" xfId="44" applyNumberFormat="1" applyFont="1" applyBorder="1"/>
    <xf numFmtId="0" fontId="31" fillId="0" borderId="0" xfId="44" applyFont="1" applyBorder="1" applyAlignment="1">
      <alignment horizontal="left"/>
    </xf>
    <xf numFmtId="0" fontId="37" fillId="0" borderId="0" xfId="44" applyFont="1" applyAlignment="1">
      <alignment horizontal="left"/>
    </xf>
    <xf numFmtId="0" fontId="33" fillId="0" borderId="0" xfId="44" applyFont="1" applyAlignment="1">
      <alignment horizontal="left"/>
    </xf>
    <xf numFmtId="0" fontId="31" fillId="0" borderId="0" xfId="44" applyFont="1"/>
    <xf numFmtId="0" fontId="12" fillId="0" borderId="0" xfId="44" applyFont="1" applyAlignment="1">
      <alignment horizontal="left"/>
    </xf>
    <xf numFmtId="3" fontId="12" fillId="0" borderId="10" xfId="44" applyNumberFormat="1" applyFont="1" applyFill="1" applyBorder="1" applyAlignment="1" applyProtection="1">
      <alignment horizontal="center" vertical="top" wrapText="1"/>
    </xf>
    <xf numFmtId="3" fontId="31" fillId="0" borderId="10" xfId="44" applyNumberFormat="1" applyFont="1" applyFill="1" applyBorder="1" applyAlignment="1" applyProtection="1">
      <alignment horizontal="center" vertical="top" wrapText="1"/>
    </xf>
    <xf numFmtId="3" fontId="31" fillId="0" borderId="13" xfId="44" applyNumberFormat="1" applyFont="1" applyFill="1" applyBorder="1" applyAlignment="1" applyProtection="1">
      <alignment horizontal="center" vertical="top" wrapText="1"/>
    </xf>
    <xf numFmtId="0" fontId="31" fillId="0" borderId="15" xfId="44" applyFont="1" applyBorder="1"/>
    <xf numFmtId="0" fontId="31" fillId="0" borderId="0" xfId="44" applyFont="1" applyBorder="1"/>
    <xf numFmtId="0" fontId="12" fillId="0" borderId="0" xfId="44" applyFont="1" applyBorder="1"/>
    <xf numFmtId="0" fontId="12" fillId="0" borderId="15" xfId="44" applyFont="1" applyBorder="1"/>
    <xf numFmtId="0" fontId="31" fillId="0" borderId="53" xfId="44" applyFont="1" applyBorder="1"/>
    <xf numFmtId="3" fontId="12" fillId="0" borderId="0" xfId="44" applyNumberFormat="1" applyFont="1" applyBorder="1"/>
    <xf numFmtId="0" fontId="31" fillId="0" borderId="17" xfId="44" applyFont="1" applyBorder="1"/>
    <xf numFmtId="0" fontId="31" fillId="0" borderId="19" xfId="44" applyFont="1" applyBorder="1"/>
    <xf numFmtId="0" fontId="12" fillId="0" borderId="19" xfId="44" applyFont="1" applyBorder="1"/>
    <xf numFmtId="0" fontId="12" fillId="0" borderId="17" xfId="44" applyFont="1" applyBorder="1"/>
    <xf numFmtId="0" fontId="31" fillId="0" borderId="18" xfId="44" applyFont="1" applyBorder="1"/>
    <xf numFmtId="3" fontId="114" fillId="0" borderId="0" xfId="31" applyNumberFormat="1" applyFont="1" applyFill="1" applyBorder="1" applyAlignment="1" applyProtection="1">
      <alignment vertical="top" wrapText="1"/>
    </xf>
    <xf numFmtId="3" fontId="113" fillId="0" borderId="0" xfId="31" applyNumberFormat="1" applyFont="1" applyFill="1" applyBorder="1" applyAlignment="1" applyProtection="1">
      <alignment vertical="top" wrapText="1"/>
    </xf>
    <xf numFmtId="3" fontId="50" fillId="0" borderId="0" xfId="31" applyNumberFormat="1" applyFont="1" applyFill="1" applyBorder="1" applyAlignment="1" applyProtection="1">
      <alignment vertical="top" wrapText="1"/>
    </xf>
    <xf numFmtId="3" fontId="114" fillId="0" borderId="0" xfId="36" applyNumberFormat="1" applyFont="1" applyFill="1" applyBorder="1" applyAlignment="1" applyProtection="1">
      <alignment vertical="top"/>
    </xf>
    <xf numFmtId="3" fontId="113" fillId="0" borderId="0" xfId="36" applyNumberFormat="1" applyFont="1" applyFill="1" applyBorder="1" applyAlignment="1" applyProtection="1">
      <alignment vertical="top"/>
    </xf>
    <xf numFmtId="9" fontId="114" fillId="0" borderId="0" xfId="47" applyFont="1" applyFill="1" applyBorder="1" applyAlignment="1" applyProtection="1">
      <alignment vertical="top" wrapText="1"/>
    </xf>
    <xf numFmtId="9" fontId="114" fillId="0" borderId="0" xfId="47" applyFont="1" applyFill="1" applyBorder="1" applyAlignment="1" applyProtection="1">
      <alignment vertical="top"/>
    </xf>
    <xf numFmtId="0" fontId="118" fillId="0" borderId="0" xfId="0" applyFont="1" applyFill="1"/>
    <xf numFmtId="3" fontId="117" fillId="0" borderId="0" xfId="36" applyNumberFormat="1" applyFont="1" applyFill="1" applyBorder="1" applyAlignment="1" applyProtection="1">
      <alignment vertical="top"/>
    </xf>
    <xf numFmtId="3" fontId="117" fillId="0" borderId="0" xfId="31" applyNumberFormat="1" applyFont="1" applyFill="1" applyBorder="1" applyAlignment="1" applyProtection="1">
      <alignment vertical="top" wrapText="1"/>
    </xf>
    <xf numFmtId="0" fontId="33" fillId="0" borderId="45" xfId="44" applyFont="1" applyFill="1" applyBorder="1" applyAlignment="1">
      <alignment horizontal="left" vertical="top" wrapText="1"/>
    </xf>
    <xf numFmtId="0" fontId="12" fillId="0" borderId="37" xfId="44" applyFont="1" applyFill="1" applyBorder="1" applyAlignment="1">
      <alignment vertical="top" wrapText="1"/>
    </xf>
    <xf numFmtId="3" fontId="33" fillId="0" borderId="13" xfId="44" applyNumberFormat="1" applyFont="1" applyFill="1" applyBorder="1"/>
    <xf numFmtId="0" fontId="34" fillId="0" borderId="37" xfId="44" applyFont="1" applyFill="1" applyBorder="1" applyAlignment="1">
      <alignment horizontal="left" vertical="top" indent="3"/>
    </xf>
    <xf numFmtId="3" fontId="34" fillId="0" borderId="13" xfId="44" applyNumberFormat="1" applyFont="1" applyFill="1" applyBorder="1"/>
    <xf numFmtId="0" fontId="34" fillId="0" borderId="37" xfId="44" applyFont="1" applyFill="1" applyBorder="1" applyAlignment="1">
      <alignment horizontal="left" vertical="top" indent="4"/>
    </xf>
    <xf numFmtId="9" fontId="34" fillId="0" borderId="13" xfId="44" applyNumberFormat="1" applyFont="1" applyFill="1" applyBorder="1"/>
    <xf numFmtId="0" fontId="12" fillId="0" borderId="37" xfId="44" applyFont="1" applyFill="1" applyBorder="1" applyAlignment="1">
      <alignment vertical="top"/>
    </xf>
    <xf numFmtId="0" fontId="50" fillId="0" borderId="37" xfId="44" applyFont="1" applyFill="1" applyBorder="1" applyAlignment="1">
      <alignment horizontal="left" vertical="top" indent="3"/>
    </xf>
    <xf numFmtId="3" fontId="50" fillId="0" borderId="13" xfId="44" applyNumberFormat="1" applyFont="1" applyFill="1" applyBorder="1"/>
    <xf numFmtId="0" fontId="50" fillId="0" borderId="37" xfId="44" applyFont="1" applyBorder="1" applyAlignment="1">
      <alignment horizontal="left" vertical="top" indent="3"/>
    </xf>
    <xf numFmtId="3" fontId="34" fillId="0" borderId="13" xfId="44" applyNumberFormat="1" applyFont="1" applyFill="1" applyBorder="1" applyAlignment="1">
      <alignment horizontal="center"/>
    </xf>
    <xf numFmtId="0" fontId="33" fillId="0" borderId="13" xfId="0" applyFont="1" applyBorder="1" applyAlignment="1">
      <alignment horizontal="center" vertical="top" wrapText="1"/>
    </xf>
    <xf numFmtId="0" fontId="80" fillId="0" borderId="13" xfId="152" applyFont="1" applyFill="1" applyBorder="1" applyAlignment="1">
      <alignment horizontal="center"/>
    </xf>
    <xf numFmtId="0" fontId="33" fillId="0" borderId="13" xfId="152" applyFont="1" applyBorder="1" applyAlignment="1">
      <alignment horizontal="center"/>
    </xf>
    <xf numFmtId="0" fontId="43" fillId="27" borderId="0" xfId="37" applyFont="1" applyFill="1" applyAlignment="1">
      <alignment horizontal="center"/>
    </xf>
    <xf numFmtId="0" fontId="82" fillId="0" borderId="10" xfId="88" applyNumberFormat="1" applyFont="1" applyFill="1" applyBorder="1" applyAlignment="1">
      <alignment horizontal="center" vertical="top" wrapText="1"/>
    </xf>
    <xf numFmtId="0" fontId="82" fillId="0" borderId="11" xfId="88" applyNumberFormat="1" applyFont="1" applyFill="1" applyBorder="1" applyAlignment="1">
      <alignment horizontal="center" vertical="top" wrapText="1"/>
    </xf>
    <xf numFmtId="0" fontId="82" fillId="0" borderId="12" xfId="88" applyNumberFormat="1" applyFont="1" applyFill="1" applyBorder="1" applyAlignment="1">
      <alignment horizontal="center" vertical="top" wrapText="1"/>
    </xf>
    <xf numFmtId="44" fontId="82" fillId="30" borderId="16" xfId="88" applyFont="1" applyFill="1" applyBorder="1" applyAlignment="1">
      <alignment horizontal="center" vertical="top" wrapText="1"/>
    </xf>
    <xf numFmtId="44" fontId="82" fillId="30" borderId="17" xfId="88" applyFont="1" applyFill="1" applyBorder="1" applyAlignment="1">
      <alignment horizontal="center" vertical="top" wrapText="1"/>
    </xf>
    <xf numFmtId="44" fontId="82" fillId="0" borderId="13" xfId="88" applyFont="1" applyFill="1" applyBorder="1" applyAlignment="1">
      <alignment horizontal="center" vertical="top" wrapText="1"/>
    </xf>
    <xf numFmtId="44" fontId="106" fillId="0" borderId="16" xfId="88" applyFont="1" applyFill="1" applyBorder="1" applyAlignment="1">
      <alignment horizontal="center" vertical="top" wrapText="1"/>
    </xf>
    <xf numFmtId="44" fontId="106" fillId="0" borderId="17" xfId="88" applyFont="1" applyFill="1" applyBorder="1" applyAlignment="1">
      <alignment horizontal="center" vertical="top" wrapText="1"/>
    </xf>
    <xf numFmtId="44" fontId="82" fillId="0" borderId="16" xfId="88" applyFont="1" applyFill="1" applyBorder="1" applyAlignment="1">
      <alignment horizontal="center" vertical="top" wrapText="1"/>
    </xf>
    <xf numFmtId="44" fontId="82" fillId="0" borderId="17" xfId="88" applyFont="1" applyFill="1" applyBorder="1" applyAlignment="1">
      <alignment horizontal="center" vertical="top" wrapText="1"/>
    </xf>
    <xf numFmtId="0" fontId="125" fillId="0" borderId="16" xfId="44" applyFont="1" applyBorder="1" applyAlignment="1">
      <alignment horizontal="center" vertical="top" wrapText="1"/>
    </xf>
    <xf numFmtId="0" fontId="125" fillId="0" borderId="17" xfId="44" applyFont="1" applyBorder="1" applyAlignment="1">
      <alignment horizontal="center" vertical="top" wrapText="1"/>
    </xf>
    <xf numFmtId="0" fontId="125" fillId="0" borderId="10" xfId="44" applyFont="1" applyBorder="1" applyAlignment="1">
      <alignment horizontal="center" vertical="top"/>
    </xf>
    <xf numFmtId="0" fontId="125" fillId="0" borderId="11" xfId="44" applyFont="1" applyBorder="1" applyAlignment="1">
      <alignment horizontal="center" vertical="top"/>
    </xf>
    <xf numFmtId="0" fontId="125" fillId="0" borderId="12" xfId="44" applyFont="1" applyBorder="1" applyAlignment="1">
      <alignment horizontal="center" vertical="top"/>
    </xf>
    <xf numFmtId="0" fontId="82" fillId="0" borderId="10" xfId="44" applyFont="1" applyFill="1" applyBorder="1" applyAlignment="1">
      <alignment horizontal="center" vertical="top" wrapText="1"/>
    </xf>
    <xf numFmtId="0" fontId="82" fillId="0" borderId="12" xfId="44" applyFont="1" applyFill="1" applyBorder="1" applyAlignment="1">
      <alignment horizontal="center" vertical="top" wrapText="1"/>
    </xf>
    <xf numFmtId="44" fontId="82" fillId="0" borderId="10" xfId="88" applyFont="1" applyFill="1" applyBorder="1" applyAlignment="1">
      <alignment horizontal="center" vertical="top" wrapText="1"/>
    </xf>
    <xf numFmtId="44" fontId="82" fillId="0" borderId="12" xfId="88" applyFont="1" applyFill="1" applyBorder="1" applyAlignment="1">
      <alignment horizontal="center" vertical="top" wrapText="1"/>
    </xf>
    <xf numFmtId="0" fontId="82" fillId="0" borderId="10" xfId="0" applyFont="1" applyFill="1" applyBorder="1" applyAlignment="1">
      <alignment horizontal="center" vertical="top" wrapText="1"/>
    </xf>
    <xf numFmtId="0" fontId="82" fillId="0" borderId="11" xfId="0" applyFont="1" applyFill="1" applyBorder="1" applyAlignment="1">
      <alignment horizontal="center" vertical="top" wrapText="1"/>
    </xf>
    <xf numFmtId="0" fontId="82" fillId="0" borderId="12" xfId="0" applyFont="1" applyFill="1" applyBorder="1" applyAlignment="1">
      <alignment horizontal="center" vertical="top" wrapText="1"/>
    </xf>
    <xf numFmtId="166" fontId="82" fillId="0" borderId="11" xfId="88" applyNumberFormat="1" applyFont="1" applyFill="1" applyBorder="1" applyAlignment="1">
      <alignment horizontal="center" vertical="top" wrapText="1"/>
    </xf>
    <xf numFmtId="166" fontId="82" fillId="0" borderId="12" xfId="88" applyNumberFormat="1" applyFont="1" applyFill="1" applyBorder="1" applyAlignment="1">
      <alignment horizontal="center" vertical="top" wrapText="1"/>
    </xf>
    <xf numFmtId="0" fontId="33" fillId="0" borderId="16" xfId="518" applyFont="1" applyFill="1" applyBorder="1" applyAlignment="1" applyProtection="1">
      <alignment horizontal="center" vertical="top" wrapText="1"/>
    </xf>
    <xf numFmtId="0" fontId="33" fillId="0" borderId="17" xfId="518" applyFont="1" applyFill="1" applyBorder="1" applyAlignment="1" applyProtection="1">
      <alignment horizontal="center" vertical="top" wrapText="1"/>
    </xf>
    <xf numFmtId="0" fontId="12" fillId="0" borderId="16" xfId="518" applyFont="1" applyFill="1" applyBorder="1" applyAlignment="1" applyProtection="1">
      <alignment horizontal="center" vertical="top" wrapText="1"/>
    </xf>
    <xf numFmtId="0" fontId="12" fillId="0" borderId="17" xfId="518" applyFont="1" applyFill="1" applyBorder="1" applyAlignment="1" applyProtection="1">
      <alignment horizontal="center" vertical="top" wrapText="1"/>
    </xf>
    <xf numFmtId="0" fontId="33" fillId="0" borderId="16" xfId="518" applyFont="1" applyFill="1" applyBorder="1" applyAlignment="1" applyProtection="1">
      <alignment horizontal="left" vertical="top" wrapText="1"/>
    </xf>
    <xf numFmtId="0" fontId="33" fillId="0" borderId="17" xfId="518" applyFont="1" applyFill="1" applyBorder="1" applyAlignment="1" applyProtection="1">
      <alignment horizontal="left" vertical="top" wrapText="1"/>
    </xf>
    <xf numFmtId="0" fontId="31" fillId="0" borderId="16" xfId="518" applyFont="1" applyFill="1" applyBorder="1" applyAlignment="1" applyProtection="1">
      <alignment horizontal="center" vertical="top" wrapText="1"/>
    </xf>
    <xf numFmtId="0" fontId="31" fillId="0" borderId="17" xfId="518" applyFont="1" applyFill="1" applyBorder="1" applyAlignment="1" applyProtection="1">
      <alignment horizontal="center" vertical="top" wrapText="1"/>
    </xf>
    <xf numFmtId="0" fontId="52" fillId="0" borderId="43" xfId="518" applyFont="1" applyFill="1" applyBorder="1" applyAlignment="1" applyProtection="1">
      <alignment horizontal="center" vertical="top" wrapText="1"/>
    </xf>
    <xf numFmtId="0" fontId="52" fillId="0" borderId="14" xfId="518" applyFont="1" applyFill="1" applyBorder="1" applyAlignment="1" applyProtection="1">
      <alignment horizontal="center" vertical="top" wrapText="1"/>
    </xf>
    <xf numFmtId="0" fontId="104" fillId="0" borderId="16" xfId="518" applyFont="1" applyFill="1" applyBorder="1" applyAlignment="1" applyProtection="1">
      <alignment horizontal="center" vertical="top" wrapText="1"/>
    </xf>
    <xf numFmtId="0" fontId="104" fillId="0" borderId="17" xfId="518" applyFont="1" applyFill="1" applyBorder="1" applyAlignment="1" applyProtection="1">
      <alignment horizontal="center" vertical="top" wrapText="1"/>
    </xf>
    <xf numFmtId="0" fontId="12" fillId="0" borderId="0" xfId="44" applyFont="1" applyBorder="1" applyAlignment="1">
      <alignment horizontal="left"/>
    </xf>
    <xf numFmtId="0" fontId="12" fillId="0" borderId="50" xfId="44" applyFont="1" applyBorder="1" applyAlignment="1">
      <alignment horizontal="left"/>
    </xf>
    <xf numFmtId="0" fontId="12" fillId="0" borderId="50" xfId="44" applyFont="1" applyBorder="1" applyAlignment="1">
      <alignment horizontal="left" wrapText="1"/>
    </xf>
    <xf numFmtId="0" fontId="12" fillId="0" borderId="0" xfId="44" applyFont="1" applyBorder="1" applyAlignment="1">
      <alignment horizontal="left" wrapText="1"/>
    </xf>
    <xf numFmtId="0" fontId="0" fillId="0" borderId="50" xfId="0" applyBorder="1" applyAlignment="1">
      <alignment horizontal="left" wrapText="1"/>
    </xf>
    <xf numFmtId="0" fontId="0" fillId="0" borderId="0" xfId="0" applyBorder="1" applyAlignment="1">
      <alignment horizontal="left" wrapText="1"/>
    </xf>
    <xf numFmtId="0" fontId="0" fillId="0" borderId="47" xfId="0" applyBorder="1" applyAlignment="1">
      <alignment horizontal="left" wrapText="1"/>
    </xf>
    <xf numFmtId="0" fontId="0" fillId="0" borderId="19" xfId="0" applyBorder="1" applyAlignment="1">
      <alignment horizontal="left" wrapText="1"/>
    </xf>
    <xf numFmtId="0" fontId="12" fillId="0" borderId="48" xfId="44" applyFont="1" applyBorder="1" applyAlignment="1">
      <alignment horizontal="left"/>
    </xf>
    <xf numFmtId="0" fontId="12" fillId="0" borderId="49" xfId="44" applyFont="1" applyBorder="1" applyAlignment="1">
      <alignment horizontal="left"/>
    </xf>
    <xf numFmtId="0" fontId="0" fillId="0" borderId="51" xfId="0" applyBorder="1" applyAlignment="1">
      <alignment horizontal="left" wrapText="1"/>
    </xf>
    <xf numFmtId="0" fontId="0" fillId="0" borderId="31" xfId="0" applyBorder="1" applyAlignment="1">
      <alignment horizontal="left" wrapText="1"/>
    </xf>
    <xf numFmtId="0" fontId="31" fillId="0" borderId="50" xfId="44" applyFont="1" applyBorder="1" applyAlignment="1">
      <alignment horizontal="left" wrapText="1"/>
    </xf>
    <xf numFmtId="0" fontId="31" fillId="0" borderId="0" xfId="44" applyFont="1" applyBorder="1" applyAlignment="1">
      <alignment horizontal="left" wrapText="1"/>
    </xf>
    <xf numFmtId="0" fontId="12" fillId="0" borderId="37" xfId="44" applyFont="1" applyBorder="1" applyAlignment="1">
      <alignment horizontal="left" vertical="top" wrapText="1"/>
    </xf>
    <xf numFmtId="0" fontId="12" fillId="0" borderId="11" xfId="44" applyBorder="1" applyAlignment="1">
      <alignment horizontal="left" vertical="top" wrapText="1"/>
    </xf>
    <xf numFmtId="0" fontId="31" fillId="0" borderId="48" xfId="44" applyFont="1" applyBorder="1" applyAlignment="1">
      <alignment horizontal="left" wrapText="1"/>
    </xf>
    <xf numFmtId="0" fontId="31" fillId="0" borderId="49" xfId="44" applyFont="1" applyBorder="1" applyAlignment="1">
      <alignment horizontal="left" wrapText="1"/>
    </xf>
    <xf numFmtId="0" fontId="31" fillId="0" borderId="51" xfId="44" applyFont="1" applyBorder="1" applyAlignment="1">
      <alignment horizontal="left"/>
    </xf>
    <xf numFmtId="0" fontId="31" fillId="0" borderId="31" xfId="44" applyFont="1" applyBorder="1" applyAlignment="1">
      <alignment horizontal="left"/>
    </xf>
    <xf numFmtId="0" fontId="12" fillId="0" borderId="47" xfId="44" applyFont="1" applyBorder="1" applyAlignment="1">
      <alignment horizontal="left" vertical="top"/>
    </xf>
    <xf numFmtId="0" fontId="12" fillId="0" borderId="19" xfId="44" applyFont="1" applyBorder="1" applyAlignment="1">
      <alignment horizontal="left" vertical="top"/>
    </xf>
    <xf numFmtId="0" fontId="12" fillId="0" borderId="0" xfId="44" applyAlignment="1">
      <alignment horizontal="left"/>
    </xf>
    <xf numFmtId="0" fontId="33" fillId="0" borderId="45" xfId="44" applyFont="1" applyBorder="1" applyAlignment="1">
      <alignment horizontal="left"/>
    </xf>
    <xf numFmtId="0" fontId="33" fillId="0" borderId="46" xfId="44" applyFont="1" applyBorder="1" applyAlignment="1">
      <alignment horizontal="left"/>
    </xf>
    <xf numFmtId="0" fontId="12" fillId="0" borderId="37" xfId="44" applyBorder="1" applyAlignment="1">
      <alignment horizontal="left" vertical="top"/>
    </xf>
    <xf numFmtId="0" fontId="12" fillId="0" borderId="11" xfId="44" applyBorder="1" applyAlignment="1">
      <alignment horizontal="left" vertical="top"/>
    </xf>
    <xf numFmtId="0" fontId="12" fillId="0" borderId="37" xfId="44" applyFont="1" applyBorder="1" applyAlignment="1">
      <alignment horizontal="left" vertical="top"/>
    </xf>
    <xf numFmtId="0" fontId="12" fillId="0" borderId="11" xfId="44" applyFont="1" applyBorder="1" applyAlignment="1">
      <alignment horizontal="left" vertical="top"/>
    </xf>
    <xf numFmtId="0" fontId="12" fillId="0" borderId="37" xfId="44" applyFont="1" applyFill="1" applyBorder="1" applyAlignment="1">
      <alignment horizontal="left" vertical="top" wrapText="1"/>
    </xf>
    <xf numFmtId="0" fontId="12" fillId="0" borderId="11" xfId="44" applyFont="1" applyFill="1" applyBorder="1" applyAlignment="1">
      <alignment horizontal="left" vertical="top" wrapText="1"/>
    </xf>
    <xf numFmtId="0" fontId="133" fillId="0" borderId="16" xfId="44" applyFont="1" applyFill="1" applyBorder="1" applyAlignment="1" applyProtection="1">
      <alignment horizontal="center" vertical="top" wrapText="1"/>
    </xf>
    <xf numFmtId="0" fontId="133" fillId="0" borderId="17" xfId="44" applyFont="1" applyFill="1" applyBorder="1" applyAlignment="1" applyProtection="1">
      <alignment horizontal="center" vertical="top" wrapText="1"/>
    </xf>
    <xf numFmtId="0" fontId="33" fillId="0" borderId="0" xfId="44" applyFont="1" applyAlignment="1">
      <alignment horizontal="center"/>
    </xf>
    <xf numFmtId="0" fontId="121" fillId="0" borderId="24" xfId="44" applyFont="1" applyBorder="1" applyAlignment="1">
      <alignment horizontal="center" vertical="top" wrapText="1"/>
    </xf>
    <xf numFmtId="0" fontId="121" fillId="0" borderId="25" xfId="44" applyFont="1" applyBorder="1" applyAlignment="1">
      <alignment horizontal="center" vertical="top" wrapText="1"/>
    </xf>
    <xf numFmtId="0" fontId="121" fillId="0" borderId="26" xfId="44" applyFont="1" applyBorder="1" applyAlignment="1">
      <alignment horizontal="center" vertical="top" wrapText="1"/>
    </xf>
    <xf numFmtId="0" fontId="38" fillId="0" borderId="37" xfId="44" applyFont="1" applyBorder="1" applyAlignment="1">
      <alignment vertical="top" wrapText="1"/>
    </xf>
    <xf numFmtId="0" fontId="38" fillId="0" borderId="11" xfId="44" applyFont="1" applyBorder="1" applyAlignment="1">
      <alignment vertical="top" wrapText="1"/>
    </xf>
    <xf numFmtId="0" fontId="38" fillId="0" borderId="38" xfId="44" applyFont="1" applyBorder="1" applyAlignment="1">
      <alignment vertical="top" wrapText="1"/>
    </xf>
    <xf numFmtId="0" fontId="44" fillId="0" borderId="39" xfId="44" applyFont="1" applyBorder="1" applyAlignment="1">
      <alignment horizontal="center"/>
    </xf>
    <xf numFmtId="0" fontId="44" fillId="0" borderId="40" xfId="44" applyFont="1" applyBorder="1" applyAlignment="1">
      <alignment horizontal="center"/>
    </xf>
    <xf numFmtId="0" fontId="44" fillId="0" borderId="35" xfId="44" applyFont="1" applyBorder="1" applyAlignment="1">
      <alignment horizontal="center"/>
    </xf>
    <xf numFmtId="0" fontId="44" fillId="0" borderId="16" xfId="44" applyFont="1" applyBorder="1" applyAlignment="1">
      <alignment horizontal="center" wrapText="1"/>
    </xf>
    <xf numFmtId="0" fontId="44" fillId="0" borderId="15" xfId="44" applyFont="1" applyBorder="1" applyAlignment="1">
      <alignment horizontal="center" wrapText="1"/>
    </xf>
    <xf numFmtId="0" fontId="44" fillId="0" borderId="17" xfId="44" applyFont="1" applyBorder="1" applyAlignment="1">
      <alignment horizontal="center" wrapText="1"/>
    </xf>
    <xf numFmtId="0" fontId="44" fillId="0" borderId="16" xfId="44" applyFont="1" applyBorder="1" applyAlignment="1">
      <alignment horizontal="center"/>
    </xf>
    <xf numFmtId="0" fontId="44" fillId="0" borderId="15" xfId="44" applyFont="1" applyBorder="1" applyAlignment="1">
      <alignment horizontal="center"/>
    </xf>
    <xf numFmtId="0" fontId="44" fillId="0" borderId="17" xfId="44" applyFont="1" applyBorder="1" applyAlignment="1">
      <alignment horizontal="center"/>
    </xf>
    <xf numFmtId="0" fontId="44" fillId="0" borderId="29" xfId="44" applyFont="1" applyBorder="1" applyAlignment="1">
      <alignment horizontal="center" wrapText="1"/>
    </xf>
    <xf numFmtId="0" fontId="44" fillId="0" borderId="28" xfId="44" applyFont="1" applyBorder="1" applyAlignment="1">
      <alignment horizontal="center"/>
    </xf>
    <xf numFmtId="0" fontId="44" fillId="0" borderId="29" xfId="44" applyFont="1" applyBorder="1" applyAlignment="1">
      <alignment horizontal="center"/>
    </xf>
  </cellXfs>
  <cellStyles count="519">
    <cellStyle name="20% - Accent1" xfId="1" builtinId="30" customBuiltin="1"/>
    <cellStyle name="20% - Accent1 2" xfId="53"/>
    <cellStyle name="20% - Accent1 2 2" xfId="179"/>
    <cellStyle name="20% - Accent1 2 2 2" xfId="266"/>
    <cellStyle name="20% - Accent1 2 2 3" xfId="345"/>
    <cellStyle name="20% - Accent1 3" xfId="180"/>
    <cellStyle name="20% - Accent1 3 2" xfId="267"/>
    <cellStyle name="20% - Accent1 3 3" xfId="346"/>
    <cellStyle name="20% - Accent2" xfId="2" builtinId="34" customBuiltin="1"/>
    <cellStyle name="20% - Accent2 2" xfId="54"/>
    <cellStyle name="20% - Accent2 2 2" xfId="181"/>
    <cellStyle name="20% - Accent2 2 2 2" xfId="268"/>
    <cellStyle name="20% - Accent2 2 2 3" xfId="347"/>
    <cellStyle name="20% - Accent2 3" xfId="182"/>
    <cellStyle name="20% - Accent2 3 2" xfId="269"/>
    <cellStyle name="20% - Accent2 3 3" xfId="348"/>
    <cellStyle name="20% - Accent3" xfId="3" builtinId="38" customBuiltin="1"/>
    <cellStyle name="20% - Accent3 2" xfId="55"/>
    <cellStyle name="20% - Accent3 2 2" xfId="183"/>
    <cellStyle name="20% - Accent3 2 2 2" xfId="270"/>
    <cellStyle name="20% - Accent3 2 2 3" xfId="349"/>
    <cellStyle name="20% - Accent3 3" xfId="184"/>
    <cellStyle name="20% - Accent3 3 2" xfId="271"/>
    <cellStyle name="20% - Accent3 3 3" xfId="350"/>
    <cellStyle name="20% - Accent4" xfId="4" builtinId="42" customBuiltin="1"/>
    <cellStyle name="20% - Accent4 2" xfId="56"/>
    <cellStyle name="20% - Accent4 2 2" xfId="185"/>
    <cellStyle name="20% - Accent4 2 2 2" xfId="272"/>
    <cellStyle name="20% - Accent4 2 2 3" xfId="351"/>
    <cellStyle name="20% - Accent4 3" xfId="186"/>
    <cellStyle name="20% - Accent4 3 2" xfId="273"/>
    <cellStyle name="20% - Accent4 3 3" xfId="352"/>
    <cellStyle name="20% - Accent5" xfId="5" builtinId="46" customBuiltin="1"/>
    <cellStyle name="20% - Accent5 2" xfId="57"/>
    <cellStyle name="20% - Accent5 2 2" xfId="187"/>
    <cellStyle name="20% - Accent5 2 2 2" xfId="274"/>
    <cellStyle name="20% - Accent5 2 2 3" xfId="353"/>
    <cellStyle name="20% - Accent5 3" xfId="188"/>
    <cellStyle name="20% - Accent5 3 2" xfId="275"/>
    <cellStyle name="20% - Accent5 3 3" xfId="354"/>
    <cellStyle name="20% - Accent6" xfId="6" builtinId="50" customBuiltin="1"/>
    <cellStyle name="20% - Accent6 2" xfId="58"/>
    <cellStyle name="20% - Accent6 2 2" xfId="189"/>
    <cellStyle name="20% - Accent6 2 2 2" xfId="276"/>
    <cellStyle name="20% - Accent6 2 2 3" xfId="355"/>
    <cellStyle name="20% - Accent6 3" xfId="190"/>
    <cellStyle name="20% - Accent6 3 2" xfId="277"/>
    <cellStyle name="20% - Accent6 3 3" xfId="356"/>
    <cellStyle name="40% - Accent1" xfId="7" builtinId="31" customBuiltin="1"/>
    <cellStyle name="40% - Accent1 2" xfId="59"/>
    <cellStyle name="40% - Accent1 2 2" xfId="191"/>
    <cellStyle name="40% - Accent1 2 2 2" xfId="278"/>
    <cellStyle name="40% - Accent1 2 2 3" xfId="357"/>
    <cellStyle name="40% - Accent1 3" xfId="192"/>
    <cellStyle name="40% - Accent1 3 2" xfId="279"/>
    <cellStyle name="40% - Accent1 3 3" xfId="358"/>
    <cellStyle name="40% - Accent2" xfId="8" builtinId="35" customBuiltin="1"/>
    <cellStyle name="40% - Accent2 2" xfId="60"/>
    <cellStyle name="40% - Accent2 2 2" xfId="193"/>
    <cellStyle name="40% - Accent2 2 2 2" xfId="280"/>
    <cellStyle name="40% - Accent2 2 2 3" xfId="359"/>
    <cellStyle name="40% - Accent2 3" xfId="194"/>
    <cellStyle name="40% - Accent2 3 2" xfId="281"/>
    <cellStyle name="40% - Accent2 3 3" xfId="360"/>
    <cellStyle name="40% - Accent3" xfId="9" builtinId="39" customBuiltin="1"/>
    <cellStyle name="40% - Accent3 2" xfId="61"/>
    <cellStyle name="40% - Accent3 2 2" xfId="195"/>
    <cellStyle name="40% - Accent3 2 2 2" xfId="282"/>
    <cellStyle name="40% - Accent3 2 2 3" xfId="361"/>
    <cellStyle name="40% - Accent3 3" xfId="196"/>
    <cellStyle name="40% - Accent3 3 2" xfId="283"/>
    <cellStyle name="40% - Accent3 3 3" xfId="362"/>
    <cellStyle name="40% - Accent4" xfId="10" builtinId="43" customBuiltin="1"/>
    <cellStyle name="40% - Accent4 2" xfId="62"/>
    <cellStyle name="40% - Accent4 2 2" xfId="197"/>
    <cellStyle name="40% - Accent4 2 2 2" xfId="284"/>
    <cellStyle name="40% - Accent4 2 2 3" xfId="363"/>
    <cellStyle name="40% - Accent4 3" xfId="198"/>
    <cellStyle name="40% - Accent4 3 2" xfId="285"/>
    <cellStyle name="40% - Accent4 3 3" xfId="364"/>
    <cellStyle name="40% - Accent5" xfId="11" builtinId="47" customBuiltin="1"/>
    <cellStyle name="40% - Accent5 2" xfId="63"/>
    <cellStyle name="40% - Accent5 2 2" xfId="199"/>
    <cellStyle name="40% - Accent5 2 2 2" xfId="286"/>
    <cellStyle name="40% - Accent5 2 2 3" xfId="365"/>
    <cellStyle name="40% - Accent5 3" xfId="200"/>
    <cellStyle name="40% - Accent5 3 2" xfId="287"/>
    <cellStyle name="40% - Accent5 3 3" xfId="366"/>
    <cellStyle name="40% - Accent6" xfId="12" builtinId="51" customBuiltin="1"/>
    <cellStyle name="40% - Accent6 2" xfId="64"/>
    <cellStyle name="40% - Accent6 2 2" xfId="201"/>
    <cellStyle name="40% - Accent6 2 2 2" xfId="288"/>
    <cellStyle name="40% - Accent6 2 2 3" xfId="367"/>
    <cellStyle name="40% - Accent6 3" xfId="202"/>
    <cellStyle name="40% - Accent6 3 2" xfId="289"/>
    <cellStyle name="40% - Accent6 3 3" xfId="368"/>
    <cellStyle name="60% - Accent1" xfId="13" builtinId="32" customBuiltin="1"/>
    <cellStyle name="60% - Accent1 2" xfId="65"/>
    <cellStyle name="60% - Accent2" xfId="14" builtinId="36" customBuiltin="1"/>
    <cellStyle name="60% - Accent2 2" xfId="66"/>
    <cellStyle name="60% - Accent3" xfId="15" builtinId="40" customBuiltin="1"/>
    <cellStyle name="60% - Accent3 2" xfId="67"/>
    <cellStyle name="60% - Accent4" xfId="16" builtinId="44" customBuiltin="1"/>
    <cellStyle name="60% - Accent4 2" xfId="68"/>
    <cellStyle name="60% - Accent5" xfId="17" builtinId="48" customBuiltin="1"/>
    <cellStyle name="60% - Accent5 2" xfId="69"/>
    <cellStyle name="60% - Accent6" xfId="18" builtinId="52" customBuiltin="1"/>
    <cellStyle name="60% - Accent6 2" xfId="70"/>
    <cellStyle name="Accent1" xfId="19" builtinId="29" customBuiltin="1"/>
    <cellStyle name="Accent1 2" xfId="71"/>
    <cellStyle name="Accent2" xfId="20" builtinId="33" customBuiltin="1"/>
    <cellStyle name="Accent2 2" xfId="72"/>
    <cellStyle name="Accent3" xfId="21" builtinId="37" customBuiltin="1"/>
    <cellStyle name="Accent3 2" xfId="73"/>
    <cellStyle name="Accent4" xfId="22" builtinId="41" customBuiltin="1"/>
    <cellStyle name="Accent4 2" xfId="74"/>
    <cellStyle name="Accent5" xfId="48" builtinId="45" customBuiltin="1"/>
    <cellStyle name="Accent5 2" xfId="75"/>
    <cellStyle name="Accent6" xfId="49" builtinId="49" customBuiltin="1"/>
    <cellStyle name="Accent6 2" xfId="76"/>
    <cellStyle name="Bad" xfId="23" builtinId="27" customBuiltin="1"/>
    <cellStyle name="Bad 2" xfId="77"/>
    <cellStyle name="Calculation" xfId="24" builtinId="22" customBuiltin="1"/>
    <cellStyle name="Calculation 2" xfId="78"/>
    <cellStyle name="Check Cell" xfId="25" builtinId="23" customBuiltin="1"/>
    <cellStyle name="Check Cell 2" xfId="79"/>
    <cellStyle name="Comma 2" xfId="80"/>
    <cellStyle name="Comma 2 2" xfId="81"/>
    <cellStyle name="Comma 2 3" xfId="82"/>
    <cellStyle name="Comma 2 4" xfId="83"/>
    <cellStyle name="Comma 2 5" xfId="84"/>
    <cellStyle name="Comma 2 6" xfId="85"/>
    <cellStyle name="Comma 3" xfId="86"/>
    <cellStyle name="Comma 4" xfId="87"/>
    <cellStyle name="Currency 2" xfId="88"/>
    <cellStyle name="Excel Built-in Normal" xfId="203"/>
    <cellStyle name="Explanatory Text" xfId="26" builtinId="53" customBuiltin="1"/>
    <cellStyle name="Explanatory Text 2" xfId="89"/>
    <cellStyle name="Good" xfId="45" builtinId="26" customBuiltin="1"/>
    <cellStyle name="Good 2" xfId="90"/>
    <cellStyle name="Good 3" xfId="214"/>
    <cellStyle name="Hea" xfId="153"/>
    <cellStyle name="Hea 2" xfId="91"/>
    <cellStyle name="Heading 1" xfId="27" builtinId="16" customBuiltin="1"/>
    <cellStyle name="Heading 1 2" xfId="92"/>
    <cellStyle name="Heading 2" xfId="28" builtinId="17" customBuiltin="1"/>
    <cellStyle name="Heading 2 2" xfId="93"/>
    <cellStyle name="Heading 3" xfId="29" builtinId="18" customBuiltin="1"/>
    <cellStyle name="Heading 3 2" xfId="94"/>
    <cellStyle name="Heading 4" xfId="30" builtinId="19" customBuiltin="1"/>
    <cellStyle name="Heading 4 2" xfId="95"/>
    <cellStyle name="Hoiatustekst" xfId="204"/>
    <cellStyle name="Hyperlink 2" xfId="46"/>
    <cellStyle name="Hyperlink 2 2" xfId="96"/>
    <cellStyle name="Hyperlink 3" xfId="205"/>
    <cellStyle name="Hyperlink_IT_Algu_forma_2007_lv" xfId="511"/>
    <cellStyle name="Hyperlink_Lisad 22.02.11 II" xfId="31"/>
    <cellStyle name="Input" xfId="32" builtinId="20" customBuiltin="1"/>
    <cellStyle name="Input 2" xfId="97"/>
    <cellStyle name="Linked Cell" xfId="33" builtinId="24" customBuiltin="1"/>
    <cellStyle name="Linked Cell 2" xfId="98"/>
    <cellStyle name="Neutral" xfId="34" builtinId="28" customBuiltin="1"/>
    <cellStyle name="Neutral 2" xfId="99"/>
    <cellStyle name="Normaallaad 2" xfId="150"/>
    <cellStyle name="Normaallaad 2 2" xfId="206"/>
    <cellStyle name="Normaallaad 2 2 2" xfId="290"/>
    <cellStyle name="Normaallaad 2 2 3" xfId="369"/>
    <cellStyle name="Normaallaad 3" xfId="207"/>
    <cellStyle name="Normaallaad 4" xfId="208"/>
    <cellStyle name="Normaallaad 4 2" xfId="209"/>
    <cellStyle name="Normaallaad 4 2 2" xfId="291"/>
    <cellStyle name="Normaallaad 4 2 3" xfId="370"/>
    <cellStyle name="Normaallaad 5" xfId="210"/>
    <cellStyle name="Normaallaad 5 2" xfId="292"/>
    <cellStyle name="Normaallaad 5 3" xfId="371"/>
    <cellStyle name="Normaallaad 6" xfId="211"/>
    <cellStyle name="Normaallaad 7" xfId="212"/>
    <cellStyle name="Normaallaad 7 2" xfId="293"/>
    <cellStyle name="Normaallaad 7 3" xfId="372"/>
    <cellStyle name="Normaallaad_Leht1" xfId="154"/>
    <cellStyle name="Normal" xfId="0" builtinId="0"/>
    <cellStyle name="Normal 10" xfId="147"/>
    <cellStyle name="Normal 10 2" xfId="243"/>
    <cellStyle name="Normal 10 2 2" xfId="377"/>
    <cellStyle name="Normal 10 3" xfId="322"/>
    <cellStyle name="Normal 10 3 2" xfId="378"/>
    <cellStyle name="Normal 10 4" xfId="379"/>
    <cellStyle name="Normal 10 4 2" xfId="380"/>
    <cellStyle name="Normal 10 5" xfId="381"/>
    <cellStyle name="Normal 11" xfId="148"/>
    <cellStyle name="Normal 11 2" xfId="244"/>
    <cellStyle name="Normal 11 2 2" xfId="382"/>
    <cellStyle name="Normal 11 3" xfId="323"/>
    <cellStyle name="Normal 11 3 2" xfId="383"/>
    <cellStyle name="Normal 11 4" xfId="384"/>
    <cellStyle name="Normal 11 4 2" xfId="385"/>
    <cellStyle name="Normal 11 5" xfId="386"/>
    <cellStyle name="Normal 12" xfId="158"/>
    <cellStyle name="Normal 12 2" xfId="246"/>
    <cellStyle name="Normal 12 3" xfId="325"/>
    <cellStyle name="Normal 13" xfId="155"/>
    <cellStyle name="Normal 13 2" xfId="149"/>
    <cellStyle name="Normal 13 2 2" xfId="375"/>
    <cellStyle name="Normal 13 3" xfId="387"/>
    <cellStyle name="Normal 13 3 2" xfId="388"/>
    <cellStyle name="Normal 13 4" xfId="389"/>
    <cellStyle name="Normal 14" xfId="160"/>
    <cellStyle name="Normal 14 2" xfId="248"/>
    <cellStyle name="Normal 14 3" xfId="327"/>
    <cellStyle name="Normal 15" xfId="374"/>
    <cellStyle name="Normal 2" xfId="44"/>
    <cellStyle name="Normal 2 2" xfId="50"/>
    <cellStyle name="Normal 2 3" xfId="100"/>
    <cellStyle name="Normal 2 3 2" xfId="101"/>
    <cellStyle name="Normal 2 4" xfId="102"/>
    <cellStyle name="Normal 2 4 2" xfId="103"/>
    <cellStyle name="Normal 2 4 2 2" xfId="216"/>
    <cellStyle name="Normal 2 4 2 2 2" xfId="390"/>
    <cellStyle name="Normal 2 4 2 3" xfId="295"/>
    <cellStyle name="Normal 2 4 2 3 2" xfId="391"/>
    <cellStyle name="Normal 2 4 2 4" xfId="392"/>
    <cellStyle name="Normal 2 4 2 4 2" xfId="393"/>
    <cellStyle name="Normal 2 4 2 5" xfId="394"/>
    <cellStyle name="Normal 2 4 3" xfId="215"/>
    <cellStyle name="Normal 2 4 3 2" xfId="395"/>
    <cellStyle name="Normal 2 4 4" xfId="294"/>
    <cellStyle name="Normal 2 4 4 2" xfId="396"/>
    <cellStyle name="Normal 2 4 5" xfId="397"/>
    <cellStyle name="Normal 2 4 5 2" xfId="398"/>
    <cellStyle name="Normal 2 4 6" xfId="399"/>
    <cellStyle name="Normal 2 5" xfId="104"/>
    <cellStyle name="Normal 2 6" xfId="105"/>
    <cellStyle name="Normal 2_Koond 07.06.12" xfId="513"/>
    <cellStyle name="Normal 3" xfId="51"/>
    <cellStyle name="Normal 3 10" xfId="106"/>
    <cellStyle name="Normal 3 10 2" xfId="107"/>
    <cellStyle name="Normal 3 10 2 2" xfId="218"/>
    <cellStyle name="Normal 3 10 2 2 2" xfId="400"/>
    <cellStyle name="Normal 3 10 2 3" xfId="297"/>
    <cellStyle name="Normal 3 10 2 3 2" xfId="401"/>
    <cellStyle name="Normal 3 10 2 4" xfId="402"/>
    <cellStyle name="Normal 3 10 2 4 2" xfId="403"/>
    <cellStyle name="Normal 3 10 2 5" xfId="404"/>
    <cellStyle name="Normal 3 10 3" xfId="161"/>
    <cellStyle name="Normal 3 10 3 2" xfId="249"/>
    <cellStyle name="Normal 3 10 3 3" xfId="328"/>
    <cellStyle name="Normal 3 10 4" xfId="217"/>
    <cellStyle name="Normal 3 10 4 2" xfId="405"/>
    <cellStyle name="Normal 3 10 5" xfId="296"/>
    <cellStyle name="Normal 3 10 5 2" xfId="406"/>
    <cellStyle name="Normal 3 10 6" xfId="407"/>
    <cellStyle name="Normal 3 11" xfId="108"/>
    <cellStyle name="Normal 3 11 2" xfId="109"/>
    <cellStyle name="Normal 3 11 2 2" xfId="220"/>
    <cellStyle name="Normal 3 11 2 2 2" xfId="408"/>
    <cellStyle name="Normal 3 11 2 3" xfId="299"/>
    <cellStyle name="Normal 3 11 2 3 2" xfId="409"/>
    <cellStyle name="Normal 3 11 2 4" xfId="410"/>
    <cellStyle name="Normal 3 11 2 4 2" xfId="411"/>
    <cellStyle name="Normal 3 11 2 5" xfId="412"/>
    <cellStyle name="Normal 3 11 3" xfId="162"/>
    <cellStyle name="Normal 3 11 3 2" xfId="250"/>
    <cellStyle name="Normal 3 11 3 3" xfId="329"/>
    <cellStyle name="Normal 3 11 4" xfId="219"/>
    <cellStyle name="Normal 3 11 4 2" xfId="413"/>
    <cellStyle name="Normal 3 11 5" xfId="298"/>
    <cellStyle name="Normal 3 11 5 2" xfId="414"/>
    <cellStyle name="Normal 3 11 6" xfId="415"/>
    <cellStyle name="Normal 3 12" xfId="110"/>
    <cellStyle name="Normal 3 12 2" xfId="163"/>
    <cellStyle name="Normal 3 12 2 2" xfId="251"/>
    <cellStyle name="Normal 3 12 2 3" xfId="330"/>
    <cellStyle name="Normal 3 12 3" xfId="221"/>
    <cellStyle name="Normal 3 12 3 2" xfId="416"/>
    <cellStyle name="Normal 3 12 4" xfId="300"/>
    <cellStyle name="Normal 3 12 4 2" xfId="417"/>
    <cellStyle name="Normal 3 12 5" xfId="418"/>
    <cellStyle name="Normal 3 13" xfId="111"/>
    <cellStyle name="Normal 3 13 2" xfId="164"/>
    <cellStyle name="Normal 3 13 2 2" xfId="252"/>
    <cellStyle name="Normal 3 13 2 3" xfId="331"/>
    <cellStyle name="Normal 3 13 3" xfId="222"/>
    <cellStyle name="Normal 3 13 3 2" xfId="419"/>
    <cellStyle name="Normal 3 13 4" xfId="301"/>
    <cellStyle name="Normal 3 13 4 2" xfId="420"/>
    <cellStyle name="Normal 3 13 5" xfId="421"/>
    <cellStyle name="Normal 3 14" xfId="151"/>
    <cellStyle name="Normal 3 14 2" xfId="245"/>
    <cellStyle name="Normal 3 14 3" xfId="324"/>
    <cellStyle name="Normal 3 15" xfId="165"/>
    <cellStyle name="Normal 3 15 2" xfId="253"/>
    <cellStyle name="Normal 3 15 3" xfId="332"/>
    <cellStyle name="Normal 3 16" xfId="166"/>
    <cellStyle name="Normal 3 16 2" xfId="254"/>
    <cellStyle name="Normal 3 16 3" xfId="333"/>
    <cellStyle name="Normal 3 17" xfId="514"/>
    <cellStyle name="Normal 3 18" xfId="515"/>
    <cellStyle name="Normal 3 2" xfId="112"/>
    <cellStyle name="Normal 3 2 2" xfId="113"/>
    <cellStyle name="Normal 3 2 3" xfId="114"/>
    <cellStyle name="Normal 3 2 3 2" xfId="224"/>
    <cellStyle name="Normal 3 2 3 2 2" xfId="422"/>
    <cellStyle name="Normal 3 2 3 3" xfId="303"/>
    <cellStyle name="Normal 3 2 3 3 2" xfId="423"/>
    <cellStyle name="Normal 3 2 3 4" xfId="424"/>
    <cellStyle name="Normal 3 2 3 4 2" xfId="425"/>
    <cellStyle name="Normal 3 2 3 5" xfId="426"/>
    <cellStyle name="Normal 3 2 4" xfId="167"/>
    <cellStyle name="Normal 3 2 4 2" xfId="255"/>
    <cellStyle name="Normal 3 2 4 3" xfId="334"/>
    <cellStyle name="Normal 3 2 5" xfId="223"/>
    <cellStyle name="Normal 3 2 5 2" xfId="427"/>
    <cellStyle name="Normal 3 2 6" xfId="302"/>
    <cellStyle name="Normal 3 2 6 2" xfId="428"/>
    <cellStyle name="Normal 3 2 7" xfId="429"/>
    <cellStyle name="Normal 3 3" xfId="115"/>
    <cellStyle name="Normal 3 3 2" xfId="116"/>
    <cellStyle name="Normal 3 3 2 2" xfId="226"/>
    <cellStyle name="Normal 3 3 2 2 2" xfId="430"/>
    <cellStyle name="Normal 3 3 2 3" xfId="305"/>
    <cellStyle name="Normal 3 3 2 3 2" xfId="431"/>
    <cellStyle name="Normal 3 3 2 4" xfId="432"/>
    <cellStyle name="Normal 3 3 2 4 2" xfId="433"/>
    <cellStyle name="Normal 3 3 2 5" xfId="434"/>
    <cellStyle name="Normal 3 3 3" xfId="168"/>
    <cellStyle name="Normal 3 3 3 2" xfId="256"/>
    <cellStyle name="Normal 3 3 3 3" xfId="335"/>
    <cellStyle name="Normal 3 3 4" xfId="225"/>
    <cellStyle name="Normal 3 3 4 2" xfId="435"/>
    <cellStyle name="Normal 3 3 5" xfId="304"/>
    <cellStyle name="Normal 3 3 5 2" xfId="436"/>
    <cellStyle name="Normal 3 3 6" xfId="437"/>
    <cellStyle name="Normal 3 4" xfId="117"/>
    <cellStyle name="Normal 3 4 2" xfId="118"/>
    <cellStyle name="Normal 3 4 2 2" xfId="228"/>
    <cellStyle name="Normal 3 4 2 2 2" xfId="438"/>
    <cellStyle name="Normal 3 4 2 3" xfId="307"/>
    <cellStyle name="Normal 3 4 2 3 2" xfId="439"/>
    <cellStyle name="Normal 3 4 2 4" xfId="440"/>
    <cellStyle name="Normal 3 4 2 4 2" xfId="441"/>
    <cellStyle name="Normal 3 4 2 5" xfId="442"/>
    <cellStyle name="Normal 3 4 3" xfId="169"/>
    <cellStyle name="Normal 3 4 3 2" xfId="257"/>
    <cellStyle name="Normal 3 4 3 3" xfId="336"/>
    <cellStyle name="Normal 3 4 4" xfId="227"/>
    <cellStyle name="Normal 3 4 4 2" xfId="443"/>
    <cellStyle name="Normal 3 4 5" xfId="306"/>
    <cellStyle name="Normal 3 4 5 2" xfId="444"/>
    <cellStyle name="Normal 3 4 6" xfId="445"/>
    <cellStyle name="Normal 3 5" xfId="119"/>
    <cellStyle name="Normal 3 5 2" xfId="120"/>
    <cellStyle name="Normal 3 5 2 2" xfId="230"/>
    <cellStyle name="Normal 3 5 2 2 2" xfId="446"/>
    <cellStyle name="Normal 3 5 2 3" xfId="309"/>
    <cellStyle name="Normal 3 5 2 3 2" xfId="447"/>
    <cellStyle name="Normal 3 5 2 4" xfId="448"/>
    <cellStyle name="Normal 3 5 2 4 2" xfId="449"/>
    <cellStyle name="Normal 3 5 2 5" xfId="450"/>
    <cellStyle name="Normal 3 5 3" xfId="170"/>
    <cellStyle name="Normal 3 5 3 2" xfId="258"/>
    <cellStyle name="Normal 3 5 3 3" xfId="337"/>
    <cellStyle name="Normal 3 5 4" xfId="229"/>
    <cellStyle name="Normal 3 5 4 2" xfId="451"/>
    <cellStyle name="Normal 3 5 5" xfId="308"/>
    <cellStyle name="Normal 3 5 5 2" xfId="452"/>
    <cellStyle name="Normal 3 5 6" xfId="453"/>
    <cellStyle name="Normal 3 6" xfId="121"/>
    <cellStyle name="Normal 3 6 2" xfId="171"/>
    <cellStyle name="Normal 3 6 2 2" xfId="259"/>
    <cellStyle name="Normal 3 6 2 3" xfId="338"/>
    <cellStyle name="Normal 3 7" xfId="122"/>
    <cellStyle name="Normal 3 7 2" xfId="172"/>
    <cellStyle name="Normal 3 7 2 2" xfId="260"/>
    <cellStyle name="Normal 3 7 2 3" xfId="339"/>
    <cellStyle name="Normal 3 8" xfId="123"/>
    <cellStyle name="Normal 3 8 2" xfId="124"/>
    <cellStyle name="Normal 3 8 2 2" xfId="232"/>
    <cellStyle name="Normal 3 8 2 2 2" xfId="454"/>
    <cellStyle name="Normal 3 8 2 3" xfId="311"/>
    <cellStyle name="Normal 3 8 2 3 2" xfId="455"/>
    <cellStyle name="Normal 3 8 2 4" xfId="456"/>
    <cellStyle name="Normal 3 8 2 4 2" xfId="457"/>
    <cellStyle name="Normal 3 8 2 5" xfId="458"/>
    <cellStyle name="Normal 3 8 3" xfId="173"/>
    <cellStyle name="Normal 3 8 3 2" xfId="261"/>
    <cellStyle name="Normal 3 8 3 3" xfId="340"/>
    <cellStyle name="Normal 3 8 4" xfId="231"/>
    <cellStyle name="Normal 3 8 4 2" xfId="459"/>
    <cellStyle name="Normal 3 8 5" xfId="310"/>
    <cellStyle name="Normal 3 8 5 2" xfId="460"/>
    <cellStyle name="Normal 3 8 6" xfId="461"/>
    <cellStyle name="Normal 3 9" xfId="125"/>
    <cellStyle name="Normal 3 9 2" xfId="126"/>
    <cellStyle name="Normal 3 9 2 2" xfId="234"/>
    <cellStyle name="Normal 3 9 2 2 2" xfId="462"/>
    <cellStyle name="Normal 3 9 2 2 2 2" xfId="517"/>
    <cellStyle name="Normal 3 9 2 3" xfId="313"/>
    <cellStyle name="Normal 3 9 2 3 2" xfId="463"/>
    <cellStyle name="Normal 3 9 2 4" xfId="464"/>
    <cellStyle name="Normal 3 9 2 4 2" xfId="465"/>
    <cellStyle name="Normal 3 9 2 5" xfId="466"/>
    <cellStyle name="Normal 3 9 3" xfId="174"/>
    <cellStyle name="Normal 3 9 3 2" xfId="262"/>
    <cellStyle name="Normal 3 9 3 3" xfId="341"/>
    <cellStyle name="Normal 3 9 4" xfId="233"/>
    <cellStyle name="Normal 3 9 4 2" xfId="467"/>
    <cellStyle name="Normal 3 9 5" xfId="312"/>
    <cellStyle name="Normal 3 9 5 2" xfId="468"/>
    <cellStyle name="Normal 3 9 6" xfId="469"/>
    <cellStyle name="Normal 4" xfId="127"/>
    <cellStyle name="Normal 4 2" xfId="128"/>
    <cellStyle name="Normal 4 3" xfId="235"/>
    <cellStyle name="Normal 4 3 2" xfId="470"/>
    <cellStyle name="Normal 4 4" xfId="314"/>
    <cellStyle name="Normal 4 4 2" xfId="471"/>
    <cellStyle name="Normal 4 5" xfId="472"/>
    <cellStyle name="Normal 4 5 2" xfId="473"/>
    <cellStyle name="Normal 4 6" xfId="474"/>
    <cellStyle name="Normal 5" xfId="129"/>
    <cellStyle name="Normal 5 2" xfId="130"/>
    <cellStyle name="Normal 5 2 2" xfId="131"/>
    <cellStyle name="Normal 5 2 2 2" xfId="238"/>
    <cellStyle name="Normal 5 2 2 2 2" xfId="475"/>
    <cellStyle name="Normal 5 2 2 3" xfId="317"/>
    <cellStyle name="Normal 5 2 2 3 2" xfId="476"/>
    <cellStyle name="Normal 5 2 2 4" xfId="477"/>
    <cellStyle name="Normal 5 2 2 4 2" xfId="478"/>
    <cellStyle name="Normal 5 2 2 5" xfId="479"/>
    <cellStyle name="Normal 5 2 3" xfId="237"/>
    <cellStyle name="Normal 5 2 3 2" xfId="480"/>
    <cellStyle name="Normal 5 2 4" xfId="316"/>
    <cellStyle name="Normal 5 2 4 2" xfId="481"/>
    <cellStyle name="Normal 5 2 5" xfId="482"/>
    <cellStyle name="Normal 5 2 5 2" xfId="483"/>
    <cellStyle name="Normal 5 2 6" xfId="484"/>
    <cellStyle name="Normal 5 3" xfId="132"/>
    <cellStyle name="Normal 5 3 2" xfId="239"/>
    <cellStyle name="Normal 5 3 2 2" xfId="485"/>
    <cellStyle name="Normal 5 3 3" xfId="318"/>
    <cellStyle name="Normal 5 3 3 2" xfId="486"/>
    <cellStyle name="Normal 5 3 4" xfId="487"/>
    <cellStyle name="Normal 5 3 4 2" xfId="488"/>
    <cellStyle name="Normal 5 3 5" xfId="489"/>
    <cellStyle name="Normal 5 4" xfId="236"/>
    <cellStyle name="Normal 5 4 2" xfId="490"/>
    <cellStyle name="Normal 5 5" xfId="315"/>
    <cellStyle name="Normal 5 5 2" xfId="491"/>
    <cellStyle name="Normal 5 6" xfId="492"/>
    <cellStyle name="Normal 5 6 2" xfId="493"/>
    <cellStyle name="Normal 5 7" xfId="494"/>
    <cellStyle name="Normal 6" xfId="133"/>
    <cellStyle name="Normal 7" xfId="134"/>
    <cellStyle name="Normal 7 2" xfId="135"/>
    <cellStyle name="Normal 7 2 2" xfId="241"/>
    <cellStyle name="Normal 7 2 2 2" xfId="495"/>
    <cellStyle name="Normal 7 2 3" xfId="320"/>
    <cellStyle name="Normal 7 2 3 2" xfId="496"/>
    <cellStyle name="Normal 7 2 4" xfId="497"/>
    <cellStyle name="Normal 7 2 4 2" xfId="498"/>
    <cellStyle name="Normal 7 2 5" xfId="499"/>
    <cellStyle name="Normal 7 3" xfId="240"/>
    <cellStyle name="Normal 7 3 2" xfId="500"/>
    <cellStyle name="Normal 7 4" xfId="319"/>
    <cellStyle name="Normal 7 4 2" xfId="501"/>
    <cellStyle name="Normal 7 5" xfId="502"/>
    <cellStyle name="Normal 7 5 2" xfId="503"/>
    <cellStyle name="Normal 7 6" xfId="504"/>
    <cellStyle name="Normal 8" xfId="136"/>
    <cellStyle name="Normal 8 2" xfId="242"/>
    <cellStyle name="Normal 8 2 2" xfId="505"/>
    <cellStyle name="Normal 8 3" xfId="321"/>
    <cellStyle name="Normal 8 3 2" xfId="506"/>
    <cellStyle name="Normal 8 4" xfId="507"/>
    <cellStyle name="Normal 8 4 2" xfId="508"/>
    <cellStyle name="Normal 8 5" xfId="509"/>
    <cellStyle name="Normal 8 6" xfId="510"/>
    <cellStyle name="Normal 8 7" xfId="518"/>
    <cellStyle name="Normal 9" xfId="137"/>
    <cellStyle name="Normal_2002 määrus lisa 5" xfId="35"/>
    <cellStyle name="Normal_2002 määrus lisa 5_Lisad 22.02.11 II" xfId="36"/>
    <cellStyle name="Normal_eelarve muutmise vorm" xfId="152"/>
    <cellStyle name="Normal_eelarve muutmise vorm 2 2" xfId="512"/>
    <cellStyle name="Normal_vorm 1 koond" xfId="37"/>
    <cellStyle name="Normal_vorm 1 koond_Lisad 22.02.11 II" xfId="38"/>
    <cellStyle name="Note" xfId="39" builtinId="10" customBuiltin="1"/>
    <cellStyle name="Note 2" xfId="138"/>
    <cellStyle name="Note 2 2" xfId="175"/>
    <cellStyle name="Note 3" xfId="146"/>
    <cellStyle name="Note 4" xfId="52"/>
    <cellStyle name="Output" xfId="40" builtinId="21" customBuiltin="1"/>
    <cellStyle name="Output 2" xfId="139"/>
    <cellStyle name="Percent" xfId="373" builtinId="5"/>
    <cellStyle name="Percent 2" xfId="47"/>
    <cellStyle name="Percent 2 2" xfId="213"/>
    <cellStyle name="Percent 3" xfId="140"/>
    <cellStyle name="Percent 4" xfId="159"/>
    <cellStyle name="Percent 4 2" xfId="247"/>
    <cellStyle name="Percent 4 3" xfId="326"/>
    <cellStyle name="Percent 5" xfId="176"/>
    <cellStyle name="Percent 5 2" xfId="177"/>
    <cellStyle name="Percent 5 2 2" xfId="264"/>
    <cellStyle name="Percent 5 2 3" xfId="343"/>
    <cellStyle name="Percent 5 2 4" xfId="376"/>
    <cellStyle name="Percent 5 3" xfId="263"/>
    <cellStyle name="Percent 5 4" xfId="342"/>
    <cellStyle name="Percent 6" xfId="178"/>
    <cellStyle name="Percent 6 2" xfId="265"/>
    <cellStyle name="Percent 6 3" xfId="344"/>
    <cellStyle name="Rõhk5" xfId="156"/>
    <cellStyle name="Rõhk5 2" xfId="141"/>
    <cellStyle name="Rõhk6" xfId="157"/>
    <cellStyle name="Rõhk6 2" xfId="142"/>
    <cellStyle name="Style 1" xfId="516"/>
    <cellStyle name="Title" xfId="41" builtinId="15" customBuiltin="1"/>
    <cellStyle name="Title 2" xfId="143"/>
    <cellStyle name="Total" xfId="42" builtinId="25" customBuiltin="1"/>
    <cellStyle name="Total 2" xfId="144"/>
    <cellStyle name="Warning Text" xfId="43" builtinId="11" customBuiltin="1"/>
    <cellStyle name="Warning Text 2" xfId="1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19050</xdr:colOff>
      <xdr:row>25</xdr:row>
      <xdr:rowOff>9525</xdr:rowOff>
    </xdr:from>
    <xdr:to>
      <xdr:col>15</xdr:col>
      <xdr:colOff>400050</xdr:colOff>
      <xdr:row>32</xdr:row>
      <xdr:rowOff>152400</xdr:rowOff>
    </xdr:to>
    <xdr:sp macro="" textlink="">
      <xdr:nvSpPr>
        <xdr:cNvPr id="2" name="Text Box 1"/>
        <xdr:cNvSpPr txBox="1">
          <a:spLocks noChangeArrowheads="1"/>
        </xdr:cNvSpPr>
      </xdr:nvSpPr>
      <xdr:spPr bwMode="auto">
        <a:xfrm>
          <a:off x="19050" y="6543675"/>
          <a:ext cx="9086850" cy="1276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t-EE" sz="800" b="1" i="1" u="sng" strike="noStrike" baseline="0">
              <a:solidFill>
                <a:srgbClr val="000000"/>
              </a:solidFill>
              <a:latin typeface="Arial"/>
              <a:cs typeface="Arial"/>
            </a:rPr>
            <a:t>Märkused:</a:t>
          </a:r>
          <a:endParaRPr lang="et-EE" sz="800" b="0" i="0" u="none" strike="noStrike" baseline="0">
            <a:solidFill>
              <a:srgbClr val="000000"/>
            </a:solidFill>
            <a:latin typeface="Arial"/>
            <a:ea typeface="+mn-ea"/>
            <a:cs typeface="Arial"/>
          </a:endParaRPr>
        </a:p>
        <a:p>
          <a:pPr algn="l" rtl="0">
            <a:defRPr sz="1000"/>
          </a:pPr>
          <a:r>
            <a:rPr lang="et-EE" sz="800" b="0" i="0" u="none" strike="noStrike" baseline="0">
              <a:solidFill>
                <a:srgbClr val="000000"/>
              </a:solidFill>
              <a:latin typeface="Arial"/>
              <a:ea typeface="+mn-ea"/>
              <a:cs typeface="Arial"/>
            </a:rPr>
            <a:t>*  sh linnaeelarve, riigieelarve vahendid, välisrahastus, muu (teise </a:t>
          </a:r>
          <a:r>
            <a:rPr lang="et-EE" sz="800" b="0" i="0" u="none" strike="noStrike" baseline="0">
              <a:solidFill>
                <a:srgbClr val="000000"/>
              </a:solidFill>
              <a:latin typeface="Arial"/>
              <a:cs typeface="Arial"/>
            </a:rPr>
            <a:t>kohaliku omavalitsusüksuse eelarve vahendid, eraõigusliku juriidilise isiku finantseerimine (sh äriettevõte, mittetulunduslik organisatsioon vm)).</a:t>
          </a:r>
        </a:p>
        <a:p>
          <a:pPr algn="l" rtl="0">
            <a:defRPr sz="1000"/>
          </a:pPr>
          <a:r>
            <a:rPr lang="et-EE" sz="800" b="0" i="0" u="none" strike="noStrike" baseline="0">
              <a:solidFill>
                <a:srgbClr val="000000"/>
              </a:solidFill>
              <a:latin typeface="Arial"/>
              <a:cs typeface="Arial"/>
            </a:rPr>
            <a:t>** näidatakse kõigi finantseerimisallikate lõikes</a:t>
          </a:r>
        </a:p>
        <a:p>
          <a:pPr algn="l" rtl="0">
            <a:defRPr sz="1000"/>
          </a:pPr>
          <a:r>
            <a:rPr lang="et-EE" sz="800" b="1" i="1" u="sng" strike="noStrike" baseline="0">
              <a:solidFill>
                <a:srgbClr val="000000"/>
              </a:solidFill>
              <a:latin typeface="Arial"/>
              <a:cs typeface="Arial"/>
            </a:rPr>
            <a:t>Selgitused:</a:t>
          </a:r>
          <a:endParaRPr lang="et-EE" sz="800" b="0" i="0" u="none" strike="noStrike" baseline="0">
            <a:solidFill>
              <a:srgbClr val="000000"/>
            </a:solidFill>
            <a:latin typeface="Arial"/>
            <a:cs typeface="Arial"/>
          </a:endParaRPr>
        </a:p>
        <a:p>
          <a:pPr algn="l" rtl="0">
            <a:defRPr sz="1000"/>
          </a:pPr>
          <a:r>
            <a:rPr lang="et-EE" sz="800" b="0" i="0" u="none" strike="noStrike" baseline="0">
              <a:solidFill>
                <a:srgbClr val="000000"/>
              </a:solidFill>
              <a:latin typeface="Arial"/>
              <a:cs typeface="Arial"/>
            </a:rPr>
            <a:t>1. Tabelis kajastatakse välisprojektid ja programmid, milles linn osaleb.</a:t>
          </a:r>
        </a:p>
        <a:p>
          <a:pPr algn="l" rtl="0">
            <a:defRPr sz="1000"/>
          </a:pPr>
          <a:r>
            <a:rPr lang="et-EE" sz="800" b="0" i="0" u="none" strike="noStrike" baseline="0">
              <a:solidFill>
                <a:srgbClr val="000000"/>
              </a:solidFill>
              <a:latin typeface="Arial"/>
              <a:cs typeface="Arial"/>
            </a:rPr>
            <a:t>2. Vahendite kajastamisel aastate lõikes näidatakse planeeritavad kulud.</a:t>
          </a:r>
        </a:p>
        <a:p>
          <a:pPr algn="l" rtl="0">
            <a:defRPr sz="1000"/>
          </a:pPr>
          <a:r>
            <a:rPr lang="et-EE" sz="800" b="0" i="0" u="none" strike="noStrike" baseline="0">
              <a:solidFill>
                <a:srgbClr val="000000"/>
              </a:solidFill>
              <a:latin typeface="Arial"/>
              <a:cs typeface="Arial"/>
            </a:rPr>
            <a:t>3. Vormile tuleb lisada selgitused iga projekti kohta, sh projekti tingimused, kulg jm oluline informatsioon.</a:t>
          </a:r>
          <a:endParaRPr lang="et-E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llinnlv.ee\data\Finantsteenistus\EELARVE%20OSAKOND\2011\2011%20EELARVE%20T&#196;ITMINE%20-%20VALGE%20RAAMAT\Koond%2026.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llinnlv.ee\data\Users\hirve\Documents\Ametikohtade%20hindamine\Copy%20of%20Koopia%20failist%20Tallinna%20Linnakantselei%20at%20palgatabel_2014_1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
      <sheetName val="1 KOONDEELARVE"/>
      <sheetName val="2 KOONDEA TÄITMINE"/>
      <sheetName val="3 TULUDE KOOND"/>
      <sheetName val="4 LK TULUD"/>
      <sheetName val="5 RR - OTSTARVE"/>
      <sheetName val="6 TOETUSED"/>
      <sheetName val="Sheet1"/>
      <sheetName val="7 OMATULUD"/>
      <sheetName val="8 KULUD"/>
      <sheetName val="9 INVEST"/>
      <sheetName val="10 FIN.TEH"/>
      <sheetName val="11 EESMÄRGID"/>
      <sheetName val="Probleemid"/>
      <sheetName val="Taotl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hend"/>
      <sheetName val="Andmed"/>
      <sheetName val="põhipalk"/>
      <sheetName val="tulemustasu2"/>
      <sheetName val="tulemustasu"/>
      <sheetName val="öötöö, riigipühad"/>
      <sheetName val="muutuvad tasud"/>
      <sheetName val="mobiiltelefon"/>
      <sheetName val="Sheet1"/>
      <sheetName val="Maakonnad"/>
      <sheetName val="Job Families"/>
      <sheetName val="Job Names"/>
      <sheetName val="Sheet2"/>
      <sheetName val="Ametiasutused põhitasud 2015"/>
    </sheetNames>
    <sheetDataSet>
      <sheetData sheetId="0"/>
      <sheetData sheetId="1"/>
      <sheetData sheetId="2"/>
      <sheetData sheetId="3"/>
      <sheetData sheetId="4"/>
      <sheetData sheetId="5"/>
      <sheetData sheetId="6"/>
      <sheetData sheetId="7"/>
      <sheetData sheetId="8"/>
      <sheetData sheetId="9">
        <row r="1">
          <cell r="A1" t="str">
            <v>Harjumaa</v>
          </cell>
        </row>
        <row r="2">
          <cell r="A2" t="str">
            <v>Hiiumaa</v>
          </cell>
        </row>
        <row r="3">
          <cell r="A3" t="str">
            <v>Ida-Virumaa</v>
          </cell>
        </row>
        <row r="4">
          <cell r="A4" t="str">
            <v>Jõgevamaa</v>
          </cell>
        </row>
        <row r="5">
          <cell r="A5" t="str">
            <v>Järvamaa</v>
          </cell>
        </row>
        <row r="6">
          <cell r="A6" t="str">
            <v>Läänemaa</v>
          </cell>
        </row>
        <row r="7">
          <cell r="A7" t="str">
            <v>Lääne-Virumaa</v>
          </cell>
        </row>
        <row r="8">
          <cell r="A8" t="str">
            <v>Põlvamaa</v>
          </cell>
        </row>
        <row r="9">
          <cell r="A9" t="str">
            <v>Pärnumaa</v>
          </cell>
        </row>
        <row r="10">
          <cell r="A10" t="str">
            <v>Raplamaa</v>
          </cell>
        </row>
        <row r="11">
          <cell r="A11" t="str">
            <v>Saaremaa</v>
          </cell>
        </row>
        <row r="12">
          <cell r="A12" t="str">
            <v>Tartumaa</v>
          </cell>
        </row>
        <row r="13">
          <cell r="A13" t="str">
            <v>Valgamaa</v>
          </cell>
        </row>
        <row r="14">
          <cell r="A14" t="str">
            <v>Viljandimaa</v>
          </cell>
        </row>
        <row r="15">
          <cell r="A15" t="str">
            <v>Võrumaa</v>
          </cell>
        </row>
      </sheetData>
      <sheetData sheetId="10">
        <row r="2">
          <cell r="D2" t="str">
            <v>Actual Job Family</v>
          </cell>
          <cell r="E2" t="str">
            <v>Level</v>
          </cell>
          <cell r="F2" t="str">
            <v>Points</v>
          </cell>
          <cell r="G2" t="str">
            <v>min</v>
          </cell>
          <cell r="H2" t="str">
            <v>max</v>
          </cell>
        </row>
        <row r="3">
          <cell r="D3" t="str">
            <v>AT - (Sise)auditeerimine</v>
          </cell>
          <cell r="E3">
            <v>1</v>
          </cell>
          <cell r="F3">
            <v>184</v>
          </cell>
          <cell r="G3">
            <v>172</v>
          </cell>
          <cell r="H3">
            <v>197</v>
          </cell>
        </row>
        <row r="4">
          <cell r="D4" t="str">
            <v>AT - (Sise)auditeerimine</v>
          </cell>
          <cell r="E4">
            <v>2</v>
          </cell>
          <cell r="F4">
            <v>281</v>
          </cell>
          <cell r="G4">
            <v>262</v>
          </cell>
          <cell r="H4">
            <v>300</v>
          </cell>
        </row>
        <row r="5">
          <cell r="D5" t="str">
            <v>AT - (Sise)auditeerimine</v>
          </cell>
          <cell r="E5" t="str">
            <v>3A</v>
          </cell>
          <cell r="F5">
            <v>371</v>
          </cell>
          <cell r="G5">
            <v>346</v>
          </cell>
          <cell r="H5">
            <v>397</v>
          </cell>
        </row>
        <row r="6">
          <cell r="D6" t="str">
            <v>AT - (Sise)auditeerimine</v>
          </cell>
          <cell r="E6" t="str">
            <v>3B</v>
          </cell>
          <cell r="F6">
            <v>371</v>
          </cell>
          <cell r="G6">
            <v>346</v>
          </cell>
          <cell r="H6">
            <v>397</v>
          </cell>
        </row>
        <row r="7">
          <cell r="D7" t="str">
            <v>AT - (Sise)auditeerimine</v>
          </cell>
          <cell r="E7">
            <v>4</v>
          </cell>
          <cell r="F7">
            <v>492</v>
          </cell>
          <cell r="G7">
            <v>458</v>
          </cell>
          <cell r="H7">
            <v>526</v>
          </cell>
        </row>
        <row r="8">
          <cell r="D8" t="str">
            <v>AT - Andmeait</v>
          </cell>
          <cell r="E8">
            <v>1</v>
          </cell>
          <cell r="F8">
            <v>160</v>
          </cell>
          <cell r="G8">
            <v>150</v>
          </cell>
          <cell r="H8">
            <v>149</v>
          </cell>
        </row>
        <row r="9">
          <cell r="D9" t="str">
            <v>AT - Andmeait</v>
          </cell>
          <cell r="E9">
            <v>2</v>
          </cell>
          <cell r="F9">
            <v>244</v>
          </cell>
          <cell r="G9">
            <v>228</v>
          </cell>
          <cell r="H9">
            <v>261</v>
          </cell>
        </row>
        <row r="10">
          <cell r="D10" t="str">
            <v>AT - Andmeait</v>
          </cell>
          <cell r="E10">
            <v>3</v>
          </cell>
          <cell r="F10">
            <v>323</v>
          </cell>
          <cell r="G10">
            <v>301</v>
          </cell>
          <cell r="H10">
            <v>345</v>
          </cell>
        </row>
        <row r="11">
          <cell r="D11" t="str">
            <v>AT - Andmeait</v>
          </cell>
          <cell r="E11">
            <v>4</v>
          </cell>
          <cell r="F11">
            <v>427</v>
          </cell>
          <cell r="G11">
            <v>398</v>
          </cell>
          <cell r="H11">
            <v>457</v>
          </cell>
        </row>
        <row r="12">
          <cell r="D12" t="str">
            <v>AT - Andmeanalüüs ja -seire</v>
          </cell>
          <cell r="E12">
            <v>1</v>
          </cell>
          <cell r="F12">
            <v>121</v>
          </cell>
          <cell r="G12">
            <v>113</v>
          </cell>
          <cell r="H12">
            <v>129</v>
          </cell>
        </row>
        <row r="13">
          <cell r="D13" t="str">
            <v>AT - Andmeanalüüs ja -seire</v>
          </cell>
          <cell r="E13">
            <v>2</v>
          </cell>
          <cell r="F13">
            <v>212</v>
          </cell>
          <cell r="G13">
            <v>198</v>
          </cell>
          <cell r="H13">
            <v>227</v>
          </cell>
        </row>
        <row r="14">
          <cell r="D14" t="str">
            <v>AT - Andmeanalüüs ja -seire</v>
          </cell>
          <cell r="E14">
            <v>3</v>
          </cell>
          <cell r="F14">
            <v>281</v>
          </cell>
          <cell r="G14">
            <v>262</v>
          </cell>
          <cell r="H14">
            <v>300</v>
          </cell>
        </row>
        <row r="15">
          <cell r="D15" t="str">
            <v>AT - Andmeanalüüs ja -seire</v>
          </cell>
          <cell r="E15" t="str">
            <v>4A</v>
          </cell>
          <cell r="F15">
            <v>323</v>
          </cell>
          <cell r="G15">
            <v>301</v>
          </cell>
          <cell r="H15">
            <v>345</v>
          </cell>
        </row>
        <row r="16">
          <cell r="D16" t="str">
            <v>AT - Andmeanalüüs ja -seire</v>
          </cell>
          <cell r="E16" t="str">
            <v>4B</v>
          </cell>
          <cell r="F16">
            <v>427</v>
          </cell>
          <cell r="G16">
            <v>398</v>
          </cell>
          <cell r="H16">
            <v>457</v>
          </cell>
        </row>
        <row r="17">
          <cell r="D17" t="str">
            <v>AT - Andmeanalüüs ja -seire</v>
          </cell>
          <cell r="E17" t="str">
            <v>5A</v>
          </cell>
          <cell r="F17">
            <v>427</v>
          </cell>
          <cell r="G17">
            <v>398</v>
          </cell>
          <cell r="H17">
            <v>457</v>
          </cell>
        </row>
        <row r="18">
          <cell r="D18" t="str">
            <v>AT - Andmeanalüüs ja -seire</v>
          </cell>
          <cell r="E18" t="str">
            <v>5B</v>
          </cell>
          <cell r="F18">
            <v>492</v>
          </cell>
          <cell r="G18">
            <v>458</v>
          </cell>
          <cell r="H18">
            <v>526</v>
          </cell>
        </row>
        <row r="19">
          <cell r="D19" t="str">
            <v>AT - Arengu ja poliitika kujundamine</v>
          </cell>
          <cell r="E19">
            <v>1</v>
          </cell>
          <cell r="F19">
            <v>184</v>
          </cell>
          <cell r="G19">
            <v>172</v>
          </cell>
          <cell r="H19">
            <v>197</v>
          </cell>
        </row>
        <row r="20">
          <cell r="D20" t="str">
            <v>AT - Arengu ja poliitika kujundamine</v>
          </cell>
          <cell r="E20">
            <v>2</v>
          </cell>
          <cell r="F20">
            <v>244</v>
          </cell>
          <cell r="G20">
            <v>228</v>
          </cell>
          <cell r="H20">
            <v>261</v>
          </cell>
        </row>
        <row r="21">
          <cell r="D21" t="str">
            <v>AT - Arengu ja poliitika kujundamine</v>
          </cell>
          <cell r="E21">
            <v>3</v>
          </cell>
          <cell r="F21">
            <v>323</v>
          </cell>
          <cell r="G21">
            <v>301</v>
          </cell>
          <cell r="H21">
            <v>345</v>
          </cell>
        </row>
        <row r="22">
          <cell r="D22" t="str">
            <v>AT - Arengu ja poliitika kujundamine</v>
          </cell>
          <cell r="E22">
            <v>4</v>
          </cell>
          <cell r="F22">
            <v>427</v>
          </cell>
          <cell r="G22">
            <v>398</v>
          </cell>
          <cell r="H22">
            <v>457</v>
          </cell>
        </row>
        <row r="23">
          <cell r="D23" t="str">
            <v>AT - Arengu ja poliitika kujundamine</v>
          </cell>
          <cell r="E23">
            <v>5</v>
          </cell>
          <cell r="F23">
            <v>492</v>
          </cell>
          <cell r="G23">
            <v>458</v>
          </cell>
          <cell r="H23">
            <v>526</v>
          </cell>
        </row>
        <row r="24">
          <cell r="D24" t="str">
            <v>AT - Arengu ja poliitika kujundamine</v>
          </cell>
          <cell r="E24">
            <v>6</v>
          </cell>
          <cell r="F24">
            <v>651</v>
          </cell>
          <cell r="G24">
            <v>606</v>
          </cell>
          <cell r="H24">
            <v>696</v>
          </cell>
        </row>
        <row r="25">
          <cell r="D25" t="str">
            <v>AT - Arhiivindus</v>
          </cell>
          <cell r="E25" t="str">
            <v>1B</v>
          </cell>
          <cell r="F25">
            <v>139</v>
          </cell>
          <cell r="G25">
            <v>130</v>
          </cell>
          <cell r="H25">
            <v>149</v>
          </cell>
        </row>
        <row r="26">
          <cell r="D26" t="str">
            <v>AT - Arhiivindus</v>
          </cell>
          <cell r="E26" t="str">
            <v>1A</v>
          </cell>
          <cell r="F26">
            <v>160</v>
          </cell>
          <cell r="G26">
            <v>150</v>
          </cell>
          <cell r="H26">
            <v>171</v>
          </cell>
        </row>
        <row r="27">
          <cell r="D27" t="str">
            <v>AT - Arhiivindus</v>
          </cell>
          <cell r="E27" t="str">
            <v>2B</v>
          </cell>
          <cell r="F27">
            <v>184</v>
          </cell>
          <cell r="G27">
            <v>172</v>
          </cell>
          <cell r="H27">
            <v>197</v>
          </cell>
        </row>
        <row r="28">
          <cell r="D28" t="str">
            <v>AT - Arhiivindus</v>
          </cell>
          <cell r="E28" t="str">
            <v>2A</v>
          </cell>
          <cell r="F28">
            <v>212</v>
          </cell>
          <cell r="G28">
            <v>198</v>
          </cell>
          <cell r="H28">
            <v>227</v>
          </cell>
        </row>
        <row r="29">
          <cell r="D29" t="str">
            <v>AT - Arhiivindus</v>
          </cell>
          <cell r="E29" t="str">
            <v>3A</v>
          </cell>
          <cell r="F29">
            <v>281</v>
          </cell>
          <cell r="G29">
            <v>262</v>
          </cell>
          <cell r="H29">
            <v>300</v>
          </cell>
        </row>
        <row r="30">
          <cell r="D30" t="str">
            <v>AT - Arhiivindus</v>
          </cell>
          <cell r="E30" t="str">
            <v>3B</v>
          </cell>
          <cell r="F30">
            <v>281</v>
          </cell>
          <cell r="G30">
            <v>262</v>
          </cell>
          <cell r="H30">
            <v>300</v>
          </cell>
        </row>
        <row r="31">
          <cell r="D31" t="str">
            <v>AT - Arhiivindus</v>
          </cell>
          <cell r="E31">
            <v>4</v>
          </cell>
          <cell r="F31">
            <v>427</v>
          </cell>
          <cell r="G31">
            <v>398</v>
          </cell>
          <cell r="H31">
            <v>457</v>
          </cell>
        </row>
        <row r="32">
          <cell r="D32" t="str">
            <v>AT - Ekspertiis</v>
          </cell>
          <cell r="E32">
            <v>1</v>
          </cell>
          <cell r="F32">
            <v>160</v>
          </cell>
          <cell r="G32">
            <v>150</v>
          </cell>
          <cell r="H32">
            <v>171</v>
          </cell>
        </row>
        <row r="33">
          <cell r="D33" t="str">
            <v>AT - Ekspertiis</v>
          </cell>
          <cell r="E33">
            <v>2</v>
          </cell>
          <cell r="F33">
            <v>212</v>
          </cell>
          <cell r="G33">
            <v>198</v>
          </cell>
          <cell r="H33">
            <v>227</v>
          </cell>
        </row>
        <row r="34">
          <cell r="D34" t="str">
            <v>AT - Ekspertiis</v>
          </cell>
          <cell r="E34">
            <v>3</v>
          </cell>
          <cell r="F34">
            <v>281</v>
          </cell>
          <cell r="G34">
            <v>262</v>
          </cell>
          <cell r="H34">
            <v>300</v>
          </cell>
        </row>
        <row r="35">
          <cell r="D35" t="str">
            <v>AT - Ekspertiis</v>
          </cell>
          <cell r="E35">
            <v>4</v>
          </cell>
          <cell r="F35">
            <v>323</v>
          </cell>
          <cell r="G35">
            <v>301</v>
          </cell>
          <cell r="H35">
            <v>345</v>
          </cell>
        </row>
        <row r="36">
          <cell r="D36" t="str">
            <v>AT - Ekspertiis</v>
          </cell>
          <cell r="E36">
            <v>5</v>
          </cell>
          <cell r="F36">
            <v>427</v>
          </cell>
          <cell r="G36">
            <v>398</v>
          </cell>
          <cell r="H36">
            <v>457</v>
          </cell>
        </row>
        <row r="37">
          <cell r="D37" t="str">
            <v>AT - Finantsanalüüs, -planeerimine ja -juhtimine</v>
          </cell>
          <cell r="E37">
            <v>1</v>
          </cell>
          <cell r="F37">
            <v>160</v>
          </cell>
          <cell r="G37">
            <v>150</v>
          </cell>
          <cell r="H37">
            <v>171</v>
          </cell>
        </row>
        <row r="38">
          <cell r="D38" t="str">
            <v>AT - Finantsanalüüs, -planeerimine ja -juhtimine</v>
          </cell>
          <cell r="E38">
            <v>2</v>
          </cell>
          <cell r="F38">
            <v>184</v>
          </cell>
          <cell r="G38">
            <v>172</v>
          </cell>
          <cell r="H38">
            <v>197</v>
          </cell>
        </row>
        <row r="39">
          <cell r="D39" t="str">
            <v>AT - Finantsanalüüs, -planeerimine ja -juhtimine</v>
          </cell>
          <cell r="E39">
            <v>3</v>
          </cell>
          <cell r="F39">
            <v>281</v>
          </cell>
          <cell r="G39">
            <v>262</v>
          </cell>
          <cell r="H39">
            <v>300</v>
          </cell>
        </row>
        <row r="40">
          <cell r="D40" t="str">
            <v>AT - Finantsanalüüs, -planeerimine ja -juhtimine</v>
          </cell>
          <cell r="E40">
            <v>4</v>
          </cell>
          <cell r="F40">
            <v>427</v>
          </cell>
          <cell r="G40">
            <v>398</v>
          </cell>
          <cell r="H40">
            <v>457</v>
          </cell>
        </row>
        <row r="41">
          <cell r="D41" t="str">
            <v>AT - Finantsanalüüs, -planeerimine ja -juhtimine</v>
          </cell>
          <cell r="E41">
            <v>5</v>
          </cell>
          <cell r="F41">
            <v>492</v>
          </cell>
          <cell r="G41">
            <v>458</v>
          </cell>
          <cell r="H41">
            <v>526</v>
          </cell>
        </row>
        <row r="42">
          <cell r="D42" t="str">
            <v>AT - Geomaatika</v>
          </cell>
          <cell r="E42">
            <v>1</v>
          </cell>
          <cell r="F42">
            <v>160</v>
          </cell>
          <cell r="G42">
            <v>150</v>
          </cell>
          <cell r="H42">
            <v>171</v>
          </cell>
        </row>
        <row r="43">
          <cell r="D43" t="str">
            <v>AT - Geomaatika</v>
          </cell>
          <cell r="E43">
            <v>2</v>
          </cell>
          <cell r="F43">
            <v>212</v>
          </cell>
          <cell r="G43">
            <v>198</v>
          </cell>
          <cell r="H43">
            <v>227</v>
          </cell>
        </row>
        <row r="44">
          <cell r="D44" t="str">
            <v>AT - Geomaatika</v>
          </cell>
          <cell r="E44">
            <v>3</v>
          </cell>
          <cell r="F44">
            <v>244</v>
          </cell>
          <cell r="G44">
            <v>228</v>
          </cell>
          <cell r="H44">
            <v>261</v>
          </cell>
        </row>
        <row r="45">
          <cell r="D45" t="str">
            <v>AT - Geomaatika</v>
          </cell>
          <cell r="E45">
            <v>4</v>
          </cell>
          <cell r="F45">
            <v>371</v>
          </cell>
          <cell r="G45">
            <v>346</v>
          </cell>
          <cell r="H45">
            <v>397</v>
          </cell>
        </row>
        <row r="46">
          <cell r="D46" t="str">
            <v>AT - Haridus</v>
          </cell>
          <cell r="E46">
            <v>1</v>
          </cell>
          <cell r="F46">
            <v>160</v>
          </cell>
          <cell r="G46">
            <v>150</v>
          </cell>
          <cell r="H46">
            <v>171</v>
          </cell>
        </row>
        <row r="47">
          <cell r="D47" t="str">
            <v>AT - Haridus</v>
          </cell>
          <cell r="E47" t="str">
            <v>2A</v>
          </cell>
          <cell r="F47">
            <v>244</v>
          </cell>
          <cell r="G47">
            <v>228</v>
          </cell>
          <cell r="H47">
            <v>261</v>
          </cell>
        </row>
        <row r="48">
          <cell r="D48" t="str">
            <v>AT - Haridus</v>
          </cell>
          <cell r="E48" t="str">
            <v>2B</v>
          </cell>
          <cell r="F48">
            <v>244</v>
          </cell>
          <cell r="G48">
            <v>228</v>
          </cell>
          <cell r="H48">
            <v>261</v>
          </cell>
        </row>
        <row r="49">
          <cell r="D49" t="str">
            <v>AT - Haridus</v>
          </cell>
          <cell r="E49" t="str">
            <v>3A</v>
          </cell>
          <cell r="F49">
            <v>323</v>
          </cell>
          <cell r="G49">
            <v>301</v>
          </cell>
          <cell r="H49">
            <v>345</v>
          </cell>
        </row>
        <row r="50">
          <cell r="D50" t="str">
            <v>AT - Haridus</v>
          </cell>
          <cell r="E50" t="str">
            <v>3B</v>
          </cell>
          <cell r="F50">
            <v>323</v>
          </cell>
          <cell r="G50">
            <v>301</v>
          </cell>
          <cell r="H50">
            <v>345</v>
          </cell>
        </row>
        <row r="51">
          <cell r="D51" t="str">
            <v>AT - Haridus</v>
          </cell>
          <cell r="E51">
            <v>4</v>
          </cell>
          <cell r="F51">
            <v>492</v>
          </cell>
          <cell r="G51">
            <v>458</v>
          </cell>
          <cell r="H51">
            <v>526</v>
          </cell>
        </row>
        <row r="52">
          <cell r="D52" t="str">
            <v>AT - Info ja dokumendihaldus</v>
          </cell>
          <cell r="E52">
            <v>1</v>
          </cell>
          <cell r="F52">
            <v>105</v>
          </cell>
          <cell r="G52">
            <v>98</v>
          </cell>
          <cell r="H52">
            <v>112</v>
          </cell>
        </row>
        <row r="53">
          <cell r="D53" t="str">
            <v>AT - Info ja dokumendihaldus</v>
          </cell>
          <cell r="E53">
            <v>2</v>
          </cell>
          <cell r="F53">
            <v>139</v>
          </cell>
          <cell r="G53">
            <v>130</v>
          </cell>
          <cell r="H53">
            <v>149</v>
          </cell>
        </row>
        <row r="54">
          <cell r="D54" t="str">
            <v>AT - Info ja dokumendihaldus</v>
          </cell>
          <cell r="E54">
            <v>3</v>
          </cell>
          <cell r="F54">
            <v>212</v>
          </cell>
          <cell r="G54">
            <v>198</v>
          </cell>
          <cell r="H54">
            <v>227</v>
          </cell>
        </row>
        <row r="55">
          <cell r="D55" t="str">
            <v>AT - Info ja dokumendihaldus</v>
          </cell>
          <cell r="E55">
            <v>4</v>
          </cell>
          <cell r="F55">
            <v>281</v>
          </cell>
          <cell r="G55">
            <v>262</v>
          </cell>
          <cell r="H55">
            <v>300</v>
          </cell>
        </row>
        <row r="56">
          <cell r="D56" t="str">
            <v>AT - Info ja dokumendihaldus</v>
          </cell>
          <cell r="E56">
            <v>5</v>
          </cell>
          <cell r="F56">
            <v>371</v>
          </cell>
          <cell r="G56">
            <v>346</v>
          </cell>
          <cell r="H56">
            <v>397</v>
          </cell>
        </row>
        <row r="57">
          <cell r="D57" t="str">
            <v>AT - Inseneritööd</v>
          </cell>
          <cell r="E57">
            <v>1</v>
          </cell>
          <cell r="F57">
            <v>160</v>
          </cell>
          <cell r="G57">
            <v>150</v>
          </cell>
          <cell r="H57">
            <v>171</v>
          </cell>
        </row>
        <row r="58">
          <cell r="D58" t="str">
            <v>AT - Inseneritööd</v>
          </cell>
          <cell r="E58">
            <v>2</v>
          </cell>
          <cell r="F58">
            <v>244</v>
          </cell>
          <cell r="G58">
            <v>228</v>
          </cell>
          <cell r="H58">
            <v>261</v>
          </cell>
        </row>
        <row r="59">
          <cell r="D59" t="str">
            <v>AT - Inseneritööd</v>
          </cell>
          <cell r="E59">
            <v>3</v>
          </cell>
          <cell r="F59">
            <v>323</v>
          </cell>
          <cell r="G59">
            <v>301</v>
          </cell>
          <cell r="H59">
            <v>345</v>
          </cell>
        </row>
        <row r="60">
          <cell r="D60" t="str">
            <v>AT - Inseneritööd</v>
          </cell>
          <cell r="E60">
            <v>4</v>
          </cell>
          <cell r="F60">
            <v>427</v>
          </cell>
          <cell r="G60">
            <v>398</v>
          </cell>
          <cell r="H60">
            <v>457</v>
          </cell>
        </row>
        <row r="61">
          <cell r="D61" t="str">
            <v>AT - Instruktorid-koolitajad</v>
          </cell>
          <cell r="E61">
            <v>1</v>
          </cell>
          <cell r="F61">
            <v>160</v>
          </cell>
          <cell r="G61">
            <v>150</v>
          </cell>
          <cell r="H61">
            <v>171</v>
          </cell>
        </row>
        <row r="62">
          <cell r="D62" t="str">
            <v>AT - Instruktorid-koolitajad</v>
          </cell>
          <cell r="E62">
            <v>2</v>
          </cell>
          <cell r="F62">
            <v>212</v>
          </cell>
          <cell r="G62">
            <v>198</v>
          </cell>
          <cell r="H62">
            <v>227</v>
          </cell>
        </row>
        <row r="63">
          <cell r="D63" t="str">
            <v>AT - Instruktorid-koolitajad</v>
          </cell>
          <cell r="E63">
            <v>3</v>
          </cell>
          <cell r="F63">
            <v>281</v>
          </cell>
          <cell r="G63">
            <v>262</v>
          </cell>
          <cell r="H63">
            <v>300</v>
          </cell>
        </row>
        <row r="64">
          <cell r="D64" t="str">
            <v>AT - Isikute teenindamine</v>
          </cell>
          <cell r="E64">
            <v>1</v>
          </cell>
          <cell r="F64">
            <v>79</v>
          </cell>
          <cell r="G64">
            <v>74</v>
          </cell>
          <cell r="H64">
            <v>84</v>
          </cell>
        </row>
        <row r="65">
          <cell r="D65" t="str">
            <v>AT - Isikute teenindamine</v>
          </cell>
          <cell r="E65">
            <v>2</v>
          </cell>
          <cell r="F65">
            <v>105</v>
          </cell>
          <cell r="G65">
            <v>98</v>
          </cell>
          <cell r="H65">
            <v>112</v>
          </cell>
        </row>
        <row r="66">
          <cell r="D66" t="str">
            <v>AT - Isikute teenindamine</v>
          </cell>
          <cell r="E66" t="str">
            <v>3A</v>
          </cell>
          <cell r="F66">
            <v>139</v>
          </cell>
          <cell r="G66">
            <v>130</v>
          </cell>
          <cell r="H66">
            <v>149</v>
          </cell>
        </row>
        <row r="67">
          <cell r="D67" t="str">
            <v>AT - Isikute teenindamine</v>
          </cell>
          <cell r="E67" t="str">
            <v>3B</v>
          </cell>
          <cell r="F67">
            <v>160</v>
          </cell>
          <cell r="G67">
            <v>150</v>
          </cell>
          <cell r="H67">
            <v>171</v>
          </cell>
        </row>
        <row r="68">
          <cell r="D68" t="str">
            <v>AT - Isikute teenindamine</v>
          </cell>
          <cell r="E68">
            <v>4</v>
          </cell>
          <cell r="F68">
            <v>244</v>
          </cell>
          <cell r="G68">
            <v>228</v>
          </cell>
          <cell r="H68">
            <v>261</v>
          </cell>
        </row>
        <row r="69">
          <cell r="D69" t="str">
            <v>AT - Isikute teenindamine</v>
          </cell>
          <cell r="E69">
            <v>5</v>
          </cell>
          <cell r="F69">
            <v>323</v>
          </cell>
          <cell r="G69">
            <v>301</v>
          </cell>
          <cell r="H69">
            <v>345</v>
          </cell>
        </row>
        <row r="70">
          <cell r="D70" t="str">
            <v>AT - IT - andmeturve</v>
          </cell>
          <cell r="E70">
            <v>1</v>
          </cell>
          <cell r="F70">
            <v>184</v>
          </cell>
          <cell r="G70">
            <v>172</v>
          </cell>
          <cell r="H70">
            <v>197</v>
          </cell>
        </row>
        <row r="71">
          <cell r="D71" t="str">
            <v>AT - IT - andmeturve</v>
          </cell>
          <cell r="E71">
            <v>2</v>
          </cell>
          <cell r="F71">
            <v>281</v>
          </cell>
          <cell r="G71">
            <v>262</v>
          </cell>
          <cell r="H71">
            <v>300</v>
          </cell>
        </row>
        <row r="72">
          <cell r="D72" t="str">
            <v>AT - IT - andmeturve</v>
          </cell>
          <cell r="E72">
            <v>3</v>
          </cell>
          <cell r="F72">
            <v>371</v>
          </cell>
          <cell r="G72">
            <v>346</v>
          </cell>
          <cell r="H72">
            <v>397</v>
          </cell>
        </row>
        <row r="73">
          <cell r="D73" t="str">
            <v>AT - IT - arvutigraafika</v>
          </cell>
          <cell r="E73">
            <v>1</v>
          </cell>
          <cell r="F73">
            <v>139</v>
          </cell>
          <cell r="G73">
            <v>130</v>
          </cell>
          <cell r="H73">
            <v>149</v>
          </cell>
        </row>
        <row r="74">
          <cell r="D74" t="str">
            <v>AT - IT - arvutigraafika</v>
          </cell>
          <cell r="E74">
            <v>2</v>
          </cell>
          <cell r="F74">
            <v>244</v>
          </cell>
          <cell r="G74">
            <v>228</v>
          </cell>
          <cell r="H74">
            <v>261</v>
          </cell>
        </row>
        <row r="75">
          <cell r="D75" t="str">
            <v>AT - IT - juhtimine</v>
          </cell>
          <cell r="E75">
            <v>1</v>
          </cell>
          <cell r="F75">
            <v>244</v>
          </cell>
          <cell r="G75">
            <v>228</v>
          </cell>
          <cell r="H75">
            <v>261</v>
          </cell>
        </row>
        <row r="76">
          <cell r="D76" t="str">
            <v>AT - IT - juhtimine</v>
          </cell>
          <cell r="E76">
            <v>2</v>
          </cell>
          <cell r="F76">
            <v>371</v>
          </cell>
          <cell r="G76">
            <v>346</v>
          </cell>
          <cell r="H76">
            <v>397</v>
          </cell>
        </row>
        <row r="77">
          <cell r="D77" t="str">
            <v>AT - IT - juhtimine</v>
          </cell>
          <cell r="E77">
            <v>3</v>
          </cell>
          <cell r="F77">
            <v>492</v>
          </cell>
          <cell r="G77">
            <v>458</v>
          </cell>
          <cell r="H77">
            <v>526</v>
          </cell>
        </row>
        <row r="78">
          <cell r="D78" t="str">
            <v>AT - IT - konsultandid</v>
          </cell>
          <cell r="E78">
            <v>1</v>
          </cell>
          <cell r="F78">
            <v>212</v>
          </cell>
          <cell r="G78">
            <v>198</v>
          </cell>
          <cell r="H78">
            <v>227</v>
          </cell>
        </row>
        <row r="79">
          <cell r="D79" t="str">
            <v>AT - IT - konsultandid</v>
          </cell>
          <cell r="E79">
            <v>2</v>
          </cell>
          <cell r="F79">
            <v>281</v>
          </cell>
          <cell r="G79">
            <v>262</v>
          </cell>
          <cell r="H79">
            <v>300</v>
          </cell>
        </row>
        <row r="80">
          <cell r="D80" t="str">
            <v>AT - IT - konsultandid</v>
          </cell>
          <cell r="E80">
            <v>3</v>
          </cell>
          <cell r="F80">
            <v>427</v>
          </cell>
          <cell r="G80">
            <v>398</v>
          </cell>
          <cell r="H80">
            <v>457</v>
          </cell>
        </row>
        <row r="81">
          <cell r="D81" t="str">
            <v>AT - IT - projektijuhtimine</v>
          </cell>
          <cell r="E81">
            <v>1</v>
          </cell>
          <cell r="F81">
            <v>212</v>
          </cell>
          <cell r="G81">
            <v>198</v>
          </cell>
          <cell r="H81">
            <v>227</v>
          </cell>
        </row>
        <row r="82">
          <cell r="D82" t="str">
            <v>AT - IT - projektijuhtimine</v>
          </cell>
          <cell r="E82">
            <v>2</v>
          </cell>
          <cell r="F82">
            <v>281</v>
          </cell>
          <cell r="G82">
            <v>262</v>
          </cell>
          <cell r="H82">
            <v>300</v>
          </cell>
        </row>
        <row r="83">
          <cell r="D83" t="str">
            <v>AT - IT - projektijuhtimine</v>
          </cell>
          <cell r="E83">
            <v>3</v>
          </cell>
          <cell r="F83">
            <v>371</v>
          </cell>
          <cell r="G83">
            <v>346</v>
          </cell>
          <cell r="H83">
            <v>397</v>
          </cell>
        </row>
        <row r="84">
          <cell r="D84" t="str">
            <v>AT - IT - süsteemiadministratsioon</v>
          </cell>
          <cell r="E84">
            <v>1</v>
          </cell>
          <cell r="F84">
            <v>139</v>
          </cell>
          <cell r="G84">
            <v>130</v>
          </cell>
          <cell r="H84">
            <v>149</v>
          </cell>
        </row>
        <row r="85">
          <cell r="D85" t="str">
            <v>AT - IT - süsteemiadministratsioon</v>
          </cell>
          <cell r="E85">
            <v>2</v>
          </cell>
          <cell r="F85">
            <v>212</v>
          </cell>
          <cell r="G85">
            <v>198</v>
          </cell>
          <cell r="H85">
            <v>227</v>
          </cell>
        </row>
        <row r="86">
          <cell r="D86" t="str">
            <v>AT - IT - süsteemiadministratsioon</v>
          </cell>
          <cell r="E86">
            <v>3</v>
          </cell>
          <cell r="F86">
            <v>281</v>
          </cell>
          <cell r="G86">
            <v>262</v>
          </cell>
          <cell r="H86">
            <v>300</v>
          </cell>
        </row>
        <row r="87">
          <cell r="D87" t="str">
            <v>AT - IT - süsteemiadministratsioon</v>
          </cell>
          <cell r="E87">
            <v>4</v>
          </cell>
          <cell r="F87">
            <v>427</v>
          </cell>
          <cell r="G87">
            <v>398</v>
          </cell>
          <cell r="H87">
            <v>457</v>
          </cell>
        </row>
        <row r="88">
          <cell r="D88" t="str">
            <v>AT - IT - süsteemianalüüs</v>
          </cell>
          <cell r="E88">
            <v>1</v>
          </cell>
          <cell r="F88">
            <v>160</v>
          </cell>
          <cell r="G88">
            <v>150</v>
          </cell>
          <cell r="H88">
            <v>171</v>
          </cell>
        </row>
        <row r="89">
          <cell r="D89" t="str">
            <v>AT - IT - süsteemianalüüs</v>
          </cell>
          <cell r="E89">
            <v>2</v>
          </cell>
          <cell r="F89">
            <v>244</v>
          </cell>
          <cell r="G89">
            <v>228</v>
          </cell>
          <cell r="H89">
            <v>261</v>
          </cell>
        </row>
        <row r="90">
          <cell r="D90" t="str">
            <v>AT - IT - süsteemianalüüs</v>
          </cell>
          <cell r="E90">
            <v>3</v>
          </cell>
          <cell r="F90">
            <v>323</v>
          </cell>
          <cell r="G90">
            <v>301</v>
          </cell>
          <cell r="H90">
            <v>345</v>
          </cell>
        </row>
        <row r="91">
          <cell r="D91" t="str">
            <v>AT - IT - süsteemianalüüs</v>
          </cell>
          <cell r="E91">
            <v>4</v>
          </cell>
          <cell r="F91">
            <v>492</v>
          </cell>
          <cell r="G91">
            <v>458</v>
          </cell>
          <cell r="H91">
            <v>526</v>
          </cell>
        </row>
        <row r="92">
          <cell r="D92" t="str">
            <v>AT - IT - süsteemiarhitektuur</v>
          </cell>
          <cell r="E92">
            <v>1</v>
          </cell>
          <cell r="F92">
            <v>323</v>
          </cell>
          <cell r="G92">
            <v>301</v>
          </cell>
          <cell r="H92">
            <v>345</v>
          </cell>
        </row>
        <row r="93">
          <cell r="D93" t="str">
            <v>AT - IT - süsteemiarhitektuur</v>
          </cell>
          <cell r="E93">
            <v>2</v>
          </cell>
          <cell r="F93">
            <v>427</v>
          </cell>
          <cell r="G93">
            <v>398</v>
          </cell>
          <cell r="H93">
            <v>457</v>
          </cell>
        </row>
        <row r="94">
          <cell r="D94" t="str">
            <v>AT - IT - süsteemiarhitektuur</v>
          </cell>
          <cell r="E94">
            <v>3</v>
          </cell>
          <cell r="F94">
            <v>566</v>
          </cell>
          <cell r="G94">
            <v>527</v>
          </cell>
          <cell r="H94">
            <v>605</v>
          </cell>
        </row>
        <row r="95">
          <cell r="D95" t="str">
            <v>AT - IT - tarkvara programmeerimine</v>
          </cell>
          <cell r="E95">
            <v>1</v>
          </cell>
          <cell r="F95">
            <v>160</v>
          </cell>
          <cell r="G95">
            <v>150</v>
          </cell>
          <cell r="H95">
            <v>171</v>
          </cell>
        </row>
        <row r="96">
          <cell r="D96" t="str">
            <v>AT - IT - tarkvara programmeerimine</v>
          </cell>
          <cell r="E96">
            <v>2</v>
          </cell>
          <cell r="F96">
            <v>212</v>
          </cell>
          <cell r="G96">
            <v>198</v>
          </cell>
          <cell r="H96">
            <v>227</v>
          </cell>
        </row>
        <row r="97">
          <cell r="D97" t="str">
            <v>AT - IT - tarkvara programmeerimine</v>
          </cell>
          <cell r="E97">
            <v>3</v>
          </cell>
          <cell r="F97">
            <v>281</v>
          </cell>
          <cell r="G97">
            <v>262</v>
          </cell>
          <cell r="H97">
            <v>300</v>
          </cell>
        </row>
        <row r="98">
          <cell r="D98" t="str">
            <v>AT - IT - tarkvara programmeerimine</v>
          </cell>
          <cell r="E98">
            <v>4</v>
          </cell>
          <cell r="F98">
            <v>427</v>
          </cell>
          <cell r="G98">
            <v>398</v>
          </cell>
          <cell r="H98">
            <v>457</v>
          </cell>
        </row>
        <row r="99">
          <cell r="D99" t="str">
            <v>AT - IT - teenuste tugi</v>
          </cell>
          <cell r="E99">
            <v>1</v>
          </cell>
          <cell r="F99">
            <v>160</v>
          </cell>
          <cell r="G99">
            <v>150</v>
          </cell>
          <cell r="H99">
            <v>171</v>
          </cell>
        </row>
        <row r="100">
          <cell r="D100" t="str">
            <v>AT - IT - teenuste tugi</v>
          </cell>
          <cell r="E100">
            <v>2</v>
          </cell>
          <cell r="F100">
            <v>212</v>
          </cell>
          <cell r="G100">
            <v>198</v>
          </cell>
          <cell r="H100">
            <v>227</v>
          </cell>
        </row>
        <row r="101">
          <cell r="D101" t="str">
            <v>AT - IT - teenuste tugi</v>
          </cell>
          <cell r="E101">
            <v>3</v>
          </cell>
          <cell r="F101">
            <v>281</v>
          </cell>
          <cell r="G101">
            <v>262</v>
          </cell>
          <cell r="H101">
            <v>300</v>
          </cell>
        </row>
        <row r="102">
          <cell r="D102" t="str">
            <v>AT - IT - testimine</v>
          </cell>
          <cell r="E102">
            <v>1</v>
          </cell>
          <cell r="F102">
            <v>121</v>
          </cell>
          <cell r="G102">
            <v>113</v>
          </cell>
          <cell r="H102">
            <v>129</v>
          </cell>
        </row>
        <row r="103">
          <cell r="D103" t="str">
            <v>AT - IT - testimine</v>
          </cell>
          <cell r="E103">
            <v>2</v>
          </cell>
          <cell r="F103">
            <v>160</v>
          </cell>
          <cell r="G103">
            <v>150</v>
          </cell>
          <cell r="H103">
            <v>171</v>
          </cell>
        </row>
        <row r="104">
          <cell r="D104" t="str">
            <v>AT - IT - testimine</v>
          </cell>
          <cell r="E104">
            <v>3</v>
          </cell>
          <cell r="F104">
            <v>212</v>
          </cell>
          <cell r="G104">
            <v>198</v>
          </cell>
          <cell r="H104">
            <v>227</v>
          </cell>
        </row>
        <row r="105">
          <cell r="D105" t="str">
            <v>AT - IT - testimine</v>
          </cell>
          <cell r="E105">
            <v>4</v>
          </cell>
          <cell r="F105">
            <v>281</v>
          </cell>
          <cell r="G105">
            <v>262</v>
          </cell>
          <cell r="H105">
            <v>300</v>
          </cell>
        </row>
        <row r="106">
          <cell r="D106" t="str">
            <v>AT - Kokad</v>
          </cell>
          <cell r="E106">
            <v>1</v>
          </cell>
          <cell r="F106">
            <v>79</v>
          </cell>
          <cell r="G106">
            <v>74</v>
          </cell>
          <cell r="H106">
            <v>84</v>
          </cell>
        </row>
        <row r="107">
          <cell r="D107" t="str">
            <v>AT - Kokad</v>
          </cell>
          <cell r="E107">
            <v>2</v>
          </cell>
          <cell r="F107">
            <v>105</v>
          </cell>
          <cell r="G107">
            <v>98</v>
          </cell>
          <cell r="H107">
            <v>112</v>
          </cell>
        </row>
        <row r="108">
          <cell r="D108" t="str">
            <v>AT - Kokad</v>
          </cell>
          <cell r="E108">
            <v>3</v>
          </cell>
          <cell r="F108">
            <v>160</v>
          </cell>
          <cell r="G108">
            <v>150</v>
          </cell>
          <cell r="H108">
            <v>171</v>
          </cell>
        </row>
        <row r="109">
          <cell r="D109" t="str">
            <v>AT - Kokad</v>
          </cell>
          <cell r="E109">
            <v>4</v>
          </cell>
          <cell r="F109">
            <v>281</v>
          </cell>
          <cell r="G109">
            <v>262</v>
          </cell>
          <cell r="H109">
            <v>300</v>
          </cell>
        </row>
        <row r="110">
          <cell r="D110" t="str">
            <v>AT - Kommunikatsiooni juhtimine</v>
          </cell>
          <cell r="E110">
            <v>1</v>
          </cell>
          <cell r="F110">
            <v>160</v>
          </cell>
          <cell r="G110">
            <v>150</v>
          </cell>
          <cell r="H110">
            <v>171</v>
          </cell>
        </row>
        <row r="111">
          <cell r="D111" t="str">
            <v>AT - Kommunikatsiooni juhtimine</v>
          </cell>
          <cell r="E111">
            <v>2</v>
          </cell>
          <cell r="F111">
            <v>244</v>
          </cell>
          <cell r="G111">
            <v>228</v>
          </cell>
          <cell r="H111">
            <v>261</v>
          </cell>
        </row>
        <row r="112">
          <cell r="D112" t="str">
            <v>AT - Kommunikatsiooni juhtimine</v>
          </cell>
          <cell r="E112">
            <v>3</v>
          </cell>
          <cell r="F112">
            <v>323</v>
          </cell>
          <cell r="G112">
            <v>301</v>
          </cell>
          <cell r="H112">
            <v>345</v>
          </cell>
        </row>
        <row r="113">
          <cell r="D113" t="str">
            <v>AT - Kommunikatsiooni juhtimine</v>
          </cell>
          <cell r="E113">
            <v>4</v>
          </cell>
          <cell r="F113">
            <v>492</v>
          </cell>
          <cell r="G113">
            <v>458</v>
          </cell>
          <cell r="H113">
            <v>526</v>
          </cell>
        </row>
        <row r="114">
          <cell r="D114" t="str">
            <v>AT - Koostöö korraldamine</v>
          </cell>
          <cell r="E114">
            <v>1</v>
          </cell>
          <cell r="F114">
            <v>160</v>
          </cell>
          <cell r="G114">
            <v>150</v>
          </cell>
          <cell r="H114">
            <v>171</v>
          </cell>
        </row>
        <row r="115">
          <cell r="D115" t="str">
            <v>AT - Koostöö korraldamine</v>
          </cell>
          <cell r="E115">
            <v>2</v>
          </cell>
          <cell r="F115">
            <v>212</v>
          </cell>
          <cell r="G115">
            <v>198</v>
          </cell>
          <cell r="H115">
            <v>227</v>
          </cell>
        </row>
        <row r="116">
          <cell r="D116" t="str">
            <v>AT - Koostöö korraldamine</v>
          </cell>
          <cell r="E116">
            <v>3</v>
          </cell>
          <cell r="F116">
            <v>281</v>
          </cell>
          <cell r="G116">
            <v>262</v>
          </cell>
          <cell r="H116">
            <v>300</v>
          </cell>
        </row>
        <row r="117">
          <cell r="D117" t="str">
            <v>AT - Koostöö korraldamine</v>
          </cell>
          <cell r="E117">
            <v>4</v>
          </cell>
          <cell r="F117">
            <v>427</v>
          </cell>
          <cell r="G117">
            <v>398</v>
          </cell>
          <cell r="H117">
            <v>457</v>
          </cell>
        </row>
        <row r="118">
          <cell r="D118" t="str">
            <v>AT - Korra tagamine</v>
          </cell>
          <cell r="E118">
            <v>1</v>
          </cell>
          <cell r="F118">
            <v>105</v>
          </cell>
          <cell r="G118">
            <v>98</v>
          </cell>
          <cell r="H118">
            <v>112</v>
          </cell>
        </row>
        <row r="119">
          <cell r="D119" t="str">
            <v>AT - Korra tagamine</v>
          </cell>
          <cell r="E119">
            <v>2</v>
          </cell>
          <cell r="F119">
            <v>139</v>
          </cell>
          <cell r="G119">
            <v>130</v>
          </cell>
          <cell r="H119">
            <v>149</v>
          </cell>
        </row>
        <row r="120">
          <cell r="D120" t="str">
            <v>AT - Korra tagamine</v>
          </cell>
          <cell r="E120">
            <v>3</v>
          </cell>
          <cell r="F120">
            <v>184</v>
          </cell>
          <cell r="G120">
            <v>172</v>
          </cell>
          <cell r="H120">
            <v>197</v>
          </cell>
        </row>
        <row r="121">
          <cell r="D121" t="str">
            <v>AT - Korra tagamine</v>
          </cell>
          <cell r="E121">
            <v>4</v>
          </cell>
          <cell r="F121">
            <v>212</v>
          </cell>
          <cell r="G121">
            <v>198</v>
          </cell>
          <cell r="H121">
            <v>227</v>
          </cell>
        </row>
        <row r="122">
          <cell r="D122" t="str">
            <v>AT - Korra tagamine</v>
          </cell>
          <cell r="E122">
            <v>5</v>
          </cell>
          <cell r="F122">
            <v>244</v>
          </cell>
          <cell r="G122">
            <v>228</v>
          </cell>
          <cell r="H122">
            <v>261</v>
          </cell>
        </row>
        <row r="123">
          <cell r="D123" t="str">
            <v>AT - Korra tagamine</v>
          </cell>
          <cell r="E123">
            <v>6</v>
          </cell>
          <cell r="F123">
            <v>323</v>
          </cell>
          <cell r="G123">
            <v>301</v>
          </cell>
          <cell r="H123">
            <v>345</v>
          </cell>
        </row>
        <row r="124">
          <cell r="D124" t="str">
            <v>AT - Korra tagamine</v>
          </cell>
          <cell r="E124">
            <v>7</v>
          </cell>
          <cell r="F124">
            <v>427</v>
          </cell>
          <cell r="G124">
            <v>398</v>
          </cell>
          <cell r="H124">
            <v>457</v>
          </cell>
        </row>
        <row r="125">
          <cell r="D125" t="str">
            <v>AT - Kunstilised tööd</v>
          </cell>
          <cell r="E125">
            <v>1</v>
          </cell>
          <cell r="F125">
            <v>139</v>
          </cell>
          <cell r="G125">
            <v>130</v>
          </cell>
          <cell r="H125">
            <v>149</v>
          </cell>
        </row>
        <row r="126">
          <cell r="D126" t="str">
            <v>AT - Kunstilised tööd</v>
          </cell>
          <cell r="E126">
            <v>2</v>
          </cell>
          <cell r="F126">
            <v>184</v>
          </cell>
          <cell r="G126">
            <v>172</v>
          </cell>
          <cell r="H126">
            <v>197</v>
          </cell>
        </row>
        <row r="127">
          <cell r="D127" t="str">
            <v>AT - Laboritööd</v>
          </cell>
          <cell r="E127">
            <v>1</v>
          </cell>
          <cell r="F127">
            <v>79</v>
          </cell>
          <cell r="G127">
            <v>74</v>
          </cell>
          <cell r="H127">
            <v>84</v>
          </cell>
        </row>
        <row r="128">
          <cell r="D128" t="str">
            <v>AT - Laboritööd</v>
          </cell>
          <cell r="E128">
            <v>2</v>
          </cell>
          <cell r="F128">
            <v>121</v>
          </cell>
          <cell r="G128">
            <v>113</v>
          </cell>
          <cell r="H128">
            <v>129</v>
          </cell>
        </row>
        <row r="129">
          <cell r="D129" t="str">
            <v>AT - Laboritööd</v>
          </cell>
          <cell r="E129">
            <v>3</v>
          </cell>
          <cell r="F129">
            <v>184</v>
          </cell>
          <cell r="G129">
            <v>172</v>
          </cell>
          <cell r="H129">
            <v>197</v>
          </cell>
        </row>
        <row r="130">
          <cell r="D130" t="str">
            <v>AT - Laboritööd</v>
          </cell>
          <cell r="E130">
            <v>4</v>
          </cell>
          <cell r="F130">
            <v>244</v>
          </cell>
          <cell r="G130">
            <v>228</v>
          </cell>
          <cell r="H130">
            <v>261</v>
          </cell>
        </row>
        <row r="131">
          <cell r="D131" t="str">
            <v>AT - Laboritööd</v>
          </cell>
          <cell r="E131">
            <v>5</v>
          </cell>
          <cell r="F131">
            <v>323</v>
          </cell>
          <cell r="G131">
            <v>301</v>
          </cell>
          <cell r="H131">
            <v>345</v>
          </cell>
        </row>
        <row r="132">
          <cell r="D132" t="str">
            <v>AT - Ladu</v>
          </cell>
          <cell r="E132">
            <v>1</v>
          </cell>
          <cell r="F132">
            <v>91</v>
          </cell>
          <cell r="G132">
            <v>85</v>
          </cell>
          <cell r="H132">
            <v>97</v>
          </cell>
        </row>
        <row r="133">
          <cell r="D133" t="str">
            <v>AT - Ladu</v>
          </cell>
          <cell r="E133">
            <v>2</v>
          </cell>
          <cell r="F133">
            <v>139</v>
          </cell>
          <cell r="G133">
            <v>130</v>
          </cell>
          <cell r="H133">
            <v>149</v>
          </cell>
        </row>
        <row r="134">
          <cell r="D134" t="str">
            <v>AT - Ladu</v>
          </cell>
          <cell r="E134">
            <v>3</v>
          </cell>
          <cell r="F134">
            <v>184</v>
          </cell>
          <cell r="G134">
            <v>172</v>
          </cell>
          <cell r="H134">
            <v>197</v>
          </cell>
        </row>
        <row r="135">
          <cell r="D135" t="str">
            <v>AT - Ladu</v>
          </cell>
          <cell r="E135">
            <v>4</v>
          </cell>
          <cell r="F135">
            <v>323</v>
          </cell>
          <cell r="G135">
            <v>301</v>
          </cell>
          <cell r="H135">
            <v>345</v>
          </cell>
        </row>
        <row r="136">
          <cell r="D136" t="str">
            <v>AT - Laevameeskond</v>
          </cell>
          <cell r="E136">
            <v>1</v>
          </cell>
          <cell r="F136">
            <v>91</v>
          </cell>
          <cell r="G136">
            <v>85</v>
          </cell>
          <cell r="H136">
            <v>97</v>
          </cell>
        </row>
        <row r="137">
          <cell r="D137" t="str">
            <v>AT - Laevameeskond</v>
          </cell>
          <cell r="E137">
            <v>2</v>
          </cell>
          <cell r="F137">
            <v>139</v>
          </cell>
          <cell r="G137">
            <v>130</v>
          </cell>
          <cell r="H137">
            <v>149</v>
          </cell>
        </row>
        <row r="138">
          <cell r="D138" t="str">
            <v>AT - Laevameeskond</v>
          </cell>
          <cell r="E138">
            <v>3</v>
          </cell>
          <cell r="F138">
            <v>160</v>
          </cell>
          <cell r="G138">
            <v>150</v>
          </cell>
          <cell r="H138">
            <v>171</v>
          </cell>
        </row>
        <row r="139">
          <cell r="D139" t="str">
            <v>AT - Laevameeskond</v>
          </cell>
          <cell r="E139" t="str">
            <v>4A</v>
          </cell>
          <cell r="F139">
            <v>184</v>
          </cell>
          <cell r="G139">
            <v>172</v>
          </cell>
          <cell r="H139">
            <v>197</v>
          </cell>
        </row>
        <row r="140">
          <cell r="D140" t="str">
            <v>AT - Laevameeskond</v>
          </cell>
          <cell r="E140" t="str">
            <v>4B</v>
          </cell>
          <cell r="F140">
            <v>212</v>
          </cell>
          <cell r="G140">
            <v>198</v>
          </cell>
          <cell r="H140">
            <v>227</v>
          </cell>
        </row>
        <row r="141">
          <cell r="D141" t="str">
            <v>AT - Laevameeskond</v>
          </cell>
          <cell r="E141" t="str">
            <v>4C</v>
          </cell>
          <cell r="F141">
            <v>244</v>
          </cell>
          <cell r="G141">
            <v>228</v>
          </cell>
          <cell r="H141">
            <v>261</v>
          </cell>
        </row>
        <row r="142">
          <cell r="D142" t="str">
            <v>AT - Laevameeskond</v>
          </cell>
          <cell r="E142" t="str">
            <v>5A</v>
          </cell>
          <cell r="F142">
            <v>281</v>
          </cell>
          <cell r="G142">
            <v>262</v>
          </cell>
          <cell r="H142">
            <v>300</v>
          </cell>
        </row>
        <row r="143">
          <cell r="D143" t="str">
            <v>AT - Laevameeskond</v>
          </cell>
          <cell r="E143" t="str">
            <v>5B</v>
          </cell>
          <cell r="F143">
            <v>323</v>
          </cell>
          <cell r="G143">
            <v>301</v>
          </cell>
          <cell r="H143">
            <v>345</v>
          </cell>
        </row>
        <row r="144">
          <cell r="D144" t="str">
            <v>AT - Laevameeskond</v>
          </cell>
          <cell r="E144" t="str">
            <v>5C</v>
          </cell>
          <cell r="F144">
            <v>371</v>
          </cell>
          <cell r="G144">
            <v>346</v>
          </cell>
          <cell r="H144">
            <v>397</v>
          </cell>
        </row>
        <row r="145">
          <cell r="D145" t="str">
            <v>AT - Logistika</v>
          </cell>
          <cell r="E145">
            <v>1</v>
          </cell>
          <cell r="F145">
            <v>121</v>
          </cell>
          <cell r="G145">
            <v>113</v>
          </cell>
          <cell r="H145">
            <v>129</v>
          </cell>
        </row>
        <row r="146">
          <cell r="D146" t="str">
            <v>AT - Logistika</v>
          </cell>
          <cell r="E146">
            <v>2</v>
          </cell>
          <cell r="F146">
            <v>184</v>
          </cell>
          <cell r="G146">
            <v>172</v>
          </cell>
          <cell r="H146">
            <v>197</v>
          </cell>
        </row>
        <row r="147">
          <cell r="D147" t="str">
            <v>AT - Logistika</v>
          </cell>
          <cell r="E147">
            <v>3</v>
          </cell>
          <cell r="F147">
            <v>244</v>
          </cell>
          <cell r="G147">
            <v>228</v>
          </cell>
          <cell r="H147">
            <v>261</v>
          </cell>
        </row>
        <row r="148">
          <cell r="D148" t="str">
            <v>AT - Logistika</v>
          </cell>
          <cell r="E148">
            <v>4</v>
          </cell>
          <cell r="F148">
            <v>371</v>
          </cell>
          <cell r="G148">
            <v>346</v>
          </cell>
          <cell r="H148">
            <v>397</v>
          </cell>
        </row>
        <row r="149">
          <cell r="D149" t="str">
            <v>AT - Logistika</v>
          </cell>
          <cell r="E149">
            <v>5</v>
          </cell>
          <cell r="F149">
            <v>492</v>
          </cell>
          <cell r="G149">
            <v>458</v>
          </cell>
          <cell r="H149">
            <v>526</v>
          </cell>
        </row>
        <row r="150">
          <cell r="D150" t="str">
            <v>AT - Meditsiin</v>
          </cell>
          <cell r="E150">
            <v>1</v>
          </cell>
          <cell r="F150">
            <v>91</v>
          </cell>
          <cell r="G150">
            <v>85</v>
          </cell>
          <cell r="H150">
            <v>97</v>
          </cell>
        </row>
        <row r="151">
          <cell r="D151" t="str">
            <v>AT - Meditsiin</v>
          </cell>
          <cell r="E151">
            <v>2</v>
          </cell>
          <cell r="F151">
            <v>139</v>
          </cell>
          <cell r="G151">
            <v>130</v>
          </cell>
          <cell r="H151">
            <v>149</v>
          </cell>
        </row>
        <row r="152">
          <cell r="D152" t="str">
            <v>AT - Meditsiin</v>
          </cell>
          <cell r="E152">
            <v>3</v>
          </cell>
          <cell r="F152">
            <v>244</v>
          </cell>
          <cell r="G152">
            <v>228</v>
          </cell>
          <cell r="H152">
            <v>261</v>
          </cell>
        </row>
        <row r="153">
          <cell r="D153" t="str">
            <v>AT - Meditsiin</v>
          </cell>
          <cell r="E153">
            <v>4</v>
          </cell>
          <cell r="F153">
            <v>371</v>
          </cell>
          <cell r="G153">
            <v>346</v>
          </cell>
          <cell r="H153">
            <v>397</v>
          </cell>
        </row>
        <row r="154">
          <cell r="D154" t="str">
            <v>AT - Muuseumitööd</v>
          </cell>
          <cell r="E154">
            <v>1</v>
          </cell>
          <cell r="F154">
            <v>212</v>
          </cell>
          <cell r="G154">
            <v>198</v>
          </cell>
          <cell r="H154">
            <v>227</v>
          </cell>
        </row>
        <row r="155">
          <cell r="D155" t="str">
            <v>AT - Muuseumitööd</v>
          </cell>
          <cell r="E155">
            <v>2</v>
          </cell>
          <cell r="F155">
            <v>281</v>
          </cell>
          <cell r="G155">
            <v>262</v>
          </cell>
          <cell r="H155">
            <v>300</v>
          </cell>
        </row>
        <row r="156">
          <cell r="D156" t="str">
            <v>AT - Muuseumitööd</v>
          </cell>
          <cell r="E156">
            <v>3</v>
          </cell>
          <cell r="F156">
            <v>427</v>
          </cell>
          <cell r="G156">
            <v>398</v>
          </cell>
          <cell r="H156">
            <v>457</v>
          </cell>
        </row>
        <row r="157">
          <cell r="D157" t="str">
            <v>AT - Muusikud</v>
          </cell>
          <cell r="E157">
            <v>1</v>
          </cell>
          <cell r="F157">
            <v>160</v>
          </cell>
          <cell r="G157">
            <v>150</v>
          </cell>
          <cell r="H157">
            <v>171</v>
          </cell>
        </row>
        <row r="158">
          <cell r="D158" t="str">
            <v>AT - Muusikud</v>
          </cell>
          <cell r="E158">
            <v>2</v>
          </cell>
          <cell r="F158">
            <v>244</v>
          </cell>
          <cell r="G158">
            <v>228</v>
          </cell>
          <cell r="H158">
            <v>261</v>
          </cell>
        </row>
        <row r="159">
          <cell r="D159" t="str">
            <v>AT - Nõustav ja kontrolliv järelevalve</v>
          </cell>
          <cell r="E159">
            <v>1</v>
          </cell>
          <cell r="F159">
            <v>121</v>
          </cell>
          <cell r="G159">
            <v>113</v>
          </cell>
          <cell r="H159">
            <v>129</v>
          </cell>
        </row>
        <row r="160">
          <cell r="D160" t="str">
            <v>AT - Nõustav ja kontrolliv järelevalve</v>
          </cell>
          <cell r="E160" t="str">
            <v>2A</v>
          </cell>
          <cell r="F160">
            <v>184</v>
          </cell>
          <cell r="G160">
            <v>172</v>
          </cell>
          <cell r="H160">
            <v>197</v>
          </cell>
        </row>
        <row r="161">
          <cell r="D161" t="str">
            <v>AT - Nõustav ja kontrolliv järelevalve</v>
          </cell>
          <cell r="E161" t="str">
            <v>2B</v>
          </cell>
          <cell r="F161">
            <v>212</v>
          </cell>
          <cell r="G161">
            <v>198</v>
          </cell>
          <cell r="H161">
            <v>227</v>
          </cell>
        </row>
        <row r="162">
          <cell r="D162" t="str">
            <v>AT - Nõustav ja kontrolliv järelevalve</v>
          </cell>
          <cell r="E162" t="str">
            <v>3A</v>
          </cell>
          <cell r="F162">
            <v>244</v>
          </cell>
          <cell r="G162">
            <v>228</v>
          </cell>
          <cell r="H162">
            <v>261</v>
          </cell>
        </row>
        <row r="163">
          <cell r="D163" t="str">
            <v>AT - Nõustav ja kontrolliv järelevalve</v>
          </cell>
          <cell r="E163" t="str">
            <v>3B</v>
          </cell>
          <cell r="F163">
            <v>281</v>
          </cell>
          <cell r="G163">
            <v>262</v>
          </cell>
          <cell r="H163">
            <v>300</v>
          </cell>
        </row>
        <row r="164">
          <cell r="D164" t="str">
            <v>AT - Nõustav ja kontrolliv järelevalve</v>
          </cell>
          <cell r="E164">
            <v>4</v>
          </cell>
          <cell r="F164">
            <v>323</v>
          </cell>
          <cell r="G164">
            <v>301</v>
          </cell>
          <cell r="H164">
            <v>345</v>
          </cell>
        </row>
        <row r="165">
          <cell r="D165" t="str">
            <v>AT - Nõustav ja kontrolliv järelevalve</v>
          </cell>
          <cell r="E165">
            <v>5</v>
          </cell>
          <cell r="F165">
            <v>371</v>
          </cell>
          <cell r="G165">
            <v>346</v>
          </cell>
          <cell r="H165">
            <v>397</v>
          </cell>
        </row>
        <row r="166">
          <cell r="D166" t="str">
            <v>AT - Nõustav ja kontrolliv järelevalve</v>
          </cell>
          <cell r="E166">
            <v>6</v>
          </cell>
          <cell r="F166">
            <v>427</v>
          </cell>
          <cell r="G166">
            <v>398</v>
          </cell>
          <cell r="H166">
            <v>457</v>
          </cell>
        </row>
        <row r="167">
          <cell r="D167" t="str">
            <v>AT - Operatiivinfo juhtimine</v>
          </cell>
          <cell r="E167">
            <v>1</v>
          </cell>
          <cell r="F167">
            <v>121</v>
          </cell>
          <cell r="G167">
            <v>113</v>
          </cell>
          <cell r="H167">
            <v>129</v>
          </cell>
        </row>
        <row r="168">
          <cell r="D168" t="str">
            <v>AT - Operatiivinfo juhtimine</v>
          </cell>
          <cell r="E168">
            <v>2</v>
          </cell>
          <cell r="F168">
            <v>160</v>
          </cell>
          <cell r="G168">
            <v>150</v>
          </cell>
          <cell r="H168">
            <v>171</v>
          </cell>
        </row>
        <row r="169">
          <cell r="D169" t="str">
            <v>AT - Operatiivinfo juhtimine</v>
          </cell>
          <cell r="E169" t="str">
            <v>3A</v>
          </cell>
          <cell r="F169">
            <v>244</v>
          </cell>
          <cell r="G169">
            <v>228</v>
          </cell>
          <cell r="H169">
            <v>261</v>
          </cell>
        </row>
        <row r="170">
          <cell r="D170" t="str">
            <v>AT - Operatiivinfo juhtimine</v>
          </cell>
          <cell r="E170" t="str">
            <v>3B</v>
          </cell>
          <cell r="F170">
            <v>244</v>
          </cell>
          <cell r="G170">
            <v>228</v>
          </cell>
          <cell r="H170">
            <v>261</v>
          </cell>
        </row>
        <row r="171">
          <cell r="D171" t="str">
            <v>AT - Operatiivinfo juhtimine</v>
          </cell>
          <cell r="E171">
            <v>4</v>
          </cell>
          <cell r="F171">
            <v>323</v>
          </cell>
          <cell r="G171">
            <v>301</v>
          </cell>
          <cell r="H171">
            <v>345</v>
          </cell>
        </row>
        <row r="172">
          <cell r="D172" t="str">
            <v>AT - Operatiivinfo juhtimine</v>
          </cell>
          <cell r="E172">
            <v>5</v>
          </cell>
          <cell r="F172">
            <v>492</v>
          </cell>
          <cell r="G172">
            <v>458</v>
          </cell>
          <cell r="H172">
            <v>526</v>
          </cell>
        </row>
        <row r="173">
          <cell r="D173" t="str">
            <v>AT - Organisatsiooni protsessid (tegevustõhusus ja kvaliteet)</v>
          </cell>
          <cell r="E173">
            <v>1</v>
          </cell>
          <cell r="F173">
            <v>139</v>
          </cell>
          <cell r="G173">
            <v>130</v>
          </cell>
          <cell r="H173">
            <v>149</v>
          </cell>
        </row>
        <row r="174">
          <cell r="D174" t="str">
            <v>AT - Organisatsiooni protsessid (tegevustõhusus ja kvaliteet)</v>
          </cell>
          <cell r="E174">
            <v>2</v>
          </cell>
          <cell r="F174">
            <v>184</v>
          </cell>
          <cell r="G174">
            <v>172</v>
          </cell>
          <cell r="H174">
            <v>197</v>
          </cell>
        </row>
        <row r="175">
          <cell r="D175" t="str">
            <v>AT - Organisatsiooni protsessid (tegevustõhusus ja kvaliteet)</v>
          </cell>
          <cell r="E175">
            <v>3</v>
          </cell>
          <cell r="F175">
            <v>244</v>
          </cell>
          <cell r="G175">
            <v>228</v>
          </cell>
          <cell r="H175">
            <v>261</v>
          </cell>
        </row>
        <row r="176">
          <cell r="D176" t="str">
            <v>AT - Organisatsiooni protsessid (tegevustõhusus ja kvaliteet)</v>
          </cell>
          <cell r="E176">
            <v>4</v>
          </cell>
          <cell r="F176">
            <v>323</v>
          </cell>
          <cell r="G176">
            <v>301</v>
          </cell>
          <cell r="H176">
            <v>345</v>
          </cell>
        </row>
        <row r="177">
          <cell r="D177" t="str">
            <v>AT - Organisatsiooni protsessid (tegevustõhusus ja kvaliteet)</v>
          </cell>
          <cell r="E177">
            <v>5</v>
          </cell>
          <cell r="F177">
            <v>427</v>
          </cell>
          <cell r="G177">
            <v>398</v>
          </cell>
          <cell r="H177">
            <v>457</v>
          </cell>
        </row>
        <row r="178">
          <cell r="D178" t="str">
            <v>AT - Oskustööd</v>
          </cell>
          <cell r="E178">
            <v>1</v>
          </cell>
          <cell r="F178">
            <v>105</v>
          </cell>
          <cell r="G178">
            <v>98</v>
          </cell>
          <cell r="H178">
            <v>112</v>
          </cell>
        </row>
        <row r="179">
          <cell r="D179" t="str">
            <v>AT - Oskustööd</v>
          </cell>
          <cell r="E179">
            <v>2</v>
          </cell>
          <cell r="F179">
            <v>139</v>
          </cell>
          <cell r="G179">
            <v>130</v>
          </cell>
          <cell r="H179">
            <v>149</v>
          </cell>
        </row>
        <row r="180">
          <cell r="D180" t="str">
            <v>AT - Oskustööd</v>
          </cell>
          <cell r="E180">
            <v>3</v>
          </cell>
          <cell r="F180">
            <v>184</v>
          </cell>
          <cell r="G180">
            <v>172</v>
          </cell>
          <cell r="H180">
            <v>197</v>
          </cell>
        </row>
        <row r="181">
          <cell r="D181" t="str">
            <v>AT - Oskustööd</v>
          </cell>
          <cell r="E181">
            <v>4</v>
          </cell>
          <cell r="F181">
            <v>212</v>
          </cell>
          <cell r="G181">
            <v>198</v>
          </cell>
          <cell r="H181">
            <v>227</v>
          </cell>
        </row>
        <row r="182">
          <cell r="D182" t="str">
            <v>AT - Personalijuhtimine</v>
          </cell>
          <cell r="E182">
            <v>1</v>
          </cell>
          <cell r="F182">
            <v>121</v>
          </cell>
          <cell r="G182">
            <v>113</v>
          </cell>
          <cell r="H182">
            <v>129</v>
          </cell>
        </row>
        <row r="183">
          <cell r="D183" t="str">
            <v>AT - Personalijuhtimine</v>
          </cell>
          <cell r="E183">
            <v>2</v>
          </cell>
          <cell r="F183">
            <v>184</v>
          </cell>
          <cell r="G183">
            <v>172</v>
          </cell>
          <cell r="H183">
            <v>197</v>
          </cell>
        </row>
        <row r="184">
          <cell r="D184" t="str">
            <v>AT - Personalijuhtimine</v>
          </cell>
          <cell r="E184">
            <v>3</v>
          </cell>
          <cell r="F184">
            <v>244</v>
          </cell>
          <cell r="G184">
            <v>228</v>
          </cell>
          <cell r="H184">
            <v>261</v>
          </cell>
        </row>
        <row r="185">
          <cell r="D185" t="str">
            <v>AT - Personalijuhtimine</v>
          </cell>
          <cell r="E185">
            <v>4</v>
          </cell>
          <cell r="F185">
            <v>323</v>
          </cell>
          <cell r="G185">
            <v>301</v>
          </cell>
          <cell r="H185">
            <v>345</v>
          </cell>
        </row>
        <row r="186">
          <cell r="D186" t="str">
            <v>AT - Personalijuhtimine</v>
          </cell>
          <cell r="E186">
            <v>5</v>
          </cell>
          <cell r="F186">
            <v>427</v>
          </cell>
          <cell r="G186">
            <v>398</v>
          </cell>
          <cell r="H186">
            <v>457</v>
          </cell>
        </row>
        <row r="187">
          <cell r="D187" t="str">
            <v>AT - Personalijuhtimine</v>
          </cell>
          <cell r="E187">
            <v>6</v>
          </cell>
          <cell r="F187">
            <v>492</v>
          </cell>
          <cell r="G187">
            <v>458</v>
          </cell>
          <cell r="H187">
            <v>526</v>
          </cell>
        </row>
        <row r="188">
          <cell r="D188" t="str">
            <v>AT - Piloodid</v>
          </cell>
          <cell r="E188">
            <v>1</v>
          </cell>
          <cell r="F188">
            <v>212</v>
          </cell>
          <cell r="G188">
            <v>198</v>
          </cell>
          <cell r="H188">
            <v>227</v>
          </cell>
        </row>
        <row r="189">
          <cell r="D189" t="str">
            <v>AT - Piloodid</v>
          </cell>
          <cell r="E189">
            <v>2</v>
          </cell>
          <cell r="F189">
            <v>281</v>
          </cell>
          <cell r="G189">
            <v>262</v>
          </cell>
          <cell r="H189">
            <v>300</v>
          </cell>
        </row>
        <row r="190">
          <cell r="D190" t="str">
            <v>AT - Poliitika rakendamine</v>
          </cell>
          <cell r="E190">
            <v>1</v>
          </cell>
          <cell r="F190">
            <v>160</v>
          </cell>
          <cell r="G190">
            <v>150</v>
          </cell>
          <cell r="H190">
            <v>171</v>
          </cell>
        </row>
        <row r="191">
          <cell r="D191" t="str">
            <v>AT - Poliitika rakendamine</v>
          </cell>
          <cell r="E191">
            <v>2</v>
          </cell>
          <cell r="F191">
            <v>212</v>
          </cell>
          <cell r="G191">
            <v>198</v>
          </cell>
          <cell r="H191">
            <v>227</v>
          </cell>
        </row>
        <row r="192">
          <cell r="D192" t="str">
            <v>AT - Poliitika rakendamine</v>
          </cell>
          <cell r="E192">
            <v>3</v>
          </cell>
          <cell r="F192">
            <v>281</v>
          </cell>
          <cell r="G192">
            <v>262</v>
          </cell>
          <cell r="H192">
            <v>300</v>
          </cell>
        </row>
        <row r="193">
          <cell r="D193" t="str">
            <v>AT - Poliitika rakendamine</v>
          </cell>
          <cell r="E193">
            <v>4</v>
          </cell>
          <cell r="F193">
            <v>323</v>
          </cell>
          <cell r="G193">
            <v>301</v>
          </cell>
          <cell r="H193">
            <v>345</v>
          </cell>
        </row>
        <row r="194">
          <cell r="D194" t="str">
            <v>AT - Poliitika rakendamine</v>
          </cell>
          <cell r="E194">
            <v>5</v>
          </cell>
          <cell r="F194">
            <v>427</v>
          </cell>
          <cell r="G194">
            <v>398</v>
          </cell>
          <cell r="H194">
            <v>457</v>
          </cell>
        </row>
        <row r="195">
          <cell r="D195" t="str">
            <v>AT - Poliitika rakendamine</v>
          </cell>
          <cell r="E195">
            <v>6</v>
          </cell>
          <cell r="F195">
            <v>492</v>
          </cell>
          <cell r="G195">
            <v>458</v>
          </cell>
          <cell r="H195">
            <v>526</v>
          </cell>
        </row>
        <row r="196">
          <cell r="D196" t="str">
            <v>AT - Poliitika rakendamine</v>
          </cell>
          <cell r="E196">
            <v>7</v>
          </cell>
          <cell r="F196">
            <v>566</v>
          </cell>
          <cell r="G196">
            <v>527</v>
          </cell>
          <cell r="H196">
            <v>605</v>
          </cell>
        </row>
        <row r="197">
          <cell r="D197" t="str">
            <v>AT - Projektijuhtimine</v>
          </cell>
          <cell r="E197">
            <v>1</v>
          </cell>
          <cell r="F197">
            <v>160</v>
          </cell>
          <cell r="G197">
            <v>150</v>
          </cell>
          <cell r="H197">
            <v>171</v>
          </cell>
        </row>
        <row r="198">
          <cell r="D198" t="str">
            <v>AT - Projektijuhtimine</v>
          </cell>
          <cell r="E198">
            <v>2</v>
          </cell>
          <cell r="F198">
            <v>212</v>
          </cell>
          <cell r="G198">
            <v>198</v>
          </cell>
          <cell r="H198">
            <v>227</v>
          </cell>
        </row>
        <row r="199">
          <cell r="D199" t="str">
            <v>AT - Projektijuhtimine</v>
          </cell>
          <cell r="E199">
            <v>3</v>
          </cell>
          <cell r="F199">
            <v>323</v>
          </cell>
          <cell r="G199">
            <v>301</v>
          </cell>
          <cell r="H199">
            <v>345</v>
          </cell>
        </row>
        <row r="200">
          <cell r="D200" t="str">
            <v>AT - Projektijuhtimine</v>
          </cell>
          <cell r="E200">
            <v>4</v>
          </cell>
          <cell r="F200">
            <v>427</v>
          </cell>
          <cell r="G200">
            <v>398</v>
          </cell>
          <cell r="H200">
            <v>457</v>
          </cell>
        </row>
        <row r="201">
          <cell r="D201" t="str">
            <v>AT - Päästetööd</v>
          </cell>
          <cell r="E201">
            <v>1</v>
          </cell>
          <cell r="F201">
            <v>139</v>
          </cell>
          <cell r="G201">
            <v>130</v>
          </cell>
          <cell r="H201">
            <v>149</v>
          </cell>
        </row>
        <row r="202">
          <cell r="D202" t="str">
            <v>AT - Päästetööd</v>
          </cell>
          <cell r="E202">
            <v>2</v>
          </cell>
          <cell r="F202">
            <v>184</v>
          </cell>
          <cell r="G202">
            <v>172</v>
          </cell>
          <cell r="H202">
            <v>197</v>
          </cell>
        </row>
        <row r="203">
          <cell r="D203" t="str">
            <v>AT - Päästetööd</v>
          </cell>
          <cell r="E203">
            <v>3</v>
          </cell>
          <cell r="F203">
            <v>212</v>
          </cell>
          <cell r="G203">
            <v>198</v>
          </cell>
          <cell r="H203">
            <v>227</v>
          </cell>
        </row>
        <row r="204">
          <cell r="D204" t="str">
            <v>AT - Päästetööd</v>
          </cell>
          <cell r="E204">
            <v>4</v>
          </cell>
          <cell r="F204">
            <v>244</v>
          </cell>
          <cell r="G204">
            <v>228</v>
          </cell>
          <cell r="H204">
            <v>261</v>
          </cell>
        </row>
        <row r="205">
          <cell r="D205" t="str">
            <v>AT - Päästetööd</v>
          </cell>
          <cell r="E205">
            <v>5</v>
          </cell>
          <cell r="F205">
            <v>323</v>
          </cell>
          <cell r="G205">
            <v>301</v>
          </cell>
          <cell r="H205">
            <v>345</v>
          </cell>
        </row>
        <row r="206">
          <cell r="D206" t="str">
            <v>AT - Päästetööd</v>
          </cell>
          <cell r="E206">
            <v>6</v>
          </cell>
          <cell r="F206">
            <v>427</v>
          </cell>
          <cell r="G206">
            <v>398</v>
          </cell>
          <cell r="H206">
            <v>457</v>
          </cell>
        </row>
        <row r="207">
          <cell r="D207" t="str">
            <v>AT - Raamatukogu</v>
          </cell>
          <cell r="E207">
            <v>1</v>
          </cell>
          <cell r="F207">
            <v>121</v>
          </cell>
          <cell r="G207">
            <v>113</v>
          </cell>
          <cell r="H207">
            <v>129</v>
          </cell>
        </row>
        <row r="208">
          <cell r="D208" t="str">
            <v>AT - Raamatukogu</v>
          </cell>
          <cell r="E208">
            <v>2</v>
          </cell>
          <cell r="F208">
            <v>184</v>
          </cell>
          <cell r="G208">
            <v>172</v>
          </cell>
          <cell r="H208">
            <v>197</v>
          </cell>
        </row>
        <row r="209">
          <cell r="D209" t="str">
            <v>AT - Raamatukogu</v>
          </cell>
          <cell r="E209">
            <v>3</v>
          </cell>
          <cell r="F209">
            <v>244</v>
          </cell>
          <cell r="G209">
            <v>228</v>
          </cell>
          <cell r="H209">
            <v>261</v>
          </cell>
        </row>
        <row r="210">
          <cell r="D210" t="str">
            <v>AT - Raamatukogu</v>
          </cell>
          <cell r="E210">
            <v>4</v>
          </cell>
          <cell r="F210">
            <v>427</v>
          </cell>
          <cell r="G210">
            <v>398</v>
          </cell>
          <cell r="H210">
            <v>457</v>
          </cell>
        </row>
        <row r="211">
          <cell r="D211" t="str">
            <v>AT - Raamatupidamine</v>
          </cell>
          <cell r="E211">
            <v>1</v>
          </cell>
          <cell r="F211">
            <v>105</v>
          </cell>
          <cell r="G211">
            <v>98</v>
          </cell>
          <cell r="H211">
            <v>112</v>
          </cell>
        </row>
        <row r="212">
          <cell r="D212" t="str">
            <v>AT - Raamatupidamine</v>
          </cell>
          <cell r="E212">
            <v>2</v>
          </cell>
          <cell r="F212">
            <v>184</v>
          </cell>
          <cell r="G212">
            <v>172</v>
          </cell>
          <cell r="H212">
            <v>197</v>
          </cell>
        </row>
        <row r="213">
          <cell r="D213" t="str">
            <v>AT - Raamatupidamine</v>
          </cell>
          <cell r="E213">
            <v>3</v>
          </cell>
          <cell r="F213">
            <v>244</v>
          </cell>
          <cell r="G213">
            <v>228</v>
          </cell>
          <cell r="H213">
            <v>261</v>
          </cell>
        </row>
        <row r="214">
          <cell r="D214" t="str">
            <v>AT - Raamatupidamine</v>
          </cell>
          <cell r="E214">
            <v>4</v>
          </cell>
          <cell r="F214">
            <v>371</v>
          </cell>
          <cell r="G214">
            <v>346</v>
          </cell>
          <cell r="H214">
            <v>397</v>
          </cell>
        </row>
        <row r="215">
          <cell r="D215" t="str">
            <v>AT - Raamatupidamine</v>
          </cell>
          <cell r="E215">
            <v>5</v>
          </cell>
          <cell r="F215">
            <v>492</v>
          </cell>
          <cell r="G215">
            <v>458</v>
          </cell>
          <cell r="H215">
            <v>526</v>
          </cell>
        </row>
        <row r="216">
          <cell r="D216" t="str">
            <v>AT - Registripidamine</v>
          </cell>
          <cell r="E216">
            <v>1</v>
          </cell>
          <cell r="F216">
            <v>121</v>
          </cell>
          <cell r="G216">
            <v>113</v>
          </cell>
          <cell r="H216">
            <v>129</v>
          </cell>
        </row>
        <row r="217">
          <cell r="D217" t="str">
            <v>AT - Registripidamine</v>
          </cell>
          <cell r="E217">
            <v>2</v>
          </cell>
          <cell r="F217">
            <v>184</v>
          </cell>
          <cell r="G217">
            <v>172</v>
          </cell>
          <cell r="H217">
            <v>197</v>
          </cell>
        </row>
        <row r="218">
          <cell r="D218" t="str">
            <v>AT - Registripidamine</v>
          </cell>
          <cell r="E218">
            <v>3</v>
          </cell>
          <cell r="F218">
            <v>212</v>
          </cell>
          <cell r="G218">
            <v>198</v>
          </cell>
          <cell r="H218">
            <v>227</v>
          </cell>
        </row>
        <row r="219">
          <cell r="D219" t="str">
            <v>AT - Registripidamine</v>
          </cell>
          <cell r="E219">
            <v>4</v>
          </cell>
          <cell r="F219">
            <v>281</v>
          </cell>
          <cell r="G219">
            <v>262</v>
          </cell>
          <cell r="H219">
            <v>300</v>
          </cell>
        </row>
        <row r="220">
          <cell r="D220" t="str">
            <v>AT - Registripidamine</v>
          </cell>
          <cell r="E220">
            <v>5</v>
          </cell>
          <cell r="F220">
            <v>427</v>
          </cell>
          <cell r="G220">
            <v>398</v>
          </cell>
          <cell r="H220">
            <v>457</v>
          </cell>
        </row>
        <row r="221">
          <cell r="D221" t="str">
            <v>AT - Riigihange</v>
          </cell>
          <cell r="E221">
            <v>1</v>
          </cell>
          <cell r="F221">
            <v>121</v>
          </cell>
          <cell r="G221">
            <v>113</v>
          </cell>
          <cell r="H221">
            <v>129</v>
          </cell>
        </row>
        <row r="222">
          <cell r="D222" t="str">
            <v>AT - Riigihange</v>
          </cell>
          <cell r="E222">
            <v>2</v>
          </cell>
          <cell r="F222">
            <v>212</v>
          </cell>
          <cell r="G222">
            <v>198</v>
          </cell>
          <cell r="H222">
            <v>227</v>
          </cell>
        </row>
        <row r="223">
          <cell r="D223" t="str">
            <v>AT - Riigihange</v>
          </cell>
          <cell r="E223">
            <v>3</v>
          </cell>
          <cell r="F223">
            <v>281</v>
          </cell>
          <cell r="G223">
            <v>262</v>
          </cell>
          <cell r="H223">
            <v>300</v>
          </cell>
        </row>
        <row r="224">
          <cell r="D224" t="str">
            <v>AT - Riigihange</v>
          </cell>
          <cell r="E224" t="str">
            <v>4A</v>
          </cell>
          <cell r="F224">
            <v>323</v>
          </cell>
          <cell r="G224">
            <v>301</v>
          </cell>
          <cell r="H224">
            <v>345</v>
          </cell>
        </row>
        <row r="225">
          <cell r="D225" t="str">
            <v>AT - Riigihange</v>
          </cell>
          <cell r="E225" t="str">
            <v>4B</v>
          </cell>
          <cell r="F225">
            <v>323</v>
          </cell>
          <cell r="G225">
            <v>301</v>
          </cell>
          <cell r="H225">
            <v>345</v>
          </cell>
        </row>
        <row r="226">
          <cell r="D226" t="str">
            <v>AT - Riigihange</v>
          </cell>
          <cell r="E226">
            <v>5</v>
          </cell>
          <cell r="F226">
            <v>427</v>
          </cell>
          <cell r="G226">
            <v>398</v>
          </cell>
          <cell r="H226">
            <v>457</v>
          </cell>
        </row>
        <row r="227">
          <cell r="D227" t="str">
            <v>AT - Riigikaitse</v>
          </cell>
          <cell r="E227" t="str">
            <v>1A</v>
          </cell>
          <cell r="F227">
            <v>105</v>
          </cell>
          <cell r="G227">
            <v>98</v>
          </cell>
          <cell r="H227">
            <v>112</v>
          </cell>
        </row>
        <row r="228">
          <cell r="D228" t="str">
            <v>AT - Riigikaitse</v>
          </cell>
          <cell r="E228" t="str">
            <v>1B</v>
          </cell>
          <cell r="F228">
            <v>121</v>
          </cell>
          <cell r="G228">
            <v>113</v>
          </cell>
          <cell r="H228">
            <v>129</v>
          </cell>
        </row>
        <row r="229">
          <cell r="D229" t="str">
            <v>AT - Riigikaitse</v>
          </cell>
          <cell r="E229">
            <v>2</v>
          </cell>
          <cell r="F229">
            <v>139</v>
          </cell>
          <cell r="G229">
            <v>130</v>
          </cell>
          <cell r="H229">
            <v>149</v>
          </cell>
        </row>
        <row r="230">
          <cell r="D230" t="str">
            <v>AT - Riigikaitse</v>
          </cell>
          <cell r="E230" t="str">
            <v>3A</v>
          </cell>
          <cell r="F230">
            <v>184</v>
          </cell>
          <cell r="G230">
            <v>172</v>
          </cell>
          <cell r="H230">
            <v>197</v>
          </cell>
        </row>
        <row r="231">
          <cell r="D231" t="str">
            <v>AT - Riigikaitse</v>
          </cell>
          <cell r="E231" t="str">
            <v>3B</v>
          </cell>
          <cell r="F231">
            <v>212</v>
          </cell>
          <cell r="G231">
            <v>198</v>
          </cell>
          <cell r="H231">
            <v>227</v>
          </cell>
        </row>
        <row r="232">
          <cell r="D232" t="str">
            <v>AT - Riigikaitse</v>
          </cell>
          <cell r="E232">
            <v>4</v>
          </cell>
          <cell r="F232">
            <v>281</v>
          </cell>
          <cell r="G232">
            <v>262</v>
          </cell>
          <cell r="H232">
            <v>300</v>
          </cell>
        </row>
        <row r="233">
          <cell r="D233" t="str">
            <v>AT - Riigikaitse</v>
          </cell>
          <cell r="E233" t="str">
            <v>5A</v>
          </cell>
          <cell r="F233">
            <v>371</v>
          </cell>
          <cell r="G233">
            <v>346</v>
          </cell>
          <cell r="H233">
            <v>397</v>
          </cell>
        </row>
        <row r="234">
          <cell r="D234" t="str">
            <v>AT - Riigikaitse</v>
          </cell>
          <cell r="E234" t="str">
            <v>5B</v>
          </cell>
          <cell r="F234">
            <v>492</v>
          </cell>
          <cell r="G234">
            <v>458</v>
          </cell>
          <cell r="H234">
            <v>526</v>
          </cell>
        </row>
        <row r="235">
          <cell r="D235" t="str">
            <v>AT - Riigikaitse</v>
          </cell>
          <cell r="E235">
            <v>6</v>
          </cell>
          <cell r="F235">
            <v>566</v>
          </cell>
          <cell r="G235">
            <v>527</v>
          </cell>
          <cell r="H235">
            <v>605</v>
          </cell>
        </row>
        <row r="236">
          <cell r="D236" t="str">
            <v>AT - Riigikaitse</v>
          </cell>
          <cell r="E236">
            <v>7</v>
          </cell>
          <cell r="F236">
            <v>651</v>
          </cell>
          <cell r="G236">
            <v>606</v>
          </cell>
          <cell r="H236">
            <v>696</v>
          </cell>
        </row>
        <row r="237">
          <cell r="D237" t="str">
            <v>AT - Riigikaitse</v>
          </cell>
          <cell r="E237">
            <v>8</v>
          </cell>
          <cell r="F237">
            <v>995</v>
          </cell>
          <cell r="G237">
            <v>926</v>
          </cell>
          <cell r="H237">
            <v>1066</v>
          </cell>
        </row>
        <row r="238">
          <cell r="D238" t="str">
            <v>AT - Riigivara haldamine ja sisseost</v>
          </cell>
          <cell r="E238">
            <v>1</v>
          </cell>
          <cell r="F238">
            <v>79</v>
          </cell>
          <cell r="G238">
            <v>74</v>
          </cell>
          <cell r="H238">
            <v>84</v>
          </cell>
        </row>
        <row r="239">
          <cell r="D239" t="str">
            <v>AT - Riigivara haldamine ja sisseost</v>
          </cell>
          <cell r="E239">
            <v>2</v>
          </cell>
          <cell r="F239">
            <v>121</v>
          </cell>
          <cell r="G239">
            <v>113</v>
          </cell>
          <cell r="H239">
            <v>129</v>
          </cell>
        </row>
        <row r="240">
          <cell r="D240" t="str">
            <v>AT - Riigivara haldamine ja sisseost</v>
          </cell>
          <cell r="E240">
            <v>3</v>
          </cell>
          <cell r="F240">
            <v>160</v>
          </cell>
          <cell r="G240">
            <v>150</v>
          </cell>
          <cell r="H240">
            <v>171</v>
          </cell>
        </row>
        <row r="241">
          <cell r="D241" t="str">
            <v>AT - Riigivara haldamine ja sisseost</v>
          </cell>
          <cell r="E241">
            <v>4</v>
          </cell>
          <cell r="F241">
            <v>244</v>
          </cell>
          <cell r="G241">
            <v>228</v>
          </cell>
          <cell r="H241">
            <v>261</v>
          </cell>
        </row>
        <row r="242">
          <cell r="D242" t="str">
            <v>AT - Riigivara haldamine ja sisseost</v>
          </cell>
          <cell r="E242" t="str">
            <v>5A</v>
          </cell>
          <cell r="F242">
            <v>281</v>
          </cell>
          <cell r="G242">
            <v>262</v>
          </cell>
          <cell r="H242">
            <v>300</v>
          </cell>
        </row>
        <row r="243">
          <cell r="D243" t="str">
            <v>AT - Riigivara haldamine ja sisseost</v>
          </cell>
          <cell r="E243" t="str">
            <v>5B</v>
          </cell>
          <cell r="F243">
            <v>281</v>
          </cell>
          <cell r="G243">
            <v>262</v>
          </cell>
          <cell r="H243">
            <v>300</v>
          </cell>
        </row>
        <row r="244">
          <cell r="D244" t="str">
            <v>AT - Riigivara haldamine ja sisseost</v>
          </cell>
          <cell r="E244">
            <v>6</v>
          </cell>
          <cell r="F244">
            <v>492</v>
          </cell>
          <cell r="G244">
            <v>458</v>
          </cell>
          <cell r="H244">
            <v>526</v>
          </cell>
        </row>
        <row r="245">
          <cell r="D245" t="str">
            <v>AT - Sadama kapten</v>
          </cell>
          <cell r="E245">
            <v>1</v>
          </cell>
          <cell r="F245">
            <v>212</v>
          </cell>
          <cell r="G245">
            <v>198</v>
          </cell>
          <cell r="H245">
            <v>227</v>
          </cell>
        </row>
        <row r="246">
          <cell r="D246" t="str">
            <v>AT - Sadama kapten</v>
          </cell>
          <cell r="E246">
            <v>2</v>
          </cell>
          <cell r="F246">
            <v>323</v>
          </cell>
          <cell r="G246">
            <v>301</v>
          </cell>
          <cell r="H246">
            <v>345</v>
          </cell>
        </row>
        <row r="247">
          <cell r="D247" t="str">
            <v>AT - Sekretäritööd</v>
          </cell>
          <cell r="E247">
            <v>1</v>
          </cell>
          <cell r="F247">
            <v>105</v>
          </cell>
          <cell r="G247">
            <v>98</v>
          </cell>
          <cell r="H247">
            <v>112</v>
          </cell>
        </row>
        <row r="248">
          <cell r="D248" t="str">
            <v>AT - Sekretäritööd</v>
          </cell>
          <cell r="E248">
            <v>2</v>
          </cell>
          <cell r="F248">
            <v>139</v>
          </cell>
          <cell r="G248">
            <v>130</v>
          </cell>
          <cell r="H248">
            <v>149</v>
          </cell>
        </row>
        <row r="249">
          <cell r="D249" t="str">
            <v>AT - Sekretäritööd</v>
          </cell>
          <cell r="E249">
            <v>3</v>
          </cell>
          <cell r="F249">
            <v>184</v>
          </cell>
          <cell r="G249">
            <v>172</v>
          </cell>
          <cell r="H249">
            <v>197</v>
          </cell>
        </row>
        <row r="250">
          <cell r="D250" t="str">
            <v>AT - Sekretäritööd</v>
          </cell>
          <cell r="E250">
            <v>4</v>
          </cell>
          <cell r="F250">
            <v>281</v>
          </cell>
          <cell r="G250">
            <v>262</v>
          </cell>
          <cell r="H250">
            <v>300</v>
          </cell>
        </row>
        <row r="251">
          <cell r="D251" t="str">
            <v>AT - Sisekontroll</v>
          </cell>
          <cell r="E251">
            <v>1</v>
          </cell>
          <cell r="F251">
            <v>139</v>
          </cell>
          <cell r="G251">
            <v>130</v>
          </cell>
          <cell r="H251">
            <v>149</v>
          </cell>
        </row>
        <row r="252">
          <cell r="D252" t="str">
            <v>AT - Sisekontroll</v>
          </cell>
          <cell r="E252">
            <v>2</v>
          </cell>
          <cell r="F252">
            <v>184</v>
          </cell>
          <cell r="G252">
            <v>172</v>
          </cell>
          <cell r="H252">
            <v>197</v>
          </cell>
        </row>
        <row r="253">
          <cell r="D253" t="str">
            <v>AT - Sisekontroll</v>
          </cell>
          <cell r="E253">
            <v>3</v>
          </cell>
          <cell r="F253">
            <v>281</v>
          </cell>
          <cell r="G253">
            <v>262</v>
          </cell>
          <cell r="H253">
            <v>300</v>
          </cell>
        </row>
        <row r="254">
          <cell r="D254" t="str">
            <v>AT - Sisekontroll</v>
          </cell>
          <cell r="E254">
            <v>4</v>
          </cell>
          <cell r="F254">
            <v>427</v>
          </cell>
          <cell r="G254">
            <v>398</v>
          </cell>
          <cell r="H254">
            <v>457</v>
          </cell>
        </row>
        <row r="255">
          <cell r="D255" t="str">
            <v>AT - Sotsiaalhoolekanne</v>
          </cell>
          <cell r="E255" t="str">
            <v>1A</v>
          </cell>
          <cell r="F255">
            <v>212</v>
          </cell>
          <cell r="G255">
            <v>198</v>
          </cell>
          <cell r="H255">
            <v>227</v>
          </cell>
        </row>
        <row r="256">
          <cell r="D256" t="str">
            <v>AT - Sotsiaalhoolekanne</v>
          </cell>
          <cell r="E256" t="str">
            <v>1B</v>
          </cell>
          <cell r="F256">
            <v>212</v>
          </cell>
          <cell r="G256">
            <v>198</v>
          </cell>
          <cell r="H256">
            <v>227</v>
          </cell>
        </row>
        <row r="257">
          <cell r="D257" t="str">
            <v>AT - Sotsiaalhoolekanne</v>
          </cell>
          <cell r="E257" t="str">
            <v>2A</v>
          </cell>
          <cell r="F257">
            <v>281</v>
          </cell>
          <cell r="G257">
            <v>262</v>
          </cell>
          <cell r="H257">
            <v>300</v>
          </cell>
        </row>
        <row r="258">
          <cell r="D258" t="str">
            <v>AT - Sotsiaalhoolekanne</v>
          </cell>
          <cell r="E258" t="str">
            <v>2B</v>
          </cell>
          <cell r="F258">
            <v>281</v>
          </cell>
          <cell r="G258">
            <v>262</v>
          </cell>
          <cell r="H258">
            <v>300</v>
          </cell>
        </row>
        <row r="259">
          <cell r="D259" t="str">
            <v>AT - Sotsiaalhoolekanne</v>
          </cell>
          <cell r="E259" t="str">
            <v>3A</v>
          </cell>
          <cell r="F259">
            <v>371</v>
          </cell>
          <cell r="G259">
            <v>346</v>
          </cell>
          <cell r="H259">
            <v>397</v>
          </cell>
        </row>
        <row r="260">
          <cell r="D260" t="str">
            <v>AT - Sotsiaalhoolekanne</v>
          </cell>
          <cell r="E260" t="str">
            <v>3B</v>
          </cell>
          <cell r="F260">
            <v>371</v>
          </cell>
          <cell r="G260">
            <v>346</v>
          </cell>
          <cell r="H260">
            <v>397</v>
          </cell>
        </row>
        <row r="261">
          <cell r="D261" t="str">
            <v>AT - Sotsiaalhoolekanne</v>
          </cell>
          <cell r="E261">
            <v>4</v>
          </cell>
          <cell r="F261">
            <v>427</v>
          </cell>
          <cell r="G261">
            <v>398</v>
          </cell>
          <cell r="H261">
            <v>457</v>
          </cell>
        </row>
        <row r="262">
          <cell r="D262" t="str">
            <v>AT - Sõidukijuhid</v>
          </cell>
          <cell r="E262">
            <v>1</v>
          </cell>
          <cell r="F262">
            <v>91</v>
          </cell>
          <cell r="G262">
            <v>85</v>
          </cell>
          <cell r="H262">
            <v>97</v>
          </cell>
        </row>
        <row r="263">
          <cell r="D263" t="str">
            <v>AT - Sõidukijuhid</v>
          </cell>
          <cell r="E263">
            <v>2</v>
          </cell>
          <cell r="F263">
            <v>121</v>
          </cell>
          <cell r="G263">
            <v>113</v>
          </cell>
          <cell r="H263">
            <v>129</v>
          </cell>
        </row>
        <row r="264">
          <cell r="D264" t="str">
            <v>AT - Sõidukijuhid</v>
          </cell>
          <cell r="E264">
            <v>3</v>
          </cell>
          <cell r="F264">
            <v>139</v>
          </cell>
          <cell r="G264">
            <v>130</v>
          </cell>
          <cell r="H264">
            <v>149</v>
          </cell>
        </row>
        <row r="265">
          <cell r="D265" t="str">
            <v>AT - Sõidukijuhid</v>
          </cell>
          <cell r="E265">
            <v>4</v>
          </cell>
          <cell r="F265">
            <v>160</v>
          </cell>
          <cell r="G265">
            <v>150</v>
          </cell>
          <cell r="H265">
            <v>171</v>
          </cell>
        </row>
        <row r="266">
          <cell r="D266" t="str">
            <v>AT - Toimetamine ja keeleline korrektuur</v>
          </cell>
          <cell r="E266">
            <v>1</v>
          </cell>
          <cell r="F266">
            <v>160</v>
          </cell>
          <cell r="G266">
            <v>150</v>
          </cell>
          <cell r="H266">
            <v>171</v>
          </cell>
        </row>
        <row r="267">
          <cell r="D267" t="str">
            <v>AT - Toimetamine ja keeleline korrektuur</v>
          </cell>
          <cell r="E267">
            <v>2</v>
          </cell>
          <cell r="F267">
            <v>212</v>
          </cell>
          <cell r="G267">
            <v>198</v>
          </cell>
          <cell r="H267">
            <v>227</v>
          </cell>
        </row>
        <row r="268">
          <cell r="D268" t="str">
            <v>AT - Tõlkimine</v>
          </cell>
          <cell r="E268">
            <v>1</v>
          </cell>
          <cell r="F268">
            <v>160</v>
          </cell>
          <cell r="G268">
            <v>150</v>
          </cell>
          <cell r="H268">
            <v>171</v>
          </cell>
        </row>
        <row r="269">
          <cell r="D269" t="str">
            <v>AT - Tõlkimine</v>
          </cell>
          <cell r="E269">
            <v>2</v>
          </cell>
          <cell r="F269">
            <v>212</v>
          </cell>
          <cell r="G269">
            <v>198</v>
          </cell>
          <cell r="H269">
            <v>227</v>
          </cell>
        </row>
        <row r="270">
          <cell r="D270" t="str">
            <v>AT - Tõlkimine</v>
          </cell>
          <cell r="E270">
            <v>3</v>
          </cell>
          <cell r="F270">
            <v>323</v>
          </cell>
          <cell r="G270">
            <v>301</v>
          </cell>
          <cell r="H270">
            <v>345</v>
          </cell>
        </row>
        <row r="271">
          <cell r="D271" t="str">
            <v>AT - Tõlkimine</v>
          </cell>
          <cell r="E271">
            <v>4</v>
          </cell>
          <cell r="F271">
            <v>371</v>
          </cell>
          <cell r="G271">
            <v>346</v>
          </cell>
          <cell r="H271">
            <v>397</v>
          </cell>
        </row>
        <row r="272">
          <cell r="D272" t="str">
            <v>AT - Uuriv järelevalve</v>
          </cell>
          <cell r="E272">
            <v>1</v>
          </cell>
          <cell r="F272">
            <v>160</v>
          </cell>
          <cell r="G272">
            <v>150</v>
          </cell>
          <cell r="H272">
            <v>171</v>
          </cell>
        </row>
        <row r="273">
          <cell r="D273" t="str">
            <v>AT - Uuriv järelevalve</v>
          </cell>
          <cell r="E273">
            <v>2</v>
          </cell>
          <cell r="F273">
            <v>184</v>
          </cell>
          <cell r="G273">
            <v>172</v>
          </cell>
          <cell r="H273">
            <v>197</v>
          </cell>
        </row>
        <row r="274">
          <cell r="D274" t="str">
            <v>AT - Uuriv järelevalve</v>
          </cell>
          <cell r="E274">
            <v>3</v>
          </cell>
          <cell r="F274">
            <v>244</v>
          </cell>
          <cell r="G274">
            <v>228</v>
          </cell>
          <cell r="H274">
            <v>261</v>
          </cell>
        </row>
        <row r="275">
          <cell r="D275" t="str">
            <v>AT - Uuriv järelevalve</v>
          </cell>
          <cell r="E275">
            <v>4</v>
          </cell>
          <cell r="F275">
            <v>323</v>
          </cell>
          <cell r="G275">
            <v>301</v>
          </cell>
          <cell r="H275">
            <v>345</v>
          </cell>
        </row>
        <row r="276">
          <cell r="D276" t="str">
            <v>AT - Uuriv järelevalve</v>
          </cell>
          <cell r="E276">
            <v>5</v>
          </cell>
          <cell r="F276">
            <v>371</v>
          </cell>
          <cell r="G276">
            <v>346</v>
          </cell>
          <cell r="H276">
            <v>397</v>
          </cell>
        </row>
        <row r="277">
          <cell r="D277" t="str">
            <v>AT - Uuriv järelevalve</v>
          </cell>
          <cell r="E277">
            <v>6</v>
          </cell>
          <cell r="F277">
            <v>492</v>
          </cell>
          <cell r="G277">
            <v>458</v>
          </cell>
          <cell r="H277">
            <v>526</v>
          </cell>
        </row>
        <row r="278">
          <cell r="D278" t="str">
            <v>AT - Võrguväljaannetes teabe avaldamine</v>
          </cell>
          <cell r="E278">
            <v>1</v>
          </cell>
          <cell r="F278">
            <v>121</v>
          </cell>
          <cell r="G278">
            <v>113</v>
          </cell>
          <cell r="H278">
            <v>129</v>
          </cell>
        </row>
        <row r="279">
          <cell r="D279" t="str">
            <v>AT - Võrguväljaannetes teabe avaldamine</v>
          </cell>
          <cell r="E279">
            <v>2</v>
          </cell>
          <cell r="F279">
            <v>184</v>
          </cell>
          <cell r="G279">
            <v>172</v>
          </cell>
          <cell r="H279">
            <v>197</v>
          </cell>
        </row>
        <row r="280">
          <cell r="D280" t="str">
            <v>AT - Võrguväljaannetes teabe avaldamine</v>
          </cell>
          <cell r="E280">
            <v>3</v>
          </cell>
          <cell r="F280">
            <v>212</v>
          </cell>
          <cell r="G280">
            <v>198</v>
          </cell>
          <cell r="H280">
            <v>227</v>
          </cell>
        </row>
        <row r="281">
          <cell r="D281" t="str">
            <v>AT - Võrguväljaannetes teabe avaldamine</v>
          </cell>
          <cell r="E281">
            <v>4</v>
          </cell>
          <cell r="F281">
            <v>281</v>
          </cell>
          <cell r="G281">
            <v>262</v>
          </cell>
          <cell r="H281">
            <v>300</v>
          </cell>
        </row>
        <row r="282">
          <cell r="D282" t="str">
            <v>AT - Õigusemõistmine</v>
          </cell>
          <cell r="E282">
            <v>1</v>
          </cell>
          <cell r="F282">
            <v>139</v>
          </cell>
          <cell r="G282">
            <v>130</v>
          </cell>
          <cell r="H282">
            <v>149</v>
          </cell>
        </row>
        <row r="283">
          <cell r="D283" t="str">
            <v>AT - Õigusemõistmine</v>
          </cell>
          <cell r="E283">
            <v>2</v>
          </cell>
          <cell r="F283">
            <v>160</v>
          </cell>
          <cell r="G283">
            <v>150</v>
          </cell>
          <cell r="H283">
            <v>171</v>
          </cell>
        </row>
        <row r="284">
          <cell r="D284" t="str">
            <v>AT - Õigusemõistmine</v>
          </cell>
          <cell r="E284" t="str">
            <v>3A</v>
          </cell>
          <cell r="F284">
            <v>244</v>
          </cell>
          <cell r="G284">
            <v>228</v>
          </cell>
          <cell r="H284">
            <v>261</v>
          </cell>
        </row>
        <row r="285">
          <cell r="D285" t="str">
            <v>AT - Õigusemõistmine</v>
          </cell>
          <cell r="E285" t="str">
            <v>3B</v>
          </cell>
          <cell r="F285">
            <v>281</v>
          </cell>
          <cell r="G285">
            <v>262</v>
          </cell>
          <cell r="H285">
            <v>300</v>
          </cell>
        </row>
        <row r="286">
          <cell r="D286" t="str">
            <v>AT - Õigusemõistmine</v>
          </cell>
          <cell r="E286" t="str">
            <v>3C</v>
          </cell>
          <cell r="F286">
            <v>323</v>
          </cell>
          <cell r="G286">
            <v>301</v>
          </cell>
          <cell r="H286">
            <v>345</v>
          </cell>
        </row>
        <row r="287">
          <cell r="D287" t="str">
            <v>AT - Õigusemõistmine</v>
          </cell>
          <cell r="E287" t="str">
            <v>4A</v>
          </cell>
          <cell r="F287">
            <v>371</v>
          </cell>
          <cell r="G287">
            <v>346</v>
          </cell>
          <cell r="H287">
            <v>397</v>
          </cell>
        </row>
        <row r="288">
          <cell r="D288" t="str">
            <v>AT - Õigusemõistmine</v>
          </cell>
          <cell r="E288" t="str">
            <v>4B</v>
          </cell>
          <cell r="F288">
            <v>427</v>
          </cell>
          <cell r="G288">
            <v>398</v>
          </cell>
          <cell r="H288">
            <v>457</v>
          </cell>
        </row>
        <row r="289">
          <cell r="D289" t="str">
            <v>AT - Õigusemõistmine</v>
          </cell>
          <cell r="E289">
            <v>5</v>
          </cell>
          <cell r="F289">
            <v>566</v>
          </cell>
          <cell r="G289">
            <v>527</v>
          </cell>
          <cell r="H289">
            <v>605</v>
          </cell>
        </row>
        <row r="290">
          <cell r="D290" t="str">
            <v>AT - Õigusloome</v>
          </cell>
          <cell r="E290">
            <v>1</v>
          </cell>
          <cell r="F290">
            <v>184</v>
          </cell>
          <cell r="G290">
            <v>172</v>
          </cell>
          <cell r="H290">
            <v>197</v>
          </cell>
        </row>
        <row r="291">
          <cell r="D291" t="str">
            <v>AT - Õigusloome</v>
          </cell>
          <cell r="E291">
            <v>2</v>
          </cell>
          <cell r="F291">
            <v>244</v>
          </cell>
          <cell r="G291">
            <v>228</v>
          </cell>
          <cell r="H291">
            <v>261</v>
          </cell>
        </row>
        <row r="292">
          <cell r="D292" t="str">
            <v>AT - Õigusloome</v>
          </cell>
          <cell r="E292">
            <v>3</v>
          </cell>
          <cell r="F292">
            <v>323</v>
          </cell>
          <cell r="G292">
            <v>301</v>
          </cell>
          <cell r="H292">
            <v>345</v>
          </cell>
        </row>
        <row r="293">
          <cell r="D293" t="str">
            <v>AT - Õigusloome</v>
          </cell>
          <cell r="E293">
            <v>4</v>
          </cell>
          <cell r="F293">
            <v>492</v>
          </cell>
          <cell r="G293">
            <v>458</v>
          </cell>
          <cell r="H293">
            <v>526</v>
          </cell>
        </row>
        <row r="294">
          <cell r="D294" t="str">
            <v>AT - Õigusteenused</v>
          </cell>
          <cell r="E294">
            <v>1</v>
          </cell>
          <cell r="F294">
            <v>160</v>
          </cell>
          <cell r="G294">
            <v>150</v>
          </cell>
          <cell r="H294">
            <v>171</v>
          </cell>
        </row>
        <row r="295">
          <cell r="D295" t="str">
            <v>AT - Õigusteenused</v>
          </cell>
          <cell r="E295">
            <v>2</v>
          </cell>
          <cell r="F295">
            <v>244</v>
          </cell>
          <cell r="G295">
            <v>228</v>
          </cell>
          <cell r="H295">
            <v>261</v>
          </cell>
        </row>
        <row r="296">
          <cell r="D296" t="str">
            <v>AT - Õigusteenused</v>
          </cell>
          <cell r="E296">
            <v>3</v>
          </cell>
          <cell r="F296">
            <v>323</v>
          </cell>
          <cell r="G296">
            <v>301</v>
          </cell>
          <cell r="H296">
            <v>345</v>
          </cell>
        </row>
        <row r="297">
          <cell r="D297" t="str">
            <v>AT - Õigusteenused</v>
          </cell>
          <cell r="E297">
            <v>4</v>
          </cell>
          <cell r="F297">
            <v>427</v>
          </cell>
          <cell r="G297">
            <v>398</v>
          </cell>
          <cell r="H297">
            <v>457</v>
          </cell>
        </row>
        <row r="298">
          <cell r="D298" t="str">
            <v>AT - Õigusteenused</v>
          </cell>
          <cell r="E298">
            <v>5</v>
          </cell>
          <cell r="F298">
            <v>566</v>
          </cell>
          <cell r="G298">
            <v>527</v>
          </cell>
          <cell r="H298">
            <v>605</v>
          </cell>
        </row>
        <row r="299">
          <cell r="D299" t="str">
            <v>AT - Üldjuhtimine</v>
          </cell>
          <cell r="E299">
            <v>1</v>
          </cell>
          <cell r="F299">
            <v>244</v>
          </cell>
          <cell r="G299">
            <v>228</v>
          </cell>
          <cell r="H299">
            <v>261</v>
          </cell>
        </row>
        <row r="300">
          <cell r="D300" t="str">
            <v>AT - Üldjuhtimine</v>
          </cell>
          <cell r="E300">
            <v>2</v>
          </cell>
          <cell r="F300">
            <v>323</v>
          </cell>
          <cell r="G300">
            <v>301</v>
          </cell>
          <cell r="H300">
            <v>345</v>
          </cell>
        </row>
        <row r="301">
          <cell r="D301" t="str">
            <v>AT - Üldjuhtimine</v>
          </cell>
          <cell r="E301">
            <v>3</v>
          </cell>
          <cell r="F301">
            <v>427</v>
          </cell>
          <cell r="G301">
            <v>398</v>
          </cell>
          <cell r="H301">
            <v>457</v>
          </cell>
        </row>
        <row r="302">
          <cell r="D302" t="str">
            <v>AT - Üldjuhtimine</v>
          </cell>
          <cell r="E302">
            <v>4</v>
          </cell>
          <cell r="F302">
            <v>492</v>
          </cell>
          <cell r="G302">
            <v>458</v>
          </cell>
          <cell r="H302">
            <v>526</v>
          </cell>
        </row>
        <row r="303">
          <cell r="D303" t="str">
            <v>AT - Üldjuhtimine</v>
          </cell>
          <cell r="E303">
            <v>5</v>
          </cell>
          <cell r="F303">
            <v>566</v>
          </cell>
          <cell r="G303">
            <v>527</v>
          </cell>
          <cell r="H303">
            <v>605</v>
          </cell>
        </row>
        <row r="304">
          <cell r="D304" t="str">
            <v>AT - Üldjuhtimine</v>
          </cell>
          <cell r="E304">
            <v>6</v>
          </cell>
          <cell r="F304">
            <v>651</v>
          </cell>
          <cell r="G304">
            <v>606</v>
          </cell>
          <cell r="H304">
            <v>696</v>
          </cell>
        </row>
        <row r="305">
          <cell r="D305" t="str">
            <v>AT - Üldjuhtimine</v>
          </cell>
          <cell r="E305" t="str">
            <v>7A</v>
          </cell>
          <cell r="F305">
            <v>864</v>
          </cell>
          <cell r="G305">
            <v>804</v>
          </cell>
          <cell r="H305">
            <v>925</v>
          </cell>
        </row>
        <row r="306">
          <cell r="D306" t="str">
            <v>AT - Üldjuhtimine</v>
          </cell>
          <cell r="E306" t="str">
            <v>7B</v>
          </cell>
          <cell r="F306">
            <v>995</v>
          </cell>
          <cell r="G306">
            <v>926</v>
          </cell>
          <cell r="H306">
            <v>1066</v>
          </cell>
        </row>
        <row r="307">
          <cell r="D307" t="str">
            <v>AT - Üldtööd</v>
          </cell>
          <cell r="E307">
            <v>1</v>
          </cell>
          <cell r="F307">
            <v>79</v>
          </cell>
          <cell r="G307">
            <v>74</v>
          </cell>
          <cell r="H307">
            <v>84</v>
          </cell>
        </row>
        <row r="308">
          <cell r="D308" t="str">
            <v>AT - Üldtööd</v>
          </cell>
          <cell r="E308">
            <v>2</v>
          </cell>
          <cell r="F308">
            <v>121</v>
          </cell>
          <cell r="G308">
            <v>113</v>
          </cell>
          <cell r="H308">
            <v>129</v>
          </cell>
        </row>
        <row r="309">
          <cell r="D309" t="str">
            <v>AT - Üldtööd</v>
          </cell>
          <cell r="E309">
            <v>3</v>
          </cell>
          <cell r="F309">
            <v>160</v>
          </cell>
          <cell r="G309">
            <v>150</v>
          </cell>
          <cell r="H309">
            <v>171</v>
          </cell>
        </row>
        <row r="310">
          <cell r="D310" t="str">
            <v>AT - Üldtööd</v>
          </cell>
          <cell r="E310">
            <v>4</v>
          </cell>
          <cell r="F310">
            <v>244</v>
          </cell>
          <cell r="G310">
            <v>228</v>
          </cell>
          <cell r="H310">
            <v>261</v>
          </cell>
        </row>
        <row r="311">
          <cell r="D311" t="str">
            <v>AT - Üldtööd</v>
          </cell>
          <cell r="E311">
            <v>5</v>
          </cell>
          <cell r="F311">
            <v>323</v>
          </cell>
          <cell r="G311">
            <v>301</v>
          </cell>
          <cell r="H311">
            <v>345</v>
          </cell>
        </row>
        <row r="312">
          <cell r="D312" t="str">
            <v>AT - Üldtööd</v>
          </cell>
          <cell r="E312">
            <v>6</v>
          </cell>
          <cell r="F312">
            <v>427</v>
          </cell>
          <cell r="G312">
            <v>398</v>
          </cell>
          <cell r="H312">
            <v>457</v>
          </cell>
        </row>
        <row r="313">
          <cell r="D313" t="str">
            <v>AT - Ürituste ja tseremooniate korraldamine</v>
          </cell>
          <cell r="E313">
            <v>1</v>
          </cell>
          <cell r="F313">
            <v>105</v>
          </cell>
          <cell r="G313">
            <v>98</v>
          </cell>
          <cell r="H313">
            <v>112</v>
          </cell>
        </row>
        <row r="314">
          <cell r="D314" t="str">
            <v>AT - Ürituste ja tseremooniate korraldamine</v>
          </cell>
          <cell r="E314">
            <v>2</v>
          </cell>
          <cell r="F314">
            <v>139</v>
          </cell>
          <cell r="G314">
            <v>130</v>
          </cell>
          <cell r="H314">
            <v>149</v>
          </cell>
        </row>
        <row r="315">
          <cell r="D315" t="str">
            <v>AT - Ürituste ja tseremooniate korraldamine</v>
          </cell>
          <cell r="E315">
            <v>3</v>
          </cell>
          <cell r="F315">
            <v>184</v>
          </cell>
          <cell r="G315">
            <v>172</v>
          </cell>
          <cell r="H315">
            <v>197</v>
          </cell>
        </row>
        <row r="316">
          <cell r="D316" t="str">
            <v>AT - Ürituste ja tseremooniate korraldamine</v>
          </cell>
          <cell r="E316">
            <v>4</v>
          </cell>
          <cell r="F316">
            <v>244</v>
          </cell>
          <cell r="G316">
            <v>228</v>
          </cell>
          <cell r="H316">
            <v>261</v>
          </cell>
        </row>
        <row r="317">
          <cell r="D317" t="str">
            <v>AT - Ürituste ja tseremooniate korraldamine</v>
          </cell>
          <cell r="E317">
            <v>5</v>
          </cell>
          <cell r="F317">
            <v>427</v>
          </cell>
          <cell r="G317">
            <v>398</v>
          </cell>
          <cell r="H317">
            <v>457</v>
          </cell>
        </row>
        <row r="318">
          <cell r="D318">
            <v>0</v>
          </cell>
          <cell r="E318">
            <v>0</v>
          </cell>
        </row>
        <row r="319">
          <cell r="D319">
            <v>0</v>
          </cell>
          <cell r="E319">
            <v>0</v>
          </cell>
        </row>
        <row r="320">
          <cell r="D320">
            <v>0</v>
          </cell>
          <cell r="E320">
            <v>0</v>
          </cell>
        </row>
        <row r="321">
          <cell r="D321">
            <v>0</v>
          </cell>
          <cell r="E321">
            <v>0</v>
          </cell>
        </row>
        <row r="322">
          <cell r="D322">
            <v>0</v>
          </cell>
          <cell r="E322">
            <v>0</v>
          </cell>
        </row>
        <row r="323">
          <cell r="D323">
            <v>0</v>
          </cell>
          <cell r="E323">
            <v>0</v>
          </cell>
        </row>
        <row r="324">
          <cell r="D324">
            <v>0</v>
          </cell>
          <cell r="E324">
            <v>0</v>
          </cell>
        </row>
        <row r="325">
          <cell r="D325">
            <v>0</v>
          </cell>
          <cell r="E325">
            <v>0</v>
          </cell>
        </row>
        <row r="326">
          <cell r="D326">
            <v>0</v>
          </cell>
          <cell r="E326">
            <v>0</v>
          </cell>
        </row>
        <row r="327">
          <cell r="D327">
            <v>0</v>
          </cell>
          <cell r="E327">
            <v>0</v>
          </cell>
        </row>
        <row r="328">
          <cell r="D328">
            <v>0</v>
          </cell>
          <cell r="E328">
            <v>0</v>
          </cell>
        </row>
        <row r="329">
          <cell r="D329">
            <v>0</v>
          </cell>
          <cell r="E329">
            <v>0</v>
          </cell>
        </row>
        <row r="330">
          <cell r="D330">
            <v>0</v>
          </cell>
          <cell r="E330">
            <v>0</v>
          </cell>
        </row>
        <row r="331">
          <cell r="D331">
            <v>0</v>
          </cell>
          <cell r="E331">
            <v>0</v>
          </cell>
        </row>
      </sheetData>
      <sheetData sheetId="11">
        <row r="2">
          <cell r="E2" t="str">
            <v>English</v>
          </cell>
        </row>
        <row r="3">
          <cell r="E3" t="str">
            <v>Estonian</v>
          </cell>
        </row>
        <row r="4">
          <cell r="E4" t="str">
            <v>Latvian</v>
          </cell>
        </row>
        <row r="5">
          <cell r="E5" t="str">
            <v>Lithuanian</v>
          </cell>
        </row>
        <row r="9">
          <cell r="H9">
            <v>0</v>
          </cell>
        </row>
        <row r="10">
          <cell r="H10">
            <v>1</v>
          </cell>
        </row>
        <row r="11">
          <cell r="H11" t="str">
            <v>1A</v>
          </cell>
        </row>
        <row r="12">
          <cell r="H12" t="str">
            <v>1B</v>
          </cell>
        </row>
        <row r="13">
          <cell r="H13">
            <v>2</v>
          </cell>
        </row>
        <row r="14">
          <cell r="H14" t="str">
            <v>2A</v>
          </cell>
        </row>
        <row r="15">
          <cell r="H15" t="str">
            <v>2B</v>
          </cell>
        </row>
        <row r="16">
          <cell r="H16" t="str">
            <v>2C</v>
          </cell>
        </row>
        <row r="17">
          <cell r="H17">
            <v>3</v>
          </cell>
        </row>
        <row r="18">
          <cell r="H18" t="str">
            <v>3A</v>
          </cell>
        </row>
        <row r="19">
          <cell r="H19" t="str">
            <v>3B</v>
          </cell>
        </row>
        <row r="20">
          <cell r="H20">
            <v>4</v>
          </cell>
        </row>
        <row r="21">
          <cell r="H21" t="str">
            <v>4A</v>
          </cell>
        </row>
        <row r="22">
          <cell r="H22" t="str">
            <v>4B</v>
          </cell>
        </row>
        <row r="23">
          <cell r="H23" t="str">
            <v>4C</v>
          </cell>
        </row>
        <row r="24">
          <cell r="H24">
            <v>5</v>
          </cell>
        </row>
        <row r="25">
          <cell r="H25" t="str">
            <v>5A</v>
          </cell>
        </row>
        <row r="26">
          <cell r="H26" t="str">
            <v>5B</v>
          </cell>
        </row>
        <row r="27">
          <cell r="H27" t="str">
            <v>5C</v>
          </cell>
        </row>
        <row r="28">
          <cell r="H28">
            <v>6</v>
          </cell>
        </row>
        <row r="29">
          <cell r="H29" t="str">
            <v>6A</v>
          </cell>
        </row>
        <row r="30">
          <cell r="H30" t="str">
            <v>6B</v>
          </cell>
        </row>
        <row r="31">
          <cell r="H31">
            <v>7</v>
          </cell>
        </row>
        <row r="32">
          <cell r="H32" t="str">
            <v>7A</v>
          </cell>
        </row>
        <row r="33">
          <cell r="H33" t="str">
            <v>7B</v>
          </cell>
        </row>
        <row r="34">
          <cell r="H34">
            <v>8</v>
          </cell>
        </row>
        <row r="35">
          <cell r="H35">
            <v>9</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1"/>
  <sheetViews>
    <sheetView workbookViewId="0"/>
  </sheetViews>
  <sheetFormatPr defaultColWidth="9.140625" defaultRowHeight="12.75"/>
  <cols>
    <col min="1" max="1" width="40" style="10" bestFit="1" customWidth="1"/>
    <col min="2" max="2" width="11.7109375" style="10" bestFit="1" customWidth="1"/>
    <col min="3" max="16384" width="9.140625" style="10"/>
  </cols>
  <sheetData>
    <row r="1" spans="1:4">
      <c r="A1" s="4" t="s">
        <v>23</v>
      </c>
      <c r="B1" s="8" t="e">
        <f>SUM(B2:B11)</f>
        <v>#REF!</v>
      </c>
      <c r="C1" s="4"/>
      <c r="D1" s="4"/>
    </row>
    <row r="2" spans="1:4">
      <c r="A2" s="5" t="s">
        <v>67</v>
      </c>
      <c r="B2" s="8" t="e">
        <f>SUMIF(#REF!,$A2,#REF!)</f>
        <v>#REF!</v>
      </c>
      <c r="C2" s="4"/>
      <c r="D2" s="4"/>
    </row>
    <row r="3" spans="1:4">
      <c r="A3" s="5" t="s">
        <v>73</v>
      </c>
      <c r="B3" s="8" t="e">
        <f>SUMIF(#REF!,$A3,#REF!)</f>
        <v>#REF!</v>
      </c>
      <c r="C3" s="4"/>
      <c r="D3" s="4"/>
    </row>
    <row r="4" spans="1:4">
      <c r="A4" s="5" t="s">
        <v>68</v>
      </c>
      <c r="B4" s="8" t="e">
        <f>SUMIF(#REF!,$A4,#REF!)</f>
        <v>#REF!</v>
      </c>
      <c r="C4" s="4"/>
      <c r="D4" s="4"/>
    </row>
    <row r="5" spans="1:4">
      <c r="A5" s="5" t="s">
        <v>91</v>
      </c>
      <c r="B5" s="8" t="e">
        <f>SUMIF(#REF!,$A5,#REF!)</f>
        <v>#REF!</v>
      </c>
      <c r="C5" s="4"/>
      <c r="D5" s="4"/>
    </row>
    <row r="6" spans="1:4">
      <c r="A6" s="5" t="s">
        <v>76</v>
      </c>
      <c r="B6" s="8" t="e">
        <f>SUMIF(#REF!,$A6,#REF!)</f>
        <v>#REF!</v>
      </c>
      <c r="C6" s="4"/>
      <c r="D6" s="4"/>
    </row>
    <row r="7" spans="1:4">
      <c r="A7" s="5" t="s">
        <v>78</v>
      </c>
      <c r="B7" s="8" t="e">
        <f>SUMIF(#REF!,$A7,#REF!)</f>
        <v>#REF!</v>
      </c>
      <c r="C7" s="4"/>
      <c r="D7" s="4"/>
    </row>
    <row r="8" spans="1:4">
      <c r="A8" s="5" t="s">
        <v>69</v>
      </c>
      <c r="B8" s="8" t="e">
        <f>SUMIF(#REF!,$A8,#REF!)</f>
        <v>#REF!</v>
      </c>
      <c r="C8" s="4"/>
      <c r="D8" s="4"/>
    </row>
    <row r="9" spans="1:4">
      <c r="A9" s="5" t="s">
        <v>89</v>
      </c>
      <c r="B9" s="8" t="e">
        <f>SUMIF(#REF!,$A9,#REF!)</f>
        <v>#REF!</v>
      </c>
      <c r="C9" s="4"/>
      <c r="D9" s="4"/>
    </row>
    <row r="10" spans="1:4">
      <c r="A10" s="5" t="s">
        <v>65</v>
      </c>
      <c r="B10" s="8" t="e">
        <f>SUMIF(#REF!,$A10,#REF!)</f>
        <v>#REF!</v>
      </c>
      <c r="C10" s="4"/>
      <c r="D10" s="4"/>
    </row>
    <row r="11" spans="1:4">
      <c r="A11" s="6" t="s">
        <v>90</v>
      </c>
      <c r="B11" s="8" t="e">
        <f>SUMIF(#REF!,$A11,#REF!)</f>
        <v>#REF!</v>
      </c>
      <c r="C11" s="4"/>
      <c r="D11" s="4"/>
    </row>
    <row r="12" spans="1:4">
      <c r="A12" s="4" t="s">
        <v>71</v>
      </c>
      <c r="B12" s="8" t="e">
        <f>SUMIF(#REF!,$A12,#REF!)</f>
        <v>#REF!</v>
      </c>
      <c r="C12" s="4"/>
      <c r="D12" s="4"/>
    </row>
    <row r="13" spans="1:4">
      <c r="A13" s="4" t="s">
        <v>63</v>
      </c>
      <c r="B13" s="8" t="e">
        <f>SUMIF(#REF!,$A13,#REF!)</f>
        <v>#REF!</v>
      </c>
      <c r="C13" s="4"/>
      <c r="D13" s="4"/>
    </row>
    <row r="14" spans="1:4">
      <c r="A14" s="4" t="s">
        <v>72</v>
      </c>
      <c r="B14" s="8" t="e">
        <f>SUMIF(#REF!,$A14,#REF!)</f>
        <v>#REF!</v>
      </c>
      <c r="C14" s="4"/>
      <c r="D14" s="4"/>
    </row>
    <row r="15" spans="1:4">
      <c r="A15" s="4" t="s">
        <v>60</v>
      </c>
      <c r="B15" s="8" t="e">
        <f>SUMIF(#REF!,$A15,#REF!)</f>
        <v>#REF!</v>
      </c>
      <c r="C15" s="4"/>
      <c r="D15" s="4"/>
    </row>
    <row r="16" spans="1:4">
      <c r="A16" s="26" t="s">
        <v>24</v>
      </c>
      <c r="B16" s="8" t="e">
        <f>SUMIF(#REF!,$A16,#REF!)</f>
        <v>#REF!</v>
      </c>
      <c r="C16" s="4"/>
      <c r="D16" s="4"/>
    </row>
    <row r="17" spans="1:4">
      <c r="A17" s="22" t="s">
        <v>98</v>
      </c>
      <c r="B17" s="8" t="e">
        <f>SUMIF(#REF!,$A17,#REF!)</f>
        <v>#REF!</v>
      </c>
      <c r="C17" s="4"/>
      <c r="D17" s="4"/>
    </row>
    <row r="18" spans="1:4">
      <c r="A18" s="1" t="s">
        <v>25</v>
      </c>
      <c r="B18" s="9" t="e">
        <f>B12+B13+B14+B15+B1+B17</f>
        <v>#REF!</v>
      </c>
      <c r="C18" s="4"/>
      <c r="D18" s="4"/>
    </row>
    <row r="19" spans="1:4">
      <c r="A19" s="4"/>
      <c r="B19" s="20" t="e">
        <f>B18-#REF!</f>
        <v>#REF!</v>
      </c>
      <c r="C19" s="4"/>
      <c r="D19" s="4"/>
    </row>
    <row r="20" spans="1:4">
      <c r="A20" s="10" t="s">
        <v>104</v>
      </c>
      <c r="C20" s="4"/>
      <c r="D20" s="4"/>
    </row>
    <row r="21" spans="1:4">
      <c r="C21" s="4"/>
      <c r="D21" s="4"/>
    </row>
    <row r="23" spans="1:4">
      <c r="A23" s="29"/>
      <c r="B23" s="30"/>
    </row>
    <row r="25" spans="1:4">
      <c r="A25" s="21"/>
      <c r="B25" s="15"/>
    </row>
    <row r="29" spans="1:4">
      <c r="A29" s="29"/>
      <c r="B29" s="30"/>
    </row>
    <row r="30" spans="1:4">
      <c r="A30" s="27"/>
      <c r="B30" s="15"/>
    </row>
    <row r="31" spans="1:4">
      <c r="A31" s="28"/>
      <c r="B31" s="15"/>
    </row>
  </sheetData>
  <phoneticPr fontId="3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65"/>
  <sheetViews>
    <sheetView topLeftCell="A13" workbookViewId="0">
      <selection activeCell="A2" sqref="A2"/>
    </sheetView>
  </sheetViews>
  <sheetFormatPr defaultRowHeight="12.75"/>
  <cols>
    <col min="1" max="1" width="63.5703125" style="129" customWidth="1"/>
    <col min="2" max="7" width="11.7109375" style="129" customWidth="1"/>
    <col min="8" max="16384" width="9.140625" style="129"/>
  </cols>
  <sheetData>
    <row r="2" spans="1:7">
      <c r="A2" s="399" t="s">
        <v>533</v>
      </c>
      <c r="B2" s="399"/>
      <c r="C2" s="399"/>
      <c r="D2" s="399"/>
      <c r="E2" s="399"/>
      <c r="F2" s="399"/>
      <c r="G2" s="621" t="s">
        <v>534</v>
      </c>
    </row>
    <row r="3" spans="1:7">
      <c r="A3" s="399"/>
      <c r="B3" s="399"/>
      <c r="C3" s="399"/>
      <c r="D3" s="399"/>
      <c r="E3" s="399"/>
      <c r="F3" s="399"/>
      <c r="G3" s="399"/>
    </row>
    <row r="4" spans="1:7">
      <c r="A4" s="399" t="s">
        <v>263</v>
      </c>
      <c r="B4" s="399"/>
      <c r="C4" s="399"/>
      <c r="D4" s="399"/>
      <c r="E4" s="399"/>
      <c r="F4" s="399"/>
      <c r="G4" s="399"/>
    </row>
    <row r="5" spans="1:7" ht="13.5" thickBot="1">
      <c r="A5" s="728"/>
      <c r="B5" s="728"/>
      <c r="C5" s="728"/>
      <c r="D5" s="728"/>
      <c r="E5" s="728"/>
      <c r="F5" s="728"/>
      <c r="G5" s="728"/>
    </row>
    <row r="6" spans="1:7">
      <c r="A6" s="729" t="s">
        <v>535</v>
      </c>
      <c r="B6" s="730"/>
      <c r="C6" s="730"/>
      <c r="D6" s="730"/>
      <c r="E6" s="730"/>
      <c r="F6" s="730"/>
      <c r="G6" s="730"/>
    </row>
    <row r="7" spans="1:7">
      <c r="A7" s="731" t="s">
        <v>536</v>
      </c>
      <c r="B7" s="732"/>
      <c r="C7" s="732"/>
      <c r="D7" s="732"/>
      <c r="E7" s="732"/>
      <c r="F7" s="732"/>
      <c r="G7" s="732"/>
    </row>
    <row r="8" spans="1:7" ht="26.25" customHeight="1">
      <c r="A8" s="726" t="s">
        <v>537</v>
      </c>
      <c r="B8" s="727"/>
      <c r="C8" s="727"/>
      <c r="D8" s="727"/>
      <c r="E8" s="727"/>
      <c r="F8" s="727"/>
      <c r="G8" s="727"/>
    </row>
    <row r="9" spans="1:7">
      <c r="A9" s="733" t="s">
        <v>538</v>
      </c>
      <c r="B9" s="734"/>
      <c r="C9" s="734"/>
      <c r="D9" s="734"/>
      <c r="E9" s="734"/>
      <c r="F9" s="734"/>
      <c r="G9" s="734"/>
    </row>
    <row r="10" spans="1:7" ht="24.75" customHeight="1">
      <c r="A10" s="733" t="s">
        <v>539</v>
      </c>
      <c r="B10" s="734"/>
      <c r="C10" s="734"/>
      <c r="D10" s="734"/>
      <c r="E10" s="734"/>
      <c r="F10" s="734"/>
      <c r="G10" s="734"/>
    </row>
    <row r="11" spans="1:7">
      <c r="A11" s="733" t="s">
        <v>540</v>
      </c>
      <c r="B11" s="734"/>
      <c r="C11" s="734"/>
      <c r="D11" s="734"/>
      <c r="E11" s="734"/>
      <c r="F11" s="734"/>
      <c r="G11" s="734"/>
    </row>
    <row r="12" spans="1:7" ht="34.5" customHeight="1">
      <c r="A12" s="726" t="s">
        <v>541</v>
      </c>
      <c r="B12" s="727"/>
      <c r="C12" s="727"/>
      <c r="D12" s="727"/>
      <c r="E12" s="727"/>
      <c r="F12" s="727"/>
      <c r="G12" s="727"/>
    </row>
    <row r="13" spans="1:7" ht="34.5" customHeight="1">
      <c r="A13" s="735" t="s">
        <v>588</v>
      </c>
      <c r="B13" s="736"/>
      <c r="C13" s="736"/>
      <c r="D13" s="736"/>
      <c r="E13" s="736"/>
      <c r="F13" s="736"/>
      <c r="G13" s="736"/>
    </row>
    <row r="14" spans="1:7">
      <c r="A14" s="733" t="s">
        <v>542</v>
      </c>
      <c r="B14" s="734"/>
      <c r="C14" s="734"/>
      <c r="D14" s="734"/>
      <c r="E14" s="734"/>
      <c r="F14" s="734"/>
      <c r="G14" s="734"/>
    </row>
    <row r="15" spans="1:7">
      <c r="A15" s="733" t="s">
        <v>543</v>
      </c>
      <c r="B15" s="734"/>
      <c r="C15" s="734"/>
      <c r="D15" s="734"/>
      <c r="E15" s="734"/>
      <c r="F15" s="734"/>
      <c r="G15" s="734"/>
    </row>
    <row r="16" spans="1:7" ht="30" customHeight="1">
      <c r="A16" s="726" t="s">
        <v>544</v>
      </c>
      <c r="B16" s="727"/>
      <c r="C16" s="727"/>
      <c r="D16" s="727"/>
      <c r="E16" s="727"/>
      <c r="F16" s="727"/>
      <c r="G16" s="727"/>
    </row>
    <row r="17" spans="1:7" ht="27.75" customHeight="1">
      <c r="A17" s="720" t="s">
        <v>589</v>
      </c>
      <c r="B17" s="721"/>
      <c r="C17" s="721"/>
      <c r="D17" s="721"/>
      <c r="E17" s="721"/>
      <c r="F17" s="721"/>
      <c r="G17" s="721"/>
    </row>
    <row r="18" spans="1:7" ht="24.75" customHeight="1">
      <c r="A18" s="722" t="s">
        <v>545</v>
      </c>
      <c r="B18" s="723"/>
      <c r="C18" s="723"/>
      <c r="D18" s="723"/>
      <c r="E18" s="723"/>
      <c r="F18" s="723"/>
      <c r="G18" s="723"/>
    </row>
    <row r="19" spans="1:7" ht="24.75" customHeight="1">
      <c r="A19" s="718" t="s">
        <v>546</v>
      </c>
      <c r="B19" s="719"/>
      <c r="C19" s="719"/>
      <c r="D19" s="719"/>
      <c r="E19" s="719"/>
      <c r="F19" s="719"/>
      <c r="G19" s="719"/>
    </row>
    <row r="20" spans="1:7" ht="13.5" thickBot="1">
      <c r="A20" s="724" t="s">
        <v>547</v>
      </c>
      <c r="B20" s="725"/>
      <c r="C20" s="725"/>
      <c r="D20" s="725"/>
      <c r="E20" s="725"/>
      <c r="F20" s="725"/>
      <c r="G20" s="725"/>
    </row>
    <row r="21" spans="1:7" ht="47.25" customHeight="1">
      <c r="A21" s="654" t="s">
        <v>590</v>
      </c>
      <c r="B21" s="622" t="s">
        <v>591</v>
      </c>
      <c r="C21" s="622" t="s">
        <v>548</v>
      </c>
      <c r="D21" s="622" t="s">
        <v>549</v>
      </c>
      <c r="E21" s="622" t="s">
        <v>550</v>
      </c>
      <c r="F21" s="622">
        <v>2018</v>
      </c>
      <c r="G21" s="622" t="s">
        <v>551</v>
      </c>
    </row>
    <row r="22" spans="1:7">
      <c r="A22" s="655" t="s">
        <v>592</v>
      </c>
      <c r="B22" s="656">
        <f t="shared" ref="B22:G22" si="0">SUM(B23,B24)</f>
        <v>0</v>
      </c>
      <c r="C22" s="656">
        <f t="shared" si="0"/>
        <v>0</v>
      </c>
      <c r="D22" s="656">
        <f t="shared" si="0"/>
        <v>0</v>
      </c>
      <c r="E22" s="656">
        <f t="shared" si="0"/>
        <v>0</v>
      </c>
      <c r="F22" s="656">
        <f t="shared" si="0"/>
        <v>0</v>
      </c>
      <c r="G22" s="656">
        <f t="shared" si="0"/>
        <v>0</v>
      </c>
    </row>
    <row r="23" spans="1:7">
      <c r="A23" s="657" t="s">
        <v>593</v>
      </c>
      <c r="B23" s="658">
        <f>SUM(C23:G23)</f>
        <v>0</v>
      </c>
      <c r="C23" s="658"/>
      <c r="D23" s="658"/>
      <c r="E23" s="658"/>
      <c r="F23" s="658"/>
      <c r="G23" s="658"/>
    </row>
    <row r="24" spans="1:7">
      <c r="A24" s="657" t="s">
        <v>594</v>
      </c>
      <c r="B24" s="658">
        <f>SUM(C24:G24)</f>
        <v>0</v>
      </c>
      <c r="C24" s="658">
        <f>C23*0.2*(100-$B$27)/100</f>
        <v>0</v>
      </c>
      <c r="D24" s="658">
        <f>D23*0.2*(100-$B$27)/100</f>
        <v>0</v>
      </c>
      <c r="E24" s="658">
        <f>E23*0.2*(100-$B$27)/100</f>
        <v>0</v>
      </c>
      <c r="F24" s="658">
        <f>F23*0.2*(100-$B$27)/100</f>
        <v>0</v>
      </c>
      <c r="G24" s="658">
        <f>G23*0.2*(100-$B$27)/100</f>
        <v>0</v>
      </c>
    </row>
    <row r="25" spans="1:7">
      <c r="A25" s="657"/>
      <c r="B25" s="658"/>
      <c r="C25" s="658"/>
      <c r="D25" s="658"/>
      <c r="E25" s="658"/>
      <c r="F25" s="658"/>
      <c r="G25" s="658"/>
    </row>
    <row r="26" spans="1:7">
      <c r="A26" s="657" t="s">
        <v>595</v>
      </c>
      <c r="B26" s="658">
        <f>SUM(C26:G26)</f>
        <v>0</v>
      </c>
      <c r="C26" s="658">
        <f>C23*0.2*($B$27)/100</f>
        <v>0</v>
      </c>
      <c r="D26" s="658">
        <f>D23*0.2*($B$27)/100</f>
        <v>0</v>
      </c>
      <c r="E26" s="658">
        <f>E23*0.2*($B$27)/100</f>
        <v>0</v>
      </c>
      <c r="F26" s="658">
        <f>F23*0.2*($B$27)/100</f>
        <v>0</v>
      </c>
      <c r="G26" s="658">
        <f>G23*0.2*($B$27)/100</f>
        <v>0</v>
      </c>
    </row>
    <row r="27" spans="1:7">
      <c r="A27" s="659" t="s">
        <v>596</v>
      </c>
      <c r="B27" s="658"/>
      <c r="C27" s="665" t="s">
        <v>599</v>
      </c>
      <c r="D27" s="665" t="s">
        <v>599</v>
      </c>
      <c r="E27" s="665" t="s">
        <v>599</v>
      </c>
      <c r="F27" s="665" t="s">
        <v>599</v>
      </c>
      <c r="G27" s="665" t="s">
        <v>599</v>
      </c>
    </row>
    <row r="28" spans="1:7">
      <c r="A28" s="657"/>
      <c r="B28" s="658"/>
      <c r="C28" s="658"/>
      <c r="D28" s="658"/>
      <c r="E28" s="658"/>
      <c r="F28" s="658"/>
      <c r="G28" s="660"/>
    </row>
    <row r="29" spans="1:7">
      <c r="A29" s="661" t="s">
        <v>597</v>
      </c>
      <c r="B29" s="656">
        <f>SUM(C29:G29)</f>
        <v>0</v>
      </c>
      <c r="C29" s="656">
        <f t="shared" ref="C29:G29" si="1">SUM(C30:C39)</f>
        <v>0</v>
      </c>
      <c r="D29" s="656">
        <f t="shared" si="1"/>
        <v>0</v>
      </c>
      <c r="E29" s="656">
        <f t="shared" si="1"/>
        <v>0</v>
      </c>
      <c r="F29" s="656">
        <f t="shared" si="1"/>
        <v>0</v>
      </c>
      <c r="G29" s="656">
        <f t="shared" si="1"/>
        <v>0</v>
      </c>
    </row>
    <row r="30" spans="1:7">
      <c r="A30" s="662" t="s">
        <v>552</v>
      </c>
      <c r="B30" s="663">
        <f t="shared" ref="B30:B38" si="2">SUM(C30:G30)</f>
        <v>0</v>
      </c>
      <c r="C30" s="663"/>
      <c r="D30" s="663"/>
      <c r="E30" s="663"/>
      <c r="F30" s="663"/>
      <c r="G30" s="663"/>
    </row>
    <row r="31" spans="1:7">
      <c r="A31" s="662" t="s">
        <v>553</v>
      </c>
      <c r="B31" s="663">
        <f t="shared" si="2"/>
        <v>0</v>
      </c>
      <c r="C31" s="663"/>
      <c r="D31" s="663"/>
      <c r="E31" s="663"/>
      <c r="F31" s="663"/>
      <c r="G31" s="663"/>
    </row>
    <row r="32" spans="1:7">
      <c r="A32" s="662" t="s">
        <v>554</v>
      </c>
      <c r="B32" s="663">
        <f t="shared" si="2"/>
        <v>0</v>
      </c>
      <c r="C32" s="663"/>
      <c r="D32" s="663"/>
      <c r="E32" s="663"/>
      <c r="F32" s="663"/>
      <c r="G32" s="663"/>
    </row>
    <row r="33" spans="1:7">
      <c r="A33" s="662" t="s">
        <v>555</v>
      </c>
      <c r="B33" s="663">
        <f t="shared" si="2"/>
        <v>0</v>
      </c>
      <c r="C33" s="663"/>
      <c r="D33" s="663"/>
      <c r="E33" s="663"/>
      <c r="F33" s="663"/>
      <c r="G33" s="663"/>
    </row>
    <row r="34" spans="1:7">
      <c r="A34" s="662" t="s">
        <v>556</v>
      </c>
      <c r="B34" s="663">
        <f t="shared" si="2"/>
        <v>0</v>
      </c>
      <c r="C34" s="663"/>
      <c r="D34" s="663"/>
      <c r="E34" s="663"/>
      <c r="F34" s="663"/>
      <c r="G34" s="663"/>
    </row>
    <row r="35" spans="1:7">
      <c r="A35" s="662" t="s">
        <v>557</v>
      </c>
      <c r="B35" s="663">
        <f t="shared" si="2"/>
        <v>0</v>
      </c>
      <c r="C35" s="663"/>
      <c r="D35" s="663"/>
      <c r="E35" s="663"/>
      <c r="F35" s="663"/>
      <c r="G35" s="663"/>
    </row>
    <row r="36" spans="1:7">
      <c r="A36" s="662" t="s">
        <v>558</v>
      </c>
      <c r="B36" s="663">
        <f t="shared" si="2"/>
        <v>0</v>
      </c>
      <c r="C36" s="663"/>
      <c r="D36" s="663"/>
      <c r="E36" s="663"/>
      <c r="F36" s="663"/>
      <c r="G36" s="663"/>
    </row>
    <row r="37" spans="1:7">
      <c r="A37" s="662" t="s">
        <v>559</v>
      </c>
      <c r="B37" s="663">
        <f t="shared" si="2"/>
        <v>0</v>
      </c>
      <c r="C37" s="663"/>
      <c r="D37" s="663"/>
      <c r="E37" s="663"/>
      <c r="F37" s="663"/>
      <c r="G37" s="663"/>
    </row>
    <row r="38" spans="1:7">
      <c r="A38" s="662" t="s">
        <v>560</v>
      </c>
      <c r="B38" s="663">
        <f t="shared" si="2"/>
        <v>0</v>
      </c>
      <c r="C38" s="663"/>
      <c r="D38" s="663"/>
      <c r="E38" s="663"/>
      <c r="F38" s="663"/>
      <c r="G38" s="663"/>
    </row>
    <row r="39" spans="1:7" ht="27" customHeight="1">
      <c r="A39" s="664" t="s">
        <v>598</v>
      </c>
      <c r="B39" s="623"/>
      <c r="C39" s="623"/>
      <c r="D39" s="623"/>
      <c r="E39" s="623"/>
      <c r="F39" s="623"/>
      <c r="G39" s="624"/>
    </row>
    <row r="40" spans="1:7">
      <c r="A40" s="714" t="s">
        <v>561</v>
      </c>
      <c r="B40" s="715"/>
      <c r="C40" s="715"/>
      <c r="D40" s="715"/>
      <c r="E40" s="715"/>
      <c r="F40" s="715"/>
      <c r="G40" s="715"/>
    </row>
    <row r="41" spans="1:7">
      <c r="A41" s="708"/>
      <c r="B41" s="709"/>
      <c r="C41" s="709"/>
      <c r="D41" s="709"/>
      <c r="E41" s="709"/>
      <c r="F41" s="709"/>
      <c r="G41" s="709"/>
    </row>
    <row r="42" spans="1:7">
      <c r="A42" s="710"/>
      <c r="B42" s="711"/>
      <c r="C42" s="711"/>
      <c r="D42" s="711"/>
      <c r="E42" s="711"/>
      <c r="F42" s="711"/>
      <c r="G42" s="711"/>
    </row>
    <row r="43" spans="1:7">
      <c r="A43" s="712"/>
      <c r="B43" s="713"/>
      <c r="C43" s="713"/>
      <c r="D43" s="713"/>
      <c r="E43" s="713"/>
      <c r="F43" s="713"/>
      <c r="G43" s="713"/>
    </row>
    <row r="44" spans="1:7">
      <c r="A44" s="714" t="s">
        <v>562</v>
      </c>
      <c r="B44" s="715"/>
      <c r="C44" s="715"/>
      <c r="D44" s="715"/>
      <c r="E44" s="715"/>
      <c r="F44" s="715"/>
      <c r="G44" s="715"/>
    </row>
    <row r="45" spans="1:7">
      <c r="A45" s="708"/>
      <c r="B45" s="709"/>
      <c r="C45" s="709"/>
      <c r="D45" s="709"/>
      <c r="E45" s="709"/>
      <c r="F45" s="709"/>
      <c r="G45" s="709"/>
    </row>
    <row r="46" spans="1:7">
      <c r="A46" s="712"/>
      <c r="B46" s="713"/>
      <c r="C46" s="713"/>
      <c r="D46" s="713"/>
      <c r="E46" s="713"/>
      <c r="F46" s="713"/>
      <c r="G46" s="713"/>
    </row>
    <row r="47" spans="1:7" ht="15" customHeight="1">
      <c r="A47" s="714" t="s">
        <v>563</v>
      </c>
      <c r="B47" s="715"/>
      <c r="C47" s="715"/>
      <c r="D47" s="715"/>
      <c r="E47" s="715"/>
      <c r="F47" s="715"/>
      <c r="G47" s="715"/>
    </row>
    <row r="48" spans="1:7" ht="15" customHeight="1">
      <c r="A48" s="708"/>
      <c r="B48" s="709"/>
      <c r="C48" s="709"/>
      <c r="D48" s="709"/>
      <c r="E48" s="709"/>
      <c r="F48" s="709"/>
      <c r="G48" s="709"/>
    </row>
    <row r="49" spans="1:7">
      <c r="A49" s="712"/>
      <c r="B49" s="713"/>
      <c r="C49" s="713"/>
      <c r="D49" s="713"/>
      <c r="E49" s="713"/>
      <c r="F49" s="713"/>
      <c r="G49" s="713"/>
    </row>
    <row r="50" spans="1:7">
      <c r="A50" s="714" t="s">
        <v>564</v>
      </c>
      <c r="B50" s="715"/>
      <c r="C50" s="715"/>
      <c r="D50" s="715"/>
      <c r="E50" s="715"/>
      <c r="F50" s="715"/>
      <c r="G50" s="715"/>
    </row>
    <row r="51" spans="1:7">
      <c r="A51" s="718"/>
      <c r="B51" s="719"/>
      <c r="C51" s="719"/>
      <c r="D51" s="719"/>
      <c r="E51" s="719"/>
      <c r="F51" s="719"/>
      <c r="G51" s="719"/>
    </row>
    <row r="52" spans="1:7">
      <c r="A52" s="710"/>
      <c r="B52" s="711"/>
      <c r="C52" s="711"/>
      <c r="D52" s="711"/>
      <c r="E52" s="711"/>
      <c r="F52" s="711"/>
      <c r="G52" s="711"/>
    </row>
    <row r="53" spans="1:7">
      <c r="A53" s="712"/>
      <c r="B53" s="713"/>
      <c r="C53" s="713"/>
      <c r="D53" s="713"/>
      <c r="E53" s="713"/>
      <c r="F53" s="713"/>
      <c r="G53" s="713"/>
    </row>
    <row r="54" spans="1:7">
      <c r="A54" s="707" t="s">
        <v>565</v>
      </c>
      <c r="B54" s="706"/>
      <c r="C54" s="706"/>
      <c r="D54" s="706"/>
      <c r="E54" s="706"/>
      <c r="F54" s="706"/>
      <c r="G54" s="706"/>
    </row>
    <row r="55" spans="1:7">
      <c r="A55" s="708"/>
      <c r="B55" s="709"/>
      <c r="C55" s="709"/>
      <c r="D55" s="709"/>
      <c r="E55" s="709"/>
      <c r="F55" s="709"/>
      <c r="G55" s="709"/>
    </row>
    <row r="56" spans="1:7">
      <c r="A56" s="710"/>
      <c r="B56" s="711"/>
      <c r="C56" s="711"/>
      <c r="D56" s="711"/>
      <c r="E56" s="711"/>
      <c r="F56" s="711"/>
      <c r="G56" s="711"/>
    </row>
    <row r="57" spans="1:7">
      <c r="A57" s="712"/>
      <c r="B57" s="713"/>
      <c r="C57" s="713"/>
      <c r="D57" s="713"/>
      <c r="E57" s="713"/>
      <c r="F57" s="713"/>
      <c r="G57" s="713"/>
    </row>
    <row r="58" spans="1:7">
      <c r="A58" s="714" t="s">
        <v>566</v>
      </c>
      <c r="B58" s="715"/>
      <c r="C58" s="715"/>
      <c r="D58" s="715"/>
      <c r="E58" s="715"/>
      <c r="F58" s="715"/>
      <c r="G58" s="715"/>
    </row>
    <row r="59" spans="1:7">
      <c r="A59" s="708"/>
      <c r="B59" s="709"/>
      <c r="C59" s="709"/>
      <c r="D59" s="709"/>
      <c r="E59" s="709"/>
      <c r="F59" s="709"/>
      <c r="G59" s="709"/>
    </row>
    <row r="60" spans="1:7" ht="13.5" thickBot="1">
      <c r="A60" s="716"/>
      <c r="B60" s="717"/>
      <c r="C60" s="717"/>
      <c r="D60" s="717"/>
      <c r="E60" s="717"/>
      <c r="F60" s="717"/>
      <c r="G60" s="717"/>
    </row>
    <row r="61" spans="1:7">
      <c r="A61" s="625"/>
      <c r="B61" s="625"/>
      <c r="C61" s="625"/>
      <c r="D61" s="625"/>
      <c r="E61" s="625"/>
      <c r="F61" s="625"/>
      <c r="G61" s="625"/>
    </row>
    <row r="62" spans="1:7">
      <c r="A62" s="706"/>
      <c r="B62" s="706"/>
      <c r="C62" s="706"/>
      <c r="D62" s="706"/>
      <c r="E62" s="706"/>
      <c r="F62" s="706"/>
      <c r="G62" s="706"/>
    </row>
    <row r="63" spans="1:7">
      <c r="A63" s="706" t="s">
        <v>567</v>
      </c>
      <c r="B63" s="706"/>
      <c r="C63" s="706"/>
      <c r="D63" s="706"/>
      <c r="E63" s="706"/>
      <c r="F63" s="706"/>
      <c r="G63" s="706"/>
    </row>
    <row r="64" spans="1:7">
      <c r="A64" s="706"/>
      <c r="B64" s="706"/>
      <c r="C64" s="706"/>
      <c r="D64" s="706"/>
      <c r="E64" s="706"/>
      <c r="F64" s="706"/>
      <c r="G64" s="706"/>
    </row>
    <row r="65" spans="1:7">
      <c r="A65" s="706" t="s">
        <v>229</v>
      </c>
      <c r="B65" s="706"/>
      <c r="C65" s="706"/>
      <c r="D65" s="706"/>
      <c r="E65" s="706"/>
      <c r="F65" s="706"/>
      <c r="G65" s="706"/>
    </row>
  </sheetData>
  <mergeCells count="32">
    <mergeCell ref="A16:G16"/>
    <mergeCell ref="A5:G5"/>
    <mergeCell ref="A6:G6"/>
    <mergeCell ref="A7:G7"/>
    <mergeCell ref="A8:G8"/>
    <mergeCell ref="A9:G9"/>
    <mergeCell ref="A10:G10"/>
    <mergeCell ref="A11:G11"/>
    <mergeCell ref="A12:G12"/>
    <mergeCell ref="A13:G13"/>
    <mergeCell ref="A14:G14"/>
    <mergeCell ref="A15:G15"/>
    <mergeCell ref="A51:G53"/>
    <mergeCell ref="A17:G17"/>
    <mergeCell ref="A18:G18"/>
    <mergeCell ref="A19:G19"/>
    <mergeCell ref="A20:G20"/>
    <mergeCell ref="A40:G40"/>
    <mergeCell ref="A41:G43"/>
    <mergeCell ref="A44:G44"/>
    <mergeCell ref="A45:G46"/>
    <mergeCell ref="A47:G47"/>
    <mergeCell ref="A48:G49"/>
    <mergeCell ref="A50:G50"/>
    <mergeCell ref="A64:G64"/>
    <mergeCell ref="A65:G65"/>
    <mergeCell ref="A54:G54"/>
    <mergeCell ref="A55:G57"/>
    <mergeCell ref="A58:G58"/>
    <mergeCell ref="A59:G60"/>
    <mergeCell ref="A62:G62"/>
    <mergeCell ref="A63:G63"/>
  </mergeCells>
  <pageMargins left="0.7" right="0.25" top="0.41" bottom="0.38" header="0.21" footer="0.25"/>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3" workbookViewId="0"/>
  </sheetViews>
  <sheetFormatPr defaultColWidth="9.140625" defaultRowHeight="12.75"/>
  <cols>
    <col min="1" max="1" width="28" style="278" customWidth="1"/>
    <col min="2" max="2" width="13.28515625" style="278" customWidth="1"/>
    <col min="3" max="3" width="10" style="278" customWidth="1"/>
    <col min="4" max="4" width="9.7109375" style="278" customWidth="1"/>
    <col min="5" max="5" width="7" style="278" customWidth="1"/>
    <col min="6" max="6" width="20" style="278" customWidth="1"/>
    <col min="7" max="7" width="13.42578125" style="278" bestFit="1" customWidth="1"/>
    <col min="8" max="8" width="40.140625" style="278" customWidth="1"/>
    <col min="9" max="16384" width="9.140625" style="278"/>
  </cols>
  <sheetData>
    <row r="1" spans="1:8" ht="15">
      <c r="A1" s="626" t="s">
        <v>568</v>
      </c>
      <c r="B1" s="627"/>
      <c r="C1" s="354"/>
      <c r="H1" s="621" t="s">
        <v>569</v>
      </c>
    </row>
    <row r="2" spans="1:8">
      <c r="A2" s="628" t="s">
        <v>570</v>
      </c>
      <c r="B2" s="628"/>
      <c r="C2" s="628"/>
      <c r="D2" s="628"/>
      <c r="E2" s="628"/>
    </row>
    <row r="3" spans="1:8">
      <c r="A3" s="628"/>
      <c r="B3" s="628"/>
      <c r="C3" s="628"/>
      <c r="D3" s="628"/>
      <c r="E3" s="628"/>
    </row>
    <row r="4" spans="1:8">
      <c r="A4" s="628"/>
      <c r="B4" s="628"/>
      <c r="C4" s="628"/>
      <c r="D4" s="628"/>
      <c r="E4" s="628"/>
    </row>
    <row r="5" spans="1:8">
      <c r="A5" s="399" t="s">
        <v>571</v>
      </c>
      <c r="B5" s="628"/>
      <c r="C5" s="628"/>
      <c r="D5" s="628"/>
      <c r="E5" s="628"/>
    </row>
    <row r="6" spans="1:8">
      <c r="A6" s="399" t="s">
        <v>572</v>
      </c>
      <c r="B6" s="628"/>
      <c r="C6" s="628"/>
      <c r="D6" s="628"/>
      <c r="E6" s="628"/>
    </row>
    <row r="7" spans="1:8">
      <c r="G7" s="629" t="s">
        <v>208</v>
      </c>
    </row>
    <row r="8" spans="1:8" ht="36.75">
      <c r="A8" s="737" t="s">
        <v>573</v>
      </c>
      <c r="B8" s="737" t="s">
        <v>574</v>
      </c>
      <c r="C8" s="737" t="s">
        <v>575</v>
      </c>
      <c r="D8" s="737" t="s">
        <v>576</v>
      </c>
      <c r="E8" s="737" t="s">
        <v>577</v>
      </c>
      <c r="F8" s="630" t="s">
        <v>578</v>
      </c>
      <c r="G8" s="630" t="s">
        <v>579</v>
      </c>
      <c r="H8" s="737" t="s">
        <v>580</v>
      </c>
    </row>
    <row r="9" spans="1:8" ht="22.5">
      <c r="A9" s="738"/>
      <c r="B9" s="738"/>
      <c r="C9" s="738"/>
      <c r="D9" s="738"/>
      <c r="E9" s="738"/>
      <c r="F9" s="631" t="s">
        <v>581</v>
      </c>
      <c r="G9" s="632" t="s">
        <v>582</v>
      </c>
      <c r="H9" s="738"/>
    </row>
    <row r="10" spans="1:8">
      <c r="A10" s="633"/>
      <c r="B10" s="634"/>
      <c r="C10" s="633"/>
      <c r="D10" s="634"/>
      <c r="E10" s="633"/>
      <c r="F10" s="635"/>
      <c r="G10" s="636"/>
      <c r="H10" s="637"/>
    </row>
    <row r="11" spans="1:8">
      <c r="A11" s="633"/>
      <c r="B11" s="634"/>
      <c r="C11" s="633"/>
      <c r="D11" s="634"/>
      <c r="E11" s="633"/>
      <c r="F11" s="635"/>
      <c r="G11" s="636"/>
      <c r="H11" s="637"/>
    </row>
    <row r="12" spans="1:8">
      <c r="A12" s="633"/>
      <c r="B12" s="634"/>
      <c r="C12" s="633"/>
      <c r="D12" s="634"/>
      <c r="E12" s="633"/>
      <c r="F12" s="638"/>
      <c r="G12" s="636"/>
      <c r="H12" s="637"/>
    </row>
    <row r="13" spans="1:8">
      <c r="A13" s="633"/>
      <c r="B13" s="634"/>
      <c r="C13" s="633"/>
      <c r="D13" s="634"/>
      <c r="E13" s="633"/>
      <c r="F13" s="635"/>
      <c r="G13" s="636"/>
      <c r="H13" s="637"/>
    </row>
    <row r="14" spans="1:8">
      <c r="A14" s="633"/>
      <c r="B14" s="634"/>
      <c r="C14" s="633"/>
      <c r="D14" s="634"/>
      <c r="E14" s="633"/>
      <c r="F14" s="635"/>
      <c r="G14" s="636"/>
      <c r="H14" s="637"/>
    </row>
    <row r="15" spans="1:8">
      <c r="A15" s="633"/>
      <c r="B15" s="634"/>
      <c r="C15" s="633"/>
      <c r="D15" s="634"/>
      <c r="E15" s="633"/>
      <c r="F15" s="635"/>
      <c r="G15" s="636"/>
      <c r="H15" s="637"/>
    </row>
    <row r="16" spans="1:8">
      <c r="A16" s="633"/>
      <c r="B16" s="634"/>
      <c r="C16" s="633"/>
      <c r="D16" s="634"/>
      <c r="E16" s="633"/>
      <c r="F16" s="635"/>
      <c r="G16" s="636"/>
      <c r="H16" s="637"/>
    </row>
    <row r="17" spans="1:8">
      <c r="A17" s="633"/>
      <c r="B17" s="634"/>
      <c r="C17" s="633"/>
      <c r="D17" s="634"/>
      <c r="E17" s="633"/>
      <c r="F17" s="635"/>
      <c r="G17" s="636"/>
      <c r="H17" s="637"/>
    </row>
    <row r="18" spans="1:8">
      <c r="A18" s="633"/>
      <c r="B18" s="634"/>
      <c r="C18" s="633"/>
      <c r="D18" s="634"/>
      <c r="E18" s="633"/>
      <c r="F18" s="635"/>
      <c r="G18" s="636"/>
      <c r="H18" s="637"/>
    </row>
    <row r="19" spans="1:8">
      <c r="A19" s="633"/>
      <c r="B19" s="634"/>
      <c r="C19" s="633"/>
      <c r="D19" s="634"/>
      <c r="E19" s="633"/>
      <c r="F19" s="635"/>
      <c r="G19" s="636"/>
      <c r="H19" s="637"/>
    </row>
    <row r="20" spans="1:8">
      <c r="A20" s="633"/>
      <c r="B20" s="634"/>
      <c r="C20" s="633"/>
      <c r="D20" s="634"/>
      <c r="E20" s="633"/>
      <c r="F20" s="635"/>
      <c r="G20" s="636"/>
      <c r="H20" s="637"/>
    </row>
    <row r="21" spans="1:8">
      <c r="A21" s="633"/>
      <c r="B21" s="634"/>
      <c r="C21" s="633"/>
      <c r="D21" s="634"/>
      <c r="E21" s="633"/>
      <c r="F21" s="635"/>
      <c r="G21" s="636"/>
      <c r="H21" s="637"/>
    </row>
    <row r="22" spans="1:8">
      <c r="A22" s="633"/>
      <c r="B22" s="634"/>
      <c r="C22" s="633"/>
      <c r="D22" s="634"/>
      <c r="E22" s="633"/>
      <c r="F22" s="635"/>
      <c r="G22" s="636"/>
      <c r="H22" s="637"/>
    </row>
    <row r="23" spans="1:8">
      <c r="A23" s="633"/>
      <c r="B23" s="634"/>
      <c r="C23" s="633"/>
      <c r="D23" s="634"/>
      <c r="E23" s="633"/>
      <c r="F23" s="635"/>
      <c r="G23" s="636"/>
      <c r="H23" s="637"/>
    </row>
    <row r="24" spans="1:8">
      <c r="A24" s="633"/>
      <c r="B24" s="634"/>
      <c r="C24" s="633"/>
      <c r="D24" s="634"/>
      <c r="E24" s="633"/>
      <c r="F24" s="635"/>
      <c r="G24" s="636"/>
      <c r="H24" s="637"/>
    </row>
    <row r="25" spans="1:8">
      <c r="A25" s="633"/>
      <c r="B25" s="634"/>
      <c r="C25" s="633"/>
      <c r="D25" s="634"/>
      <c r="E25" s="633"/>
      <c r="F25" s="635"/>
      <c r="G25" s="636"/>
      <c r="H25" s="637"/>
    </row>
    <row r="26" spans="1:8">
      <c r="A26" s="633"/>
      <c r="B26" s="634"/>
      <c r="C26" s="633"/>
      <c r="D26" s="634"/>
      <c r="E26" s="633"/>
      <c r="F26" s="635"/>
      <c r="G26" s="636"/>
      <c r="H26" s="637"/>
    </row>
    <row r="27" spans="1:8">
      <c r="A27" s="633"/>
      <c r="B27" s="634"/>
      <c r="C27" s="633"/>
      <c r="D27" s="634"/>
      <c r="E27" s="633"/>
      <c r="F27" s="635"/>
      <c r="G27" s="636"/>
      <c r="H27" s="637"/>
    </row>
    <row r="28" spans="1:8">
      <c r="A28" s="639"/>
      <c r="B28" s="640"/>
      <c r="C28" s="639"/>
      <c r="D28" s="640"/>
      <c r="E28" s="639"/>
      <c r="F28" s="641"/>
      <c r="G28" s="642"/>
      <c r="H28" s="643"/>
    </row>
    <row r="29" spans="1:8">
      <c r="A29" s="628" t="s">
        <v>583</v>
      </c>
    </row>
    <row r="32" spans="1:8">
      <c r="A32" s="278" t="s">
        <v>567</v>
      </c>
    </row>
    <row r="34" spans="1:1">
      <c r="A34" s="352" t="s">
        <v>229</v>
      </c>
    </row>
  </sheetData>
  <mergeCells count="6">
    <mergeCell ref="H8:H9"/>
    <mergeCell ref="A8:A9"/>
    <mergeCell ref="B8:B9"/>
    <mergeCell ref="C8:C9"/>
    <mergeCell ref="D8:D9"/>
    <mergeCell ref="E8:E9"/>
  </mergeCells>
  <pageMargins left="0.55000000000000004" right="0.21" top="0.33" bottom="0.28000000000000003" header="0.21" footer="0.18"/>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workbookViewId="0"/>
  </sheetViews>
  <sheetFormatPr defaultColWidth="9.140625" defaultRowHeight="12.75"/>
  <cols>
    <col min="1" max="1" width="3.28515625" style="278" customWidth="1"/>
    <col min="2" max="2" width="13.28515625" style="278" customWidth="1"/>
    <col min="3" max="3" width="12.7109375" style="278" customWidth="1"/>
    <col min="4" max="4" width="7.140625" style="278" customWidth="1"/>
    <col min="5" max="5" width="5.7109375" style="278" customWidth="1"/>
    <col min="6" max="6" width="12" style="354" customWidth="1"/>
    <col min="7" max="7" width="9.85546875" style="354" customWidth="1"/>
    <col min="8" max="8" width="9.7109375" style="278" customWidth="1"/>
    <col min="9" max="9" width="15.85546875" style="278" customWidth="1"/>
    <col min="10" max="10" width="7.85546875" style="278" customWidth="1"/>
    <col min="11" max="12" width="6.7109375" style="278" customWidth="1"/>
    <col min="13" max="13" width="7" style="278" customWidth="1"/>
    <col min="14" max="14" width="6.42578125" style="278" customWidth="1"/>
    <col min="15" max="16" width="6.28515625" style="278" customWidth="1"/>
    <col min="17" max="17" width="9.5703125" style="278" customWidth="1"/>
    <col min="18" max="18" width="15.7109375" style="278" customWidth="1"/>
    <col min="19" max="16384" width="9.140625" style="278"/>
  </cols>
  <sheetData>
    <row r="1" spans="1:21" s="308" customFormat="1" ht="15">
      <c r="A1" s="306" t="s">
        <v>261</v>
      </c>
      <c r="B1" s="307"/>
      <c r="C1" s="307"/>
      <c r="D1" s="307"/>
      <c r="E1" s="307"/>
      <c r="F1" s="307"/>
      <c r="G1" s="307"/>
      <c r="H1" s="307"/>
      <c r="I1" s="307"/>
      <c r="J1" s="307"/>
      <c r="K1" s="307"/>
      <c r="L1" s="307"/>
      <c r="P1" s="309"/>
      <c r="Q1" s="309"/>
      <c r="R1" s="310" t="s">
        <v>262</v>
      </c>
    </row>
    <row r="2" spans="1:21" ht="12.75" customHeight="1">
      <c r="A2" s="308"/>
      <c r="B2" s="308"/>
      <c r="C2" s="308"/>
      <c r="D2" s="308"/>
      <c r="E2" s="308"/>
      <c r="F2" s="311"/>
      <c r="G2" s="311"/>
      <c r="H2" s="308"/>
      <c r="I2" s="308"/>
      <c r="J2" s="308"/>
      <c r="K2" s="308"/>
      <c r="L2" s="308"/>
      <c r="M2" s="308"/>
      <c r="N2" s="308"/>
      <c r="O2" s="308"/>
      <c r="P2" s="308"/>
      <c r="Q2" s="308"/>
      <c r="R2" s="308"/>
    </row>
    <row r="3" spans="1:21" ht="15.75">
      <c r="A3" s="312" t="s">
        <v>263</v>
      </c>
      <c r="B3" s="312"/>
      <c r="C3" s="312"/>
      <c r="D3" s="308"/>
      <c r="E3" s="308"/>
      <c r="F3" s="311"/>
      <c r="G3" s="311"/>
      <c r="H3" s="308"/>
      <c r="I3" s="308"/>
      <c r="J3" s="308"/>
      <c r="K3" s="308"/>
      <c r="L3" s="308"/>
      <c r="M3" s="308"/>
      <c r="N3" s="308"/>
      <c r="O3" s="308"/>
      <c r="P3" s="308"/>
      <c r="Q3" s="308"/>
      <c r="R3" s="308"/>
    </row>
    <row r="4" spans="1:21" ht="14.25" customHeight="1">
      <c r="A4" s="313" t="s">
        <v>264</v>
      </c>
      <c r="B4" s="313"/>
      <c r="C4" s="313"/>
      <c r="D4" s="308"/>
      <c r="E4" s="308"/>
      <c r="F4" s="311"/>
      <c r="G4" s="311"/>
      <c r="H4" s="308"/>
      <c r="I4" s="308"/>
      <c r="J4" s="308"/>
      <c r="K4" s="308"/>
      <c r="L4" s="308"/>
      <c r="M4" s="308"/>
      <c r="N4" s="739" t="s">
        <v>208</v>
      </c>
      <c r="O4" s="739"/>
      <c r="P4" s="739"/>
      <c r="Q4" s="739"/>
      <c r="R4" s="739"/>
    </row>
    <row r="5" spans="1:21" ht="7.5" customHeight="1" thickBot="1">
      <c r="A5" s="314"/>
      <c r="B5" s="314"/>
      <c r="C5" s="314"/>
      <c r="D5" s="314"/>
      <c r="E5" s="314"/>
      <c r="F5" s="315"/>
      <c r="G5" s="311"/>
      <c r="H5" s="314"/>
      <c r="I5" s="314"/>
      <c r="J5" s="314"/>
      <c r="K5" s="314"/>
      <c r="L5" s="314"/>
      <c r="M5" s="314"/>
      <c r="N5" s="314"/>
      <c r="O5" s="316"/>
      <c r="P5" s="317"/>
      <c r="Q5" s="317"/>
      <c r="R5" s="317"/>
    </row>
    <row r="6" spans="1:21" s="323" customFormat="1" ht="33" customHeight="1">
      <c r="A6" s="318" t="s">
        <v>265</v>
      </c>
      <c r="B6" s="319" t="s">
        <v>266</v>
      </c>
      <c r="C6" s="319" t="s">
        <v>267</v>
      </c>
      <c r="D6" s="319" t="s">
        <v>268</v>
      </c>
      <c r="E6" s="319" t="s">
        <v>269</v>
      </c>
      <c r="F6" s="319" t="s">
        <v>270</v>
      </c>
      <c r="G6" s="320" t="s">
        <v>271</v>
      </c>
      <c r="H6" s="319" t="s">
        <v>272</v>
      </c>
      <c r="I6" s="740" t="s">
        <v>273</v>
      </c>
      <c r="J6" s="741"/>
      <c r="K6" s="742" t="s">
        <v>274</v>
      </c>
      <c r="L6" s="740"/>
      <c r="M6" s="740"/>
      <c r="N6" s="740"/>
      <c r="O6" s="740"/>
      <c r="P6" s="740"/>
      <c r="Q6" s="321"/>
      <c r="R6" s="322" t="s">
        <v>275</v>
      </c>
    </row>
    <row r="7" spans="1:21" s="323" customFormat="1" ht="48.75" thickBot="1">
      <c r="A7" s="324"/>
      <c r="B7" s="325"/>
      <c r="C7" s="325"/>
      <c r="D7" s="326" t="s">
        <v>276</v>
      </c>
      <c r="E7" s="326" t="s">
        <v>276</v>
      </c>
      <c r="F7" s="327"/>
      <c r="G7" s="328" t="s">
        <v>277</v>
      </c>
      <c r="H7" s="329"/>
      <c r="I7" s="330" t="s">
        <v>278</v>
      </c>
      <c r="J7" s="331" t="s">
        <v>279</v>
      </c>
      <c r="K7" s="332" t="s">
        <v>280</v>
      </c>
      <c r="L7" s="332" t="s">
        <v>281</v>
      </c>
      <c r="M7" s="332" t="s">
        <v>282</v>
      </c>
      <c r="N7" s="333">
        <v>2018</v>
      </c>
      <c r="O7" s="333">
        <v>2019</v>
      </c>
      <c r="P7" s="334">
        <v>2020</v>
      </c>
      <c r="Q7" s="335" t="s">
        <v>283</v>
      </c>
      <c r="R7" s="336"/>
    </row>
    <row r="8" spans="1:21" ht="12.75" customHeight="1">
      <c r="A8" s="337">
        <v>1</v>
      </c>
      <c r="B8" s="338">
        <v>2</v>
      </c>
      <c r="C8" s="338">
        <v>3</v>
      </c>
      <c r="D8" s="338">
        <v>4</v>
      </c>
      <c r="E8" s="338">
        <v>5</v>
      </c>
      <c r="F8" s="338">
        <v>6</v>
      </c>
      <c r="G8" s="338">
        <v>7</v>
      </c>
      <c r="H8" s="339">
        <v>8</v>
      </c>
      <c r="I8" s="338">
        <v>9</v>
      </c>
      <c r="J8" s="339">
        <v>10</v>
      </c>
      <c r="K8" s="339">
        <v>11</v>
      </c>
      <c r="L8" s="339">
        <v>12</v>
      </c>
      <c r="M8" s="338">
        <v>13</v>
      </c>
      <c r="N8" s="338">
        <v>14</v>
      </c>
      <c r="O8" s="339">
        <v>15</v>
      </c>
      <c r="P8" s="338">
        <v>16</v>
      </c>
      <c r="Q8" s="340">
        <v>17</v>
      </c>
      <c r="R8" s="341">
        <v>18</v>
      </c>
      <c r="S8" s="308"/>
      <c r="T8" s="308"/>
      <c r="U8" s="308"/>
    </row>
    <row r="9" spans="1:21" ht="12.75" customHeight="1">
      <c r="A9" s="743" t="s">
        <v>284</v>
      </c>
      <c r="B9" s="744"/>
      <c r="C9" s="744"/>
      <c r="D9" s="744"/>
      <c r="E9" s="744"/>
      <c r="F9" s="744"/>
      <c r="G9" s="744"/>
      <c r="H9" s="744"/>
      <c r="I9" s="744"/>
      <c r="J9" s="744"/>
      <c r="K9" s="744"/>
      <c r="L9" s="744"/>
      <c r="M9" s="744"/>
      <c r="N9" s="744"/>
      <c r="O9" s="744"/>
      <c r="P9" s="744"/>
      <c r="Q9" s="744"/>
      <c r="R9" s="745"/>
      <c r="S9" s="308"/>
      <c r="T9" s="308"/>
      <c r="U9" s="308"/>
    </row>
    <row r="10" spans="1:21">
      <c r="A10" s="746" t="s">
        <v>285</v>
      </c>
      <c r="B10" s="749"/>
      <c r="C10" s="749"/>
      <c r="D10" s="752"/>
      <c r="E10" s="752"/>
      <c r="F10" s="752"/>
      <c r="G10" s="752"/>
      <c r="H10" s="749"/>
      <c r="I10" s="342" t="s">
        <v>286</v>
      </c>
      <c r="J10" s="342"/>
      <c r="K10" s="343"/>
      <c r="L10" s="343"/>
      <c r="M10" s="344"/>
      <c r="N10" s="344"/>
      <c r="O10" s="344"/>
      <c r="P10" s="344"/>
      <c r="Q10" s="345"/>
      <c r="R10" s="346"/>
      <c r="S10" s="308"/>
      <c r="T10" s="308"/>
      <c r="U10" s="308"/>
    </row>
    <row r="11" spans="1:21" ht="34.5" customHeight="1">
      <c r="A11" s="747"/>
      <c r="B11" s="750"/>
      <c r="C11" s="750"/>
      <c r="D11" s="753"/>
      <c r="E11" s="753"/>
      <c r="F11" s="753"/>
      <c r="G11" s="753"/>
      <c r="H11" s="750"/>
      <c r="I11" s="342" t="s">
        <v>287</v>
      </c>
      <c r="J11" s="342"/>
      <c r="K11" s="343"/>
      <c r="L11" s="343"/>
      <c r="M11" s="344"/>
      <c r="N11" s="344"/>
      <c r="O11" s="344"/>
      <c r="P11" s="344"/>
      <c r="Q11" s="345"/>
      <c r="R11" s="346"/>
      <c r="S11" s="308"/>
      <c r="T11" s="308"/>
      <c r="U11" s="308"/>
    </row>
    <row r="12" spans="1:21" ht="47.25" customHeight="1">
      <c r="A12" s="747"/>
      <c r="B12" s="750"/>
      <c r="C12" s="750"/>
      <c r="D12" s="753"/>
      <c r="E12" s="753"/>
      <c r="F12" s="753"/>
      <c r="G12" s="753"/>
      <c r="H12" s="750"/>
      <c r="I12" s="342" t="s">
        <v>288</v>
      </c>
      <c r="J12" s="342"/>
      <c r="K12" s="343"/>
      <c r="L12" s="343"/>
      <c r="M12" s="344"/>
      <c r="N12" s="344"/>
      <c r="O12" s="344"/>
      <c r="P12" s="344"/>
      <c r="Q12" s="345"/>
      <c r="R12" s="346"/>
      <c r="S12" s="308"/>
      <c r="T12" s="308"/>
      <c r="U12" s="308"/>
    </row>
    <row r="13" spans="1:21" ht="25.5">
      <c r="A13" s="747"/>
      <c r="B13" s="750"/>
      <c r="C13" s="750"/>
      <c r="D13" s="753"/>
      <c r="E13" s="753"/>
      <c r="F13" s="753"/>
      <c r="G13" s="753"/>
      <c r="H13" s="750"/>
      <c r="I13" s="342" t="s">
        <v>289</v>
      </c>
      <c r="J13" s="342"/>
      <c r="K13" s="343"/>
      <c r="L13" s="343"/>
      <c r="M13" s="344"/>
      <c r="N13" s="344"/>
      <c r="O13" s="344"/>
      <c r="P13" s="344"/>
      <c r="Q13" s="345"/>
      <c r="R13" s="346"/>
      <c r="S13" s="308"/>
      <c r="T13" s="308"/>
      <c r="U13" s="308"/>
    </row>
    <row r="14" spans="1:21" ht="12.75" customHeight="1">
      <c r="A14" s="748"/>
      <c r="B14" s="751"/>
      <c r="C14" s="751"/>
      <c r="D14" s="754"/>
      <c r="E14" s="754"/>
      <c r="F14" s="754"/>
      <c r="G14" s="754"/>
      <c r="H14" s="751"/>
      <c r="I14" s="342" t="s">
        <v>59</v>
      </c>
      <c r="J14" s="342"/>
      <c r="K14" s="343"/>
      <c r="L14" s="343"/>
      <c r="M14" s="344"/>
      <c r="N14" s="344"/>
      <c r="O14" s="344"/>
      <c r="P14" s="344"/>
      <c r="Q14" s="345"/>
      <c r="R14" s="346"/>
      <c r="S14" s="308"/>
      <c r="T14" s="308"/>
      <c r="U14" s="308"/>
    </row>
    <row r="15" spans="1:21" ht="12.75" customHeight="1">
      <c r="A15" s="743" t="s">
        <v>290</v>
      </c>
      <c r="B15" s="744"/>
      <c r="C15" s="744"/>
      <c r="D15" s="744"/>
      <c r="E15" s="744"/>
      <c r="F15" s="744"/>
      <c r="G15" s="744"/>
      <c r="H15" s="744"/>
      <c r="I15" s="744"/>
      <c r="J15" s="744"/>
      <c r="K15" s="744"/>
      <c r="L15" s="744"/>
      <c r="M15" s="744"/>
      <c r="N15" s="744"/>
      <c r="O15" s="744"/>
      <c r="P15" s="744"/>
      <c r="Q15" s="744"/>
      <c r="R15" s="745"/>
      <c r="S15" s="308"/>
      <c r="T15" s="308"/>
      <c r="U15" s="308"/>
    </row>
    <row r="16" spans="1:21">
      <c r="A16" s="746" t="s">
        <v>291</v>
      </c>
      <c r="B16" s="749"/>
      <c r="C16" s="749"/>
      <c r="D16" s="752"/>
      <c r="E16" s="752"/>
      <c r="F16" s="752"/>
      <c r="G16" s="752"/>
      <c r="H16" s="749"/>
      <c r="I16" s="342" t="s">
        <v>286</v>
      </c>
      <c r="J16" s="342"/>
      <c r="K16" s="343"/>
      <c r="L16" s="343"/>
      <c r="M16" s="344"/>
      <c r="N16" s="344"/>
      <c r="O16" s="344"/>
      <c r="P16" s="344"/>
      <c r="Q16" s="345"/>
      <c r="R16" s="346"/>
      <c r="S16" s="308"/>
      <c r="T16" s="308"/>
      <c r="U16" s="308"/>
    </row>
    <row r="17" spans="1:21" ht="34.5" customHeight="1">
      <c r="A17" s="747"/>
      <c r="B17" s="750"/>
      <c r="C17" s="750"/>
      <c r="D17" s="753"/>
      <c r="E17" s="753"/>
      <c r="F17" s="753"/>
      <c r="G17" s="753"/>
      <c r="H17" s="750"/>
      <c r="I17" s="342" t="s">
        <v>287</v>
      </c>
      <c r="J17" s="342"/>
      <c r="K17" s="343"/>
      <c r="L17" s="343"/>
      <c r="M17" s="344"/>
      <c r="N17" s="344"/>
      <c r="O17" s="344"/>
      <c r="P17" s="344"/>
      <c r="Q17" s="345"/>
      <c r="R17" s="346"/>
      <c r="S17" s="308"/>
      <c r="T17" s="308"/>
      <c r="U17" s="308"/>
    </row>
    <row r="18" spans="1:21" ht="47.25" customHeight="1">
      <c r="A18" s="747"/>
      <c r="B18" s="750"/>
      <c r="C18" s="750"/>
      <c r="D18" s="753"/>
      <c r="E18" s="753"/>
      <c r="F18" s="753"/>
      <c r="G18" s="753"/>
      <c r="H18" s="750"/>
      <c r="I18" s="342" t="s">
        <v>288</v>
      </c>
      <c r="J18" s="342"/>
      <c r="K18" s="343"/>
      <c r="L18" s="343"/>
      <c r="M18" s="344"/>
      <c r="N18" s="344"/>
      <c r="O18" s="344"/>
      <c r="P18" s="344"/>
      <c r="Q18" s="345"/>
      <c r="R18" s="346"/>
      <c r="S18" s="308"/>
      <c r="T18" s="308"/>
      <c r="U18" s="308"/>
    </row>
    <row r="19" spans="1:21" ht="25.5">
      <c r="A19" s="747"/>
      <c r="B19" s="750"/>
      <c r="C19" s="750"/>
      <c r="D19" s="753"/>
      <c r="E19" s="753"/>
      <c r="F19" s="753"/>
      <c r="G19" s="753"/>
      <c r="H19" s="750"/>
      <c r="I19" s="342" t="s">
        <v>289</v>
      </c>
      <c r="J19" s="342"/>
      <c r="K19" s="343"/>
      <c r="L19" s="343"/>
      <c r="M19" s="344"/>
      <c r="N19" s="344"/>
      <c r="O19" s="344"/>
      <c r="P19" s="344"/>
      <c r="Q19" s="345"/>
      <c r="R19" s="346"/>
      <c r="S19" s="308"/>
      <c r="T19" s="308"/>
      <c r="U19" s="308"/>
    </row>
    <row r="20" spans="1:21" ht="12.75" customHeight="1" thickBot="1">
      <c r="A20" s="756"/>
      <c r="B20" s="755"/>
      <c r="C20" s="755"/>
      <c r="D20" s="757"/>
      <c r="E20" s="757"/>
      <c r="F20" s="757"/>
      <c r="G20" s="757"/>
      <c r="H20" s="755"/>
      <c r="I20" s="347" t="s">
        <v>59</v>
      </c>
      <c r="J20" s="347"/>
      <c r="K20" s="348"/>
      <c r="L20" s="348"/>
      <c r="M20" s="349"/>
      <c r="N20" s="349"/>
      <c r="O20" s="349"/>
      <c r="P20" s="349"/>
      <c r="Q20" s="350"/>
      <c r="R20" s="351"/>
      <c r="S20" s="308"/>
      <c r="T20" s="308"/>
      <c r="U20" s="308"/>
    </row>
    <row r="21" spans="1:21">
      <c r="A21" s="314"/>
      <c r="B21" s="314"/>
      <c r="C21" s="314"/>
      <c r="D21" s="314"/>
      <c r="E21" s="314"/>
      <c r="F21" s="315"/>
      <c r="G21" s="315"/>
      <c r="H21" s="314"/>
      <c r="I21" s="314"/>
      <c r="J21" s="314"/>
      <c r="K21" s="314"/>
      <c r="L21" s="314"/>
      <c r="M21" s="314"/>
      <c r="N21" s="314"/>
      <c r="O21" s="314"/>
      <c r="P21" s="314"/>
      <c r="Q21" s="314"/>
      <c r="R21" s="314"/>
      <c r="S21" s="308"/>
      <c r="T21" s="308"/>
      <c r="U21" s="308"/>
    </row>
    <row r="22" spans="1:21">
      <c r="A22" s="311" t="s">
        <v>228</v>
      </c>
      <c r="B22" s="311"/>
      <c r="C22" s="311"/>
      <c r="D22" s="308"/>
      <c r="E22" s="308"/>
      <c r="F22" s="311"/>
      <c r="G22" s="311"/>
      <c r="H22" s="308"/>
      <c r="I22" s="308"/>
      <c r="J22" s="308"/>
      <c r="K22" s="308"/>
      <c r="L22" s="308"/>
      <c r="M22" s="308"/>
      <c r="N22" s="308"/>
      <c r="O22" s="308"/>
      <c r="P22" s="308"/>
      <c r="Q22" s="308"/>
      <c r="R22" s="308"/>
      <c r="S22" s="308"/>
      <c r="T22" s="308"/>
      <c r="U22" s="308"/>
    </row>
    <row r="23" spans="1:21">
      <c r="A23" s="311"/>
      <c r="B23" s="311"/>
      <c r="C23" s="311"/>
      <c r="D23" s="308"/>
      <c r="E23" s="308"/>
      <c r="F23" s="311"/>
      <c r="G23" s="311"/>
      <c r="H23" s="308"/>
      <c r="I23" s="308"/>
      <c r="J23" s="308"/>
      <c r="K23" s="308"/>
      <c r="L23" s="308"/>
      <c r="M23" s="308"/>
      <c r="N23" s="308"/>
      <c r="O23" s="308"/>
      <c r="P23" s="308"/>
      <c r="Q23" s="308"/>
      <c r="R23" s="308"/>
      <c r="S23" s="308"/>
      <c r="T23" s="308"/>
      <c r="U23" s="308"/>
    </row>
    <row r="24" spans="1:21">
      <c r="A24" s="352" t="s">
        <v>229</v>
      </c>
      <c r="B24" s="311"/>
      <c r="C24" s="311"/>
      <c r="D24" s="308"/>
      <c r="E24" s="308"/>
      <c r="F24" s="311"/>
      <c r="G24" s="311"/>
      <c r="H24" s="308"/>
      <c r="I24" s="308"/>
      <c r="J24" s="308"/>
      <c r="K24" s="308"/>
      <c r="L24" s="308"/>
      <c r="M24" s="308"/>
      <c r="N24" s="308"/>
      <c r="O24" s="308"/>
      <c r="P24" s="308"/>
      <c r="Q24" s="308"/>
      <c r="R24" s="308"/>
    </row>
    <row r="25" spans="1:21">
      <c r="A25" s="352"/>
      <c r="B25" s="353"/>
      <c r="C25" s="308"/>
      <c r="D25" s="308"/>
      <c r="E25" s="308"/>
      <c r="F25" s="311"/>
      <c r="G25" s="311"/>
      <c r="H25" s="308"/>
      <c r="I25" s="308"/>
      <c r="J25" s="308"/>
      <c r="K25" s="308"/>
      <c r="L25" s="308"/>
      <c r="M25" s="308"/>
      <c r="N25" s="308"/>
      <c r="O25" s="308"/>
      <c r="P25" s="308"/>
      <c r="Q25" s="308"/>
      <c r="R25" s="308"/>
    </row>
    <row r="26" spans="1:21">
      <c r="A26" s="308"/>
      <c r="B26" s="353"/>
      <c r="C26" s="308"/>
      <c r="D26" s="308"/>
      <c r="E26" s="308"/>
      <c r="F26" s="311"/>
      <c r="G26" s="311"/>
      <c r="H26" s="308"/>
      <c r="I26" s="308"/>
      <c r="J26" s="308"/>
      <c r="K26" s="308"/>
      <c r="L26" s="308"/>
      <c r="M26" s="308"/>
      <c r="N26" s="308"/>
      <c r="O26" s="308"/>
      <c r="P26" s="308"/>
      <c r="Q26" s="308"/>
      <c r="R26" s="308"/>
    </row>
    <row r="27" spans="1:21">
      <c r="A27" s="308"/>
      <c r="B27" s="353"/>
      <c r="C27" s="308"/>
      <c r="D27" s="308"/>
      <c r="E27" s="308"/>
      <c r="F27" s="311"/>
      <c r="G27" s="311"/>
      <c r="H27" s="308"/>
      <c r="I27" s="308"/>
      <c r="J27" s="308"/>
      <c r="K27" s="308"/>
      <c r="L27" s="308"/>
      <c r="M27" s="308"/>
      <c r="N27" s="308"/>
      <c r="O27" s="308"/>
      <c r="P27" s="308"/>
      <c r="Q27" s="308"/>
      <c r="R27" s="308"/>
    </row>
    <row r="28" spans="1:21">
      <c r="A28" s="308"/>
      <c r="B28" s="353"/>
      <c r="C28" s="308"/>
      <c r="D28" s="308"/>
      <c r="E28" s="308"/>
      <c r="F28" s="311"/>
      <c r="G28" s="311"/>
      <c r="H28" s="308"/>
      <c r="I28" s="308"/>
      <c r="J28" s="308"/>
      <c r="K28" s="308"/>
      <c r="L28" s="308"/>
      <c r="M28" s="308"/>
      <c r="N28" s="308"/>
      <c r="O28" s="308"/>
      <c r="P28" s="308"/>
      <c r="Q28" s="308"/>
      <c r="R28" s="308"/>
    </row>
    <row r="29" spans="1:21">
      <c r="A29" s="308"/>
      <c r="B29" s="353"/>
      <c r="C29" s="308"/>
      <c r="D29" s="308"/>
      <c r="E29" s="308"/>
      <c r="F29" s="311"/>
      <c r="G29" s="311"/>
      <c r="H29" s="308"/>
      <c r="I29" s="308"/>
      <c r="J29" s="308"/>
      <c r="K29" s="308"/>
      <c r="L29" s="308"/>
      <c r="M29" s="308"/>
      <c r="N29" s="308"/>
      <c r="O29" s="308"/>
      <c r="P29" s="308"/>
      <c r="Q29" s="308"/>
      <c r="R29" s="308"/>
    </row>
    <row r="30" spans="1:21">
      <c r="A30" s="308"/>
      <c r="B30" s="353"/>
      <c r="C30" s="308"/>
      <c r="D30" s="308"/>
      <c r="E30" s="308"/>
      <c r="F30" s="311"/>
      <c r="G30" s="311"/>
      <c r="H30" s="308"/>
      <c r="I30" s="308"/>
      <c r="J30" s="308"/>
      <c r="K30" s="308"/>
      <c r="L30" s="308"/>
      <c r="M30" s="308"/>
      <c r="N30" s="308"/>
      <c r="O30" s="308"/>
      <c r="P30" s="308"/>
      <c r="Q30" s="308"/>
      <c r="R30" s="308"/>
    </row>
    <row r="31" spans="1:21">
      <c r="A31" s="308"/>
      <c r="B31" s="353"/>
      <c r="C31" s="308"/>
      <c r="D31" s="308"/>
      <c r="E31" s="308"/>
      <c r="F31" s="311"/>
      <c r="G31" s="311"/>
      <c r="H31" s="308"/>
      <c r="I31" s="308"/>
      <c r="J31" s="308"/>
      <c r="K31" s="308"/>
      <c r="L31" s="308"/>
      <c r="M31" s="308"/>
      <c r="N31" s="308"/>
      <c r="O31" s="308"/>
      <c r="P31" s="308"/>
      <c r="Q31" s="308"/>
      <c r="R31" s="308"/>
    </row>
    <row r="32" spans="1:21">
      <c r="A32" s="308"/>
      <c r="B32" s="353"/>
      <c r="C32" s="308"/>
      <c r="D32" s="308"/>
      <c r="E32" s="308"/>
      <c r="F32" s="311"/>
      <c r="G32" s="311"/>
      <c r="H32" s="308"/>
      <c r="I32" s="308"/>
      <c r="J32" s="308"/>
      <c r="K32" s="308"/>
      <c r="L32" s="308"/>
      <c r="M32" s="308"/>
      <c r="N32" s="308"/>
      <c r="O32" s="308"/>
      <c r="P32" s="308"/>
      <c r="Q32" s="308"/>
      <c r="R32" s="308"/>
    </row>
    <row r="33" spans="1:18">
      <c r="A33" s="308"/>
      <c r="B33" s="353"/>
      <c r="C33" s="308"/>
      <c r="D33" s="308"/>
      <c r="E33" s="308"/>
      <c r="F33" s="311"/>
      <c r="G33" s="311"/>
      <c r="H33" s="308"/>
      <c r="I33" s="308"/>
      <c r="J33" s="308"/>
      <c r="K33" s="308"/>
      <c r="L33" s="308"/>
      <c r="M33" s="308"/>
      <c r="N33" s="308"/>
      <c r="O33" s="308"/>
      <c r="P33" s="308"/>
      <c r="Q33" s="308"/>
      <c r="R33" s="308"/>
    </row>
    <row r="34" spans="1:18">
      <c r="A34" s="308"/>
      <c r="B34" s="353"/>
      <c r="C34" s="308"/>
      <c r="D34" s="308"/>
      <c r="E34" s="308"/>
      <c r="F34" s="311"/>
      <c r="G34" s="311"/>
      <c r="H34" s="308"/>
      <c r="I34" s="308"/>
      <c r="J34" s="308"/>
      <c r="K34" s="308"/>
      <c r="L34" s="308"/>
      <c r="M34" s="308"/>
      <c r="N34" s="308"/>
      <c r="O34" s="308"/>
      <c r="P34" s="308"/>
      <c r="Q34" s="308"/>
      <c r="R34" s="308"/>
    </row>
  </sheetData>
  <mergeCells count="21">
    <mergeCell ref="H16:H20"/>
    <mergeCell ref="G10:G14"/>
    <mergeCell ref="H10:H14"/>
    <mergeCell ref="A15:R15"/>
    <mergeCell ref="A16:A20"/>
    <mergeCell ref="B16:B20"/>
    <mergeCell ref="C16:C20"/>
    <mergeCell ref="D16:D20"/>
    <mergeCell ref="E16:E20"/>
    <mergeCell ref="F16:F20"/>
    <mergeCell ref="G16:G20"/>
    <mergeCell ref="N4:R4"/>
    <mergeCell ref="I6:J6"/>
    <mergeCell ref="K6:P6"/>
    <mergeCell ref="A9:R9"/>
    <mergeCell ref="A10:A14"/>
    <mergeCell ref="B10:B14"/>
    <mergeCell ref="C10:C14"/>
    <mergeCell ref="D10:D14"/>
    <mergeCell ref="E10:E14"/>
    <mergeCell ref="F10:F14"/>
  </mergeCells>
  <pageMargins left="0.15748031496062992" right="0.15748031496062992" top="0.78740157480314965" bottom="0.78740157480314965" header="0" footer="0"/>
  <pageSetup paperSize="9" scale="90" orientation="landscape" r:id="rId1"/>
  <headerFooter alignWithMargins="0"/>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5"/>
  <sheetViews>
    <sheetView showZeros="0" tabSelected="1" zoomScaleNormal="100" workbookViewId="0"/>
  </sheetViews>
  <sheetFormatPr defaultColWidth="11.42578125" defaultRowHeight="12.75"/>
  <cols>
    <col min="1" max="1" width="49.140625" style="266" customWidth="1"/>
    <col min="2" max="2" width="10" style="247" bestFit="1" customWidth="1"/>
    <col min="3" max="4" width="11.28515625" style="247" customWidth="1"/>
    <col min="5" max="5" width="12.28515625" style="247" customWidth="1"/>
    <col min="6" max="6" width="13.28515625" style="247" customWidth="1"/>
    <col min="7" max="7" width="12.140625" style="247" bestFit="1" customWidth="1"/>
    <col min="8" max="9" width="10" style="247" customWidth="1"/>
    <col min="10" max="10" width="11.140625" style="247" bestFit="1" customWidth="1"/>
    <col min="11" max="11" width="11.28515625" style="247" bestFit="1" customWidth="1"/>
    <col min="12" max="12" width="8.42578125" style="247" bestFit="1" customWidth="1"/>
    <col min="13" max="13" width="3.85546875" style="247" customWidth="1"/>
    <col min="14" max="16" width="11.42578125" style="247"/>
    <col min="17" max="17" width="13" style="247" customWidth="1"/>
    <col min="18" max="19" width="12.42578125" style="247" customWidth="1"/>
    <col min="20" max="20" width="13.7109375" style="247" customWidth="1"/>
    <col min="21" max="16384" width="11.42578125" style="247"/>
  </cols>
  <sheetData>
    <row r="1" spans="1:24" ht="25.5">
      <c r="A1" s="271" t="s">
        <v>206</v>
      </c>
      <c r="F1" s="248" t="s">
        <v>207</v>
      </c>
      <c r="G1" s="248"/>
      <c r="H1" s="248"/>
      <c r="I1" s="248"/>
      <c r="J1" s="248"/>
      <c r="K1" s="248"/>
      <c r="L1" s="248"/>
    </row>
    <row r="2" spans="1:24" ht="7.5" customHeight="1">
      <c r="A2" s="249"/>
    </row>
    <row r="3" spans="1:24">
      <c r="A3" s="249"/>
      <c r="F3" s="250" t="s">
        <v>208</v>
      </c>
      <c r="G3" s="250"/>
      <c r="H3" s="250"/>
      <c r="I3" s="250"/>
      <c r="J3" s="250"/>
      <c r="K3" s="250"/>
      <c r="L3" s="250"/>
    </row>
    <row r="4" spans="1:24" s="252" customFormat="1">
      <c r="A4" s="251" t="s">
        <v>209</v>
      </c>
      <c r="B4" s="669" t="s">
        <v>601</v>
      </c>
      <c r="C4" s="669"/>
      <c r="D4" s="669"/>
      <c r="E4" s="669"/>
      <c r="F4" s="669"/>
      <c r="G4" s="669"/>
      <c r="H4" s="669"/>
      <c r="I4" s="669"/>
      <c r="J4" s="669"/>
      <c r="K4" s="669"/>
      <c r="L4" s="669"/>
    </row>
    <row r="5" spans="1:24" s="252" customFormat="1">
      <c r="A5" s="251"/>
      <c r="B5" s="272"/>
      <c r="C5" s="272"/>
      <c r="D5" s="272"/>
      <c r="E5" s="272"/>
      <c r="F5" s="272"/>
      <c r="G5" s="272"/>
      <c r="H5" s="272"/>
      <c r="I5" s="272"/>
      <c r="J5" s="272"/>
      <c r="K5" s="272"/>
      <c r="L5" s="272"/>
    </row>
    <row r="6" spans="1:24" s="252" customFormat="1" ht="12.75" customHeight="1">
      <c r="A6" s="253"/>
      <c r="B6" s="668" t="s">
        <v>230</v>
      </c>
      <c r="C6" s="668"/>
      <c r="D6" s="668"/>
      <c r="E6" s="668"/>
      <c r="F6" s="668"/>
      <c r="G6" s="668"/>
      <c r="H6" s="668"/>
      <c r="I6" s="668"/>
      <c r="J6" s="668"/>
      <c r="K6" s="668"/>
      <c r="L6" s="668"/>
      <c r="N6" s="667" t="s">
        <v>194</v>
      </c>
      <c r="O6" s="667"/>
      <c r="P6" s="667"/>
      <c r="Q6" s="667"/>
      <c r="R6" s="667"/>
      <c r="S6" s="667"/>
      <c r="T6" s="667"/>
      <c r="U6" s="667"/>
      <c r="V6" s="667"/>
      <c r="W6" s="667"/>
      <c r="X6" s="667"/>
    </row>
    <row r="7" spans="1:24" s="252" customFormat="1" ht="39" customHeight="1">
      <c r="A7" s="254" t="s">
        <v>210</v>
      </c>
      <c r="B7" s="355" t="s">
        <v>210</v>
      </c>
      <c r="C7" s="666" t="s">
        <v>607</v>
      </c>
      <c r="D7" s="666" t="s">
        <v>240</v>
      </c>
      <c r="E7" s="666" t="s">
        <v>241</v>
      </c>
      <c r="F7" s="666" t="s">
        <v>602</v>
      </c>
      <c r="G7" s="666" t="s">
        <v>603</v>
      </c>
      <c r="H7" s="666" t="s">
        <v>250</v>
      </c>
      <c r="I7" s="666" t="s">
        <v>604</v>
      </c>
      <c r="J7" s="666" t="s">
        <v>605</v>
      </c>
      <c r="K7" s="666" t="s">
        <v>606</v>
      </c>
      <c r="L7" s="666" t="s">
        <v>53</v>
      </c>
      <c r="N7" s="355" t="s">
        <v>210</v>
      </c>
      <c r="O7" s="666" t="s">
        <v>47</v>
      </c>
      <c r="P7" s="666" t="s">
        <v>240</v>
      </c>
      <c r="Q7" s="666" t="s">
        <v>241</v>
      </c>
      <c r="R7" s="666" t="s">
        <v>602</v>
      </c>
      <c r="S7" s="666" t="s">
        <v>603</v>
      </c>
      <c r="T7" s="666" t="s">
        <v>250</v>
      </c>
      <c r="U7" s="666" t="s">
        <v>604</v>
      </c>
      <c r="V7" s="666" t="s">
        <v>605</v>
      </c>
      <c r="W7" s="666" t="s">
        <v>606</v>
      </c>
      <c r="X7" s="666" t="s">
        <v>53</v>
      </c>
    </row>
    <row r="8" spans="1:24" s="252" customFormat="1" ht="12.75" customHeight="1">
      <c r="A8" s="255" t="s">
        <v>211</v>
      </c>
      <c r="B8" s="256">
        <f>SUM(C8:L8)</f>
        <v>0</v>
      </c>
      <c r="C8" s="256"/>
      <c r="D8" s="256"/>
      <c r="E8" s="256"/>
      <c r="F8" s="256"/>
      <c r="G8" s="256"/>
      <c r="H8" s="256"/>
      <c r="I8" s="256"/>
      <c r="J8" s="256"/>
      <c r="K8" s="256"/>
      <c r="L8" s="256"/>
      <c r="N8" s="252">
        <f>SUM(O8:R8)</f>
        <v>0</v>
      </c>
    </row>
    <row r="9" spans="1:24" s="252" customFormat="1" ht="12.75" customHeight="1">
      <c r="A9" s="257"/>
      <c r="B9" s="256">
        <f t="shared" ref="B9:B30" si="0">SUM(C9:L9)</f>
        <v>0</v>
      </c>
      <c r="C9" s="256"/>
      <c r="D9" s="256"/>
      <c r="E9" s="256"/>
      <c r="F9" s="256"/>
      <c r="G9" s="256"/>
      <c r="H9" s="256"/>
      <c r="I9" s="256"/>
      <c r="J9" s="256"/>
      <c r="K9" s="256"/>
      <c r="L9" s="256"/>
      <c r="N9" s="252">
        <f t="shared" ref="N9:N30" si="1">SUM(O9:R9)</f>
        <v>0</v>
      </c>
    </row>
    <row r="10" spans="1:24" s="252" customFormat="1" ht="12.75" customHeight="1">
      <c r="A10" s="255" t="s">
        <v>212</v>
      </c>
      <c r="B10" s="256">
        <f t="shared" si="0"/>
        <v>0</v>
      </c>
      <c r="C10" s="256"/>
      <c r="D10" s="256"/>
      <c r="E10" s="256"/>
      <c r="F10" s="256"/>
      <c r="G10" s="256"/>
      <c r="H10" s="256"/>
      <c r="I10" s="256"/>
      <c r="J10" s="256"/>
      <c r="K10" s="256"/>
      <c r="L10" s="256"/>
      <c r="N10" s="256">
        <f>SUM(O10:X10)</f>
        <v>0</v>
      </c>
      <c r="O10" s="256"/>
      <c r="P10" s="256"/>
      <c r="Q10" s="256"/>
      <c r="R10" s="256"/>
      <c r="S10" s="256"/>
      <c r="T10" s="256"/>
      <c r="U10" s="256"/>
      <c r="V10" s="256"/>
      <c r="W10" s="256"/>
      <c r="X10" s="256"/>
    </row>
    <row r="11" spans="1:24" s="252" customFormat="1" ht="12.75" customHeight="1">
      <c r="A11" s="257"/>
      <c r="B11" s="256">
        <f t="shared" si="0"/>
        <v>0</v>
      </c>
      <c r="C11" s="256"/>
      <c r="D11" s="256"/>
      <c r="E11" s="256"/>
      <c r="F11" s="256"/>
      <c r="G11" s="256"/>
      <c r="H11" s="256"/>
      <c r="I11" s="256"/>
      <c r="J11" s="256"/>
      <c r="K11" s="256"/>
      <c r="L11" s="256"/>
      <c r="N11" s="247">
        <f t="shared" si="1"/>
        <v>0</v>
      </c>
      <c r="O11" s="247"/>
      <c r="P11" s="247"/>
      <c r="Q11" s="247"/>
      <c r="R11" s="247"/>
      <c r="S11" s="247"/>
      <c r="T11" s="247"/>
      <c r="U11" s="247"/>
      <c r="V11" s="247"/>
      <c r="W11" s="247"/>
      <c r="X11" s="247"/>
    </row>
    <row r="12" spans="1:24" s="252" customFormat="1" ht="12.75" customHeight="1">
      <c r="A12" s="255" t="s">
        <v>1</v>
      </c>
      <c r="B12" s="256">
        <f t="shared" si="0"/>
        <v>0</v>
      </c>
      <c r="C12" s="256">
        <f>SUM(C13:C19)</f>
        <v>0</v>
      </c>
      <c r="D12" s="256">
        <f>SUM(D13:D19)</f>
        <v>0</v>
      </c>
      <c r="E12" s="256">
        <f>SUM(E13:E19)</f>
        <v>0</v>
      </c>
      <c r="F12" s="256">
        <f>SUM(F13:F19)</f>
        <v>0</v>
      </c>
      <c r="G12" s="256"/>
      <c r="H12" s="256"/>
      <c r="I12" s="256"/>
      <c r="J12" s="256"/>
      <c r="K12" s="256"/>
      <c r="L12" s="256"/>
      <c r="N12" s="256">
        <f t="shared" ref="N12:N19" si="2">SUM(O12:X12)</f>
        <v>0</v>
      </c>
      <c r="O12" s="256">
        <f>SUM(O13:O19)</f>
        <v>0</v>
      </c>
      <c r="P12" s="256">
        <f>SUM(P13:P19)</f>
        <v>0</v>
      </c>
      <c r="Q12" s="256">
        <f>SUM(Q13:Q19)</f>
        <v>0</v>
      </c>
      <c r="R12" s="256">
        <f>SUM(R13:R19)</f>
        <v>0</v>
      </c>
      <c r="S12" s="256"/>
      <c r="T12" s="256"/>
      <c r="U12" s="256"/>
      <c r="V12" s="256"/>
      <c r="W12" s="256"/>
      <c r="X12" s="256"/>
    </row>
    <row r="13" spans="1:24" s="252" customFormat="1" ht="12.75" customHeight="1">
      <c r="A13" s="258" t="s">
        <v>213</v>
      </c>
      <c r="B13" s="256">
        <f t="shared" si="0"/>
        <v>0</v>
      </c>
      <c r="C13" s="256"/>
      <c r="D13" s="256"/>
      <c r="E13" s="256"/>
      <c r="F13" s="256"/>
      <c r="G13" s="256"/>
      <c r="H13" s="256"/>
      <c r="I13" s="256"/>
      <c r="J13" s="256"/>
      <c r="K13" s="256"/>
      <c r="L13" s="256"/>
      <c r="N13" s="256">
        <f t="shared" si="2"/>
        <v>0</v>
      </c>
      <c r="O13" s="256"/>
      <c r="P13" s="256"/>
      <c r="Q13" s="256"/>
      <c r="R13" s="256"/>
      <c r="S13" s="256"/>
      <c r="T13" s="256"/>
      <c r="U13" s="256"/>
      <c r="V13" s="256"/>
      <c r="W13" s="256"/>
      <c r="X13" s="256"/>
    </row>
    <row r="14" spans="1:24" s="252" customFormat="1" ht="12.75" customHeight="1">
      <c r="A14" s="259" t="s">
        <v>214</v>
      </c>
      <c r="B14" s="256">
        <f t="shared" si="0"/>
        <v>0</v>
      </c>
      <c r="C14" s="256"/>
      <c r="D14" s="256"/>
      <c r="E14" s="256"/>
      <c r="F14" s="256"/>
      <c r="G14" s="256"/>
      <c r="H14" s="256"/>
      <c r="I14" s="256"/>
      <c r="J14" s="256"/>
      <c r="K14" s="256"/>
      <c r="L14" s="256"/>
      <c r="N14" s="256">
        <f t="shared" si="2"/>
        <v>0</v>
      </c>
      <c r="O14" s="256"/>
      <c r="P14" s="256"/>
      <c r="Q14" s="256"/>
      <c r="R14" s="256"/>
      <c r="S14" s="256"/>
      <c r="T14" s="256"/>
      <c r="U14" s="256"/>
      <c r="V14" s="256"/>
      <c r="W14" s="256"/>
      <c r="X14" s="256"/>
    </row>
    <row r="15" spans="1:24" s="252" customFormat="1" ht="12.75" customHeight="1">
      <c r="A15" s="259" t="s">
        <v>215</v>
      </c>
      <c r="B15" s="256">
        <f t="shared" si="0"/>
        <v>0</v>
      </c>
      <c r="C15" s="256"/>
      <c r="D15" s="256"/>
      <c r="E15" s="256"/>
      <c r="F15" s="256"/>
      <c r="G15" s="256"/>
      <c r="H15" s="256"/>
      <c r="I15" s="256"/>
      <c r="J15" s="256"/>
      <c r="K15" s="256"/>
      <c r="L15" s="256"/>
      <c r="N15" s="256">
        <f t="shared" si="2"/>
        <v>0</v>
      </c>
      <c r="O15" s="256"/>
      <c r="P15" s="256"/>
      <c r="Q15" s="256"/>
      <c r="R15" s="256"/>
      <c r="S15" s="256"/>
      <c r="T15" s="256"/>
      <c r="U15" s="256"/>
      <c r="V15" s="256"/>
      <c r="W15" s="256"/>
      <c r="X15" s="256"/>
    </row>
    <row r="16" spans="1:24" s="252" customFormat="1" ht="25.5">
      <c r="A16" s="259" t="s">
        <v>216</v>
      </c>
      <c r="B16" s="256">
        <f t="shared" si="0"/>
        <v>0</v>
      </c>
      <c r="C16" s="256"/>
      <c r="D16" s="256"/>
      <c r="E16" s="256"/>
      <c r="F16" s="256"/>
      <c r="G16" s="256"/>
      <c r="H16" s="256"/>
      <c r="I16" s="256"/>
      <c r="J16" s="256"/>
      <c r="K16" s="256"/>
      <c r="L16" s="256"/>
      <c r="N16" s="256">
        <f t="shared" si="2"/>
        <v>0</v>
      </c>
      <c r="O16" s="256"/>
      <c r="P16" s="256"/>
      <c r="Q16" s="256"/>
      <c r="R16" s="256"/>
      <c r="S16" s="256"/>
      <c r="T16" s="256"/>
      <c r="U16" s="256"/>
      <c r="V16" s="256"/>
      <c r="W16" s="256"/>
      <c r="X16" s="256"/>
    </row>
    <row r="17" spans="1:24" s="252" customFormat="1" ht="25.5">
      <c r="A17" s="259" t="s">
        <v>217</v>
      </c>
      <c r="B17" s="256">
        <f t="shared" si="0"/>
        <v>0</v>
      </c>
      <c r="C17" s="256"/>
      <c r="D17" s="256"/>
      <c r="E17" s="256"/>
      <c r="F17" s="256"/>
      <c r="G17" s="256"/>
      <c r="H17" s="256"/>
      <c r="I17" s="256"/>
      <c r="J17" s="256"/>
      <c r="K17" s="256"/>
      <c r="L17" s="256"/>
      <c r="N17" s="256">
        <f t="shared" si="2"/>
        <v>0</v>
      </c>
      <c r="O17" s="256"/>
      <c r="P17" s="256"/>
      <c r="Q17" s="256"/>
      <c r="R17" s="256"/>
      <c r="S17" s="256"/>
      <c r="T17" s="256"/>
      <c r="U17" s="256"/>
      <c r="V17" s="256"/>
      <c r="W17" s="256"/>
      <c r="X17" s="256"/>
    </row>
    <row r="18" spans="1:24" s="252" customFormat="1" ht="12.75" customHeight="1">
      <c r="A18" s="260" t="s">
        <v>218</v>
      </c>
      <c r="B18" s="256">
        <f t="shared" si="0"/>
        <v>0</v>
      </c>
      <c r="C18" s="256"/>
      <c r="D18" s="256"/>
      <c r="E18" s="256"/>
      <c r="F18" s="256"/>
      <c r="G18" s="256"/>
      <c r="H18" s="256"/>
      <c r="I18" s="256"/>
      <c r="J18" s="256"/>
      <c r="K18" s="256"/>
      <c r="L18" s="256"/>
      <c r="N18" s="256">
        <f t="shared" si="2"/>
        <v>0</v>
      </c>
      <c r="O18" s="256"/>
      <c r="P18" s="256"/>
      <c r="Q18" s="256"/>
      <c r="R18" s="256"/>
      <c r="S18" s="256"/>
      <c r="T18" s="256"/>
      <c r="U18" s="256"/>
      <c r="V18" s="256"/>
      <c r="W18" s="256"/>
      <c r="X18" s="256"/>
    </row>
    <row r="19" spans="1:24" s="252" customFormat="1" ht="12.75" customHeight="1">
      <c r="A19" s="260" t="s">
        <v>219</v>
      </c>
      <c r="B19" s="256">
        <f t="shared" si="0"/>
        <v>0</v>
      </c>
      <c r="C19" s="256"/>
      <c r="D19" s="256"/>
      <c r="E19" s="256"/>
      <c r="F19" s="256"/>
      <c r="G19" s="256"/>
      <c r="H19" s="256"/>
      <c r="I19" s="256"/>
      <c r="J19" s="256"/>
      <c r="K19" s="256"/>
      <c r="L19" s="256"/>
      <c r="N19" s="256">
        <f t="shared" si="2"/>
        <v>0</v>
      </c>
      <c r="O19" s="256"/>
      <c r="P19" s="256"/>
      <c r="Q19" s="256"/>
      <c r="R19" s="256"/>
      <c r="S19" s="256"/>
      <c r="T19" s="256"/>
      <c r="U19" s="256"/>
      <c r="V19" s="256"/>
      <c r="W19" s="256"/>
      <c r="X19" s="256"/>
    </row>
    <row r="20" spans="1:24" s="252" customFormat="1" ht="12.75" customHeight="1">
      <c r="A20" s="260"/>
      <c r="B20" s="256">
        <f t="shared" si="0"/>
        <v>0</v>
      </c>
      <c r="C20" s="256"/>
      <c r="D20" s="256"/>
      <c r="E20" s="256"/>
      <c r="F20" s="256"/>
      <c r="G20" s="256"/>
      <c r="H20" s="256"/>
      <c r="I20" s="256"/>
      <c r="J20" s="256"/>
      <c r="K20" s="256"/>
      <c r="L20" s="256"/>
      <c r="N20" s="252">
        <f t="shared" si="1"/>
        <v>0</v>
      </c>
    </row>
    <row r="21" spans="1:24" s="252" customFormat="1" ht="12.75" customHeight="1">
      <c r="A21" s="255" t="s">
        <v>29</v>
      </c>
      <c r="B21" s="256">
        <f t="shared" si="0"/>
        <v>0</v>
      </c>
      <c r="C21" s="256"/>
      <c r="D21" s="256"/>
      <c r="E21" s="256"/>
      <c r="F21" s="256"/>
      <c r="G21" s="256"/>
      <c r="H21" s="256"/>
      <c r="I21" s="256"/>
      <c r="J21" s="256"/>
      <c r="K21" s="256"/>
      <c r="L21" s="256"/>
      <c r="N21" s="256">
        <f t="shared" ref="N21:N23" si="3">SUM(O21:X21)</f>
        <v>0</v>
      </c>
      <c r="O21" s="256"/>
      <c r="P21" s="256"/>
      <c r="Q21" s="256"/>
      <c r="R21" s="256"/>
      <c r="S21" s="256"/>
      <c r="T21" s="256"/>
      <c r="U21" s="256"/>
      <c r="V21" s="256"/>
      <c r="W21" s="256"/>
      <c r="X21" s="256"/>
    </row>
    <row r="22" spans="1:24" s="252" customFormat="1" ht="12.75" customHeight="1">
      <c r="A22" s="261" t="s">
        <v>220</v>
      </c>
      <c r="B22" s="256">
        <f t="shared" si="0"/>
        <v>0</v>
      </c>
      <c r="C22" s="256"/>
      <c r="D22" s="256"/>
      <c r="E22" s="256"/>
      <c r="F22" s="256"/>
      <c r="G22" s="256"/>
      <c r="H22" s="256"/>
      <c r="I22" s="256"/>
      <c r="J22" s="256"/>
      <c r="K22" s="256"/>
      <c r="L22" s="256"/>
      <c r="N22" s="256">
        <f t="shared" si="3"/>
        <v>0</v>
      </c>
      <c r="O22" s="256"/>
      <c r="P22" s="256"/>
      <c r="Q22" s="256"/>
      <c r="R22" s="256"/>
      <c r="S22" s="256"/>
      <c r="T22" s="256"/>
      <c r="U22" s="256"/>
      <c r="V22" s="256"/>
      <c r="W22" s="256"/>
      <c r="X22" s="256"/>
    </row>
    <row r="23" spans="1:24" s="252" customFormat="1" ht="25.5">
      <c r="A23" s="259" t="s">
        <v>221</v>
      </c>
      <c r="B23" s="256">
        <f t="shared" si="0"/>
        <v>0</v>
      </c>
      <c r="C23" s="256"/>
      <c r="D23" s="256"/>
      <c r="E23" s="256"/>
      <c r="F23" s="256"/>
      <c r="G23" s="256"/>
      <c r="H23" s="256"/>
      <c r="I23" s="256"/>
      <c r="J23" s="256"/>
      <c r="K23" s="256"/>
      <c r="L23" s="256"/>
      <c r="N23" s="256">
        <f t="shared" si="3"/>
        <v>0</v>
      </c>
      <c r="O23" s="256"/>
      <c r="P23" s="256"/>
      <c r="Q23" s="256"/>
      <c r="R23" s="256"/>
      <c r="S23" s="256"/>
      <c r="T23" s="256"/>
      <c r="U23" s="256"/>
      <c r="V23" s="256"/>
      <c r="W23" s="256"/>
      <c r="X23" s="256"/>
    </row>
    <row r="24" spans="1:24" s="252" customFormat="1" ht="12.75" customHeight="1">
      <c r="A24" s="257"/>
      <c r="B24" s="256">
        <f t="shared" si="0"/>
        <v>0</v>
      </c>
      <c r="C24" s="256"/>
      <c r="D24" s="256"/>
      <c r="E24" s="256"/>
      <c r="F24" s="256"/>
      <c r="G24" s="256"/>
      <c r="H24" s="256"/>
      <c r="I24" s="256"/>
      <c r="J24" s="256"/>
      <c r="K24" s="256"/>
      <c r="L24" s="256"/>
      <c r="N24" s="252">
        <f t="shared" si="1"/>
        <v>0</v>
      </c>
    </row>
    <row r="25" spans="1:24" s="252" customFormat="1" ht="12.75" customHeight="1">
      <c r="A25" s="255" t="s">
        <v>222</v>
      </c>
      <c r="B25" s="256">
        <f t="shared" si="0"/>
        <v>0</v>
      </c>
      <c r="C25" s="256"/>
      <c r="D25" s="256"/>
      <c r="E25" s="256"/>
      <c r="F25" s="256"/>
      <c r="G25" s="256"/>
      <c r="H25" s="256"/>
      <c r="I25" s="256"/>
      <c r="J25" s="256"/>
      <c r="K25" s="256"/>
      <c r="L25" s="256"/>
      <c r="N25" s="252">
        <f t="shared" si="1"/>
        <v>0</v>
      </c>
    </row>
    <row r="26" spans="1:24" s="252" customFormat="1" ht="12.75" customHeight="1">
      <c r="A26" s="257"/>
      <c r="B26" s="256">
        <f t="shared" si="0"/>
        <v>0</v>
      </c>
      <c r="C26" s="256"/>
      <c r="D26" s="256"/>
      <c r="E26" s="256"/>
      <c r="F26" s="256"/>
      <c r="G26" s="256"/>
      <c r="H26" s="256"/>
      <c r="I26" s="256"/>
      <c r="J26" s="256"/>
      <c r="K26" s="256"/>
      <c r="L26" s="256"/>
      <c r="N26" s="252">
        <f t="shared" si="1"/>
        <v>0</v>
      </c>
    </row>
    <row r="27" spans="1:24" s="252" customFormat="1" ht="12.75" customHeight="1">
      <c r="A27" s="255" t="s">
        <v>223</v>
      </c>
      <c r="B27" s="256">
        <f t="shared" si="0"/>
        <v>0</v>
      </c>
      <c r="C27" s="256"/>
      <c r="D27" s="256"/>
      <c r="E27" s="256"/>
      <c r="F27" s="256"/>
      <c r="G27" s="256"/>
      <c r="H27" s="256"/>
      <c r="I27" s="256"/>
      <c r="J27" s="256"/>
      <c r="K27" s="256"/>
      <c r="L27" s="256"/>
      <c r="N27" s="252">
        <f t="shared" si="1"/>
        <v>0</v>
      </c>
    </row>
    <row r="28" spans="1:24" s="252" customFormat="1" ht="24.75" customHeight="1">
      <c r="A28" s="259" t="s">
        <v>224</v>
      </c>
      <c r="B28" s="256">
        <f t="shared" si="0"/>
        <v>0</v>
      </c>
      <c r="C28" s="256"/>
      <c r="D28" s="256"/>
      <c r="E28" s="256"/>
      <c r="F28" s="256"/>
      <c r="G28" s="256"/>
      <c r="H28" s="256"/>
      <c r="I28" s="256"/>
      <c r="J28" s="256"/>
      <c r="K28" s="256"/>
      <c r="L28" s="256"/>
      <c r="N28" s="252">
        <f t="shared" si="1"/>
        <v>0</v>
      </c>
    </row>
    <row r="29" spans="1:24" s="252" customFormat="1" ht="12.75" customHeight="1">
      <c r="A29" s="257"/>
      <c r="B29" s="256">
        <f t="shared" si="0"/>
        <v>0</v>
      </c>
      <c r="C29" s="256"/>
      <c r="D29" s="256"/>
      <c r="E29" s="256"/>
      <c r="F29" s="256"/>
      <c r="G29" s="256"/>
      <c r="H29" s="256"/>
      <c r="I29" s="256"/>
      <c r="J29" s="256"/>
      <c r="K29" s="256"/>
      <c r="L29" s="256"/>
      <c r="N29" s="252">
        <f t="shared" si="1"/>
        <v>0</v>
      </c>
    </row>
    <row r="30" spans="1:24" s="252" customFormat="1" ht="12.75" customHeight="1">
      <c r="A30" s="255" t="s">
        <v>225</v>
      </c>
      <c r="B30" s="256">
        <f t="shared" si="0"/>
        <v>0</v>
      </c>
      <c r="C30" s="256"/>
      <c r="D30" s="256"/>
      <c r="E30" s="256"/>
      <c r="F30" s="256"/>
      <c r="G30" s="256"/>
      <c r="H30" s="256"/>
      <c r="I30" s="256"/>
      <c r="J30" s="256"/>
      <c r="K30" s="256"/>
      <c r="L30" s="256"/>
      <c r="N30" s="252">
        <f t="shared" si="1"/>
        <v>0</v>
      </c>
    </row>
    <row r="31" spans="1:24" s="252" customFormat="1" ht="12.75" customHeight="1">
      <c r="A31" s="262"/>
      <c r="B31" s="263"/>
    </row>
    <row r="32" spans="1:24" s="252" customFormat="1" ht="12.75" customHeight="1">
      <c r="A32" s="262"/>
      <c r="B32" s="263"/>
    </row>
    <row r="33" spans="1:3" s="252" customFormat="1" ht="12.75" customHeight="1">
      <c r="A33" s="262"/>
      <c r="B33" s="263"/>
      <c r="C33" s="263"/>
    </row>
    <row r="34" spans="1:3" s="252" customFormat="1" ht="12.75" customHeight="1">
      <c r="A34" s="264" t="s">
        <v>226</v>
      </c>
    </row>
    <row r="35" spans="1:3" ht="14.25" customHeight="1">
      <c r="A35" s="265" t="s">
        <v>227</v>
      </c>
      <c r="B35" s="265"/>
      <c r="C35" s="265"/>
    </row>
    <row r="36" spans="1:3" ht="15" customHeight="1">
      <c r="A36" s="119" t="s">
        <v>228</v>
      </c>
      <c r="B36" s="266"/>
      <c r="C36" s="266"/>
    </row>
    <row r="37" spans="1:3" ht="15" customHeight="1">
      <c r="A37" s="119"/>
      <c r="B37" s="266"/>
      <c r="C37" s="266"/>
    </row>
    <row r="38" spans="1:3" ht="15" customHeight="1">
      <c r="A38" s="119" t="s">
        <v>229</v>
      </c>
      <c r="B38" s="266"/>
      <c r="C38" s="266"/>
    </row>
    <row r="39" spans="1:3">
      <c r="A39" s="267"/>
      <c r="B39" s="268"/>
      <c r="C39" s="268"/>
    </row>
    <row r="40" spans="1:3">
      <c r="A40" s="267"/>
      <c r="B40" s="268"/>
      <c r="C40" s="268"/>
    </row>
    <row r="41" spans="1:3">
      <c r="B41" s="266"/>
      <c r="C41" s="266"/>
    </row>
    <row r="42" spans="1:3" s="269" customFormat="1">
      <c r="A42" s="266"/>
      <c r="B42" s="268"/>
      <c r="C42" s="268"/>
    </row>
    <row r="43" spans="1:3" s="269" customFormat="1">
      <c r="A43" s="270"/>
      <c r="B43" s="268"/>
      <c r="C43" s="268"/>
    </row>
    <row r="44" spans="1:3">
      <c r="A44" s="270"/>
      <c r="B44" s="266"/>
      <c r="C44" s="266"/>
    </row>
    <row r="45" spans="1:3">
      <c r="B45" s="266"/>
      <c r="C45" s="266"/>
    </row>
    <row r="46" spans="1:3">
      <c r="B46" s="266"/>
      <c r="C46" s="266"/>
    </row>
    <row r="47" spans="1:3">
      <c r="B47" s="266"/>
      <c r="C47" s="266"/>
    </row>
    <row r="48" spans="1:3">
      <c r="B48" s="266"/>
      <c r="C48" s="266"/>
    </row>
    <row r="49" spans="2:3">
      <c r="B49" s="266"/>
      <c r="C49" s="266"/>
    </row>
    <row r="50" spans="2:3">
      <c r="B50" s="266"/>
      <c r="C50" s="266"/>
    </row>
    <row r="51" spans="2:3">
      <c r="B51" s="266"/>
      <c r="C51" s="266"/>
    </row>
    <row r="52" spans="2:3">
      <c r="B52" s="266"/>
      <c r="C52" s="266"/>
    </row>
    <row r="53" spans="2:3">
      <c r="B53" s="266"/>
      <c r="C53" s="266"/>
    </row>
    <row r="54" spans="2:3">
      <c r="B54" s="266"/>
      <c r="C54" s="266"/>
    </row>
    <row r="55" spans="2:3">
      <c r="B55" s="266"/>
      <c r="C55" s="266"/>
    </row>
    <row r="56" spans="2:3">
      <c r="B56" s="266"/>
      <c r="C56" s="266"/>
    </row>
    <row r="57" spans="2:3">
      <c r="B57" s="266"/>
      <c r="C57" s="266"/>
    </row>
    <row r="58" spans="2:3">
      <c r="B58" s="266"/>
      <c r="C58" s="266"/>
    </row>
    <row r="59" spans="2:3">
      <c r="B59" s="266"/>
      <c r="C59" s="266"/>
    </row>
    <row r="60" spans="2:3">
      <c r="B60" s="266"/>
      <c r="C60" s="266"/>
    </row>
    <row r="61" spans="2:3">
      <c r="B61" s="266"/>
      <c r="C61" s="266"/>
    </row>
    <row r="62" spans="2:3">
      <c r="B62" s="266"/>
      <c r="C62" s="266"/>
    </row>
    <row r="63" spans="2:3">
      <c r="B63" s="266"/>
      <c r="C63" s="266"/>
    </row>
    <row r="64" spans="2:3">
      <c r="B64" s="266"/>
      <c r="C64" s="266"/>
    </row>
    <row r="65" spans="2:3">
      <c r="B65" s="266"/>
      <c r="C65" s="266"/>
    </row>
    <row r="66" spans="2:3">
      <c r="B66" s="266"/>
      <c r="C66" s="266"/>
    </row>
    <row r="67" spans="2:3">
      <c r="B67" s="266"/>
      <c r="C67" s="266"/>
    </row>
    <row r="68" spans="2:3">
      <c r="B68" s="266"/>
      <c r="C68" s="266"/>
    </row>
    <row r="69" spans="2:3">
      <c r="B69" s="266"/>
      <c r="C69" s="266"/>
    </row>
    <row r="70" spans="2:3">
      <c r="B70" s="266"/>
      <c r="C70" s="266"/>
    </row>
    <row r="71" spans="2:3">
      <c r="B71" s="266"/>
      <c r="C71" s="266"/>
    </row>
    <row r="72" spans="2:3">
      <c r="B72" s="266"/>
      <c r="C72" s="266"/>
    </row>
    <row r="73" spans="2:3">
      <c r="B73" s="266"/>
      <c r="C73" s="266"/>
    </row>
    <row r="74" spans="2:3">
      <c r="B74" s="266"/>
      <c r="C74" s="266"/>
    </row>
    <row r="75" spans="2:3">
      <c r="B75" s="266"/>
      <c r="C75" s="266"/>
    </row>
    <row r="76" spans="2:3">
      <c r="B76" s="266"/>
      <c r="C76" s="266"/>
    </row>
    <row r="77" spans="2:3">
      <c r="B77" s="266"/>
      <c r="C77" s="266"/>
    </row>
    <row r="78" spans="2:3">
      <c r="B78" s="266"/>
      <c r="C78" s="266"/>
    </row>
    <row r="79" spans="2:3">
      <c r="B79" s="266"/>
      <c r="C79" s="266"/>
    </row>
    <row r="80" spans="2:3">
      <c r="B80" s="266"/>
      <c r="C80" s="266"/>
    </row>
    <row r="81" spans="2:3">
      <c r="B81" s="266"/>
      <c r="C81" s="266"/>
    </row>
    <row r="82" spans="2:3">
      <c r="B82" s="266"/>
      <c r="C82" s="266"/>
    </row>
    <row r="83" spans="2:3">
      <c r="B83" s="266"/>
      <c r="C83" s="266"/>
    </row>
    <row r="84" spans="2:3">
      <c r="B84" s="266"/>
      <c r="C84" s="266"/>
    </row>
    <row r="85" spans="2:3">
      <c r="B85" s="266"/>
      <c r="C85" s="266"/>
    </row>
    <row r="86" spans="2:3">
      <c r="B86" s="266"/>
      <c r="C86" s="266"/>
    </row>
    <row r="87" spans="2:3">
      <c r="B87" s="266"/>
      <c r="C87" s="266"/>
    </row>
    <row r="88" spans="2:3">
      <c r="B88" s="266"/>
      <c r="C88" s="266"/>
    </row>
    <row r="89" spans="2:3">
      <c r="B89" s="266"/>
      <c r="C89" s="266"/>
    </row>
    <row r="90" spans="2:3">
      <c r="B90" s="266"/>
      <c r="C90" s="266"/>
    </row>
    <row r="91" spans="2:3">
      <c r="B91" s="266"/>
      <c r="C91" s="266"/>
    </row>
    <row r="92" spans="2:3">
      <c r="B92" s="266"/>
      <c r="C92" s="266"/>
    </row>
    <row r="93" spans="2:3">
      <c r="B93" s="266"/>
      <c r="C93" s="266"/>
    </row>
    <row r="94" spans="2:3">
      <c r="B94" s="266"/>
      <c r="C94" s="266"/>
    </row>
    <row r="95" spans="2:3">
      <c r="B95" s="266"/>
      <c r="C95" s="266"/>
    </row>
    <row r="96" spans="2:3">
      <c r="B96" s="266"/>
      <c r="C96" s="266"/>
    </row>
    <row r="97" spans="2:3">
      <c r="B97" s="266"/>
      <c r="C97" s="266"/>
    </row>
    <row r="98" spans="2:3">
      <c r="B98" s="266"/>
      <c r="C98" s="266"/>
    </row>
    <row r="99" spans="2:3">
      <c r="B99" s="266"/>
      <c r="C99" s="266"/>
    </row>
    <row r="100" spans="2:3">
      <c r="B100" s="266"/>
      <c r="C100" s="266"/>
    </row>
    <row r="101" spans="2:3">
      <c r="B101" s="266"/>
      <c r="C101" s="266"/>
    </row>
    <row r="102" spans="2:3">
      <c r="B102" s="266"/>
      <c r="C102" s="266"/>
    </row>
    <row r="103" spans="2:3">
      <c r="B103" s="266"/>
      <c r="C103" s="266"/>
    </row>
    <row r="104" spans="2:3">
      <c r="B104" s="266"/>
      <c r="C104" s="266"/>
    </row>
    <row r="105" spans="2:3">
      <c r="B105" s="266"/>
      <c r="C105" s="266"/>
    </row>
    <row r="106" spans="2:3">
      <c r="B106" s="266"/>
      <c r="C106" s="266"/>
    </row>
    <row r="107" spans="2:3">
      <c r="B107" s="266"/>
      <c r="C107" s="266"/>
    </row>
    <row r="108" spans="2:3">
      <c r="B108" s="266"/>
      <c r="C108" s="266"/>
    </row>
    <row r="109" spans="2:3">
      <c r="B109" s="266"/>
      <c r="C109" s="266"/>
    </row>
    <row r="110" spans="2:3">
      <c r="B110" s="266"/>
      <c r="C110" s="266"/>
    </row>
    <row r="111" spans="2:3">
      <c r="B111" s="266"/>
      <c r="C111" s="266"/>
    </row>
    <row r="112" spans="2:3">
      <c r="B112" s="266"/>
      <c r="C112" s="266"/>
    </row>
    <row r="113" spans="2:3">
      <c r="B113" s="266"/>
      <c r="C113" s="266"/>
    </row>
    <row r="114" spans="2:3">
      <c r="B114" s="266"/>
      <c r="C114" s="266"/>
    </row>
    <row r="115" spans="2:3">
      <c r="B115" s="266"/>
      <c r="C115" s="266"/>
    </row>
    <row r="116" spans="2:3">
      <c r="B116" s="266"/>
      <c r="C116" s="266"/>
    </row>
    <row r="117" spans="2:3">
      <c r="B117" s="266"/>
      <c r="C117" s="266"/>
    </row>
    <row r="118" spans="2:3">
      <c r="B118" s="266"/>
      <c r="C118" s="266"/>
    </row>
    <row r="119" spans="2:3">
      <c r="B119" s="266"/>
      <c r="C119" s="266"/>
    </row>
    <row r="120" spans="2:3">
      <c r="B120" s="266"/>
      <c r="C120" s="266"/>
    </row>
    <row r="121" spans="2:3">
      <c r="B121" s="266"/>
      <c r="C121" s="266"/>
    </row>
    <row r="122" spans="2:3">
      <c r="B122" s="266"/>
      <c r="C122" s="266"/>
    </row>
    <row r="123" spans="2:3">
      <c r="B123" s="266"/>
      <c r="C123" s="266"/>
    </row>
    <row r="124" spans="2:3">
      <c r="B124" s="266"/>
      <c r="C124" s="266"/>
    </row>
    <row r="125" spans="2:3">
      <c r="B125" s="266"/>
      <c r="C125" s="266"/>
    </row>
    <row r="126" spans="2:3">
      <c r="B126" s="266"/>
      <c r="C126" s="266"/>
    </row>
    <row r="127" spans="2:3">
      <c r="B127" s="266"/>
      <c r="C127" s="266"/>
    </row>
    <row r="128" spans="2:3">
      <c r="B128" s="266"/>
      <c r="C128" s="266"/>
    </row>
    <row r="129" spans="2:3">
      <c r="B129" s="266"/>
      <c r="C129" s="266"/>
    </row>
    <row r="130" spans="2:3">
      <c r="B130" s="266"/>
      <c r="C130" s="266"/>
    </row>
    <row r="131" spans="2:3">
      <c r="B131" s="266"/>
      <c r="C131" s="266"/>
    </row>
    <row r="132" spans="2:3">
      <c r="B132" s="266"/>
      <c r="C132" s="266"/>
    </row>
    <row r="133" spans="2:3">
      <c r="B133" s="266"/>
      <c r="C133" s="266"/>
    </row>
    <row r="134" spans="2:3">
      <c r="B134" s="266"/>
      <c r="C134" s="266"/>
    </row>
    <row r="135" spans="2:3">
      <c r="B135" s="266"/>
      <c r="C135" s="266"/>
    </row>
    <row r="136" spans="2:3">
      <c r="B136" s="266"/>
      <c r="C136" s="266"/>
    </row>
    <row r="137" spans="2:3">
      <c r="B137" s="266"/>
      <c r="C137" s="266"/>
    </row>
    <row r="138" spans="2:3">
      <c r="B138" s="266"/>
      <c r="C138" s="266"/>
    </row>
    <row r="139" spans="2:3">
      <c r="B139" s="266"/>
      <c r="C139" s="266"/>
    </row>
    <row r="140" spans="2:3">
      <c r="B140" s="266"/>
      <c r="C140" s="266"/>
    </row>
    <row r="141" spans="2:3">
      <c r="B141" s="266"/>
      <c r="C141" s="266"/>
    </row>
    <row r="142" spans="2:3">
      <c r="B142" s="266"/>
      <c r="C142" s="266"/>
    </row>
    <row r="143" spans="2:3">
      <c r="B143" s="266"/>
      <c r="C143" s="266"/>
    </row>
    <row r="144" spans="2:3">
      <c r="B144" s="266"/>
      <c r="C144" s="266"/>
    </row>
    <row r="145" spans="2:3">
      <c r="B145" s="266"/>
      <c r="C145" s="266"/>
    </row>
    <row r="146" spans="2:3">
      <c r="B146" s="266"/>
      <c r="C146" s="266"/>
    </row>
    <row r="147" spans="2:3">
      <c r="B147" s="266"/>
      <c r="C147" s="266"/>
    </row>
    <row r="148" spans="2:3">
      <c r="B148" s="266"/>
      <c r="C148" s="266"/>
    </row>
    <row r="149" spans="2:3">
      <c r="B149" s="266"/>
      <c r="C149" s="266"/>
    </row>
    <row r="150" spans="2:3">
      <c r="B150" s="266"/>
      <c r="C150" s="266"/>
    </row>
    <row r="151" spans="2:3">
      <c r="B151" s="266"/>
      <c r="C151" s="266"/>
    </row>
    <row r="152" spans="2:3">
      <c r="B152" s="266"/>
      <c r="C152" s="266"/>
    </row>
    <row r="153" spans="2:3">
      <c r="B153" s="266"/>
      <c r="C153" s="266"/>
    </row>
    <row r="154" spans="2:3">
      <c r="B154" s="266"/>
      <c r="C154" s="266"/>
    </row>
    <row r="155" spans="2:3">
      <c r="B155" s="266"/>
      <c r="C155" s="266"/>
    </row>
    <row r="156" spans="2:3">
      <c r="B156" s="266"/>
      <c r="C156" s="266"/>
    </row>
    <row r="157" spans="2:3">
      <c r="B157" s="266"/>
      <c r="C157" s="266"/>
    </row>
    <row r="158" spans="2:3">
      <c r="B158" s="266"/>
      <c r="C158" s="266"/>
    </row>
    <row r="159" spans="2:3">
      <c r="B159" s="266"/>
      <c r="C159" s="266"/>
    </row>
    <row r="160" spans="2:3">
      <c r="B160" s="266"/>
      <c r="C160" s="266"/>
    </row>
    <row r="161" spans="2:3">
      <c r="B161" s="266"/>
      <c r="C161" s="266"/>
    </row>
    <row r="162" spans="2:3">
      <c r="B162" s="266"/>
      <c r="C162" s="266"/>
    </row>
    <row r="163" spans="2:3">
      <c r="B163" s="266"/>
      <c r="C163" s="266"/>
    </row>
    <row r="164" spans="2:3">
      <c r="B164" s="266"/>
      <c r="C164" s="266"/>
    </row>
    <row r="165" spans="2:3">
      <c r="B165" s="266"/>
      <c r="C165" s="266"/>
    </row>
  </sheetData>
  <mergeCells count="3">
    <mergeCell ref="N6:X6"/>
    <mergeCell ref="B6:L6"/>
    <mergeCell ref="B4:L4"/>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9"/>
  <sheetViews>
    <sheetView showZeros="0" zoomScaleNormal="100" workbookViewId="0">
      <pane ySplit="4" topLeftCell="A11" activePane="bottomLeft" state="frozen"/>
      <selection pane="bottomLeft" activeCell="D81" sqref="D81"/>
    </sheetView>
  </sheetViews>
  <sheetFormatPr defaultColWidth="9.140625" defaultRowHeight="12.75"/>
  <cols>
    <col min="1" max="1" width="41.42578125" style="161" customWidth="1"/>
    <col min="2" max="2" width="10.7109375" style="162" bestFit="1" customWidth="1"/>
    <col min="3" max="3" width="10.85546875" style="162" hidden="1" customWidth="1"/>
    <col min="4" max="4" width="10.7109375" style="162" customWidth="1"/>
    <col min="5" max="5" width="10.7109375" style="162" bestFit="1" customWidth="1"/>
    <col min="6" max="6" width="11.5703125" style="25" bestFit="1" customWidth="1"/>
    <col min="7" max="7" width="10.7109375" style="25" customWidth="1"/>
    <col min="8" max="8" width="12.140625" style="25" customWidth="1"/>
    <col min="9" max="9" width="7.85546875" style="25" bestFit="1" customWidth="1"/>
    <col min="10" max="16384" width="9.140625" style="160"/>
  </cols>
  <sheetData>
    <row r="1" spans="1:9">
      <c r="A1" s="274" t="s">
        <v>58</v>
      </c>
    </row>
    <row r="2" spans="1:9" ht="15">
      <c r="A2" s="176"/>
      <c r="B2" s="159"/>
      <c r="C2" s="159"/>
      <c r="D2" s="159"/>
      <c r="E2" s="159"/>
      <c r="F2" s="7"/>
      <c r="G2" s="7"/>
      <c r="H2" s="7"/>
      <c r="I2" s="175" t="s">
        <v>190</v>
      </c>
    </row>
    <row r="3" spans="1:9" ht="12.75" customHeight="1">
      <c r="A3" s="158"/>
      <c r="B3" s="670">
        <v>2017</v>
      </c>
      <c r="C3" s="671"/>
      <c r="D3" s="672"/>
      <c r="E3" s="676" t="s">
        <v>193</v>
      </c>
      <c r="F3" s="673" t="s">
        <v>184</v>
      </c>
      <c r="G3" s="678" t="s">
        <v>192</v>
      </c>
      <c r="H3" s="675" t="s">
        <v>191</v>
      </c>
      <c r="I3" s="675"/>
    </row>
    <row r="4" spans="1:9" ht="38.25">
      <c r="B4" s="165" t="s">
        <v>144</v>
      </c>
      <c r="C4" s="166" t="s">
        <v>145</v>
      </c>
      <c r="D4" s="167" t="s">
        <v>146</v>
      </c>
      <c r="E4" s="677"/>
      <c r="F4" s="674"/>
      <c r="G4" s="679"/>
      <c r="H4" s="168" t="s">
        <v>26</v>
      </c>
      <c r="I4" s="168" t="s">
        <v>189</v>
      </c>
    </row>
    <row r="5" spans="1:9">
      <c r="A5" s="179"/>
      <c r="B5" s="177"/>
      <c r="C5" s="177"/>
      <c r="D5" s="177"/>
      <c r="E5" s="177"/>
      <c r="F5" s="178"/>
      <c r="G5" s="178"/>
      <c r="H5" s="178"/>
      <c r="I5" s="178"/>
    </row>
    <row r="6" spans="1:9">
      <c r="A6" s="39"/>
      <c r="B6" s="43"/>
      <c r="C6" s="43"/>
      <c r="D6" s="43">
        <f t="shared" ref="D6:D27" si="0">SUM(B6:C6)</f>
        <v>0</v>
      </c>
      <c r="E6" s="184"/>
      <c r="F6" s="43"/>
      <c r="G6" s="43">
        <f t="shared" ref="G6:G21" si="1">F6-E6</f>
        <v>0</v>
      </c>
      <c r="H6" s="43">
        <f t="shared" ref="H6:H20" si="2">IF(F6=0,0,F6-D6)</f>
        <v>0</v>
      </c>
      <c r="I6" s="172" t="str">
        <f t="shared" ref="I6:I20" si="3">IF(D6=0,"",H6/D6)</f>
        <v/>
      </c>
    </row>
    <row r="7" spans="1:9">
      <c r="A7" s="38" t="s">
        <v>74</v>
      </c>
      <c r="B7" s="41">
        <f>B9+B15+B26+B34+B43+B53+B66+B72</f>
        <v>2834799</v>
      </c>
      <c r="C7" s="41">
        <f>C9+C15+C26+C34+C43+C53+C66+C72+C76</f>
        <v>8104076</v>
      </c>
      <c r="D7" s="41">
        <f t="shared" si="0"/>
        <v>10938875</v>
      </c>
      <c r="E7" s="181">
        <f>E9+E15+E26+E34+E43+E53+E66+E72</f>
        <v>12322185</v>
      </c>
      <c r="F7" s="41">
        <f>F9+F15+F26+F34+F43+F53+F66+F72</f>
        <v>12322185</v>
      </c>
      <c r="G7" s="41">
        <f t="shared" si="1"/>
        <v>0</v>
      </c>
      <c r="H7" s="41">
        <f t="shared" si="2"/>
        <v>1383310</v>
      </c>
      <c r="I7" s="169">
        <f t="shared" si="3"/>
        <v>0.12645815954565712</v>
      </c>
    </row>
    <row r="8" spans="1:9">
      <c r="A8" s="36"/>
      <c r="B8" s="42"/>
      <c r="C8" s="42"/>
      <c r="D8" s="42">
        <f t="shared" si="0"/>
        <v>0</v>
      </c>
      <c r="E8" s="182"/>
      <c r="F8" s="42"/>
      <c r="G8" s="42">
        <f t="shared" si="1"/>
        <v>0</v>
      </c>
      <c r="H8" s="42">
        <f t="shared" si="2"/>
        <v>0</v>
      </c>
      <c r="I8" s="170" t="str">
        <f t="shared" si="3"/>
        <v/>
      </c>
    </row>
    <row r="9" spans="1:9">
      <c r="A9" s="36" t="s">
        <v>75</v>
      </c>
      <c r="B9" s="42">
        <f>B10</f>
        <v>70402</v>
      </c>
      <c r="C9" s="42">
        <f t="shared" ref="C9" si="4">C10</f>
        <v>0</v>
      </c>
      <c r="D9" s="42">
        <f t="shared" si="0"/>
        <v>70402</v>
      </c>
      <c r="E9" s="182">
        <f>E10</f>
        <v>70402</v>
      </c>
      <c r="F9" s="42">
        <f>F10</f>
        <v>70402</v>
      </c>
      <c r="G9" s="42">
        <f t="shared" si="1"/>
        <v>0</v>
      </c>
      <c r="H9" s="42">
        <f t="shared" si="2"/>
        <v>0</v>
      </c>
      <c r="I9" s="170">
        <f t="shared" si="3"/>
        <v>0</v>
      </c>
    </row>
    <row r="10" spans="1:9">
      <c r="A10" s="36" t="s">
        <v>60</v>
      </c>
      <c r="B10" s="42">
        <f>B11+B12+B13</f>
        <v>70402</v>
      </c>
      <c r="C10" s="42">
        <f t="shared" ref="C10" si="5">C11+C12+C13</f>
        <v>0</v>
      </c>
      <c r="D10" s="42">
        <f t="shared" si="0"/>
        <v>70402</v>
      </c>
      <c r="E10" s="182">
        <f>E11+E12+E13</f>
        <v>70402</v>
      </c>
      <c r="F10" s="42">
        <f>F11+F12+F13</f>
        <v>70402</v>
      </c>
      <c r="G10" s="42">
        <f t="shared" si="1"/>
        <v>0</v>
      </c>
      <c r="H10" s="42">
        <f t="shared" si="2"/>
        <v>0</v>
      </c>
      <c r="I10" s="170">
        <f t="shared" si="3"/>
        <v>0</v>
      </c>
    </row>
    <row r="11" spans="1:9">
      <c r="A11" s="37" t="s">
        <v>61</v>
      </c>
      <c r="B11" s="44">
        <v>59635</v>
      </c>
      <c r="C11" s="44"/>
      <c r="D11" s="44">
        <f t="shared" si="0"/>
        <v>59635</v>
      </c>
      <c r="E11" s="183">
        <v>59635</v>
      </c>
      <c r="F11" s="44">
        <v>59635</v>
      </c>
      <c r="G11" s="44">
        <f t="shared" si="1"/>
        <v>0</v>
      </c>
      <c r="H11" s="44">
        <f t="shared" si="2"/>
        <v>0</v>
      </c>
      <c r="I11" s="171">
        <f t="shared" si="3"/>
        <v>0</v>
      </c>
    </row>
    <row r="12" spans="1:9">
      <c r="A12" s="37" t="s">
        <v>62</v>
      </c>
      <c r="B12" s="44">
        <v>9857</v>
      </c>
      <c r="C12" s="44"/>
      <c r="D12" s="44">
        <f t="shared" si="0"/>
        <v>9857</v>
      </c>
      <c r="E12" s="183">
        <v>9857</v>
      </c>
      <c r="F12" s="44">
        <v>9857</v>
      </c>
      <c r="G12" s="44">
        <f t="shared" si="1"/>
        <v>0</v>
      </c>
      <c r="H12" s="44">
        <f t="shared" si="2"/>
        <v>0</v>
      </c>
      <c r="I12" s="171">
        <f t="shared" si="3"/>
        <v>0</v>
      </c>
    </row>
    <row r="13" spans="1:9">
      <c r="A13" s="37" t="s">
        <v>70</v>
      </c>
      <c r="B13" s="44">
        <v>910</v>
      </c>
      <c r="C13" s="44"/>
      <c r="D13" s="44">
        <f t="shared" si="0"/>
        <v>910</v>
      </c>
      <c r="E13" s="183">
        <v>910</v>
      </c>
      <c r="F13" s="44">
        <v>910</v>
      </c>
      <c r="G13" s="44">
        <f t="shared" si="1"/>
        <v>0</v>
      </c>
      <c r="H13" s="44">
        <f t="shared" si="2"/>
        <v>0</v>
      </c>
      <c r="I13" s="171">
        <f t="shared" si="3"/>
        <v>0</v>
      </c>
    </row>
    <row r="14" spans="1:9">
      <c r="A14" s="36"/>
      <c r="B14" s="42"/>
      <c r="C14" s="42"/>
      <c r="D14" s="42">
        <f t="shared" si="0"/>
        <v>0</v>
      </c>
      <c r="E14" s="182"/>
      <c r="F14" s="42"/>
      <c r="G14" s="42">
        <f t="shared" si="1"/>
        <v>0</v>
      </c>
      <c r="H14" s="42">
        <f t="shared" si="2"/>
        <v>0</v>
      </c>
      <c r="I14" s="170" t="str">
        <f t="shared" si="3"/>
        <v/>
      </c>
    </row>
    <row r="15" spans="1:9">
      <c r="A15" s="36" t="s">
        <v>77</v>
      </c>
      <c r="B15" s="42">
        <f>B16+B22</f>
        <v>106500</v>
      </c>
      <c r="C15" s="42">
        <f>C16+C22</f>
        <v>13020</v>
      </c>
      <c r="D15" s="42">
        <f t="shared" si="0"/>
        <v>119520</v>
      </c>
      <c r="E15" s="182">
        <f>E16+E22</f>
        <v>351515</v>
      </c>
      <c r="F15" s="42">
        <f>F16+F22</f>
        <v>351515</v>
      </c>
      <c r="G15" s="42">
        <f t="shared" si="1"/>
        <v>0</v>
      </c>
      <c r="H15" s="42">
        <f t="shared" si="2"/>
        <v>231995</v>
      </c>
      <c r="I15" s="170">
        <f t="shared" si="3"/>
        <v>1.941055890227577</v>
      </c>
    </row>
    <row r="16" spans="1:9">
      <c r="A16" s="36" t="s">
        <v>78</v>
      </c>
      <c r="B16" s="42">
        <f>B17+B18+B19</f>
        <v>103500</v>
      </c>
      <c r="C16" s="42">
        <f t="shared" ref="C16" si="6">C17+C18+C19</f>
        <v>0</v>
      </c>
      <c r="D16" s="42">
        <f t="shared" si="0"/>
        <v>103500</v>
      </c>
      <c r="E16" s="182">
        <f>E17+E18+E19+E20+E21</f>
        <v>338500</v>
      </c>
      <c r="F16" s="42">
        <f>F17+F18+F19+F20+F21</f>
        <v>338500</v>
      </c>
      <c r="G16" s="42">
        <f t="shared" si="1"/>
        <v>0</v>
      </c>
      <c r="H16" s="42">
        <f t="shared" si="2"/>
        <v>235000</v>
      </c>
      <c r="I16" s="170">
        <f t="shared" si="3"/>
        <v>2.2705314009661834</v>
      </c>
    </row>
    <row r="17" spans="1:9">
      <c r="A17" s="39" t="s">
        <v>79</v>
      </c>
      <c r="B17" s="43">
        <v>60000</v>
      </c>
      <c r="C17" s="43"/>
      <c r="D17" s="43">
        <f t="shared" si="0"/>
        <v>60000</v>
      </c>
      <c r="E17" s="184">
        <v>85000</v>
      </c>
      <c r="F17" s="43">
        <v>85000</v>
      </c>
      <c r="G17" s="43">
        <f t="shared" si="1"/>
        <v>0</v>
      </c>
      <c r="H17" s="43">
        <f t="shared" si="2"/>
        <v>25000</v>
      </c>
      <c r="I17" s="172">
        <f t="shared" si="3"/>
        <v>0.41666666666666669</v>
      </c>
    </row>
    <row r="18" spans="1:9">
      <c r="A18" s="39" t="s">
        <v>80</v>
      </c>
      <c r="B18" s="43">
        <v>40000</v>
      </c>
      <c r="C18" s="43"/>
      <c r="D18" s="43">
        <f t="shared" si="0"/>
        <v>40000</v>
      </c>
      <c r="E18" s="184">
        <v>40000</v>
      </c>
      <c r="F18" s="43">
        <v>40000</v>
      </c>
      <c r="G18" s="43">
        <f t="shared" si="1"/>
        <v>0</v>
      </c>
      <c r="H18" s="43">
        <f t="shared" si="2"/>
        <v>0</v>
      </c>
      <c r="I18" s="172">
        <f t="shared" si="3"/>
        <v>0</v>
      </c>
    </row>
    <row r="19" spans="1:9">
      <c r="A19" s="39" t="s">
        <v>81</v>
      </c>
      <c r="B19" s="43">
        <v>3500</v>
      </c>
      <c r="C19" s="43"/>
      <c r="D19" s="43">
        <f t="shared" si="0"/>
        <v>3500</v>
      </c>
      <c r="E19" s="184">
        <v>3500</v>
      </c>
      <c r="F19" s="43">
        <v>3500</v>
      </c>
      <c r="G19" s="43">
        <f t="shared" si="1"/>
        <v>0</v>
      </c>
      <c r="H19" s="43">
        <f t="shared" si="2"/>
        <v>0</v>
      </c>
      <c r="I19" s="172">
        <f t="shared" si="3"/>
        <v>0</v>
      </c>
    </row>
    <row r="20" spans="1:9">
      <c r="A20" s="163" t="s">
        <v>186</v>
      </c>
      <c r="B20" s="164"/>
      <c r="C20" s="164"/>
      <c r="D20" s="164"/>
      <c r="E20" s="184">
        <v>95000</v>
      </c>
      <c r="F20" s="164">
        <v>95000</v>
      </c>
      <c r="G20" s="164">
        <f t="shared" si="1"/>
        <v>0</v>
      </c>
      <c r="H20" s="164">
        <f t="shared" si="2"/>
        <v>95000</v>
      </c>
      <c r="I20" s="174" t="str">
        <f t="shared" si="3"/>
        <v/>
      </c>
    </row>
    <row r="21" spans="1:9" ht="25.5">
      <c r="A21" s="163" t="s">
        <v>187</v>
      </c>
      <c r="B21" s="164"/>
      <c r="C21" s="164"/>
      <c r="D21" s="164"/>
      <c r="E21" s="184">
        <v>115000</v>
      </c>
      <c r="F21" s="164">
        <v>115000</v>
      </c>
      <c r="G21" s="164">
        <f t="shared" si="1"/>
        <v>0</v>
      </c>
      <c r="H21" s="164">
        <f t="shared" ref="H21:H79" si="7">IF(F21=0,0,F21-D21)</f>
        <v>115000</v>
      </c>
      <c r="I21" s="174" t="str">
        <f t="shared" ref="I21:I79" si="8">IF(D21=0,"",H21/D21)</f>
        <v/>
      </c>
    </row>
    <row r="22" spans="1:9">
      <c r="A22" s="40" t="s">
        <v>60</v>
      </c>
      <c r="B22" s="45">
        <f>B23+B24</f>
        <v>3000</v>
      </c>
      <c r="C22" s="45">
        <f t="shared" ref="C22" si="9">C23+C24</f>
        <v>13020</v>
      </c>
      <c r="D22" s="45">
        <f t="shared" si="0"/>
        <v>16020</v>
      </c>
      <c r="E22" s="185">
        <f>E23+E24</f>
        <v>13015</v>
      </c>
      <c r="F22" s="45">
        <f>F23+F24</f>
        <v>13015</v>
      </c>
      <c r="G22" s="45">
        <f t="shared" ref="G22:G79" si="10">F22-E22</f>
        <v>0</v>
      </c>
      <c r="H22" s="45">
        <f t="shared" si="7"/>
        <v>-3005</v>
      </c>
      <c r="I22" s="173">
        <f t="shared" si="8"/>
        <v>-0.1875780274656679</v>
      </c>
    </row>
    <row r="23" spans="1:9">
      <c r="A23" s="39" t="s">
        <v>62</v>
      </c>
      <c r="B23" s="43">
        <v>2345</v>
      </c>
      <c r="C23" s="43">
        <v>10200</v>
      </c>
      <c r="D23" s="43">
        <f t="shared" si="0"/>
        <v>12545</v>
      </c>
      <c r="E23" s="184">
        <v>10200</v>
      </c>
      <c r="F23" s="43">
        <v>10200</v>
      </c>
      <c r="G23" s="43">
        <f t="shared" si="10"/>
        <v>0</v>
      </c>
      <c r="H23" s="43">
        <f t="shared" si="7"/>
        <v>-2345</v>
      </c>
      <c r="I23" s="172">
        <f t="shared" si="8"/>
        <v>-0.18692706257473096</v>
      </c>
    </row>
    <row r="24" spans="1:9">
      <c r="A24" s="39" t="s">
        <v>61</v>
      </c>
      <c r="B24" s="43">
        <v>655</v>
      </c>
      <c r="C24" s="43">
        <v>2820</v>
      </c>
      <c r="D24" s="43">
        <f t="shared" si="0"/>
        <v>3475</v>
      </c>
      <c r="E24" s="184">
        <v>2815</v>
      </c>
      <c r="F24" s="43">
        <v>2815</v>
      </c>
      <c r="G24" s="43">
        <f t="shared" si="10"/>
        <v>0</v>
      </c>
      <c r="H24" s="43">
        <f t="shared" si="7"/>
        <v>-660</v>
      </c>
      <c r="I24" s="172">
        <f t="shared" si="8"/>
        <v>-0.18992805755395684</v>
      </c>
    </row>
    <row r="25" spans="1:9">
      <c r="A25" s="39"/>
      <c r="B25" s="43"/>
      <c r="C25" s="43"/>
      <c r="D25" s="43">
        <f t="shared" si="0"/>
        <v>0</v>
      </c>
      <c r="E25" s="184"/>
      <c r="F25" s="43"/>
      <c r="G25" s="43">
        <f t="shared" si="10"/>
        <v>0</v>
      </c>
      <c r="H25" s="43">
        <f t="shared" si="7"/>
        <v>0</v>
      </c>
      <c r="I25" s="172" t="str">
        <f t="shared" si="8"/>
        <v/>
      </c>
    </row>
    <row r="26" spans="1:9">
      <c r="A26" s="40" t="s">
        <v>82</v>
      </c>
      <c r="B26" s="45">
        <f>B27+B30</f>
        <v>280220</v>
      </c>
      <c r="C26" s="45">
        <f t="shared" ref="C26" si="11">C27+C30</f>
        <v>39237</v>
      </c>
      <c r="D26" s="45">
        <f t="shared" si="0"/>
        <v>319457</v>
      </c>
      <c r="E26" s="185">
        <f>E27+E30</f>
        <v>304361</v>
      </c>
      <c r="F26" s="45">
        <f>F27+F30</f>
        <v>304361</v>
      </c>
      <c r="G26" s="45">
        <f t="shared" si="10"/>
        <v>0</v>
      </c>
      <c r="H26" s="45">
        <f t="shared" si="7"/>
        <v>-15096</v>
      </c>
      <c r="I26" s="173">
        <f t="shared" si="8"/>
        <v>-4.7255186143988083E-2</v>
      </c>
    </row>
    <row r="27" spans="1:9">
      <c r="A27" s="36" t="s">
        <v>78</v>
      </c>
      <c r="B27" s="42">
        <f>B28+B29</f>
        <v>262104</v>
      </c>
      <c r="C27" s="42">
        <f t="shared" ref="C27" si="12">C28+C29</f>
        <v>45171</v>
      </c>
      <c r="D27" s="42">
        <f t="shared" si="0"/>
        <v>307275</v>
      </c>
      <c r="E27" s="182">
        <f>E28+E29</f>
        <v>292179</v>
      </c>
      <c r="F27" s="42">
        <f>F28+F29</f>
        <v>292179</v>
      </c>
      <c r="G27" s="42">
        <f t="shared" si="10"/>
        <v>0</v>
      </c>
      <c r="H27" s="42">
        <f t="shared" si="7"/>
        <v>-15096</v>
      </c>
      <c r="I27" s="170">
        <f t="shared" si="8"/>
        <v>-4.9128630705394194E-2</v>
      </c>
    </row>
    <row r="28" spans="1:9">
      <c r="A28" s="37" t="s">
        <v>79</v>
      </c>
      <c r="B28" s="44">
        <v>257724</v>
      </c>
      <c r="C28" s="44">
        <v>45171</v>
      </c>
      <c r="D28" s="44">
        <f t="shared" ref="D28:D79" si="13">SUM(B28:C28)</f>
        <v>302895</v>
      </c>
      <c r="E28" s="183">
        <v>287799</v>
      </c>
      <c r="F28" s="44">
        <v>287799</v>
      </c>
      <c r="G28" s="44">
        <f t="shared" si="10"/>
        <v>0</v>
      </c>
      <c r="H28" s="44">
        <f t="shared" si="7"/>
        <v>-15096</v>
      </c>
      <c r="I28" s="171">
        <f t="shared" si="8"/>
        <v>-4.9839053137225774E-2</v>
      </c>
    </row>
    <row r="29" spans="1:9">
      <c r="A29" s="37" t="s">
        <v>80</v>
      </c>
      <c r="B29" s="44">
        <v>4380</v>
      </c>
      <c r="C29" s="44"/>
      <c r="D29" s="44">
        <f t="shared" si="13"/>
        <v>4380</v>
      </c>
      <c r="E29" s="183">
        <v>4380</v>
      </c>
      <c r="F29" s="44">
        <v>4380</v>
      </c>
      <c r="G29" s="44">
        <f t="shared" si="10"/>
        <v>0</v>
      </c>
      <c r="H29" s="44">
        <f t="shared" si="7"/>
        <v>0</v>
      </c>
      <c r="I29" s="171">
        <f t="shared" si="8"/>
        <v>0</v>
      </c>
    </row>
    <row r="30" spans="1:9">
      <c r="A30" s="40" t="s">
        <v>60</v>
      </c>
      <c r="B30" s="45">
        <f>B31+B32</f>
        <v>18116</v>
      </c>
      <c r="C30" s="45">
        <f t="shared" ref="C30" si="14">C31+C32</f>
        <v>-5934</v>
      </c>
      <c r="D30" s="45">
        <f t="shared" si="13"/>
        <v>12182</v>
      </c>
      <c r="E30" s="185">
        <f>E31+E32</f>
        <v>12182</v>
      </c>
      <c r="F30" s="45">
        <f>F31+F32</f>
        <v>12182</v>
      </c>
      <c r="G30" s="45">
        <f t="shared" si="10"/>
        <v>0</v>
      </c>
      <c r="H30" s="45">
        <f t="shared" si="7"/>
        <v>0</v>
      </c>
      <c r="I30" s="173">
        <f t="shared" si="8"/>
        <v>0</v>
      </c>
    </row>
    <row r="31" spans="1:9">
      <c r="A31" s="39" t="s">
        <v>62</v>
      </c>
      <c r="B31" s="43">
        <v>14100</v>
      </c>
      <c r="C31" s="43">
        <v>-3800</v>
      </c>
      <c r="D31" s="43">
        <f t="shared" si="13"/>
        <v>10300</v>
      </c>
      <c r="E31" s="184">
        <v>10300</v>
      </c>
      <c r="F31" s="43">
        <v>10300</v>
      </c>
      <c r="G31" s="43">
        <f t="shared" si="10"/>
        <v>0</v>
      </c>
      <c r="H31" s="43">
        <f t="shared" si="7"/>
        <v>0</v>
      </c>
      <c r="I31" s="172">
        <f t="shared" si="8"/>
        <v>0</v>
      </c>
    </row>
    <row r="32" spans="1:9">
      <c r="A32" s="39" t="s">
        <v>61</v>
      </c>
      <c r="B32" s="43">
        <v>4016</v>
      </c>
      <c r="C32" s="43">
        <v>-2134</v>
      </c>
      <c r="D32" s="43">
        <f t="shared" si="13"/>
        <v>1882</v>
      </c>
      <c r="E32" s="184">
        <v>1882</v>
      </c>
      <c r="F32" s="43">
        <v>1882</v>
      </c>
      <c r="G32" s="43">
        <f t="shared" si="10"/>
        <v>0</v>
      </c>
      <c r="H32" s="43">
        <f t="shared" si="7"/>
        <v>0</v>
      </c>
      <c r="I32" s="172">
        <f t="shared" si="8"/>
        <v>0</v>
      </c>
    </row>
    <row r="33" spans="1:9">
      <c r="A33" s="36"/>
      <c r="B33" s="42"/>
      <c r="C33" s="42"/>
      <c r="D33" s="42">
        <f t="shared" si="13"/>
        <v>0</v>
      </c>
      <c r="E33" s="182"/>
      <c r="F33" s="42"/>
      <c r="G33" s="42">
        <f t="shared" si="10"/>
        <v>0</v>
      </c>
      <c r="H33" s="42">
        <f t="shared" si="7"/>
        <v>0</v>
      </c>
      <c r="I33" s="170" t="str">
        <f t="shared" si="8"/>
        <v/>
      </c>
    </row>
    <row r="34" spans="1:9">
      <c r="A34" s="36" t="s">
        <v>103</v>
      </c>
      <c r="B34" s="42">
        <f>B35</f>
        <v>41930</v>
      </c>
      <c r="C34" s="42">
        <f>C35+C40</f>
        <v>8028</v>
      </c>
      <c r="D34" s="42">
        <f t="shared" si="13"/>
        <v>49958</v>
      </c>
      <c r="E34" s="182">
        <f>E35</f>
        <v>1086640</v>
      </c>
      <c r="F34" s="42">
        <f>F35</f>
        <v>1086640</v>
      </c>
      <c r="G34" s="42">
        <f t="shared" si="10"/>
        <v>0</v>
      </c>
      <c r="H34" s="42">
        <f t="shared" si="7"/>
        <v>1036682</v>
      </c>
      <c r="I34" s="170">
        <f t="shared" si="8"/>
        <v>20.751070899555625</v>
      </c>
    </row>
    <row r="35" spans="1:9">
      <c r="A35" s="36" t="s">
        <v>78</v>
      </c>
      <c r="B35" s="42">
        <f>B36</f>
        <v>41930</v>
      </c>
      <c r="C35" s="42">
        <f t="shared" ref="C35" si="15">C36</f>
        <v>0</v>
      </c>
      <c r="D35" s="42">
        <f t="shared" si="13"/>
        <v>41930</v>
      </c>
      <c r="E35" s="182">
        <f>SUM(E36:E39)</f>
        <v>1086640</v>
      </c>
      <c r="F35" s="42">
        <f>SUM(F36:F39)</f>
        <v>1086640</v>
      </c>
      <c r="G35" s="42">
        <f t="shared" si="10"/>
        <v>0</v>
      </c>
      <c r="H35" s="42">
        <f t="shared" si="7"/>
        <v>1044710</v>
      </c>
      <c r="I35" s="170">
        <f t="shared" si="8"/>
        <v>24.915573575005961</v>
      </c>
    </row>
    <row r="36" spans="1:9">
      <c r="A36" s="39" t="s">
        <v>85</v>
      </c>
      <c r="B36" s="43">
        <f>40380+1550</f>
        <v>41930</v>
      </c>
      <c r="C36" s="43"/>
      <c r="D36" s="43">
        <f t="shared" si="13"/>
        <v>41930</v>
      </c>
      <c r="E36" s="184">
        <v>26520</v>
      </c>
      <c r="F36" s="43">
        <v>26520</v>
      </c>
      <c r="G36" s="43">
        <f t="shared" si="10"/>
        <v>0</v>
      </c>
      <c r="H36" s="43">
        <f t="shared" si="7"/>
        <v>-15410</v>
      </c>
      <c r="I36" s="172">
        <f t="shared" si="8"/>
        <v>-0.36751729072263295</v>
      </c>
    </row>
    <row r="37" spans="1:9">
      <c r="A37" s="163" t="s">
        <v>186</v>
      </c>
      <c r="B37" s="164"/>
      <c r="C37" s="164"/>
      <c r="D37" s="164"/>
      <c r="E37" s="184">
        <v>260000</v>
      </c>
      <c r="F37" s="164">
        <v>260000</v>
      </c>
      <c r="G37" s="164">
        <f t="shared" si="10"/>
        <v>0</v>
      </c>
      <c r="H37" s="164">
        <f t="shared" si="7"/>
        <v>260000</v>
      </c>
      <c r="I37" s="174" t="str">
        <f t="shared" si="8"/>
        <v/>
      </c>
    </row>
    <row r="38" spans="1:9" ht="25.5">
      <c r="A38" s="163" t="s">
        <v>187</v>
      </c>
      <c r="B38" s="164"/>
      <c r="C38" s="164"/>
      <c r="D38" s="164"/>
      <c r="E38" s="184">
        <v>687120</v>
      </c>
      <c r="F38" s="164">
        <v>687120</v>
      </c>
      <c r="G38" s="164">
        <f t="shared" si="10"/>
        <v>0</v>
      </c>
      <c r="H38" s="164">
        <f t="shared" si="7"/>
        <v>687120</v>
      </c>
      <c r="I38" s="174" t="str">
        <f t="shared" si="8"/>
        <v/>
      </c>
    </row>
    <row r="39" spans="1:9">
      <c r="A39" s="163" t="s">
        <v>188</v>
      </c>
      <c r="B39" s="164"/>
      <c r="C39" s="164"/>
      <c r="D39" s="164"/>
      <c r="E39" s="184">
        <v>113000</v>
      </c>
      <c r="F39" s="164">
        <v>113000</v>
      </c>
      <c r="G39" s="164">
        <f t="shared" si="10"/>
        <v>0</v>
      </c>
      <c r="H39" s="164">
        <f t="shared" si="7"/>
        <v>113000</v>
      </c>
      <c r="I39" s="174" t="str">
        <f t="shared" si="8"/>
        <v/>
      </c>
    </row>
    <row r="40" spans="1:9">
      <c r="A40" s="36" t="s">
        <v>63</v>
      </c>
      <c r="B40" s="42"/>
      <c r="C40" s="42">
        <f>C41</f>
        <v>8028</v>
      </c>
      <c r="D40" s="42">
        <f t="shared" si="13"/>
        <v>8028</v>
      </c>
      <c r="E40" s="182"/>
      <c r="F40" s="42"/>
      <c r="G40" s="42">
        <f t="shared" si="10"/>
        <v>0</v>
      </c>
      <c r="H40" s="42">
        <f t="shared" si="7"/>
        <v>0</v>
      </c>
      <c r="I40" s="170">
        <f t="shared" si="8"/>
        <v>0</v>
      </c>
    </row>
    <row r="41" spans="1:9" ht="25.5">
      <c r="A41" s="39" t="s">
        <v>64</v>
      </c>
      <c r="B41" s="43"/>
      <c r="C41" s="43">
        <v>8028</v>
      </c>
      <c r="D41" s="43">
        <f t="shared" si="13"/>
        <v>8028</v>
      </c>
      <c r="E41" s="184"/>
      <c r="F41" s="43"/>
      <c r="G41" s="43">
        <f t="shared" si="10"/>
        <v>0</v>
      </c>
      <c r="H41" s="43">
        <f t="shared" si="7"/>
        <v>0</v>
      </c>
      <c r="I41" s="172">
        <f t="shared" si="8"/>
        <v>0</v>
      </c>
    </row>
    <row r="42" spans="1:9">
      <c r="A42" s="36"/>
      <c r="B42" s="42"/>
      <c r="C42" s="42"/>
      <c r="D42" s="42">
        <f t="shared" si="13"/>
        <v>0</v>
      </c>
      <c r="E42" s="182"/>
      <c r="F42" s="42"/>
      <c r="G42" s="42">
        <f t="shared" si="10"/>
        <v>0</v>
      </c>
      <c r="H42" s="42">
        <f t="shared" si="7"/>
        <v>0</v>
      </c>
      <c r="I42" s="170" t="str">
        <f t="shared" si="8"/>
        <v/>
      </c>
    </row>
    <row r="43" spans="1:9">
      <c r="A43" s="36" t="s">
        <v>83</v>
      </c>
      <c r="B43" s="42">
        <f>B44+B47+B50</f>
        <v>1869700</v>
      </c>
      <c r="C43" s="42">
        <f t="shared" ref="C43" si="16">C44+C47+C50</f>
        <v>400</v>
      </c>
      <c r="D43" s="42">
        <f t="shared" si="13"/>
        <v>1870100</v>
      </c>
      <c r="E43" s="182">
        <f>E44+E47+E50</f>
        <v>1889700</v>
      </c>
      <c r="F43" s="42">
        <f>F44+F47+F50</f>
        <v>1889700</v>
      </c>
      <c r="G43" s="42">
        <f t="shared" si="10"/>
        <v>0</v>
      </c>
      <c r="H43" s="42">
        <f t="shared" si="7"/>
        <v>19600</v>
      </c>
      <c r="I43" s="170">
        <f t="shared" si="8"/>
        <v>1.0480722955991659E-2</v>
      </c>
    </row>
    <row r="44" spans="1:9">
      <c r="A44" s="36" t="s">
        <v>60</v>
      </c>
      <c r="B44" s="42">
        <f>B45+B46</f>
        <v>6100</v>
      </c>
      <c r="C44" s="42">
        <f t="shared" ref="C44" si="17">C45+C46</f>
        <v>0</v>
      </c>
      <c r="D44" s="42">
        <f t="shared" si="13"/>
        <v>6100</v>
      </c>
      <c r="E44" s="182">
        <f>E45+E46</f>
        <v>6100</v>
      </c>
      <c r="F44" s="42">
        <f>F45+F46</f>
        <v>6100</v>
      </c>
      <c r="G44" s="42">
        <f t="shared" si="10"/>
        <v>0</v>
      </c>
      <c r="H44" s="42">
        <f t="shared" si="7"/>
        <v>0</v>
      </c>
      <c r="I44" s="170">
        <f t="shared" si="8"/>
        <v>0</v>
      </c>
    </row>
    <row r="45" spans="1:9">
      <c r="A45" s="37" t="s">
        <v>61</v>
      </c>
      <c r="B45" s="44">
        <v>4200</v>
      </c>
      <c r="C45" s="44"/>
      <c r="D45" s="44">
        <f t="shared" si="13"/>
        <v>4200</v>
      </c>
      <c r="E45" s="183">
        <v>4200</v>
      </c>
      <c r="F45" s="44">
        <v>4200</v>
      </c>
      <c r="G45" s="44">
        <f t="shared" si="10"/>
        <v>0</v>
      </c>
      <c r="H45" s="44">
        <f t="shared" si="7"/>
        <v>0</v>
      </c>
      <c r="I45" s="171">
        <f t="shared" si="8"/>
        <v>0</v>
      </c>
    </row>
    <row r="46" spans="1:9">
      <c r="A46" s="37" t="s">
        <v>62</v>
      </c>
      <c r="B46" s="44">
        <v>1900</v>
      </c>
      <c r="C46" s="44"/>
      <c r="D46" s="44">
        <f t="shared" si="13"/>
        <v>1900</v>
      </c>
      <c r="E46" s="183">
        <v>1900</v>
      </c>
      <c r="F46" s="44">
        <v>1900</v>
      </c>
      <c r="G46" s="44">
        <f t="shared" si="10"/>
        <v>0</v>
      </c>
      <c r="H46" s="44">
        <f t="shared" si="7"/>
        <v>0</v>
      </c>
      <c r="I46" s="171">
        <f t="shared" si="8"/>
        <v>0</v>
      </c>
    </row>
    <row r="47" spans="1:9">
      <c r="A47" s="36" t="s">
        <v>78</v>
      </c>
      <c r="B47" s="42">
        <f>B48+B49</f>
        <v>1863000</v>
      </c>
      <c r="C47" s="42">
        <f t="shared" ref="C47" si="18">C48+C49</f>
        <v>0</v>
      </c>
      <c r="D47" s="42">
        <f t="shared" si="13"/>
        <v>1863000</v>
      </c>
      <c r="E47" s="182">
        <f>E48+E49</f>
        <v>1883000</v>
      </c>
      <c r="F47" s="42">
        <f>F48+F49</f>
        <v>1883000</v>
      </c>
      <c r="G47" s="42">
        <f t="shared" si="10"/>
        <v>0</v>
      </c>
      <c r="H47" s="42">
        <f t="shared" si="7"/>
        <v>20000</v>
      </c>
      <c r="I47" s="170">
        <f t="shared" si="8"/>
        <v>1.0735373054213635E-2</v>
      </c>
    </row>
    <row r="48" spans="1:9">
      <c r="A48" s="39" t="s">
        <v>79</v>
      </c>
      <c r="B48" s="43">
        <v>1830000</v>
      </c>
      <c r="C48" s="43"/>
      <c r="D48" s="43">
        <f t="shared" si="13"/>
        <v>1830000</v>
      </c>
      <c r="E48" s="184">
        <v>1850000</v>
      </c>
      <c r="F48" s="43">
        <v>1850000</v>
      </c>
      <c r="G48" s="43">
        <f t="shared" si="10"/>
        <v>0</v>
      </c>
      <c r="H48" s="43">
        <f t="shared" si="7"/>
        <v>20000</v>
      </c>
      <c r="I48" s="172">
        <f t="shared" si="8"/>
        <v>1.092896174863388E-2</v>
      </c>
    </row>
    <row r="49" spans="1:9">
      <c r="A49" s="39" t="s">
        <v>80</v>
      </c>
      <c r="B49" s="43">
        <f>32000+1000</f>
        <v>33000</v>
      </c>
      <c r="C49" s="43"/>
      <c r="D49" s="43">
        <f t="shared" si="13"/>
        <v>33000</v>
      </c>
      <c r="E49" s="184">
        <f>32000+1000</f>
        <v>33000</v>
      </c>
      <c r="F49" s="43">
        <f>32000+1000</f>
        <v>33000</v>
      </c>
      <c r="G49" s="43">
        <f t="shared" si="10"/>
        <v>0</v>
      </c>
      <c r="H49" s="43">
        <f t="shared" si="7"/>
        <v>0</v>
      </c>
      <c r="I49" s="172">
        <f t="shared" si="8"/>
        <v>0</v>
      </c>
    </row>
    <row r="50" spans="1:9">
      <c r="A50" s="36" t="s">
        <v>63</v>
      </c>
      <c r="B50" s="42">
        <f>B51</f>
        <v>600</v>
      </c>
      <c r="C50" s="42">
        <f t="shared" ref="C50" si="19">C51</f>
        <v>400</v>
      </c>
      <c r="D50" s="42">
        <f t="shared" si="13"/>
        <v>1000</v>
      </c>
      <c r="E50" s="182">
        <f>E51</f>
        <v>600</v>
      </c>
      <c r="F50" s="42">
        <f>F51</f>
        <v>600</v>
      </c>
      <c r="G50" s="42">
        <f t="shared" si="10"/>
        <v>0</v>
      </c>
      <c r="H50" s="42">
        <f t="shared" si="7"/>
        <v>-400</v>
      </c>
      <c r="I50" s="170">
        <f t="shared" si="8"/>
        <v>-0.4</v>
      </c>
    </row>
    <row r="51" spans="1:9" ht="25.5">
      <c r="A51" s="39" t="s">
        <v>64</v>
      </c>
      <c r="B51" s="43">
        <v>600</v>
      </c>
      <c r="C51" s="43">
        <v>400</v>
      </c>
      <c r="D51" s="43">
        <f t="shared" si="13"/>
        <v>1000</v>
      </c>
      <c r="E51" s="184">
        <v>600</v>
      </c>
      <c r="F51" s="43">
        <v>600</v>
      </c>
      <c r="G51" s="43">
        <f t="shared" si="10"/>
        <v>0</v>
      </c>
      <c r="H51" s="43">
        <f t="shared" si="7"/>
        <v>-400</v>
      </c>
      <c r="I51" s="172">
        <f t="shared" si="8"/>
        <v>-0.4</v>
      </c>
    </row>
    <row r="52" spans="1:9">
      <c r="A52" s="36"/>
      <c r="B52" s="42"/>
      <c r="C52" s="42"/>
      <c r="D52" s="42">
        <f t="shared" si="13"/>
        <v>0</v>
      </c>
      <c r="E52" s="182"/>
      <c r="F52" s="42"/>
      <c r="G52" s="42">
        <f t="shared" si="10"/>
        <v>0</v>
      </c>
      <c r="H52" s="42">
        <f t="shared" si="7"/>
        <v>0</v>
      </c>
      <c r="I52" s="170" t="str">
        <f t="shared" si="8"/>
        <v/>
      </c>
    </row>
    <row r="53" spans="1:9">
      <c r="A53" s="36" t="s">
        <v>84</v>
      </c>
      <c r="B53" s="42">
        <f>B54+B60+B62</f>
        <v>107662</v>
      </c>
      <c r="C53" s="42">
        <f>C54+C60+C62</f>
        <v>0</v>
      </c>
      <c r="D53" s="42">
        <f t="shared" si="13"/>
        <v>107662</v>
      </c>
      <c r="E53" s="182">
        <f>E54+E60+E62</f>
        <v>257177</v>
      </c>
      <c r="F53" s="42">
        <f>F54+F60+F62</f>
        <v>257177</v>
      </c>
      <c r="G53" s="42">
        <f t="shared" si="10"/>
        <v>0</v>
      </c>
      <c r="H53" s="42">
        <f t="shared" si="7"/>
        <v>149515</v>
      </c>
      <c r="I53" s="170">
        <f t="shared" si="8"/>
        <v>1.3887444037822072</v>
      </c>
    </row>
    <row r="54" spans="1:9">
      <c r="A54" s="36" t="s">
        <v>78</v>
      </c>
      <c r="B54" s="42">
        <f>B55+B56+B57</f>
        <v>76380</v>
      </c>
      <c r="C54" s="42">
        <f t="shared" ref="C54" si="20">C55+C56+C57</f>
        <v>0</v>
      </c>
      <c r="D54" s="42">
        <f t="shared" si="13"/>
        <v>76380</v>
      </c>
      <c r="E54" s="182">
        <f>E55+E56+E57+E58+E59</f>
        <v>225895</v>
      </c>
      <c r="F54" s="42">
        <f>F55+F56+F57+F58+F59</f>
        <v>225895</v>
      </c>
      <c r="G54" s="42">
        <f t="shared" si="10"/>
        <v>0</v>
      </c>
      <c r="H54" s="42">
        <f t="shared" si="7"/>
        <v>149515</v>
      </c>
      <c r="I54" s="170">
        <f t="shared" si="8"/>
        <v>1.9575150562974601</v>
      </c>
    </row>
    <row r="55" spans="1:9">
      <c r="A55" s="39" t="s">
        <v>79</v>
      </c>
      <c r="B55" s="43">
        <v>19900</v>
      </c>
      <c r="C55" s="43"/>
      <c r="D55" s="43">
        <f t="shared" si="13"/>
        <v>19900</v>
      </c>
      <c r="E55" s="184">
        <v>25895</v>
      </c>
      <c r="F55" s="43">
        <v>25895</v>
      </c>
      <c r="G55" s="43">
        <f t="shared" si="10"/>
        <v>0</v>
      </c>
      <c r="H55" s="43">
        <f t="shared" si="7"/>
        <v>5995</v>
      </c>
      <c r="I55" s="172">
        <f t="shared" si="8"/>
        <v>0.3012562814070352</v>
      </c>
    </row>
    <row r="56" spans="1:9">
      <c r="A56" s="39" t="s">
        <v>80</v>
      </c>
      <c r="B56" s="43">
        <v>50000</v>
      </c>
      <c r="C56" s="43"/>
      <c r="D56" s="43">
        <f t="shared" si="13"/>
        <v>50000</v>
      </c>
      <c r="E56" s="184">
        <v>45000</v>
      </c>
      <c r="F56" s="43">
        <v>45000</v>
      </c>
      <c r="G56" s="43">
        <f t="shared" si="10"/>
        <v>0</v>
      </c>
      <c r="H56" s="43">
        <f t="shared" si="7"/>
        <v>-5000</v>
      </c>
      <c r="I56" s="172">
        <f t="shared" si="8"/>
        <v>-0.1</v>
      </c>
    </row>
    <row r="57" spans="1:9">
      <c r="A57" s="39" t="s">
        <v>85</v>
      </c>
      <c r="B57" s="43">
        <v>6480</v>
      </c>
      <c r="C57" s="43"/>
      <c r="D57" s="43">
        <f t="shared" si="13"/>
        <v>6480</v>
      </c>
      <c r="E57" s="184"/>
      <c r="F57" s="43"/>
      <c r="G57" s="43">
        <f t="shared" si="10"/>
        <v>0</v>
      </c>
      <c r="H57" s="43">
        <f t="shared" si="7"/>
        <v>0</v>
      </c>
      <c r="I57" s="172">
        <f t="shared" si="8"/>
        <v>0</v>
      </c>
    </row>
    <row r="58" spans="1:9">
      <c r="A58" s="163" t="s">
        <v>186</v>
      </c>
      <c r="B58" s="164"/>
      <c r="C58" s="164"/>
      <c r="D58" s="164"/>
      <c r="E58" s="184">
        <v>45000</v>
      </c>
      <c r="F58" s="164">
        <v>45000</v>
      </c>
      <c r="G58" s="164">
        <f t="shared" si="10"/>
        <v>0</v>
      </c>
      <c r="H58" s="164">
        <f t="shared" si="7"/>
        <v>45000</v>
      </c>
      <c r="I58" s="174" t="str">
        <f t="shared" si="8"/>
        <v/>
      </c>
    </row>
    <row r="59" spans="1:9" ht="25.5">
      <c r="A59" s="163" t="s">
        <v>187</v>
      </c>
      <c r="B59" s="164"/>
      <c r="C59" s="164"/>
      <c r="D59" s="164"/>
      <c r="E59" s="184">
        <v>110000</v>
      </c>
      <c r="F59" s="164">
        <v>110000</v>
      </c>
      <c r="G59" s="164">
        <f t="shared" si="10"/>
        <v>0</v>
      </c>
      <c r="H59" s="164">
        <f t="shared" si="7"/>
        <v>110000</v>
      </c>
      <c r="I59" s="174" t="str">
        <f t="shared" si="8"/>
        <v/>
      </c>
    </row>
    <row r="60" spans="1:9">
      <c r="A60" s="36" t="s">
        <v>63</v>
      </c>
      <c r="B60" s="42">
        <f>B61</f>
        <v>14000</v>
      </c>
      <c r="C60" s="42">
        <f t="shared" ref="C60" si="21">C61</f>
        <v>0</v>
      </c>
      <c r="D60" s="42">
        <f t="shared" si="13"/>
        <v>14000</v>
      </c>
      <c r="E60" s="182">
        <f>E61</f>
        <v>14000</v>
      </c>
      <c r="F60" s="42">
        <f>F61</f>
        <v>14000</v>
      </c>
      <c r="G60" s="42">
        <f t="shared" si="10"/>
        <v>0</v>
      </c>
      <c r="H60" s="42">
        <f t="shared" si="7"/>
        <v>0</v>
      </c>
      <c r="I60" s="170">
        <f t="shared" si="8"/>
        <v>0</v>
      </c>
    </row>
    <row r="61" spans="1:9" ht="25.5">
      <c r="A61" s="39" t="s">
        <v>64</v>
      </c>
      <c r="B61" s="43">
        <v>14000</v>
      </c>
      <c r="C61" s="43"/>
      <c r="D61" s="43">
        <f t="shared" si="13"/>
        <v>14000</v>
      </c>
      <c r="E61" s="184">
        <v>14000</v>
      </c>
      <c r="F61" s="43">
        <v>14000</v>
      </c>
      <c r="G61" s="43">
        <f t="shared" si="10"/>
        <v>0</v>
      </c>
      <c r="H61" s="43">
        <f t="shared" si="7"/>
        <v>0</v>
      </c>
      <c r="I61" s="172">
        <f t="shared" si="8"/>
        <v>0</v>
      </c>
    </row>
    <row r="62" spans="1:9">
      <c r="A62" s="36" t="s">
        <v>60</v>
      </c>
      <c r="B62" s="42">
        <f>B63+B64</f>
        <v>17282</v>
      </c>
      <c r="C62" s="42">
        <f t="shared" ref="C62" si="22">C63+C64</f>
        <v>0</v>
      </c>
      <c r="D62" s="42">
        <f t="shared" si="13"/>
        <v>17282</v>
      </c>
      <c r="E62" s="182">
        <f>E63+E64</f>
        <v>17282</v>
      </c>
      <c r="F62" s="42">
        <f>F63+F64</f>
        <v>17282</v>
      </c>
      <c r="G62" s="42">
        <f t="shared" si="10"/>
        <v>0</v>
      </c>
      <c r="H62" s="42">
        <f t="shared" si="7"/>
        <v>0</v>
      </c>
      <c r="I62" s="170">
        <f t="shared" si="8"/>
        <v>0</v>
      </c>
    </row>
    <row r="63" spans="1:9">
      <c r="A63" s="37" t="s">
        <v>61</v>
      </c>
      <c r="B63" s="44">
        <v>8782</v>
      </c>
      <c r="C63" s="44"/>
      <c r="D63" s="44">
        <f t="shared" si="13"/>
        <v>8782</v>
      </c>
      <c r="E63" s="183">
        <v>8782</v>
      </c>
      <c r="F63" s="44">
        <v>8782</v>
      </c>
      <c r="G63" s="44">
        <f t="shared" si="10"/>
        <v>0</v>
      </c>
      <c r="H63" s="44">
        <f t="shared" si="7"/>
        <v>0</v>
      </c>
      <c r="I63" s="171">
        <f t="shared" si="8"/>
        <v>0</v>
      </c>
    </row>
    <row r="64" spans="1:9">
      <c r="A64" s="37" t="s">
        <v>62</v>
      </c>
      <c r="B64" s="44">
        <v>8500</v>
      </c>
      <c r="C64" s="44"/>
      <c r="D64" s="44">
        <f t="shared" si="13"/>
        <v>8500</v>
      </c>
      <c r="E64" s="183">
        <v>8500</v>
      </c>
      <c r="F64" s="44">
        <v>8500</v>
      </c>
      <c r="G64" s="44">
        <f t="shared" si="10"/>
        <v>0</v>
      </c>
      <c r="H64" s="44">
        <f t="shared" si="7"/>
        <v>0</v>
      </c>
      <c r="I64" s="171">
        <f t="shared" si="8"/>
        <v>0</v>
      </c>
    </row>
    <row r="65" spans="1:9">
      <c r="A65" s="39"/>
      <c r="B65" s="43"/>
      <c r="C65" s="43"/>
      <c r="D65" s="43">
        <f t="shared" si="13"/>
        <v>0</v>
      </c>
      <c r="E65" s="184"/>
      <c r="F65" s="43"/>
      <c r="G65" s="43">
        <f t="shared" si="10"/>
        <v>0</v>
      </c>
      <c r="H65" s="43">
        <f t="shared" si="7"/>
        <v>0</v>
      </c>
      <c r="I65" s="172" t="str">
        <f t="shared" si="8"/>
        <v/>
      </c>
    </row>
    <row r="66" spans="1:9">
      <c r="A66" s="36" t="s">
        <v>86</v>
      </c>
      <c r="B66" s="42">
        <f>B67</f>
        <v>100230</v>
      </c>
      <c r="C66" s="42">
        <f t="shared" ref="C66" si="23">C67</f>
        <v>6000</v>
      </c>
      <c r="D66" s="42">
        <f t="shared" si="13"/>
        <v>106230</v>
      </c>
      <c r="E66" s="182">
        <f>E67</f>
        <v>104230</v>
      </c>
      <c r="F66" s="42">
        <f>F67</f>
        <v>104230</v>
      </c>
      <c r="G66" s="42">
        <f t="shared" si="10"/>
        <v>0</v>
      </c>
      <c r="H66" s="42">
        <f t="shared" si="7"/>
        <v>-2000</v>
      </c>
      <c r="I66" s="170">
        <f t="shared" si="8"/>
        <v>-1.8827073331450627E-2</v>
      </c>
    </row>
    <row r="67" spans="1:9">
      <c r="A67" s="36" t="s">
        <v>78</v>
      </c>
      <c r="B67" s="42">
        <f>B68+B69+B70</f>
        <v>100230</v>
      </c>
      <c r="C67" s="42">
        <f t="shared" ref="C67" si="24">C68+C69+C70</f>
        <v>6000</v>
      </c>
      <c r="D67" s="42">
        <f t="shared" si="13"/>
        <v>106230</v>
      </c>
      <c r="E67" s="182">
        <f>E68+E69+E70</f>
        <v>104230</v>
      </c>
      <c r="F67" s="42">
        <f>F68+F69+F70</f>
        <v>104230</v>
      </c>
      <c r="G67" s="42">
        <f t="shared" si="10"/>
        <v>0</v>
      </c>
      <c r="H67" s="42">
        <f t="shared" si="7"/>
        <v>-2000</v>
      </c>
      <c r="I67" s="170">
        <f t="shared" si="8"/>
        <v>-1.8827073331450627E-2</v>
      </c>
    </row>
    <row r="68" spans="1:9">
      <c r="A68" s="39" t="s">
        <v>66</v>
      </c>
      <c r="B68" s="43">
        <v>230</v>
      </c>
      <c r="C68" s="43"/>
      <c r="D68" s="43">
        <f t="shared" si="13"/>
        <v>230</v>
      </c>
      <c r="E68" s="184">
        <v>230</v>
      </c>
      <c r="F68" s="43">
        <v>230</v>
      </c>
      <c r="G68" s="43">
        <f t="shared" si="10"/>
        <v>0</v>
      </c>
      <c r="H68" s="43">
        <f t="shared" si="7"/>
        <v>0</v>
      </c>
      <c r="I68" s="172">
        <f t="shared" si="8"/>
        <v>0</v>
      </c>
    </row>
    <row r="69" spans="1:9">
      <c r="A69" s="39" t="s">
        <v>79</v>
      </c>
      <c r="B69" s="43">
        <v>92000</v>
      </c>
      <c r="C69" s="43">
        <v>6000</v>
      </c>
      <c r="D69" s="43">
        <f t="shared" si="13"/>
        <v>98000</v>
      </c>
      <c r="E69" s="184">
        <v>96000</v>
      </c>
      <c r="F69" s="43">
        <v>96000</v>
      </c>
      <c r="G69" s="43">
        <f t="shared" si="10"/>
        <v>0</v>
      </c>
      <c r="H69" s="43">
        <f t="shared" si="7"/>
        <v>-2000</v>
      </c>
      <c r="I69" s="172">
        <f t="shared" si="8"/>
        <v>-2.0408163265306121E-2</v>
      </c>
    </row>
    <row r="70" spans="1:9">
      <c r="A70" s="39" t="s">
        <v>87</v>
      </c>
      <c r="B70" s="43">
        <v>8000</v>
      </c>
      <c r="C70" s="43"/>
      <c r="D70" s="43">
        <f t="shared" si="13"/>
        <v>8000</v>
      </c>
      <c r="E70" s="184">
        <v>8000</v>
      </c>
      <c r="F70" s="43">
        <v>8000</v>
      </c>
      <c r="G70" s="43">
        <f t="shared" si="10"/>
        <v>0</v>
      </c>
      <c r="H70" s="43">
        <f t="shared" si="7"/>
        <v>0</v>
      </c>
      <c r="I70" s="172">
        <f t="shared" si="8"/>
        <v>0</v>
      </c>
    </row>
    <row r="71" spans="1:9">
      <c r="A71" s="39"/>
      <c r="B71" s="43"/>
      <c r="C71" s="43"/>
      <c r="D71" s="43">
        <f t="shared" si="13"/>
        <v>0</v>
      </c>
      <c r="E71" s="184"/>
      <c r="F71" s="43"/>
      <c r="G71" s="43">
        <f t="shared" si="10"/>
        <v>0</v>
      </c>
      <c r="H71" s="43">
        <f t="shared" si="7"/>
        <v>0</v>
      </c>
      <c r="I71" s="172" t="str">
        <f t="shared" si="8"/>
        <v/>
      </c>
    </row>
    <row r="72" spans="1:9">
      <c r="A72" s="36" t="s">
        <v>88</v>
      </c>
      <c r="B72" s="42">
        <f>B73</f>
        <v>258155</v>
      </c>
      <c r="C72" s="42">
        <f t="shared" ref="C72:C73" si="25">C73</f>
        <v>8035271</v>
      </c>
      <c r="D72" s="42">
        <f t="shared" si="13"/>
        <v>8293426</v>
      </c>
      <c r="E72" s="182">
        <f>E73</f>
        <v>8258160</v>
      </c>
      <c r="F72" s="42">
        <f>F73</f>
        <v>8258160</v>
      </c>
      <c r="G72" s="42">
        <f t="shared" si="10"/>
        <v>0</v>
      </c>
      <c r="H72" s="42">
        <f t="shared" si="7"/>
        <v>-35266</v>
      </c>
      <c r="I72" s="170">
        <f t="shared" si="8"/>
        <v>-4.2522836762515278E-3</v>
      </c>
    </row>
    <row r="73" spans="1:9">
      <c r="A73" s="36" t="s">
        <v>89</v>
      </c>
      <c r="B73" s="42">
        <f>B74</f>
        <v>258155</v>
      </c>
      <c r="C73" s="42">
        <f t="shared" si="25"/>
        <v>8035271</v>
      </c>
      <c r="D73" s="42">
        <f t="shared" si="13"/>
        <v>8293426</v>
      </c>
      <c r="E73" s="182">
        <f>E74</f>
        <v>8258160</v>
      </c>
      <c r="F73" s="42">
        <f>F74</f>
        <v>8258160</v>
      </c>
      <c r="G73" s="42">
        <f t="shared" si="10"/>
        <v>0</v>
      </c>
      <c r="H73" s="42">
        <f t="shared" si="7"/>
        <v>-35266</v>
      </c>
      <c r="I73" s="170">
        <f t="shared" si="8"/>
        <v>-4.2522836762515278E-3</v>
      </c>
    </row>
    <row r="74" spans="1:9">
      <c r="A74" s="163" t="s">
        <v>66</v>
      </c>
      <c r="B74" s="164">
        <v>258155</v>
      </c>
      <c r="C74" s="164">
        <f>19900+5200856+2814515</f>
        <v>8035271</v>
      </c>
      <c r="D74" s="164">
        <f t="shared" si="13"/>
        <v>8293426</v>
      </c>
      <c r="E74" s="184">
        <v>8258160</v>
      </c>
      <c r="F74" s="164">
        <v>8258160</v>
      </c>
      <c r="G74" s="164">
        <f t="shared" si="10"/>
        <v>0</v>
      </c>
      <c r="H74" s="164">
        <f t="shared" si="7"/>
        <v>-35266</v>
      </c>
      <c r="I74" s="174">
        <f t="shared" si="8"/>
        <v>-4.2522836762515278E-3</v>
      </c>
    </row>
    <row r="75" spans="1:9">
      <c r="A75" s="39"/>
      <c r="B75" s="43"/>
      <c r="C75" s="43"/>
      <c r="D75" s="43">
        <f t="shared" si="13"/>
        <v>0</v>
      </c>
      <c r="E75" s="184"/>
      <c r="F75" s="43"/>
      <c r="G75" s="43">
        <f t="shared" si="10"/>
        <v>0</v>
      </c>
      <c r="H75" s="43">
        <f t="shared" si="7"/>
        <v>0</v>
      </c>
      <c r="I75" s="172" t="str">
        <f t="shared" si="8"/>
        <v/>
      </c>
    </row>
    <row r="76" spans="1:9">
      <c r="A76" s="36" t="s">
        <v>185</v>
      </c>
      <c r="B76" s="42"/>
      <c r="C76" s="42">
        <f t="shared" ref="C76:C77" si="26">C77</f>
        <v>2120</v>
      </c>
      <c r="D76" s="42">
        <f t="shared" si="13"/>
        <v>2120</v>
      </c>
      <c r="E76" s="182"/>
      <c r="F76" s="42"/>
      <c r="G76" s="42">
        <f t="shared" si="10"/>
        <v>0</v>
      </c>
      <c r="H76" s="42">
        <f t="shared" si="7"/>
        <v>0</v>
      </c>
      <c r="I76" s="170">
        <f t="shared" si="8"/>
        <v>0</v>
      </c>
    </row>
    <row r="77" spans="1:9">
      <c r="A77" s="36" t="s">
        <v>78</v>
      </c>
      <c r="B77" s="42"/>
      <c r="C77" s="42">
        <f t="shared" si="26"/>
        <v>2120</v>
      </c>
      <c r="D77" s="42">
        <f t="shared" si="13"/>
        <v>2120</v>
      </c>
      <c r="E77" s="182"/>
      <c r="F77" s="42"/>
      <c r="G77" s="42">
        <f t="shared" si="10"/>
        <v>0</v>
      </c>
      <c r="H77" s="42">
        <f t="shared" si="7"/>
        <v>0</v>
      </c>
      <c r="I77" s="170">
        <f t="shared" si="8"/>
        <v>0</v>
      </c>
    </row>
    <row r="78" spans="1:9">
      <c r="A78" s="39" t="s">
        <v>66</v>
      </c>
      <c r="B78" s="43"/>
      <c r="C78" s="43">
        <v>2120</v>
      </c>
      <c r="D78" s="43">
        <f t="shared" si="13"/>
        <v>2120</v>
      </c>
      <c r="E78" s="184"/>
      <c r="F78" s="43"/>
      <c r="G78" s="43">
        <f t="shared" si="10"/>
        <v>0</v>
      </c>
      <c r="H78" s="43">
        <f t="shared" si="7"/>
        <v>0</v>
      </c>
      <c r="I78" s="172">
        <f t="shared" si="8"/>
        <v>0</v>
      </c>
    </row>
    <row r="79" spans="1:9">
      <c r="A79" s="37"/>
      <c r="B79" s="44"/>
      <c r="C79" s="44"/>
      <c r="D79" s="44">
        <f t="shared" si="13"/>
        <v>0</v>
      </c>
      <c r="E79" s="183"/>
      <c r="F79" s="44"/>
      <c r="G79" s="44">
        <f t="shared" si="10"/>
        <v>0</v>
      </c>
      <c r="H79" s="44">
        <f t="shared" si="7"/>
        <v>0</v>
      </c>
      <c r="I79" s="171" t="str">
        <f t="shared" si="8"/>
        <v/>
      </c>
    </row>
  </sheetData>
  <mergeCells count="5">
    <mergeCell ref="B3:D3"/>
    <mergeCell ref="F3:F4"/>
    <mergeCell ref="H3:I3"/>
    <mergeCell ref="E3:E4"/>
    <mergeCell ref="G3:G4"/>
  </mergeCells>
  <pageMargins left="1.1811023622047245" right="0.47244094488188981" top="0.47244094488188981" bottom="0.98425196850393704" header="0.51181102362204722" footer="0.51181102362204722"/>
  <pageSetup paperSize="9" scale="70" fitToHeight="0" orientation="portrait"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showZeros="0" zoomScaleNormal="100" workbookViewId="0">
      <pane xSplit="1" ySplit="4" topLeftCell="B5" activePane="bottomRight" state="frozen"/>
      <selection pane="topRight" activeCell="B1" sqref="B1"/>
      <selection pane="bottomLeft" activeCell="A4" sqref="A4"/>
      <selection pane="bottomRight" activeCell="A8" sqref="A8"/>
    </sheetView>
  </sheetViews>
  <sheetFormatPr defaultColWidth="9.140625" defaultRowHeight="12.75"/>
  <cols>
    <col min="1" max="1" width="52.7109375" style="278" customWidth="1"/>
    <col min="2" max="2" width="11.140625" style="278" bestFit="1" customWidth="1"/>
    <col min="3" max="3" width="10.42578125" style="278" hidden="1" customWidth="1"/>
    <col min="4" max="4" width="12.5703125" style="278" customWidth="1"/>
    <col min="5" max="6" width="11.140625" style="280" bestFit="1" customWidth="1"/>
    <col min="7" max="7" width="11.140625" style="278" customWidth="1"/>
    <col min="8" max="16384" width="9.140625" style="278"/>
  </cols>
  <sheetData>
    <row r="1" spans="1:8">
      <c r="A1" s="271" t="s">
        <v>0</v>
      </c>
      <c r="H1" s="248" t="s">
        <v>232</v>
      </c>
    </row>
    <row r="2" spans="1:8">
      <c r="E2" s="281"/>
      <c r="F2" s="282" t="s">
        <v>208</v>
      </c>
      <c r="H2" s="248"/>
    </row>
    <row r="3" spans="1:8" ht="14.25">
      <c r="A3" s="279"/>
      <c r="B3" s="670">
        <v>2017</v>
      </c>
      <c r="C3" s="671"/>
      <c r="D3" s="672"/>
      <c r="E3" s="676" t="s">
        <v>233</v>
      </c>
      <c r="F3" s="673" t="s">
        <v>184</v>
      </c>
      <c r="G3" s="675" t="s">
        <v>191</v>
      </c>
      <c r="H3" s="675"/>
    </row>
    <row r="4" spans="1:8" ht="25.5">
      <c r="A4" s="279"/>
      <c r="B4" s="165" t="s">
        <v>144</v>
      </c>
      <c r="C4" s="166" t="s">
        <v>145</v>
      </c>
      <c r="D4" s="167" t="s">
        <v>146</v>
      </c>
      <c r="E4" s="677"/>
      <c r="F4" s="674"/>
      <c r="G4" s="168" t="s">
        <v>26</v>
      </c>
      <c r="H4" s="168" t="s">
        <v>189</v>
      </c>
    </row>
    <row r="5" spans="1:8">
      <c r="A5" s="14"/>
      <c r="B5" s="23"/>
      <c r="C5" s="23"/>
      <c r="D5" s="23">
        <f t="shared" ref="D5:D8" si="0">SUM(B5:C5)</f>
        <v>0</v>
      </c>
      <c r="E5" s="284"/>
      <c r="F5" s="23"/>
      <c r="G5" s="23">
        <f t="shared" ref="G5:G8" si="1">IF(F5=0,0,F5-D5)</f>
        <v>0</v>
      </c>
      <c r="H5" s="287" t="str">
        <f t="shared" ref="H5:H8" si="2">IF(D5=0,"",G5/D5)</f>
        <v/>
      </c>
    </row>
    <row r="6" spans="1:8">
      <c r="A6" s="24" t="s">
        <v>28</v>
      </c>
      <c r="B6" s="18"/>
      <c r="C6" s="18">
        <f>C7</f>
        <v>87926</v>
      </c>
      <c r="D6" s="18">
        <f t="shared" si="0"/>
        <v>87926</v>
      </c>
      <c r="E6" s="283"/>
      <c r="F6" s="18"/>
      <c r="G6" s="18">
        <f t="shared" si="1"/>
        <v>0</v>
      </c>
      <c r="H6" s="286">
        <f t="shared" si="2"/>
        <v>0</v>
      </c>
    </row>
    <row r="7" spans="1:8" ht="24">
      <c r="A7" s="31" t="s">
        <v>600</v>
      </c>
      <c r="B7" s="18"/>
      <c r="C7" s="18">
        <v>87926</v>
      </c>
      <c r="D7" s="18">
        <f t="shared" si="0"/>
        <v>87926</v>
      </c>
      <c r="E7" s="283"/>
      <c r="F7" s="18"/>
      <c r="G7" s="18">
        <f t="shared" si="1"/>
        <v>0</v>
      </c>
      <c r="H7" s="286">
        <f t="shared" si="2"/>
        <v>0</v>
      </c>
    </row>
    <row r="8" spans="1:8">
      <c r="A8" s="14"/>
      <c r="B8" s="19"/>
      <c r="C8" s="19"/>
      <c r="D8" s="19">
        <f t="shared" si="0"/>
        <v>0</v>
      </c>
      <c r="E8" s="285"/>
      <c r="F8" s="19"/>
      <c r="G8" s="19">
        <f t="shared" si="1"/>
        <v>0</v>
      </c>
      <c r="H8" s="288" t="str">
        <f t="shared" si="2"/>
        <v/>
      </c>
    </row>
  </sheetData>
  <mergeCells count="4">
    <mergeCell ref="B3:D3"/>
    <mergeCell ref="F3:F4"/>
    <mergeCell ref="G3:H3"/>
    <mergeCell ref="E3:E4"/>
  </mergeCells>
  <pageMargins left="1.1811023622047245" right="0.47244094488188981" top="0.47244094488188981" bottom="0.98425196850393704" header="0.51181102362204722" footer="0.51181102362204722"/>
  <pageSetup paperSize="9" scale="70" orientation="portrait" r:id="rId1"/>
  <headerFooter alignWithMargins="0">
    <oddFooter>&amp;C&amp;P/&amp;N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H33"/>
  <sheetViews>
    <sheetView showZeros="0" zoomScaleNormal="100" workbookViewId="0"/>
  </sheetViews>
  <sheetFormatPr defaultRowHeight="12.75"/>
  <cols>
    <col min="1" max="1" width="4.28515625" style="278" bestFit="1" customWidth="1"/>
    <col min="2" max="2" width="27.28515625" style="278" customWidth="1"/>
    <col min="3" max="3" width="11.140625" style="278" customWidth="1"/>
    <col min="4" max="4" width="9.85546875" style="278" bestFit="1" customWidth="1"/>
    <col min="5" max="5" width="10.85546875" style="278" bestFit="1" customWidth="1"/>
    <col min="6" max="6" width="8.85546875" style="278" bestFit="1" customWidth="1"/>
    <col min="7" max="249" width="9.140625" style="278"/>
    <col min="250" max="250" width="4.28515625" style="278" bestFit="1" customWidth="1"/>
    <col min="251" max="251" width="35.42578125" style="278" customWidth="1"/>
    <col min="252" max="254" width="11.140625" style="278" bestFit="1" customWidth="1"/>
    <col min="255" max="255" width="12.7109375" style="278" bestFit="1" customWidth="1"/>
    <col min="256" max="256" width="12.42578125" style="278" customWidth="1"/>
    <col min="257" max="257" width="12.7109375" style="278" customWidth="1"/>
    <col min="258" max="258" width="2.7109375" style="278" customWidth="1"/>
    <col min="259" max="505" width="9.140625" style="278"/>
    <col min="506" max="506" width="4.28515625" style="278" bestFit="1" customWidth="1"/>
    <col min="507" max="507" width="35.42578125" style="278" customWidth="1"/>
    <col min="508" max="510" width="11.140625" style="278" bestFit="1" customWidth="1"/>
    <col min="511" max="511" width="12.7109375" style="278" bestFit="1" customWidth="1"/>
    <col min="512" max="512" width="12.42578125" style="278" customWidth="1"/>
    <col min="513" max="513" width="12.7109375" style="278" customWidth="1"/>
    <col min="514" max="514" width="2.7109375" style="278" customWidth="1"/>
    <col min="515" max="761" width="9.140625" style="278"/>
    <col min="762" max="762" width="4.28515625" style="278" bestFit="1" customWidth="1"/>
    <col min="763" max="763" width="35.42578125" style="278" customWidth="1"/>
    <col min="764" max="766" width="11.140625" style="278" bestFit="1" customWidth="1"/>
    <col min="767" max="767" width="12.7109375" style="278" bestFit="1" customWidth="1"/>
    <col min="768" max="768" width="12.42578125" style="278" customWidth="1"/>
    <col min="769" max="769" width="12.7109375" style="278" customWidth="1"/>
    <col min="770" max="770" width="2.7109375" style="278" customWidth="1"/>
    <col min="771" max="1017" width="9.140625" style="278"/>
    <col min="1018" max="1018" width="4.28515625" style="278" bestFit="1" customWidth="1"/>
    <col min="1019" max="1019" width="35.42578125" style="278" customWidth="1"/>
    <col min="1020" max="1022" width="11.140625" style="278" bestFit="1" customWidth="1"/>
    <col min="1023" max="1023" width="12.7109375" style="278" bestFit="1" customWidth="1"/>
    <col min="1024" max="1024" width="12.42578125" style="278" customWidth="1"/>
    <col min="1025" max="1025" width="12.7109375" style="278" customWidth="1"/>
    <col min="1026" max="1026" width="2.7109375" style="278" customWidth="1"/>
    <col min="1027" max="1273" width="9.140625" style="278"/>
    <col min="1274" max="1274" width="4.28515625" style="278" bestFit="1" customWidth="1"/>
    <col min="1275" max="1275" width="35.42578125" style="278" customWidth="1"/>
    <col min="1276" max="1278" width="11.140625" style="278" bestFit="1" customWidth="1"/>
    <col min="1279" max="1279" width="12.7109375" style="278" bestFit="1" customWidth="1"/>
    <col min="1280" max="1280" width="12.42578125" style="278" customWidth="1"/>
    <col min="1281" max="1281" width="12.7109375" style="278" customWidth="1"/>
    <col min="1282" max="1282" width="2.7109375" style="278" customWidth="1"/>
    <col min="1283" max="1529" width="9.140625" style="278"/>
    <col min="1530" max="1530" width="4.28515625" style="278" bestFit="1" customWidth="1"/>
    <col min="1531" max="1531" width="35.42578125" style="278" customWidth="1"/>
    <col min="1532" max="1534" width="11.140625" style="278" bestFit="1" customWidth="1"/>
    <col min="1535" max="1535" width="12.7109375" style="278" bestFit="1" customWidth="1"/>
    <col min="1536" max="1536" width="12.42578125" style="278" customWidth="1"/>
    <col min="1537" max="1537" width="12.7109375" style="278" customWidth="1"/>
    <col min="1538" max="1538" width="2.7109375" style="278" customWidth="1"/>
    <col min="1539" max="1785" width="9.140625" style="278"/>
    <col min="1786" max="1786" width="4.28515625" style="278" bestFit="1" customWidth="1"/>
    <col min="1787" max="1787" width="35.42578125" style="278" customWidth="1"/>
    <col min="1788" max="1790" width="11.140625" style="278" bestFit="1" customWidth="1"/>
    <col min="1791" max="1791" width="12.7109375" style="278" bestFit="1" customWidth="1"/>
    <col min="1792" max="1792" width="12.42578125" style="278" customWidth="1"/>
    <col min="1793" max="1793" width="12.7109375" style="278" customWidth="1"/>
    <col min="1794" max="1794" width="2.7109375" style="278" customWidth="1"/>
    <col min="1795" max="2041" width="9.140625" style="278"/>
    <col min="2042" max="2042" width="4.28515625" style="278" bestFit="1" customWidth="1"/>
    <col min="2043" max="2043" width="35.42578125" style="278" customWidth="1"/>
    <col min="2044" max="2046" width="11.140625" style="278" bestFit="1" customWidth="1"/>
    <col min="2047" max="2047" width="12.7109375" style="278" bestFit="1" customWidth="1"/>
    <col min="2048" max="2048" width="12.42578125" style="278" customWidth="1"/>
    <col min="2049" max="2049" width="12.7109375" style="278" customWidth="1"/>
    <col min="2050" max="2050" width="2.7109375" style="278" customWidth="1"/>
    <col min="2051" max="2297" width="9.140625" style="278"/>
    <col min="2298" max="2298" width="4.28515625" style="278" bestFit="1" customWidth="1"/>
    <col min="2299" max="2299" width="35.42578125" style="278" customWidth="1"/>
    <col min="2300" max="2302" width="11.140625" style="278" bestFit="1" customWidth="1"/>
    <col min="2303" max="2303" width="12.7109375" style="278" bestFit="1" customWidth="1"/>
    <col min="2304" max="2304" width="12.42578125" style="278" customWidth="1"/>
    <col min="2305" max="2305" width="12.7109375" style="278" customWidth="1"/>
    <col min="2306" max="2306" width="2.7109375" style="278" customWidth="1"/>
    <col min="2307" max="2553" width="9.140625" style="278"/>
    <col min="2554" max="2554" width="4.28515625" style="278" bestFit="1" customWidth="1"/>
    <col min="2555" max="2555" width="35.42578125" style="278" customWidth="1"/>
    <col min="2556" max="2558" width="11.140625" style="278" bestFit="1" customWidth="1"/>
    <col min="2559" max="2559" width="12.7109375" style="278" bestFit="1" customWidth="1"/>
    <col min="2560" max="2560" width="12.42578125" style="278" customWidth="1"/>
    <col min="2561" max="2561" width="12.7109375" style="278" customWidth="1"/>
    <col min="2562" max="2562" width="2.7109375" style="278" customWidth="1"/>
    <col min="2563" max="2809" width="9.140625" style="278"/>
    <col min="2810" max="2810" width="4.28515625" style="278" bestFit="1" customWidth="1"/>
    <col min="2811" max="2811" width="35.42578125" style="278" customWidth="1"/>
    <col min="2812" max="2814" width="11.140625" style="278" bestFit="1" customWidth="1"/>
    <col min="2815" max="2815" width="12.7109375" style="278" bestFit="1" customWidth="1"/>
    <col min="2816" max="2816" width="12.42578125" style="278" customWidth="1"/>
    <col min="2817" max="2817" width="12.7109375" style="278" customWidth="1"/>
    <col min="2818" max="2818" width="2.7109375" style="278" customWidth="1"/>
    <col min="2819" max="3065" width="9.140625" style="278"/>
    <col min="3066" max="3066" width="4.28515625" style="278" bestFit="1" customWidth="1"/>
    <col min="3067" max="3067" width="35.42578125" style="278" customWidth="1"/>
    <col min="3068" max="3070" width="11.140625" style="278" bestFit="1" customWidth="1"/>
    <col min="3071" max="3071" width="12.7109375" style="278" bestFit="1" customWidth="1"/>
    <col min="3072" max="3072" width="12.42578125" style="278" customWidth="1"/>
    <col min="3073" max="3073" width="12.7109375" style="278" customWidth="1"/>
    <col min="3074" max="3074" width="2.7109375" style="278" customWidth="1"/>
    <col min="3075" max="3321" width="9.140625" style="278"/>
    <col min="3322" max="3322" width="4.28515625" style="278" bestFit="1" customWidth="1"/>
    <col min="3323" max="3323" width="35.42578125" style="278" customWidth="1"/>
    <col min="3324" max="3326" width="11.140625" style="278" bestFit="1" customWidth="1"/>
    <col min="3327" max="3327" width="12.7109375" style="278" bestFit="1" customWidth="1"/>
    <col min="3328" max="3328" width="12.42578125" style="278" customWidth="1"/>
    <col min="3329" max="3329" width="12.7109375" style="278" customWidth="1"/>
    <col min="3330" max="3330" width="2.7109375" style="278" customWidth="1"/>
    <col min="3331" max="3577" width="9.140625" style="278"/>
    <col min="3578" max="3578" width="4.28515625" style="278" bestFit="1" customWidth="1"/>
    <col min="3579" max="3579" width="35.42578125" style="278" customWidth="1"/>
    <col min="3580" max="3582" width="11.140625" style="278" bestFit="1" customWidth="1"/>
    <col min="3583" max="3583" width="12.7109375" style="278" bestFit="1" customWidth="1"/>
    <col min="3584" max="3584" width="12.42578125" style="278" customWidth="1"/>
    <col min="3585" max="3585" width="12.7109375" style="278" customWidth="1"/>
    <col min="3586" max="3586" width="2.7109375" style="278" customWidth="1"/>
    <col min="3587" max="3833" width="9.140625" style="278"/>
    <col min="3834" max="3834" width="4.28515625" style="278" bestFit="1" customWidth="1"/>
    <col min="3835" max="3835" width="35.42578125" style="278" customWidth="1"/>
    <col min="3836" max="3838" width="11.140625" style="278" bestFit="1" customWidth="1"/>
    <col min="3839" max="3839" width="12.7109375" style="278" bestFit="1" customWidth="1"/>
    <col min="3840" max="3840" width="12.42578125" style="278" customWidth="1"/>
    <col min="3841" max="3841" width="12.7109375" style="278" customWidth="1"/>
    <col min="3842" max="3842" width="2.7109375" style="278" customWidth="1"/>
    <col min="3843" max="4089" width="9.140625" style="278"/>
    <col min="4090" max="4090" width="4.28515625" style="278" bestFit="1" customWidth="1"/>
    <col min="4091" max="4091" width="35.42578125" style="278" customWidth="1"/>
    <col min="4092" max="4094" width="11.140625" style="278" bestFit="1" customWidth="1"/>
    <col min="4095" max="4095" width="12.7109375" style="278" bestFit="1" customWidth="1"/>
    <col min="4096" max="4096" width="12.42578125" style="278" customWidth="1"/>
    <col min="4097" max="4097" width="12.7109375" style="278" customWidth="1"/>
    <col min="4098" max="4098" width="2.7109375" style="278" customWidth="1"/>
    <col min="4099" max="4345" width="9.140625" style="278"/>
    <col min="4346" max="4346" width="4.28515625" style="278" bestFit="1" customWidth="1"/>
    <col min="4347" max="4347" width="35.42578125" style="278" customWidth="1"/>
    <col min="4348" max="4350" width="11.140625" style="278" bestFit="1" customWidth="1"/>
    <col min="4351" max="4351" width="12.7109375" style="278" bestFit="1" customWidth="1"/>
    <col min="4352" max="4352" width="12.42578125" style="278" customWidth="1"/>
    <col min="4353" max="4353" width="12.7109375" style="278" customWidth="1"/>
    <col min="4354" max="4354" width="2.7109375" style="278" customWidth="1"/>
    <col min="4355" max="4601" width="9.140625" style="278"/>
    <col min="4602" max="4602" width="4.28515625" style="278" bestFit="1" customWidth="1"/>
    <col min="4603" max="4603" width="35.42578125" style="278" customWidth="1"/>
    <col min="4604" max="4606" width="11.140625" style="278" bestFit="1" customWidth="1"/>
    <col min="4607" max="4607" width="12.7109375" style="278" bestFit="1" customWidth="1"/>
    <col min="4608" max="4608" width="12.42578125" style="278" customWidth="1"/>
    <col min="4609" max="4609" width="12.7109375" style="278" customWidth="1"/>
    <col min="4610" max="4610" width="2.7109375" style="278" customWidth="1"/>
    <col min="4611" max="4857" width="9.140625" style="278"/>
    <col min="4858" max="4858" width="4.28515625" style="278" bestFit="1" customWidth="1"/>
    <col min="4859" max="4859" width="35.42578125" style="278" customWidth="1"/>
    <col min="4860" max="4862" width="11.140625" style="278" bestFit="1" customWidth="1"/>
    <col min="4863" max="4863" width="12.7109375" style="278" bestFit="1" customWidth="1"/>
    <col min="4864" max="4864" width="12.42578125" style="278" customWidth="1"/>
    <col min="4865" max="4865" width="12.7109375" style="278" customWidth="1"/>
    <col min="4866" max="4866" width="2.7109375" style="278" customWidth="1"/>
    <col min="4867" max="5113" width="9.140625" style="278"/>
    <col min="5114" max="5114" width="4.28515625" style="278" bestFit="1" customWidth="1"/>
    <col min="5115" max="5115" width="35.42578125" style="278" customWidth="1"/>
    <col min="5116" max="5118" width="11.140625" style="278" bestFit="1" customWidth="1"/>
    <col min="5119" max="5119" width="12.7109375" style="278" bestFit="1" customWidth="1"/>
    <col min="5120" max="5120" width="12.42578125" style="278" customWidth="1"/>
    <col min="5121" max="5121" width="12.7109375" style="278" customWidth="1"/>
    <col min="5122" max="5122" width="2.7109375" style="278" customWidth="1"/>
    <col min="5123" max="5369" width="9.140625" style="278"/>
    <col min="5370" max="5370" width="4.28515625" style="278" bestFit="1" customWidth="1"/>
    <col min="5371" max="5371" width="35.42578125" style="278" customWidth="1"/>
    <col min="5372" max="5374" width="11.140625" style="278" bestFit="1" customWidth="1"/>
    <col min="5375" max="5375" width="12.7109375" style="278" bestFit="1" customWidth="1"/>
    <col min="5376" max="5376" width="12.42578125" style="278" customWidth="1"/>
    <col min="5377" max="5377" width="12.7109375" style="278" customWidth="1"/>
    <col min="5378" max="5378" width="2.7109375" style="278" customWidth="1"/>
    <col min="5379" max="5625" width="9.140625" style="278"/>
    <col min="5626" max="5626" width="4.28515625" style="278" bestFit="1" customWidth="1"/>
    <col min="5627" max="5627" width="35.42578125" style="278" customWidth="1"/>
    <col min="5628" max="5630" width="11.140625" style="278" bestFit="1" customWidth="1"/>
    <col min="5631" max="5631" width="12.7109375" style="278" bestFit="1" customWidth="1"/>
    <col min="5632" max="5632" width="12.42578125" style="278" customWidth="1"/>
    <col min="5633" max="5633" width="12.7109375" style="278" customWidth="1"/>
    <col min="5634" max="5634" width="2.7109375" style="278" customWidth="1"/>
    <col min="5635" max="5881" width="9.140625" style="278"/>
    <col min="5882" max="5882" width="4.28515625" style="278" bestFit="1" customWidth="1"/>
    <col min="5883" max="5883" width="35.42578125" style="278" customWidth="1"/>
    <col min="5884" max="5886" width="11.140625" style="278" bestFit="1" customWidth="1"/>
    <col min="5887" max="5887" width="12.7109375" style="278" bestFit="1" customWidth="1"/>
    <col min="5888" max="5888" width="12.42578125" style="278" customWidth="1"/>
    <col min="5889" max="5889" width="12.7109375" style="278" customWidth="1"/>
    <col min="5890" max="5890" width="2.7109375" style="278" customWidth="1"/>
    <col min="5891" max="6137" width="9.140625" style="278"/>
    <col min="6138" max="6138" width="4.28515625" style="278" bestFit="1" customWidth="1"/>
    <col min="6139" max="6139" width="35.42578125" style="278" customWidth="1"/>
    <col min="6140" max="6142" width="11.140625" style="278" bestFit="1" customWidth="1"/>
    <col min="6143" max="6143" width="12.7109375" style="278" bestFit="1" customWidth="1"/>
    <col min="6144" max="6144" width="12.42578125" style="278" customWidth="1"/>
    <col min="6145" max="6145" width="12.7109375" style="278" customWidth="1"/>
    <col min="6146" max="6146" width="2.7109375" style="278" customWidth="1"/>
    <col min="6147" max="6393" width="9.140625" style="278"/>
    <col min="6394" max="6394" width="4.28515625" style="278" bestFit="1" customWidth="1"/>
    <col min="6395" max="6395" width="35.42578125" style="278" customWidth="1"/>
    <col min="6396" max="6398" width="11.140625" style="278" bestFit="1" customWidth="1"/>
    <col min="6399" max="6399" width="12.7109375" style="278" bestFit="1" customWidth="1"/>
    <col min="6400" max="6400" width="12.42578125" style="278" customWidth="1"/>
    <col min="6401" max="6401" width="12.7109375" style="278" customWidth="1"/>
    <col min="6402" max="6402" width="2.7109375" style="278" customWidth="1"/>
    <col min="6403" max="6649" width="9.140625" style="278"/>
    <col min="6650" max="6650" width="4.28515625" style="278" bestFit="1" customWidth="1"/>
    <col min="6651" max="6651" width="35.42578125" style="278" customWidth="1"/>
    <col min="6652" max="6654" width="11.140625" style="278" bestFit="1" customWidth="1"/>
    <col min="6655" max="6655" width="12.7109375" style="278" bestFit="1" customWidth="1"/>
    <col min="6656" max="6656" width="12.42578125" style="278" customWidth="1"/>
    <col min="6657" max="6657" width="12.7109375" style="278" customWidth="1"/>
    <col min="6658" max="6658" width="2.7109375" style="278" customWidth="1"/>
    <col min="6659" max="6905" width="9.140625" style="278"/>
    <col min="6906" max="6906" width="4.28515625" style="278" bestFit="1" customWidth="1"/>
    <col min="6907" max="6907" width="35.42578125" style="278" customWidth="1"/>
    <col min="6908" max="6910" width="11.140625" style="278" bestFit="1" customWidth="1"/>
    <col min="6911" max="6911" width="12.7109375" style="278" bestFit="1" customWidth="1"/>
    <col min="6912" max="6912" width="12.42578125" style="278" customWidth="1"/>
    <col min="6913" max="6913" width="12.7109375" style="278" customWidth="1"/>
    <col min="6914" max="6914" width="2.7109375" style="278" customWidth="1"/>
    <col min="6915" max="7161" width="9.140625" style="278"/>
    <col min="7162" max="7162" width="4.28515625" style="278" bestFit="1" customWidth="1"/>
    <col min="7163" max="7163" width="35.42578125" style="278" customWidth="1"/>
    <col min="7164" max="7166" width="11.140625" style="278" bestFit="1" customWidth="1"/>
    <col min="7167" max="7167" width="12.7109375" style="278" bestFit="1" customWidth="1"/>
    <col min="7168" max="7168" width="12.42578125" style="278" customWidth="1"/>
    <col min="7169" max="7169" width="12.7109375" style="278" customWidth="1"/>
    <col min="7170" max="7170" width="2.7109375" style="278" customWidth="1"/>
    <col min="7171" max="7417" width="9.140625" style="278"/>
    <col min="7418" max="7418" width="4.28515625" style="278" bestFit="1" customWidth="1"/>
    <col min="7419" max="7419" width="35.42578125" style="278" customWidth="1"/>
    <col min="7420" max="7422" width="11.140625" style="278" bestFit="1" customWidth="1"/>
    <col min="7423" max="7423" width="12.7109375" style="278" bestFit="1" customWidth="1"/>
    <col min="7424" max="7424" width="12.42578125" style="278" customWidth="1"/>
    <col min="7425" max="7425" width="12.7109375" style="278" customWidth="1"/>
    <col min="7426" max="7426" width="2.7109375" style="278" customWidth="1"/>
    <col min="7427" max="7673" width="9.140625" style="278"/>
    <col min="7674" max="7674" width="4.28515625" style="278" bestFit="1" customWidth="1"/>
    <col min="7675" max="7675" width="35.42578125" style="278" customWidth="1"/>
    <col min="7676" max="7678" width="11.140625" style="278" bestFit="1" customWidth="1"/>
    <col min="7679" max="7679" width="12.7109375" style="278" bestFit="1" customWidth="1"/>
    <col min="7680" max="7680" width="12.42578125" style="278" customWidth="1"/>
    <col min="7681" max="7681" width="12.7109375" style="278" customWidth="1"/>
    <col min="7682" max="7682" width="2.7109375" style="278" customWidth="1"/>
    <col min="7683" max="7929" width="9.140625" style="278"/>
    <col min="7930" max="7930" width="4.28515625" style="278" bestFit="1" customWidth="1"/>
    <col min="7931" max="7931" width="35.42578125" style="278" customWidth="1"/>
    <col min="7932" max="7934" width="11.140625" style="278" bestFit="1" customWidth="1"/>
    <col min="7935" max="7935" width="12.7109375" style="278" bestFit="1" customWidth="1"/>
    <col min="7936" max="7936" width="12.42578125" style="278" customWidth="1"/>
    <col min="7937" max="7937" width="12.7109375" style="278" customWidth="1"/>
    <col min="7938" max="7938" width="2.7109375" style="278" customWidth="1"/>
    <col min="7939" max="8185" width="9.140625" style="278"/>
    <col min="8186" max="8186" width="4.28515625" style="278" bestFit="1" customWidth="1"/>
    <col min="8187" max="8187" width="35.42578125" style="278" customWidth="1"/>
    <col min="8188" max="8190" width="11.140625" style="278" bestFit="1" customWidth="1"/>
    <col min="8191" max="8191" width="12.7109375" style="278" bestFit="1" customWidth="1"/>
    <col min="8192" max="8192" width="12.42578125" style="278" customWidth="1"/>
    <col min="8193" max="8193" width="12.7109375" style="278" customWidth="1"/>
    <col min="8194" max="8194" width="2.7109375" style="278" customWidth="1"/>
    <col min="8195" max="8441" width="9.140625" style="278"/>
    <col min="8442" max="8442" width="4.28515625" style="278" bestFit="1" customWidth="1"/>
    <col min="8443" max="8443" width="35.42578125" style="278" customWidth="1"/>
    <col min="8444" max="8446" width="11.140625" style="278" bestFit="1" customWidth="1"/>
    <col min="8447" max="8447" width="12.7109375" style="278" bestFit="1" customWidth="1"/>
    <col min="8448" max="8448" width="12.42578125" style="278" customWidth="1"/>
    <col min="8449" max="8449" width="12.7109375" style="278" customWidth="1"/>
    <col min="8450" max="8450" width="2.7109375" style="278" customWidth="1"/>
    <col min="8451" max="8697" width="9.140625" style="278"/>
    <col min="8698" max="8698" width="4.28515625" style="278" bestFit="1" customWidth="1"/>
    <col min="8699" max="8699" width="35.42578125" style="278" customWidth="1"/>
    <col min="8700" max="8702" width="11.140625" style="278" bestFit="1" customWidth="1"/>
    <col min="8703" max="8703" width="12.7109375" style="278" bestFit="1" customWidth="1"/>
    <col min="8704" max="8704" width="12.42578125" style="278" customWidth="1"/>
    <col min="8705" max="8705" width="12.7109375" style="278" customWidth="1"/>
    <col min="8706" max="8706" width="2.7109375" style="278" customWidth="1"/>
    <col min="8707" max="8953" width="9.140625" style="278"/>
    <col min="8954" max="8954" width="4.28515625" style="278" bestFit="1" customWidth="1"/>
    <col min="8955" max="8955" width="35.42578125" style="278" customWidth="1"/>
    <col min="8956" max="8958" width="11.140625" style="278" bestFit="1" customWidth="1"/>
    <col min="8959" max="8959" width="12.7109375" style="278" bestFit="1" customWidth="1"/>
    <col min="8960" max="8960" width="12.42578125" style="278" customWidth="1"/>
    <col min="8961" max="8961" width="12.7109375" style="278" customWidth="1"/>
    <col min="8962" max="8962" width="2.7109375" style="278" customWidth="1"/>
    <col min="8963" max="9209" width="9.140625" style="278"/>
    <col min="9210" max="9210" width="4.28515625" style="278" bestFit="1" customWidth="1"/>
    <col min="9211" max="9211" width="35.42578125" style="278" customWidth="1"/>
    <col min="9212" max="9214" width="11.140625" style="278" bestFit="1" customWidth="1"/>
    <col min="9215" max="9215" width="12.7109375" style="278" bestFit="1" customWidth="1"/>
    <col min="9216" max="9216" width="12.42578125" style="278" customWidth="1"/>
    <col min="9217" max="9217" width="12.7109375" style="278" customWidth="1"/>
    <col min="9218" max="9218" width="2.7109375" style="278" customWidth="1"/>
    <col min="9219" max="9465" width="9.140625" style="278"/>
    <col min="9466" max="9466" width="4.28515625" style="278" bestFit="1" customWidth="1"/>
    <col min="9467" max="9467" width="35.42578125" style="278" customWidth="1"/>
    <col min="9468" max="9470" width="11.140625" style="278" bestFit="1" customWidth="1"/>
    <col min="9471" max="9471" width="12.7109375" style="278" bestFit="1" customWidth="1"/>
    <col min="9472" max="9472" width="12.42578125" style="278" customWidth="1"/>
    <col min="9473" max="9473" width="12.7109375" style="278" customWidth="1"/>
    <col min="9474" max="9474" width="2.7109375" style="278" customWidth="1"/>
    <col min="9475" max="9721" width="9.140625" style="278"/>
    <col min="9722" max="9722" width="4.28515625" style="278" bestFit="1" customWidth="1"/>
    <col min="9723" max="9723" width="35.42578125" style="278" customWidth="1"/>
    <col min="9724" max="9726" width="11.140625" style="278" bestFit="1" customWidth="1"/>
    <col min="9727" max="9727" width="12.7109375" style="278" bestFit="1" customWidth="1"/>
    <col min="9728" max="9728" width="12.42578125" style="278" customWidth="1"/>
    <col min="9729" max="9729" width="12.7109375" style="278" customWidth="1"/>
    <col min="9730" max="9730" width="2.7109375" style="278" customWidth="1"/>
    <col min="9731" max="9977" width="9.140625" style="278"/>
    <col min="9978" max="9978" width="4.28515625" style="278" bestFit="1" customWidth="1"/>
    <col min="9979" max="9979" width="35.42578125" style="278" customWidth="1"/>
    <col min="9980" max="9982" width="11.140625" style="278" bestFit="1" customWidth="1"/>
    <col min="9983" max="9983" width="12.7109375" style="278" bestFit="1" customWidth="1"/>
    <col min="9984" max="9984" width="12.42578125" style="278" customWidth="1"/>
    <col min="9985" max="9985" width="12.7109375" style="278" customWidth="1"/>
    <col min="9986" max="9986" width="2.7109375" style="278" customWidth="1"/>
    <col min="9987" max="10233" width="9.140625" style="278"/>
    <col min="10234" max="10234" width="4.28515625" style="278" bestFit="1" customWidth="1"/>
    <col min="10235" max="10235" width="35.42578125" style="278" customWidth="1"/>
    <col min="10236" max="10238" width="11.140625" style="278" bestFit="1" customWidth="1"/>
    <col min="10239" max="10239" width="12.7109375" style="278" bestFit="1" customWidth="1"/>
    <col min="10240" max="10240" width="12.42578125" style="278" customWidth="1"/>
    <col min="10241" max="10241" width="12.7109375" style="278" customWidth="1"/>
    <col min="10242" max="10242" width="2.7109375" style="278" customWidth="1"/>
    <col min="10243" max="10489" width="9.140625" style="278"/>
    <col min="10490" max="10490" width="4.28515625" style="278" bestFit="1" customWidth="1"/>
    <col min="10491" max="10491" width="35.42578125" style="278" customWidth="1"/>
    <col min="10492" max="10494" width="11.140625" style="278" bestFit="1" customWidth="1"/>
    <col min="10495" max="10495" width="12.7109375" style="278" bestFit="1" customWidth="1"/>
    <col min="10496" max="10496" width="12.42578125" style="278" customWidth="1"/>
    <col min="10497" max="10497" width="12.7109375" style="278" customWidth="1"/>
    <col min="10498" max="10498" width="2.7109375" style="278" customWidth="1"/>
    <col min="10499" max="10745" width="9.140625" style="278"/>
    <col min="10746" max="10746" width="4.28515625" style="278" bestFit="1" customWidth="1"/>
    <col min="10747" max="10747" width="35.42578125" style="278" customWidth="1"/>
    <col min="10748" max="10750" width="11.140625" style="278" bestFit="1" customWidth="1"/>
    <col min="10751" max="10751" width="12.7109375" style="278" bestFit="1" customWidth="1"/>
    <col min="10752" max="10752" width="12.42578125" style="278" customWidth="1"/>
    <col min="10753" max="10753" width="12.7109375" style="278" customWidth="1"/>
    <col min="10754" max="10754" width="2.7109375" style="278" customWidth="1"/>
    <col min="10755" max="11001" width="9.140625" style="278"/>
    <col min="11002" max="11002" width="4.28515625" style="278" bestFit="1" customWidth="1"/>
    <col min="11003" max="11003" width="35.42578125" style="278" customWidth="1"/>
    <col min="11004" max="11006" width="11.140625" style="278" bestFit="1" customWidth="1"/>
    <col min="11007" max="11007" width="12.7109375" style="278" bestFit="1" customWidth="1"/>
    <col min="11008" max="11008" width="12.42578125" style="278" customWidth="1"/>
    <col min="11009" max="11009" width="12.7109375" style="278" customWidth="1"/>
    <col min="11010" max="11010" width="2.7109375" style="278" customWidth="1"/>
    <col min="11011" max="11257" width="9.140625" style="278"/>
    <col min="11258" max="11258" width="4.28515625" style="278" bestFit="1" customWidth="1"/>
    <col min="11259" max="11259" width="35.42578125" style="278" customWidth="1"/>
    <col min="11260" max="11262" width="11.140625" style="278" bestFit="1" customWidth="1"/>
    <col min="11263" max="11263" width="12.7109375" style="278" bestFit="1" customWidth="1"/>
    <col min="11264" max="11264" width="12.42578125" style="278" customWidth="1"/>
    <col min="11265" max="11265" width="12.7109375" style="278" customWidth="1"/>
    <col min="11266" max="11266" width="2.7109375" style="278" customWidth="1"/>
    <col min="11267" max="11513" width="9.140625" style="278"/>
    <col min="11514" max="11514" width="4.28515625" style="278" bestFit="1" customWidth="1"/>
    <col min="11515" max="11515" width="35.42578125" style="278" customWidth="1"/>
    <col min="11516" max="11518" width="11.140625" style="278" bestFit="1" customWidth="1"/>
    <col min="11519" max="11519" width="12.7109375" style="278" bestFit="1" customWidth="1"/>
    <col min="11520" max="11520" width="12.42578125" style="278" customWidth="1"/>
    <col min="11521" max="11521" width="12.7109375" style="278" customWidth="1"/>
    <col min="11522" max="11522" width="2.7109375" style="278" customWidth="1"/>
    <col min="11523" max="11769" width="9.140625" style="278"/>
    <col min="11770" max="11770" width="4.28515625" style="278" bestFit="1" customWidth="1"/>
    <col min="11771" max="11771" width="35.42578125" style="278" customWidth="1"/>
    <col min="11772" max="11774" width="11.140625" style="278" bestFit="1" customWidth="1"/>
    <col min="11775" max="11775" width="12.7109375" style="278" bestFit="1" customWidth="1"/>
    <col min="11776" max="11776" width="12.42578125" style="278" customWidth="1"/>
    <col min="11777" max="11777" width="12.7109375" style="278" customWidth="1"/>
    <col min="11778" max="11778" width="2.7109375" style="278" customWidth="1"/>
    <col min="11779" max="12025" width="9.140625" style="278"/>
    <col min="12026" max="12026" width="4.28515625" style="278" bestFit="1" customWidth="1"/>
    <col min="12027" max="12027" width="35.42578125" style="278" customWidth="1"/>
    <col min="12028" max="12030" width="11.140625" style="278" bestFit="1" customWidth="1"/>
    <col min="12031" max="12031" width="12.7109375" style="278" bestFit="1" customWidth="1"/>
    <col min="12032" max="12032" width="12.42578125" style="278" customWidth="1"/>
    <col min="12033" max="12033" width="12.7109375" style="278" customWidth="1"/>
    <col min="12034" max="12034" width="2.7109375" style="278" customWidth="1"/>
    <col min="12035" max="12281" width="9.140625" style="278"/>
    <col min="12282" max="12282" width="4.28515625" style="278" bestFit="1" customWidth="1"/>
    <col min="12283" max="12283" width="35.42578125" style="278" customWidth="1"/>
    <col min="12284" max="12286" width="11.140625" style="278" bestFit="1" customWidth="1"/>
    <col min="12287" max="12287" width="12.7109375" style="278" bestFit="1" customWidth="1"/>
    <col min="12288" max="12288" width="12.42578125" style="278" customWidth="1"/>
    <col min="12289" max="12289" width="12.7109375" style="278" customWidth="1"/>
    <col min="12290" max="12290" width="2.7109375" style="278" customWidth="1"/>
    <col min="12291" max="12537" width="9.140625" style="278"/>
    <col min="12538" max="12538" width="4.28515625" style="278" bestFit="1" customWidth="1"/>
    <col min="12539" max="12539" width="35.42578125" style="278" customWidth="1"/>
    <col min="12540" max="12542" width="11.140625" style="278" bestFit="1" customWidth="1"/>
    <col min="12543" max="12543" width="12.7109375" style="278" bestFit="1" customWidth="1"/>
    <col min="12544" max="12544" width="12.42578125" style="278" customWidth="1"/>
    <col min="12545" max="12545" width="12.7109375" style="278" customWidth="1"/>
    <col min="12546" max="12546" width="2.7109375" style="278" customWidth="1"/>
    <col min="12547" max="12793" width="9.140625" style="278"/>
    <col min="12794" max="12794" width="4.28515625" style="278" bestFit="1" customWidth="1"/>
    <col min="12795" max="12795" width="35.42578125" style="278" customWidth="1"/>
    <col min="12796" max="12798" width="11.140625" style="278" bestFit="1" customWidth="1"/>
    <col min="12799" max="12799" width="12.7109375" style="278" bestFit="1" customWidth="1"/>
    <col min="12800" max="12800" width="12.42578125" style="278" customWidth="1"/>
    <col min="12801" max="12801" width="12.7109375" style="278" customWidth="1"/>
    <col min="12802" max="12802" width="2.7109375" style="278" customWidth="1"/>
    <col min="12803" max="13049" width="9.140625" style="278"/>
    <col min="13050" max="13050" width="4.28515625" style="278" bestFit="1" customWidth="1"/>
    <col min="13051" max="13051" width="35.42578125" style="278" customWidth="1"/>
    <col min="13052" max="13054" width="11.140625" style="278" bestFit="1" customWidth="1"/>
    <col min="13055" max="13055" width="12.7109375" style="278" bestFit="1" customWidth="1"/>
    <col min="13056" max="13056" width="12.42578125" style="278" customWidth="1"/>
    <col min="13057" max="13057" width="12.7109375" style="278" customWidth="1"/>
    <col min="13058" max="13058" width="2.7109375" style="278" customWidth="1"/>
    <col min="13059" max="13305" width="9.140625" style="278"/>
    <col min="13306" max="13306" width="4.28515625" style="278" bestFit="1" customWidth="1"/>
    <col min="13307" max="13307" width="35.42578125" style="278" customWidth="1"/>
    <col min="13308" max="13310" width="11.140625" style="278" bestFit="1" customWidth="1"/>
    <col min="13311" max="13311" width="12.7109375" style="278" bestFit="1" customWidth="1"/>
    <col min="13312" max="13312" width="12.42578125" style="278" customWidth="1"/>
    <col min="13313" max="13313" width="12.7109375" style="278" customWidth="1"/>
    <col min="13314" max="13314" width="2.7109375" style="278" customWidth="1"/>
    <col min="13315" max="13561" width="9.140625" style="278"/>
    <col min="13562" max="13562" width="4.28515625" style="278" bestFit="1" customWidth="1"/>
    <col min="13563" max="13563" width="35.42578125" style="278" customWidth="1"/>
    <col min="13564" max="13566" width="11.140625" style="278" bestFit="1" customWidth="1"/>
    <col min="13567" max="13567" width="12.7109375" style="278" bestFit="1" customWidth="1"/>
    <col min="13568" max="13568" width="12.42578125" style="278" customWidth="1"/>
    <col min="13569" max="13569" width="12.7109375" style="278" customWidth="1"/>
    <col min="13570" max="13570" width="2.7109375" style="278" customWidth="1"/>
    <col min="13571" max="13817" width="9.140625" style="278"/>
    <col min="13818" max="13818" width="4.28515625" style="278" bestFit="1" customWidth="1"/>
    <col min="13819" max="13819" width="35.42578125" style="278" customWidth="1"/>
    <col min="13820" max="13822" width="11.140625" style="278" bestFit="1" customWidth="1"/>
    <col min="13823" max="13823" width="12.7109375" style="278" bestFit="1" customWidth="1"/>
    <col min="13824" max="13824" width="12.42578125" style="278" customWidth="1"/>
    <col min="13825" max="13825" width="12.7109375" style="278" customWidth="1"/>
    <col min="13826" max="13826" width="2.7109375" style="278" customWidth="1"/>
    <col min="13827" max="14073" width="9.140625" style="278"/>
    <col min="14074" max="14074" width="4.28515625" style="278" bestFit="1" customWidth="1"/>
    <col min="14075" max="14075" width="35.42578125" style="278" customWidth="1"/>
    <col min="14076" max="14078" width="11.140625" style="278" bestFit="1" customWidth="1"/>
    <col min="14079" max="14079" width="12.7109375" style="278" bestFit="1" customWidth="1"/>
    <col min="14080" max="14080" width="12.42578125" style="278" customWidth="1"/>
    <col min="14081" max="14081" width="12.7109375" style="278" customWidth="1"/>
    <col min="14082" max="14082" width="2.7109375" style="278" customWidth="1"/>
    <col min="14083" max="14329" width="9.140625" style="278"/>
    <col min="14330" max="14330" width="4.28515625" style="278" bestFit="1" customWidth="1"/>
    <col min="14331" max="14331" width="35.42578125" style="278" customWidth="1"/>
    <col min="14332" max="14334" width="11.140625" style="278" bestFit="1" customWidth="1"/>
    <col min="14335" max="14335" width="12.7109375" style="278" bestFit="1" customWidth="1"/>
    <col min="14336" max="14336" width="12.42578125" style="278" customWidth="1"/>
    <col min="14337" max="14337" width="12.7109375" style="278" customWidth="1"/>
    <col min="14338" max="14338" width="2.7109375" style="278" customWidth="1"/>
    <col min="14339" max="14585" width="9.140625" style="278"/>
    <col min="14586" max="14586" width="4.28515625" style="278" bestFit="1" customWidth="1"/>
    <col min="14587" max="14587" width="35.42578125" style="278" customWidth="1"/>
    <col min="14588" max="14590" width="11.140625" style="278" bestFit="1" customWidth="1"/>
    <col min="14591" max="14591" width="12.7109375" style="278" bestFit="1" customWidth="1"/>
    <col min="14592" max="14592" width="12.42578125" style="278" customWidth="1"/>
    <col min="14593" max="14593" width="12.7109375" style="278" customWidth="1"/>
    <col min="14594" max="14594" width="2.7109375" style="278" customWidth="1"/>
    <col min="14595" max="14841" width="9.140625" style="278"/>
    <col min="14842" max="14842" width="4.28515625" style="278" bestFit="1" customWidth="1"/>
    <col min="14843" max="14843" width="35.42578125" style="278" customWidth="1"/>
    <col min="14844" max="14846" width="11.140625" style="278" bestFit="1" customWidth="1"/>
    <col min="14847" max="14847" width="12.7109375" style="278" bestFit="1" customWidth="1"/>
    <col min="14848" max="14848" width="12.42578125" style="278" customWidth="1"/>
    <col min="14849" max="14849" width="12.7109375" style="278" customWidth="1"/>
    <col min="14850" max="14850" width="2.7109375" style="278" customWidth="1"/>
    <col min="14851" max="15097" width="9.140625" style="278"/>
    <col min="15098" max="15098" width="4.28515625" style="278" bestFit="1" customWidth="1"/>
    <col min="15099" max="15099" width="35.42578125" style="278" customWidth="1"/>
    <col min="15100" max="15102" width="11.140625" style="278" bestFit="1" customWidth="1"/>
    <col min="15103" max="15103" width="12.7109375" style="278" bestFit="1" customWidth="1"/>
    <col min="15104" max="15104" width="12.42578125" style="278" customWidth="1"/>
    <col min="15105" max="15105" width="12.7109375" style="278" customWidth="1"/>
    <col min="15106" max="15106" width="2.7109375" style="278" customWidth="1"/>
    <col min="15107" max="15353" width="9.140625" style="278"/>
    <col min="15354" max="15354" width="4.28515625" style="278" bestFit="1" customWidth="1"/>
    <col min="15355" max="15355" width="35.42578125" style="278" customWidth="1"/>
    <col min="15356" max="15358" width="11.140625" style="278" bestFit="1" customWidth="1"/>
    <col min="15359" max="15359" width="12.7109375" style="278" bestFit="1" customWidth="1"/>
    <col min="15360" max="15360" width="12.42578125" style="278" customWidth="1"/>
    <col min="15361" max="15361" width="12.7109375" style="278" customWidth="1"/>
    <col min="15362" max="15362" width="2.7109375" style="278" customWidth="1"/>
    <col min="15363" max="15609" width="9.140625" style="278"/>
    <col min="15610" max="15610" width="4.28515625" style="278" bestFit="1" customWidth="1"/>
    <col min="15611" max="15611" width="35.42578125" style="278" customWidth="1"/>
    <col min="15612" max="15614" width="11.140625" style="278" bestFit="1" customWidth="1"/>
    <col min="15615" max="15615" width="12.7109375" style="278" bestFit="1" customWidth="1"/>
    <col min="15616" max="15616" width="12.42578125" style="278" customWidth="1"/>
    <col min="15617" max="15617" width="12.7109375" style="278" customWidth="1"/>
    <col min="15618" max="15618" width="2.7109375" style="278" customWidth="1"/>
    <col min="15619" max="15865" width="9.140625" style="278"/>
    <col min="15866" max="15866" width="4.28515625" style="278" bestFit="1" customWidth="1"/>
    <col min="15867" max="15867" width="35.42578125" style="278" customWidth="1"/>
    <col min="15868" max="15870" width="11.140625" style="278" bestFit="1" customWidth="1"/>
    <col min="15871" max="15871" width="12.7109375" style="278" bestFit="1" customWidth="1"/>
    <col min="15872" max="15872" width="12.42578125" style="278" customWidth="1"/>
    <col min="15873" max="15873" width="12.7109375" style="278" customWidth="1"/>
    <col min="15874" max="15874" width="2.7109375" style="278" customWidth="1"/>
    <col min="15875" max="16121" width="9.140625" style="278"/>
    <col min="16122" max="16122" width="4.28515625" style="278" bestFit="1" customWidth="1"/>
    <col min="16123" max="16123" width="35.42578125" style="278" customWidth="1"/>
    <col min="16124" max="16126" width="11.140625" style="278" bestFit="1" customWidth="1"/>
    <col min="16127" max="16127" width="12.7109375" style="278" bestFit="1" customWidth="1"/>
    <col min="16128" max="16128" width="12.42578125" style="278" customWidth="1"/>
    <col min="16129" max="16129" width="12.7109375" style="278" customWidth="1"/>
    <col min="16130" max="16130" width="2.7109375" style="278" customWidth="1"/>
    <col min="16131" max="16384" width="9.140625" style="278"/>
  </cols>
  <sheetData>
    <row r="1" spans="1:8" ht="15.75">
      <c r="A1" s="387" t="s">
        <v>309</v>
      </c>
    </row>
    <row r="2" spans="1:8" ht="15.75">
      <c r="B2" s="387"/>
    </row>
    <row r="3" spans="1:8" ht="15.75">
      <c r="A3" s="388"/>
      <c r="B3" s="388"/>
      <c r="C3" s="388"/>
      <c r="D3" s="388"/>
      <c r="E3" s="388"/>
      <c r="F3" s="389" t="s">
        <v>26</v>
      </c>
    </row>
    <row r="4" spans="1:8" ht="15" customHeight="1">
      <c r="A4" s="390" t="s">
        <v>302</v>
      </c>
      <c r="B4" s="391" t="s">
        <v>303</v>
      </c>
      <c r="C4" s="680" t="s">
        <v>310</v>
      </c>
      <c r="D4" s="682" t="s">
        <v>304</v>
      </c>
      <c r="E4" s="683"/>
      <c r="F4" s="684"/>
    </row>
    <row r="5" spans="1:8" ht="30">
      <c r="A5" s="392" t="s">
        <v>305</v>
      </c>
      <c r="B5" s="393"/>
      <c r="C5" s="681"/>
      <c r="D5" s="394" t="s">
        <v>306</v>
      </c>
      <c r="E5" s="394" t="s">
        <v>153</v>
      </c>
      <c r="F5" s="394" t="s">
        <v>307</v>
      </c>
    </row>
    <row r="6" spans="1:8">
      <c r="A6" s="398" t="s">
        <v>308</v>
      </c>
      <c r="B6" s="398" t="s">
        <v>47</v>
      </c>
      <c r="C6" s="395">
        <v>44750710</v>
      </c>
      <c r="D6" s="395">
        <v>12322185</v>
      </c>
      <c r="E6" s="395">
        <v>32428525</v>
      </c>
      <c r="F6" s="395"/>
      <c r="G6" s="397"/>
      <c r="H6" s="397"/>
    </row>
    <row r="7" spans="1:8" ht="15.75">
      <c r="A7" s="396"/>
      <c r="B7" s="400"/>
    </row>
    <row r="8" spans="1:8">
      <c r="A8" s="396"/>
    </row>
    <row r="9" spans="1:8">
      <c r="A9" s="396"/>
    </row>
    <row r="10" spans="1:8">
      <c r="A10" s="396"/>
    </row>
    <row r="11" spans="1:8">
      <c r="A11" s="396"/>
    </row>
    <row r="12" spans="1:8">
      <c r="A12" s="396"/>
    </row>
    <row r="13" spans="1:8">
      <c r="A13" s="396"/>
    </row>
    <row r="14" spans="1:8">
      <c r="A14" s="396"/>
    </row>
    <row r="15" spans="1:8">
      <c r="A15" s="396"/>
    </row>
    <row r="16" spans="1:8">
      <c r="A16" s="396"/>
    </row>
    <row r="17" spans="1:1">
      <c r="A17" s="396"/>
    </row>
    <row r="18" spans="1:1">
      <c r="A18" s="396"/>
    </row>
    <row r="19" spans="1:1">
      <c r="A19" s="396"/>
    </row>
    <row r="20" spans="1:1">
      <c r="A20" s="396"/>
    </row>
    <row r="21" spans="1:1">
      <c r="A21" s="396"/>
    </row>
    <row r="22" spans="1:1">
      <c r="A22" s="396"/>
    </row>
    <row r="23" spans="1:1">
      <c r="A23" s="396"/>
    </row>
    <row r="24" spans="1:1">
      <c r="A24" s="396"/>
    </row>
    <row r="25" spans="1:1">
      <c r="A25" s="396"/>
    </row>
    <row r="26" spans="1:1">
      <c r="A26" s="396"/>
    </row>
    <row r="27" spans="1:1">
      <c r="A27" s="396"/>
    </row>
    <row r="28" spans="1:1">
      <c r="A28" s="396"/>
    </row>
    <row r="29" spans="1:1">
      <c r="A29" s="396"/>
    </row>
    <row r="30" spans="1:1">
      <c r="A30" s="396"/>
    </row>
    <row r="31" spans="1:1">
      <c r="A31" s="396"/>
    </row>
    <row r="32" spans="1:1">
      <c r="A32" s="396"/>
    </row>
    <row r="33" spans="1:1">
      <c r="A33" s="396"/>
    </row>
  </sheetData>
  <mergeCells count="2">
    <mergeCell ref="C4:C5"/>
    <mergeCell ref="D4:F4"/>
  </mergeCells>
  <pageMargins left="1.1811023622047245" right="0.47244094488188981" top="0.31496062992125984" bottom="0.35433070866141736"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D261"/>
  <sheetViews>
    <sheetView showZeros="0" zoomScaleNormal="100" workbookViewId="0">
      <pane xSplit="3" ySplit="4" topLeftCell="D89" activePane="bottomRight" state="frozen"/>
      <selection pane="topRight" activeCell="D1" sqref="D1"/>
      <selection pane="bottomLeft" activeCell="A3" sqref="A3"/>
      <selection pane="bottomRight" activeCell="Y22" sqref="Y22"/>
    </sheetView>
  </sheetViews>
  <sheetFormatPr defaultColWidth="9.140625" defaultRowHeight="12.75"/>
  <cols>
    <col min="1" max="1" width="6.140625" style="4" hidden="1" customWidth="1"/>
    <col min="2" max="2" width="9.7109375" style="4" hidden="1" customWidth="1"/>
    <col min="3" max="3" width="38.42578125" style="11" customWidth="1"/>
    <col min="4" max="4" width="14.140625" style="13" customWidth="1"/>
    <col min="5" max="6" width="12.7109375" style="4" hidden="1" customWidth="1"/>
    <col min="7" max="7" width="14.140625" style="4" hidden="1" customWidth="1"/>
    <col min="8" max="8" width="12.7109375" style="130" hidden="1" customWidth="1"/>
    <col min="9" max="9" width="14.140625" style="130" customWidth="1"/>
    <col min="10" max="10" width="11.85546875" style="4" hidden="1" customWidth="1"/>
    <col min="11" max="11" width="12.7109375" style="4" hidden="1" customWidth="1"/>
    <col min="12" max="12" width="11.5703125" style="4" hidden="1" customWidth="1"/>
    <col min="13" max="13" width="11.42578125" style="4" hidden="1" customWidth="1"/>
    <col min="14" max="14" width="21.7109375" style="130" hidden="1" customWidth="1"/>
    <col min="15" max="15" width="11.85546875" style="4" hidden="1" customWidth="1"/>
    <col min="16" max="16" width="9.5703125" style="4" hidden="1" customWidth="1"/>
    <col min="17" max="17" width="10.28515625" style="4" hidden="1" customWidth="1"/>
    <col min="18" max="18" width="14.85546875" style="130" hidden="1" customWidth="1"/>
    <col min="19" max="19" width="11.7109375" style="4" hidden="1" customWidth="1"/>
    <col min="20" max="22" width="12.7109375" style="4" hidden="1" customWidth="1"/>
    <col min="23" max="23" width="9.7109375" style="130" hidden="1" customWidth="1"/>
    <col min="24" max="24" width="14.140625" style="35" customWidth="1"/>
    <col min="25" max="25" width="14.140625" style="4" customWidth="1"/>
    <col min="26" max="26" width="12.140625" style="130" customWidth="1"/>
    <col min="27" max="27" width="12.7109375" style="4" bestFit="1" customWidth="1"/>
    <col min="28" max="28" width="6.7109375" style="4" bestFit="1" customWidth="1"/>
    <col min="29" max="29" width="10.140625" style="4" bestFit="1" customWidth="1"/>
    <col min="30" max="30" width="28" style="4" bestFit="1" customWidth="1"/>
    <col min="31" max="16384" width="9.140625" style="4"/>
  </cols>
  <sheetData>
    <row r="1" spans="1:30" s="130" customFormat="1">
      <c r="C1" s="275" t="s">
        <v>104</v>
      </c>
      <c r="D1" s="13"/>
      <c r="X1" s="35"/>
    </row>
    <row r="2" spans="1:30" s="130" customFormat="1">
      <c r="C2" s="11"/>
      <c r="D2" s="13"/>
      <c r="X2" s="35"/>
    </row>
    <row r="3" spans="1:30" ht="15" customHeight="1">
      <c r="C3" s="12"/>
      <c r="D3" s="692">
        <v>2017</v>
      </c>
      <c r="E3" s="692"/>
      <c r="F3" s="692"/>
      <c r="G3" s="692"/>
      <c r="H3" s="692"/>
      <c r="I3" s="693"/>
      <c r="J3" s="689">
        <v>2018</v>
      </c>
      <c r="K3" s="690"/>
      <c r="L3" s="690"/>
      <c r="M3" s="690"/>
      <c r="N3" s="690"/>
      <c r="O3" s="690"/>
      <c r="P3" s="690"/>
      <c r="Q3" s="690"/>
      <c r="R3" s="690"/>
      <c r="S3" s="690"/>
      <c r="T3" s="690"/>
      <c r="U3" s="690"/>
      <c r="V3" s="690"/>
      <c r="W3" s="690"/>
      <c r="X3" s="690"/>
      <c r="Y3" s="690"/>
      <c r="Z3" s="691"/>
      <c r="AA3" s="687" t="s">
        <v>197</v>
      </c>
      <c r="AB3" s="688"/>
      <c r="AC3" s="685">
        <v>2018</v>
      </c>
      <c r="AD3" s="686"/>
    </row>
    <row r="4" spans="1:30" ht="42.75" customHeight="1">
      <c r="D4" s="276" t="s">
        <v>204</v>
      </c>
      <c r="E4" s="276" t="s">
        <v>199</v>
      </c>
      <c r="F4" s="276" t="s">
        <v>155</v>
      </c>
      <c r="G4" s="276" t="s">
        <v>156</v>
      </c>
      <c r="H4" s="277" t="s">
        <v>145</v>
      </c>
      <c r="I4" s="277" t="s">
        <v>146</v>
      </c>
      <c r="J4" s="187" t="s">
        <v>158</v>
      </c>
      <c r="K4" s="187" t="s">
        <v>159</v>
      </c>
      <c r="L4" s="187" t="s">
        <v>157</v>
      </c>
      <c r="M4" s="188" t="s">
        <v>168</v>
      </c>
      <c r="N4" s="188" t="s">
        <v>181</v>
      </c>
      <c r="O4" s="188" t="s">
        <v>169</v>
      </c>
      <c r="P4" s="188" t="s">
        <v>170</v>
      </c>
      <c r="Q4" s="188" t="s">
        <v>177</v>
      </c>
      <c r="R4" s="188" t="s">
        <v>205</v>
      </c>
      <c r="S4" s="188" t="s">
        <v>180</v>
      </c>
      <c r="T4" s="187" t="s">
        <v>160</v>
      </c>
      <c r="U4" s="187" t="s">
        <v>161</v>
      </c>
      <c r="V4" s="187" t="s">
        <v>198</v>
      </c>
      <c r="W4" s="187" t="s">
        <v>200</v>
      </c>
      <c r="X4" s="222" t="s">
        <v>231</v>
      </c>
      <c r="Y4" s="180" t="s">
        <v>196</v>
      </c>
      <c r="Z4" s="187" t="s">
        <v>192</v>
      </c>
      <c r="AA4" s="186" t="s">
        <v>26</v>
      </c>
      <c r="AB4" s="186" t="s">
        <v>189</v>
      </c>
      <c r="AC4" s="186" t="s">
        <v>194</v>
      </c>
      <c r="AD4" s="186" t="s">
        <v>195</v>
      </c>
    </row>
    <row r="5" spans="1:30">
      <c r="C5" s="2"/>
      <c r="D5" s="109" t="s">
        <v>26</v>
      </c>
      <c r="AC5" s="130"/>
      <c r="AD5" s="130"/>
    </row>
    <row r="6" spans="1:30">
      <c r="C6" s="32"/>
      <c r="D6" s="96"/>
      <c r="E6" s="96"/>
      <c r="F6" s="96"/>
      <c r="G6" s="96"/>
      <c r="H6" s="96"/>
      <c r="I6" s="96">
        <f t="shared" ref="I6:I24" si="0">D6+H6</f>
        <v>0</v>
      </c>
      <c r="J6" s="96"/>
      <c r="K6" s="96"/>
      <c r="L6" s="96"/>
      <c r="M6" s="96"/>
      <c r="N6" s="96"/>
      <c r="O6" s="96"/>
      <c r="P6" s="96"/>
      <c r="Q6" s="96"/>
      <c r="R6" s="96"/>
      <c r="S6" s="96"/>
      <c r="T6" s="96"/>
      <c r="U6" s="96"/>
      <c r="V6" s="96"/>
      <c r="W6" s="96"/>
      <c r="X6" s="96">
        <f t="shared" ref="X6:X56" si="1">G6+T6+U6+V6+W6</f>
        <v>0</v>
      </c>
      <c r="Y6" s="96"/>
      <c r="Z6" s="96">
        <f t="shared" ref="Z6:Z43" si="2">Y6-X6</f>
        <v>0</v>
      </c>
      <c r="AA6" s="96">
        <f t="shared" ref="AA6:AA43" si="3">Y6-I6</f>
        <v>0</v>
      </c>
      <c r="AB6" s="208" t="str">
        <f t="shared" ref="AB6:AB43" si="4">IF(I6=0,"",AA6/I6)</f>
        <v/>
      </c>
      <c r="AC6" s="96"/>
    </row>
    <row r="7" spans="1:30" ht="15.75">
      <c r="C7" s="52" t="s">
        <v>28</v>
      </c>
      <c r="D7" s="91"/>
      <c r="E7" s="91"/>
      <c r="F7" s="91"/>
      <c r="G7" s="91"/>
      <c r="H7" s="91"/>
      <c r="I7" s="91">
        <f t="shared" si="0"/>
        <v>0</v>
      </c>
      <c r="J7" s="91"/>
      <c r="K7" s="91"/>
      <c r="L7" s="91"/>
      <c r="M7" s="91"/>
      <c r="N7" s="91"/>
      <c r="O7" s="91"/>
      <c r="P7" s="91"/>
      <c r="Q7" s="91"/>
      <c r="R7" s="91"/>
      <c r="S7" s="91"/>
      <c r="T7" s="91"/>
      <c r="U7" s="91"/>
      <c r="V7" s="91"/>
      <c r="W7" s="91"/>
      <c r="X7" s="223">
        <f t="shared" si="1"/>
        <v>0</v>
      </c>
      <c r="Y7" s="91"/>
      <c r="Z7" s="91">
        <f t="shared" si="2"/>
        <v>0</v>
      </c>
      <c r="AA7" s="91">
        <f t="shared" si="3"/>
        <v>0</v>
      </c>
      <c r="AB7" s="200" t="str">
        <f t="shared" si="4"/>
        <v/>
      </c>
      <c r="AC7" s="91"/>
    </row>
    <row r="8" spans="1:30">
      <c r="C8" s="34"/>
      <c r="D8" s="97"/>
      <c r="E8" s="97"/>
      <c r="F8" s="97"/>
      <c r="G8" s="97"/>
      <c r="H8" s="97"/>
      <c r="I8" s="97">
        <f t="shared" si="0"/>
        <v>0</v>
      </c>
      <c r="J8" s="97"/>
      <c r="K8" s="97"/>
      <c r="L8" s="97"/>
      <c r="M8" s="97"/>
      <c r="N8" s="97"/>
      <c r="O8" s="97"/>
      <c r="P8" s="97"/>
      <c r="Q8" s="97"/>
      <c r="R8" s="97"/>
      <c r="S8" s="97"/>
      <c r="T8" s="97"/>
      <c r="U8" s="97"/>
      <c r="V8" s="97"/>
      <c r="W8" s="97"/>
      <c r="X8" s="97">
        <f t="shared" si="1"/>
        <v>0</v>
      </c>
      <c r="Y8" s="97"/>
      <c r="Z8" s="97">
        <f t="shared" si="2"/>
        <v>0</v>
      </c>
      <c r="AA8" s="97">
        <f t="shared" si="3"/>
        <v>0</v>
      </c>
      <c r="AB8" s="211" t="str">
        <f t="shared" si="4"/>
        <v/>
      </c>
      <c r="AC8" s="97"/>
    </row>
    <row r="9" spans="1:30">
      <c r="A9" s="130"/>
      <c r="B9" s="130"/>
      <c r="C9" s="53" t="s">
        <v>29</v>
      </c>
      <c r="D9" s="134">
        <f>D17+D170</f>
        <v>32277265</v>
      </c>
      <c r="E9" s="134">
        <f>E17+E170</f>
        <v>0</v>
      </c>
      <c r="F9" s="134">
        <f>F17+F170</f>
        <v>2812119</v>
      </c>
      <c r="G9" s="134">
        <f t="shared" ref="G9:G43" si="5">D9-E9-F9</f>
        <v>29465146</v>
      </c>
      <c r="H9" s="134">
        <f>H17+H170</f>
        <v>8707895</v>
      </c>
      <c r="I9" s="134">
        <f t="shared" si="0"/>
        <v>40985160</v>
      </c>
      <c r="J9" s="134">
        <f>J17+J170</f>
        <v>-40000</v>
      </c>
      <c r="K9" s="134">
        <f>K17+K170</f>
        <v>2991030</v>
      </c>
      <c r="L9" s="134">
        <f>L17+L170</f>
        <v>0</v>
      </c>
      <c r="M9" s="134">
        <f>M17+M170</f>
        <v>0</v>
      </c>
      <c r="N9" s="134"/>
      <c r="O9" s="134">
        <f>O17+O170</f>
        <v>2782</v>
      </c>
      <c r="P9" s="134">
        <f>P17+P170</f>
        <v>9562</v>
      </c>
      <c r="Q9" s="134">
        <f>Q17+Q170</f>
        <v>0</v>
      </c>
      <c r="R9" s="134"/>
      <c r="S9" s="134">
        <f>S17+S170</f>
        <v>0</v>
      </c>
      <c r="T9" s="134">
        <f t="shared" ref="T9:T32" si="6">SUM(J9:S9)</f>
        <v>2963374</v>
      </c>
      <c r="U9" s="134">
        <f>U17+U170</f>
        <v>12322185</v>
      </c>
      <c r="V9" s="134">
        <f>V17+V170</f>
        <v>0</v>
      </c>
      <c r="W9" s="134">
        <f>W17+W170</f>
        <v>5</v>
      </c>
      <c r="X9" s="95">
        <f t="shared" si="1"/>
        <v>44750710</v>
      </c>
      <c r="Y9" s="134">
        <f>Y17+Y170</f>
        <v>44750710</v>
      </c>
      <c r="Z9" s="134">
        <f t="shared" si="2"/>
        <v>0</v>
      </c>
      <c r="AA9" s="134">
        <f t="shared" si="3"/>
        <v>3765550</v>
      </c>
      <c r="AB9" s="189">
        <f t="shared" si="4"/>
        <v>9.18759375344637E-2</v>
      </c>
      <c r="AC9" s="134"/>
    </row>
    <row r="10" spans="1:30" s="111" customFormat="1">
      <c r="A10" s="4"/>
      <c r="B10" s="4"/>
      <c r="C10" s="54" t="s">
        <v>37</v>
      </c>
      <c r="D10" s="135">
        <v>1470000</v>
      </c>
      <c r="E10" s="135"/>
      <c r="F10" s="135"/>
      <c r="G10" s="135">
        <f t="shared" si="5"/>
        <v>1470000</v>
      </c>
      <c r="H10" s="135"/>
      <c r="I10" s="135">
        <f t="shared" si="0"/>
        <v>1470000</v>
      </c>
      <c r="J10" s="135"/>
      <c r="K10" s="135"/>
      <c r="L10" s="135"/>
      <c r="M10" s="135"/>
      <c r="N10" s="135"/>
      <c r="O10" s="135"/>
      <c r="P10" s="135"/>
      <c r="Q10" s="135"/>
      <c r="R10" s="135"/>
      <c r="S10" s="135"/>
      <c r="T10" s="135">
        <f t="shared" si="6"/>
        <v>0</v>
      </c>
      <c r="U10" s="135"/>
      <c r="V10" s="135"/>
      <c r="W10" s="135"/>
      <c r="X10" s="224">
        <f t="shared" si="1"/>
        <v>1470000</v>
      </c>
      <c r="Y10" s="135">
        <v>1470000</v>
      </c>
      <c r="Z10" s="135">
        <f t="shared" si="2"/>
        <v>0</v>
      </c>
      <c r="AA10" s="135">
        <f t="shared" si="3"/>
        <v>0</v>
      </c>
      <c r="AB10" s="190">
        <f t="shared" si="4"/>
        <v>0</v>
      </c>
      <c r="AC10" s="135"/>
      <c r="AD10" s="4"/>
    </row>
    <row r="11" spans="1:30">
      <c r="C11" s="61" t="s">
        <v>30</v>
      </c>
      <c r="D11" s="136">
        <f>D12+D14</f>
        <v>32277265</v>
      </c>
      <c r="E11" s="136">
        <f t="shared" ref="E11:W11" si="7">E12+E14</f>
        <v>0</v>
      </c>
      <c r="F11" s="136">
        <f t="shared" si="7"/>
        <v>2812119</v>
      </c>
      <c r="G11" s="136">
        <f t="shared" si="5"/>
        <v>29465146</v>
      </c>
      <c r="H11" s="136">
        <f>H12+H14+H13</f>
        <v>8707895</v>
      </c>
      <c r="I11" s="136">
        <f t="shared" si="0"/>
        <v>40985160</v>
      </c>
      <c r="J11" s="136">
        <f t="shared" si="7"/>
        <v>-40000</v>
      </c>
      <c r="K11" s="136">
        <f t="shared" si="7"/>
        <v>2991030</v>
      </c>
      <c r="L11" s="136">
        <f t="shared" ref="L11:S11" si="8">L12+L14</f>
        <v>0</v>
      </c>
      <c r="M11" s="136">
        <f t="shared" si="8"/>
        <v>0</v>
      </c>
      <c r="N11" s="136"/>
      <c r="O11" s="136">
        <f t="shared" si="8"/>
        <v>2782</v>
      </c>
      <c r="P11" s="136">
        <f t="shared" si="8"/>
        <v>9562</v>
      </c>
      <c r="Q11" s="136">
        <f t="shared" si="8"/>
        <v>0</v>
      </c>
      <c r="R11" s="136"/>
      <c r="S11" s="136">
        <f t="shared" si="8"/>
        <v>0</v>
      </c>
      <c r="T11" s="136">
        <f t="shared" si="6"/>
        <v>2963374</v>
      </c>
      <c r="U11" s="136">
        <f t="shared" si="7"/>
        <v>12322185</v>
      </c>
      <c r="V11" s="136">
        <f t="shared" si="7"/>
        <v>0</v>
      </c>
      <c r="W11" s="136">
        <f t="shared" si="7"/>
        <v>5</v>
      </c>
      <c r="X11" s="225">
        <f t="shared" si="1"/>
        <v>44750710</v>
      </c>
      <c r="Y11" s="136">
        <f>Y12+Y14</f>
        <v>44750710</v>
      </c>
      <c r="Z11" s="136">
        <f t="shared" si="2"/>
        <v>0</v>
      </c>
      <c r="AA11" s="136">
        <f t="shared" si="3"/>
        <v>3765550</v>
      </c>
      <c r="AB11" s="191">
        <f t="shared" si="4"/>
        <v>9.18759375344637E-2</v>
      </c>
      <c r="AC11" s="136"/>
    </row>
    <row r="12" spans="1:30">
      <c r="C12" s="55" t="s">
        <v>31</v>
      </c>
      <c r="D12" s="135">
        <v>2812119</v>
      </c>
      <c r="E12" s="135"/>
      <c r="F12" s="135">
        <f>F17+F170</f>
        <v>2812119</v>
      </c>
      <c r="G12" s="135">
        <f t="shared" si="5"/>
        <v>0</v>
      </c>
      <c r="H12" s="135">
        <v>8104076</v>
      </c>
      <c r="I12" s="135">
        <f t="shared" si="0"/>
        <v>10916195</v>
      </c>
      <c r="J12" s="135"/>
      <c r="K12" s="135"/>
      <c r="L12" s="135"/>
      <c r="M12" s="135"/>
      <c r="N12" s="135"/>
      <c r="O12" s="135"/>
      <c r="P12" s="135"/>
      <c r="Q12" s="135"/>
      <c r="R12" s="135"/>
      <c r="S12" s="135"/>
      <c r="T12" s="135">
        <f t="shared" si="6"/>
        <v>0</v>
      </c>
      <c r="U12" s="135">
        <f>U17+U170</f>
        <v>12322185</v>
      </c>
      <c r="V12" s="135"/>
      <c r="W12" s="135"/>
      <c r="X12" s="224">
        <f t="shared" si="1"/>
        <v>12322185</v>
      </c>
      <c r="Y12" s="135">
        <v>12322185</v>
      </c>
      <c r="Z12" s="135">
        <f t="shared" si="2"/>
        <v>0</v>
      </c>
      <c r="AA12" s="135">
        <f t="shared" si="3"/>
        <v>1405990</v>
      </c>
      <c r="AB12" s="190">
        <f t="shared" si="4"/>
        <v>0.12879854198280627</v>
      </c>
      <c r="AC12" s="135"/>
    </row>
    <row r="13" spans="1:30" s="130" customFormat="1">
      <c r="C13" s="48" t="s">
        <v>27</v>
      </c>
      <c r="D13" s="135"/>
      <c r="E13" s="135"/>
      <c r="F13" s="135"/>
      <c r="G13" s="135"/>
      <c r="H13" s="135">
        <v>87926</v>
      </c>
      <c r="I13" s="135">
        <f t="shared" si="0"/>
        <v>87926</v>
      </c>
      <c r="J13" s="135"/>
      <c r="K13" s="135"/>
      <c r="L13" s="135"/>
      <c r="M13" s="135"/>
      <c r="N13" s="135"/>
      <c r="O13" s="135"/>
      <c r="P13" s="135"/>
      <c r="Q13" s="135"/>
      <c r="R13" s="135"/>
      <c r="S13" s="135"/>
      <c r="T13" s="135"/>
      <c r="U13" s="135"/>
      <c r="V13" s="135"/>
      <c r="W13" s="135"/>
      <c r="X13" s="224">
        <f t="shared" si="1"/>
        <v>0</v>
      </c>
      <c r="Y13" s="135"/>
      <c r="Z13" s="135">
        <f t="shared" si="2"/>
        <v>0</v>
      </c>
      <c r="AA13" s="135">
        <f t="shared" si="3"/>
        <v>-87926</v>
      </c>
      <c r="AB13" s="190">
        <f t="shared" si="4"/>
        <v>-1</v>
      </c>
      <c r="AC13" s="135"/>
    </row>
    <row r="14" spans="1:30">
      <c r="C14" s="48" t="s">
        <v>32</v>
      </c>
      <c r="D14" s="135">
        <f>D9-D12</f>
        <v>29465146</v>
      </c>
      <c r="E14" s="135">
        <f t="shared" ref="E14:W14" si="9">E9-E12</f>
        <v>0</v>
      </c>
      <c r="F14" s="135">
        <f t="shared" si="9"/>
        <v>0</v>
      </c>
      <c r="G14" s="135">
        <f t="shared" si="5"/>
        <v>29465146</v>
      </c>
      <c r="H14" s="135">
        <f>H9-H12-H13</f>
        <v>515893</v>
      </c>
      <c r="I14" s="135">
        <f t="shared" si="0"/>
        <v>29981039</v>
      </c>
      <c r="J14" s="135">
        <f t="shared" si="9"/>
        <v>-40000</v>
      </c>
      <c r="K14" s="135">
        <f t="shared" si="9"/>
        <v>2991030</v>
      </c>
      <c r="L14" s="135">
        <f t="shared" ref="L14:S14" si="10">L9-L12</f>
        <v>0</v>
      </c>
      <c r="M14" s="135">
        <f t="shared" si="10"/>
        <v>0</v>
      </c>
      <c r="N14" s="135"/>
      <c r="O14" s="135">
        <f t="shared" si="10"/>
        <v>2782</v>
      </c>
      <c r="P14" s="135">
        <f t="shared" si="10"/>
        <v>9562</v>
      </c>
      <c r="Q14" s="135">
        <f t="shared" si="10"/>
        <v>0</v>
      </c>
      <c r="R14" s="135"/>
      <c r="S14" s="135">
        <f t="shared" si="10"/>
        <v>0</v>
      </c>
      <c r="T14" s="135">
        <f t="shared" si="6"/>
        <v>2963374</v>
      </c>
      <c r="U14" s="135">
        <f t="shared" si="9"/>
        <v>0</v>
      </c>
      <c r="V14" s="135">
        <f t="shared" si="9"/>
        <v>0</v>
      </c>
      <c r="W14" s="135">
        <f t="shared" si="9"/>
        <v>5</v>
      </c>
      <c r="X14" s="224">
        <f t="shared" si="1"/>
        <v>32428525</v>
      </c>
      <c r="Y14" s="135">
        <f>Y9-Y12</f>
        <v>32428525</v>
      </c>
      <c r="Z14" s="135">
        <f t="shared" si="2"/>
        <v>0</v>
      </c>
      <c r="AA14" s="135">
        <f t="shared" si="3"/>
        <v>2447486</v>
      </c>
      <c r="AB14" s="190">
        <f t="shared" si="4"/>
        <v>8.1634462368032013E-2</v>
      </c>
      <c r="AC14" s="135"/>
    </row>
    <row r="15" spans="1:30">
      <c r="A15" s="111"/>
      <c r="B15" s="111"/>
      <c r="C15" s="113" t="s">
        <v>154</v>
      </c>
      <c r="D15" s="215">
        <f>D19+D61+D81+D139+D175+D180+D219+D224+D227+D260</f>
        <v>7450387</v>
      </c>
      <c r="E15" s="215">
        <f>E19+E61+E81+E139+E175+E180+E219+E224+E227+E260</f>
        <v>0</v>
      </c>
      <c r="F15" s="215">
        <f>F19+F61+F81+F139+F175+F180+F219+F224+F227+F260</f>
        <v>0</v>
      </c>
      <c r="G15" s="215">
        <f t="shared" si="5"/>
        <v>7450387</v>
      </c>
      <c r="H15" s="215">
        <f>H19+H61+H81+H139+H175+H180+H219+H224+H227+H260+H214</f>
        <v>5102605</v>
      </c>
      <c r="I15" s="215">
        <f t="shared" si="0"/>
        <v>12552992</v>
      </c>
      <c r="J15" s="215">
        <f>J19+J61+J81+J139+J175+J180+J219+J224+J227+J260</f>
        <v>0</v>
      </c>
      <c r="K15" s="215">
        <f t="shared" ref="K15:Y15" si="11">K19+K61+K81+K139+K175+K180+K219+K224+K227+K260+K211</f>
        <v>46560</v>
      </c>
      <c r="L15" s="215">
        <f t="shared" si="11"/>
        <v>0</v>
      </c>
      <c r="M15" s="215">
        <f t="shared" si="11"/>
        <v>0</v>
      </c>
      <c r="N15" s="215">
        <f t="shared" si="11"/>
        <v>0</v>
      </c>
      <c r="O15" s="215">
        <f t="shared" si="11"/>
        <v>2079</v>
      </c>
      <c r="P15" s="215">
        <f t="shared" si="11"/>
        <v>6227</v>
      </c>
      <c r="Q15" s="215">
        <f t="shared" si="11"/>
        <v>0</v>
      </c>
      <c r="R15" s="215">
        <f t="shared" si="11"/>
        <v>0</v>
      </c>
      <c r="S15" s="215">
        <f t="shared" si="11"/>
        <v>0</v>
      </c>
      <c r="T15" s="215">
        <f t="shared" si="11"/>
        <v>54866</v>
      </c>
      <c r="U15" s="215">
        <f t="shared" si="11"/>
        <v>5201000</v>
      </c>
      <c r="V15" s="215">
        <f t="shared" si="11"/>
        <v>0</v>
      </c>
      <c r="W15" s="215">
        <f t="shared" si="11"/>
        <v>0</v>
      </c>
      <c r="X15" s="215">
        <f t="shared" si="11"/>
        <v>12706253</v>
      </c>
      <c r="Y15" s="215">
        <f t="shared" si="11"/>
        <v>12706253</v>
      </c>
      <c r="Z15" s="215">
        <f t="shared" si="2"/>
        <v>0</v>
      </c>
      <c r="AA15" s="215">
        <f t="shared" si="3"/>
        <v>153261</v>
      </c>
      <c r="AB15" s="300">
        <f t="shared" si="4"/>
        <v>1.220912114020307E-2</v>
      </c>
      <c r="AC15" s="215"/>
      <c r="AD15" s="112"/>
    </row>
    <row r="16" spans="1:30">
      <c r="C16" s="62"/>
      <c r="D16" s="132"/>
      <c r="E16" s="132"/>
      <c r="F16" s="132"/>
      <c r="G16" s="132">
        <f t="shared" si="5"/>
        <v>0</v>
      </c>
      <c r="H16" s="132"/>
      <c r="I16" s="132">
        <f t="shared" si="0"/>
        <v>0</v>
      </c>
      <c r="J16" s="132"/>
      <c r="K16" s="132"/>
      <c r="L16" s="132"/>
      <c r="M16" s="132"/>
      <c r="N16" s="132"/>
      <c r="O16" s="132"/>
      <c r="P16" s="132"/>
      <c r="Q16" s="132"/>
      <c r="R16" s="132"/>
      <c r="S16" s="132"/>
      <c r="T16" s="132">
        <f t="shared" si="6"/>
        <v>0</v>
      </c>
      <c r="U16" s="132"/>
      <c r="V16" s="132"/>
      <c r="W16" s="132"/>
      <c r="X16" s="96">
        <f t="shared" si="1"/>
        <v>0</v>
      </c>
      <c r="Y16" s="132"/>
      <c r="Z16" s="132">
        <f t="shared" si="2"/>
        <v>0</v>
      </c>
      <c r="AA16" s="132">
        <f t="shared" si="3"/>
        <v>0</v>
      </c>
      <c r="AB16" s="157" t="str">
        <f t="shared" si="4"/>
        <v/>
      </c>
      <c r="AC16" s="132"/>
    </row>
    <row r="17" spans="1:29" ht="15">
      <c r="A17" s="4" t="s">
        <v>114</v>
      </c>
      <c r="B17" s="4" t="s">
        <v>28</v>
      </c>
      <c r="C17" s="56" t="s">
        <v>38</v>
      </c>
      <c r="D17" s="143">
        <f>D18+D60+D80+D138</f>
        <v>14636640</v>
      </c>
      <c r="E17" s="143">
        <f>E18+E60+E80+E138</f>
        <v>0</v>
      </c>
      <c r="F17" s="143">
        <f>F18+F60+F80+F138</f>
        <v>2411762</v>
      </c>
      <c r="G17" s="143">
        <f t="shared" si="5"/>
        <v>12224878</v>
      </c>
      <c r="H17" s="143">
        <f>H18+H60+H80+H138</f>
        <v>604748</v>
      </c>
      <c r="I17" s="143">
        <f t="shared" si="0"/>
        <v>15241388</v>
      </c>
      <c r="J17" s="143">
        <f>J18+J60+J80+J138</f>
        <v>0</v>
      </c>
      <c r="K17" s="143">
        <f>K18+K60+K80+K138</f>
        <v>329110</v>
      </c>
      <c r="L17" s="143">
        <f>L18+L60+L80+L138</f>
        <v>0</v>
      </c>
      <c r="M17" s="143">
        <f>M18+M60+M80+M138</f>
        <v>0</v>
      </c>
      <c r="N17" s="143"/>
      <c r="O17" s="143">
        <f>O18+O60+O80+O138</f>
        <v>0</v>
      </c>
      <c r="P17" s="143">
        <f>P18+P60+P80+P138</f>
        <v>264069</v>
      </c>
      <c r="Q17" s="143">
        <f>Q18+Q60+Q80+Q138</f>
        <v>0</v>
      </c>
      <c r="R17" s="143"/>
      <c r="S17" s="143">
        <f>S18+S60+S80+S138</f>
        <v>0</v>
      </c>
      <c r="T17" s="143">
        <f t="shared" si="6"/>
        <v>593179</v>
      </c>
      <c r="U17" s="143">
        <f>U18+U60+U80+U138</f>
        <v>3895143</v>
      </c>
      <c r="V17" s="143">
        <f>V18+V60+V80+V138</f>
        <v>0</v>
      </c>
      <c r="W17" s="143">
        <f>W18+W60+W80+W138</f>
        <v>10</v>
      </c>
      <c r="X17" s="230">
        <f t="shared" si="1"/>
        <v>16713210</v>
      </c>
      <c r="Y17" s="143">
        <f>Y18+Y60+Y80+Y138</f>
        <v>16713210</v>
      </c>
      <c r="Z17" s="143">
        <f t="shared" si="2"/>
        <v>0</v>
      </c>
      <c r="AA17" s="143">
        <f t="shared" si="3"/>
        <v>1471822</v>
      </c>
      <c r="AB17" s="201">
        <f t="shared" si="4"/>
        <v>9.656745173077412E-2</v>
      </c>
      <c r="AC17" s="143"/>
    </row>
    <row r="18" spans="1:29">
      <c r="C18" s="49" t="s">
        <v>39</v>
      </c>
      <c r="D18" s="142">
        <f>D21+D24+D27+D31+D35+D40+D43+D52+D57</f>
        <v>4800430</v>
      </c>
      <c r="E18" s="142">
        <f>E21+E24+E27+E31+E35+E40+E43+E52+E57</f>
        <v>0</v>
      </c>
      <c r="F18" s="142">
        <f>F21+F24+F27+F31+F35+F40+F43+F52+F57</f>
        <v>261842</v>
      </c>
      <c r="G18" s="142">
        <f t="shared" si="5"/>
        <v>4538588</v>
      </c>
      <c r="H18" s="142">
        <f>H21+H24+H27+H31+H35+H40+H43+H52+H57</f>
        <v>250764</v>
      </c>
      <c r="I18" s="142">
        <f t="shared" si="0"/>
        <v>5051194</v>
      </c>
      <c r="J18" s="142">
        <f>J21+J24+J27+J31+J35+J40+J43+J52+J57</f>
        <v>0</v>
      </c>
      <c r="K18" s="142">
        <f>K21+K24+K27+K31+K35+K40+K43+K52+K57</f>
        <v>196710</v>
      </c>
      <c r="L18" s="142">
        <f>L21+L24+L27+L31+L35+L40+L43+L52+L57</f>
        <v>0</v>
      </c>
      <c r="M18" s="142">
        <f>M21+M24+M27+M31+M35+M40+M43+M52+M57</f>
        <v>0</v>
      </c>
      <c r="N18" s="142"/>
      <c r="O18" s="142">
        <f>O21+O24+O27+O31+O35+O40+O43+O52+O57</f>
        <v>0</v>
      </c>
      <c r="P18" s="142">
        <f>P21+P24+P27+P31+P35+P40+P43+P52+P57</f>
        <v>78675</v>
      </c>
      <c r="Q18" s="142">
        <f>Q21+Q24+Q27+Q31+Q35+Q40+Q43+Q52+Q57</f>
        <v>0</v>
      </c>
      <c r="R18" s="142"/>
      <c r="S18" s="142">
        <f>S21+S24+S27+S31+S35+S40+S43+S52+S57</f>
        <v>0</v>
      </c>
      <c r="T18" s="142">
        <f t="shared" si="6"/>
        <v>275385</v>
      </c>
      <c r="U18" s="142">
        <f>U21+U24+U27+U31+U35+U40+U43+U52+U57</f>
        <v>1701082</v>
      </c>
      <c r="V18" s="142">
        <f>V21+V24+V27+V31+V35+V40+V43+V52+V57</f>
        <v>0</v>
      </c>
      <c r="W18" s="142">
        <f>W21+W24+W27+W31+W35+W40+W43+W52+W57</f>
        <v>5</v>
      </c>
      <c r="X18" s="229">
        <f t="shared" si="1"/>
        <v>6515060</v>
      </c>
      <c r="Y18" s="142">
        <f>Y21+Y24+Y27+Y31+Y35+Y40+Y43+Y52+Y57</f>
        <v>6515060</v>
      </c>
      <c r="Z18" s="142">
        <f t="shared" si="2"/>
        <v>0</v>
      </c>
      <c r="AA18" s="142">
        <f t="shared" si="3"/>
        <v>1463866</v>
      </c>
      <c r="AB18" s="198">
        <f t="shared" si="4"/>
        <v>0.28980593499279578</v>
      </c>
      <c r="AC18" s="142"/>
    </row>
    <row r="19" spans="1:29">
      <c r="C19" s="50" t="s">
        <v>34</v>
      </c>
      <c r="D19" s="138">
        <f>+D28+D32+D44+D58</f>
        <v>1873891</v>
      </c>
      <c r="E19" s="138">
        <f>E28+E32+E44+E58</f>
        <v>0</v>
      </c>
      <c r="F19" s="138">
        <f>F28+F32+F44+F58</f>
        <v>0</v>
      </c>
      <c r="G19" s="138">
        <f t="shared" si="5"/>
        <v>1873891</v>
      </c>
      <c r="H19" s="138">
        <f>+H28+H32+H44+H58</f>
        <v>50100</v>
      </c>
      <c r="I19" s="138">
        <f t="shared" si="0"/>
        <v>1923991</v>
      </c>
      <c r="J19" s="138">
        <f>J28+J32+J44+J58</f>
        <v>0</v>
      </c>
      <c r="K19" s="138">
        <f>K28+K32+K44+K58</f>
        <v>0</v>
      </c>
      <c r="L19" s="138">
        <f>L28+L32+L44+L58</f>
        <v>0</v>
      </c>
      <c r="M19" s="138">
        <f>M28+M32+M44+M58</f>
        <v>0</v>
      </c>
      <c r="N19" s="138"/>
      <c r="O19" s="138">
        <f>O28+O32+O44+O58</f>
        <v>0</v>
      </c>
      <c r="P19" s="138">
        <f>P28+P32+P44+P58</f>
        <v>58800</v>
      </c>
      <c r="Q19" s="138">
        <f>Q28+Q32+Q44+Q58</f>
        <v>0</v>
      </c>
      <c r="R19" s="138"/>
      <c r="S19" s="138">
        <f>S28+S32+S44+S58</f>
        <v>0</v>
      </c>
      <c r="T19" s="138">
        <f t="shared" si="6"/>
        <v>58800</v>
      </c>
      <c r="U19" s="138">
        <f>U28+U32+U44+U58</f>
        <v>0</v>
      </c>
      <c r="V19" s="138">
        <f>V28+V32+V44+V58</f>
        <v>0</v>
      </c>
      <c r="W19" s="138"/>
      <c r="X19" s="139">
        <f t="shared" si="1"/>
        <v>1932691</v>
      </c>
      <c r="Y19" s="138">
        <f>+Y28+Y32+Y44+Y58</f>
        <v>1932691</v>
      </c>
      <c r="Z19" s="138">
        <f t="shared" si="2"/>
        <v>0</v>
      </c>
      <c r="AA19" s="138">
        <f t="shared" si="3"/>
        <v>8700</v>
      </c>
      <c r="AB19" s="193">
        <f t="shared" si="4"/>
        <v>4.5218506739376644E-3</v>
      </c>
      <c r="AC19" s="138"/>
    </row>
    <row r="20" spans="1:29">
      <c r="C20" s="59" t="s">
        <v>35</v>
      </c>
      <c r="D20" s="142"/>
      <c r="E20" s="142"/>
      <c r="F20" s="142"/>
      <c r="G20" s="142">
        <f t="shared" si="5"/>
        <v>0</v>
      </c>
      <c r="H20" s="142"/>
      <c r="I20" s="142">
        <f t="shared" si="0"/>
        <v>0</v>
      </c>
      <c r="J20" s="142"/>
      <c r="K20" s="142"/>
      <c r="L20" s="142"/>
      <c r="M20" s="142"/>
      <c r="N20" s="142"/>
      <c r="O20" s="142"/>
      <c r="P20" s="142"/>
      <c r="Q20" s="142"/>
      <c r="R20" s="142"/>
      <c r="S20" s="142"/>
      <c r="T20" s="142">
        <f t="shared" si="6"/>
        <v>0</v>
      </c>
      <c r="U20" s="142"/>
      <c r="V20" s="142"/>
      <c r="W20" s="142"/>
      <c r="X20" s="229">
        <f t="shared" si="1"/>
        <v>0</v>
      </c>
      <c r="Y20" s="142"/>
      <c r="Z20" s="142">
        <f t="shared" si="2"/>
        <v>0</v>
      </c>
      <c r="AA20" s="142">
        <f t="shared" si="3"/>
        <v>0</v>
      </c>
      <c r="AB20" s="198" t="str">
        <f t="shared" si="4"/>
        <v/>
      </c>
      <c r="AC20" s="142"/>
    </row>
    <row r="21" spans="1:29">
      <c r="C21" s="60" t="s">
        <v>121</v>
      </c>
      <c r="D21" s="146">
        <v>1243520</v>
      </c>
      <c r="E21" s="146"/>
      <c r="F21" s="146"/>
      <c r="G21" s="146">
        <f t="shared" si="5"/>
        <v>1243520</v>
      </c>
      <c r="H21" s="146">
        <v>131900</v>
      </c>
      <c r="I21" s="146">
        <f t="shared" si="0"/>
        <v>1375420</v>
      </c>
      <c r="J21" s="146"/>
      <c r="K21" s="146">
        <v>131900</v>
      </c>
      <c r="L21" s="146"/>
      <c r="M21" s="146"/>
      <c r="N21" s="146"/>
      <c r="O21" s="146"/>
      <c r="P21" s="146"/>
      <c r="Q21" s="146"/>
      <c r="R21" s="146"/>
      <c r="S21" s="146"/>
      <c r="T21" s="146">
        <f t="shared" si="6"/>
        <v>131900</v>
      </c>
      <c r="U21" s="146"/>
      <c r="V21" s="146"/>
      <c r="W21" s="146"/>
      <c r="X21" s="93">
        <f t="shared" si="1"/>
        <v>1375420</v>
      </c>
      <c r="Y21" s="146">
        <v>1375420</v>
      </c>
      <c r="Z21" s="146">
        <f t="shared" si="2"/>
        <v>0</v>
      </c>
      <c r="AA21" s="146">
        <f t="shared" si="3"/>
        <v>0</v>
      </c>
      <c r="AB21" s="197">
        <f t="shared" si="4"/>
        <v>0</v>
      </c>
      <c r="AC21" s="146"/>
    </row>
    <row r="22" spans="1:29">
      <c r="C22" s="64"/>
      <c r="D22" s="146"/>
      <c r="E22" s="146"/>
      <c r="F22" s="146"/>
      <c r="G22" s="146">
        <f t="shared" si="5"/>
        <v>0</v>
      </c>
      <c r="H22" s="146"/>
      <c r="I22" s="146">
        <f t="shared" si="0"/>
        <v>0</v>
      </c>
      <c r="J22" s="146"/>
      <c r="K22" s="146"/>
      <c r="L22" s="146"/>
      <c r="M22" s="146"/>
      <c r="N22" s="146"/>
      <c r="O22" s="146"/>
      <c r="P22" s="146"/>
      <c r="Q22" s="146"/>
      <c r="R22" s="146"/>
      <c r="S22" s="146"/>
      <c r="T22" s="146">
        <f t="shared" si="6"/>
        <v>0</v>
      </c>
      <c r="U22" s="146"/>
      <c r="V22" s="146"/>
      <c r="W22" s="146"/>
      <c r="X22" s="93">
        <f t="shared" si="1"/>
        <v>0</v>
      </c>
      <c r="Y22" s="146">
        <v>0</v>
      </c>
      <c r="Z22" s="146">
        <f t="shared" si="2"/>
        <v>0</v>
      </c>
      <c r="AA22" s="146">
        <f t="shared" si="3"/>
        <v>0</v>
      </c>
      <c r="AB22" s="197" t="str">
        <f t="shared" si="4"/>
        <v/>
      </c>
      <c r="AC22" s="146"/>
    </row>
    <row r="23" spans="1:29">
      <c r="C23" s="59" t="s">
        <v>35</v>
      </c>
      <c r="D23" s="142"/>
      <c r="E23" s="142"/>
      <c r="F23" s="142"/>
      <c r="G23" s="142">
        <f t="shared" si="5"/>
        <v>0</v>
      </c>
      <c r="H23" s="142"/>
      <c r="I23" s="142">
        <f t="shared" si="0"/>
        <v>0</v>
      </c>
      <c r="J23" s="142"/>
      <c r="K23" s="142"/>
      <c r="L23" s="142"/>
      <c r="M23" s="142"/>
      <c r="N23" s="142"/>
      <c r="O23" s="142"/>
      <c r="P23" s="142"/>
      <c r="Q23" s="142"/>
      <c r="R23" s="142"/>
      <c r="S23" s="142"/>
      <c r="T23" s="142">
        <f t="shared" si="6"/>
        <v>0</v>
      </c>
      <c r="U23" s="142"/>
      <c r="V23" s="142"/>
      <c r="W23" s="142"/>
      <c r="X23" s="229">
        <f t="shared" si="1"/>
        <v>0</v>
      </c>
      <c r="Y23" s="142">
        <v>0</v>
      </c>
      <c r="Z23" s="142">
        <f t="shared" si="2"/>
        <v>0</v>
      </c>
      <c r="AA23" s="142">
        <f t="shared" si="3"/>
        <v>0</v>
      </c>
      <c r="AB23" s="198" t="str">
        <f t="shared" si="4"/>
        <v/>
      </c>
      <c r="AC23" s="142"/>
    </row>
    <row r="24" spans="1:29">
      <c r="C24" s="60" t="s">
        <v>5</v>
      </c>
      <c r="D24" s="146">
        <v>52020</v>
      </c>
      <c r="E24" s="146"/>
      <c r="F24" s="146"/>
      <c r="G24" s="146">
        <f t="shared" si="5"/>
        <v>52020</v>
      </c>
      <c r="H24" s="146">
        <v>23800</v>
      </c>
      <c r="I24" s="146">
        <f t="shared" si="0"/>
        <v>75820</v>
      </c>
      <c r="J24" s="146"/>
      <c r="K24" s="146">
        <v>23800</v>
      </c>
      <c r="L24" s="146"/>
      <c r="M24" s="146"/>
      <c r="N24" s="146"/>
      <c r="O24" s="146"/>
      <c r="P24" s="146"/>
      <c r="Q24" s="146"/>
      <c r="R24" s="146"/>
      <c r="S24" s="146"/>
      <c r="T24" s="146">
        <f t="shared" si="6"/>
        <v>23800</v>
      </c>
      <c r="U24" s="146"/>
      <c r="V24" s="146"/>
      <c r="W24" s="146"/>
      <c r="X24" s="93">
        <f t="shared" si="1"/>
        <v>75820</v>
      </c>
      <c r="Y24" s="146">
        <v>75820</v>
      </c>
      <c r="Z24" s="146">
        <f t="shared" si="2"/>
        <v>0</v>
      </c>
      <c r="AA24" s="146">
        <f t="shared" si="3"/>
        <v>0</v>
      </c>
      <c r="AB24" s="197">
        <f t="shared" si="4"/>
        <v>0</v>
      </c>
      <c r="AC24" s="146"/>
    </row>
    <row r="25" spans="1:29">
      <c r="C25" s="64"/>
      <c r="D25" s="146"/>
      <c r="E25" s="146"/>
      <c r="F25" s="146"/>
      <c r="G25" s="146">
        <f t="shared" si="5"/>
        <v>0</v>
      </c>
      <c r="H25" s="146"/>
      <c r="I25" s="146">
        <f t="shared" ref="I25:I86" si="12">D25+H25</f>
        <v>0</v>
      </c>
      <c r="J25" s="146"/>
      <c r="K25" s="146"/>
      <c r="L25" s="146"/>
      <c r="M25" s="146"/>
      <c r="N25" s="146"/>
      <c r="O25" s="146"/>
      <c r="P25" s="146"/>
      <c r="Q25" s="146"/>
      <c r="R25" s="146"/>
      <c r="S25" s="146"/>
      <c r="T25" s="146">
        <f t="shared" si="6"/>
        <v>0</v>
      </c>
      <c r="U25" s="146"/>
      <c r="V25" s="146"/>
      <c r="W25" s="146"/>
      <c r="X25" s="93">
        <f t="shared" si="1"/>
        <v>0</v>
      </c>
      <c r="Y25" s="146">
        <v>0</v>
      </c>
      <c r="Z25" s="146">
        <f t="shared" si="2"/>
        <v>0</v>
      </c>
      <c r="AA25" s="146">
        <f t="shared" si="3"/>
        <v>0</v>
      </c>
      <c r="AB25" s="197" t="str">
        <f t="shared" si="4"/>
        <v/>
      </c>
      <c r="AC25" s="146"/>
    </row>
    <row r="26" spans="1:29">
      <c r="C26" s="59" t="s">
        <v>35</v>
      </c>
      <c r="D26" s="142"/>
      <c r="E26" s="142"/>
      <c r="F26" s="142"/>
      <c r="G26" s="142">
        <f t="shared" si="5"/>
        <v>0</v>
      </c>
      <c r="H26" s="142"/>
      <c r="I26" s="142">
        <f t="shared" si="12"/>
        <v>0</v>
      </c>
      <c r="J26" s="142"/>
      <c r="K26" s="142"/>
      <c r="L26" s="142"/>
      <c r="M26" s="142"/>
      <c r="N26" s="142"/>
      <c r="O26" s="142"/>
      <c r="P26" s="142"/>
      <c r="Q26" s="142"/>
      <c r="R26" s="142"/>
      <c r="S26" s="142"/>
      <c r="T26" s="142">
        <f t="shared" si="6"/>
        <v>0</v>
      </c>
      <c r="U26" s="142"/>
      <c r="V26" s="142"/>
      <c r="W26" s="142"/>
      <c r="X26" s="229">
        <f t="shared" si="1"/>
        <v>0</v>
      </c>
      <c r="Y26" s="142">
        <v>0</v>
      </c>
      <c r="Z26" s="142">
        <f t="shared" si="2"/>
        <v>0</v>
      </c>
      <c r="AA26" s="142">
        <f t="shared" si="3"/>
        <v>0</v>
      </c>
      <c r="AB26" s="198" t="str">
        <f t="shared" si="4"/>
        <v/>
      </c>
      <c r="AC26" s="142"/>
    </row>
    <row r="27" spans="1:29">
      <c r="C27" s="60" t="s">
        <v>6</v>
      </c>
      <c r="D27" s="146">
        <v>237320</v>
      </c>
      <c r="E27" s="146"/>
      <c r="F27" s="146"/>
      <c r="G27" s="146">
        <f t="shared" si="5"/>
        <v>237320</v>
      </c>
      <c r="H27" s="146">
        <v>14850</v>
      </c>
      <c r="I27" s="146">
        <f t="shared" si="12"/>
        <v>252170</v>
      </c>
      <c r="J27" s="146"/>
      <c r="K27" s="146">
        <v>14850</v>
      </c>
      <c r="L27" s="146"/>
      <c r="M27" s="146"/>
      <c r="N27" s="146"/>
      <c r="O27" s="146"/>
      <c r="P27" s="146"/>
      <c r="Q27" s="146"/>
      <c r="R27" s="146"/>
      <c r="S27" s="146"/>
      <c r="T27" s="146">
        <f t="shared" si="6"/>
        <v>14850</v>
      </c>
      <c r="U27" s="146"/>
      <c r="V27" s="146"/>
      <c r="W27" s="146"/>
      <c r="X27" s="93">
        <f t="shared" si="1"/>
        <v>252170</v>
      </c>
      <c r="Y27" s="146">
        <v>252170</v>
      </c>
      <c r="Z27" s="146">
        <f t="shared" si="2"/>
        <v>0</v>
      </c>
      <c r="AA27" s="146">
        <f t="shared" si="3"/>
        <v>0</v>
      </c>
      <c r="AB27" s="197">
        <f t="shared" si="4"/>
        <v>0</v>
      </c>
      <c r="AC27" s="146"/>
    </row>
    <row r="28" spans="1:29">
      <c r="C28" s="57" t="s">
        <v>34</v>
      </c>
      <c r="D28" s="138">
        <v>16250</v>
      </c>
      <c r="E28" s="138"/>
      <c r="F28" s="138"/>
      <c r="G28" s="138">
        <f t="shared" si="5"/>
        <v>16250</v>
      </c>
      <c r="H28" s="138"/>
      <c r="I28" s="138">
        <f t="shared" si="12"/>
        <v>16250</v>
      </c>
      <c r="J28" s="138"/>
      <c r="K28" s="138"/>
      <c r="L28" s="138"/>
      <c r="M28" s="138"/>
      <c r="N28" s="138"/>
      <c r="O28" s="138"/>
      <c r="P28" s="138"/>
      <c r="Q28" s="138"/>
      <c r="R28" s="138"/>
      <c r="S28" s="138"/>
      <c r="T28" s="138">
        <f t="shared" si="6"/>
        <v>0</v>
      </c>
      <c r="U28" s="138"/>
      <c r="V28" s="138"/>
      <c r="W28" s="138"/>
      <c r="X28" s="139">
        <f t="shared" si="1"/>
        <v>16250</v>
      </c>
      <c r="Y28" s="138">
        <v>16250</v>
      </c>
      <c r="Z28" s="138">
        <f t="shared" si="2"/>
        <v>0</v>
      </c>
      <c r="AA28" s="138">
        <f t="shared" si="3"/>
        <v>0</v>
      </c>
      <c r="AB28" s="193">
        <f t="shared" si="4"/>
        <v>0</v>
      </c>
      <c r="AC28" s="138"/>
    </row>
    <row r="29" spans="1:29">
      <c r="C29" s="63"/>
      <c r="D29" s="148"/>
      <c r="E29" s="148"/>
      <c r="F29" s="148"/>
      <c r="G29" s="148">
        <f t="shared" si="5"/>
        <v>0</v>
      </c>
      <c r="H29" s="148"/>
      <c r="I29" s="148">
        <f t="shared" si="12"/>
        <v>0</v>
      </c>
      <c r="J29" s="148"/>
      <c r="K29" s="148"/>
      <c r="L29" s="148"/>
      <c r="M29" s="148"/>
      <c r="N29" s="148"/>
      <c r="O29" s="148"/>
      <c r="P29" s="148"/>
      <c r="Q29" s="148"/>
      <c r="R29" s="148"/>
      <c r="S29" s="148"/>
      <c r="T29" s="148">
        <f t="shared" si="6"/>
        <v>0</v>
      </c>
      <c r="U29" s="148"/>
      <c r="V29" s="148"/>
      <c r="W29" s="148"/>
      <c r="X29" s="234">
        <f t="shared" si="1"/>
        <v>0</v>
      </c>
      <c r="Y29" s="148"/>
      <c r="Z29" s="148">
        <f t="shared" si="2"/>
        <v>0</v>
      </c>
      <c r="AA29" s="148">
        <f t="shared" si="3"/>
        <v>0</v>
      </c>
      <c r="AB29" s="210" t="str">
        <f t="shared" si="4"/>
        <v/>
      </c>
      <c r="AC29" s="148"/>
    </row>
    <row r="30" spans="1:29">
      <c r="C30" s="59" t="s">
        <v>35</v>
      </c>
      <c r="D30" s="142"/>
      <c r="E30" s="142"/>
      <c r="F30" s="142"/>
      <c r="G30" s="142">
        <f t="shared" si="5"/>
        <v>0</v>
      </c>
      <c r="H30" s="142"/>
      <c r="I30" s="142">
        <f t="shared" si="12"/>
        <v>0</v>
      </c>
      <c r="J30" s="142"/>
      <c r="K30" s="142"/>
      <c r="L30" s="142"/>
      <c r="M30" s="142"/>
      <c r="N30" s="142"/>
      <c r="O30" s="142"/>
      <c r="P30" s="142"/>
      <c r="Q30" s="142"/>
      <c r="R30" s="142"/>
      <c r="S30" s="142"/>
      <c r="T30" s="142">
        <f t="shared" si="6"/>
        <v>0</v>
      </c>
      <c r="U30" s="142"/>
      <c r="V30" s="142"/>
      <c r="W30" s="142"/>
      <c r="X30" s="229">
        <f t="shared" si="1"/>
        <v>0</v>
      </c>
      <c r="Y30" s="142"/>
      <c r="Z30" s="142">
        <f t="shared" si="2"/>
        <v>0</v>
      </c>
      <c r="AA30" s="142">
        <f t="shared" si="3"/>
        <v>0</v>
      </c>
      <c r="AB30" s="198" t="str">
        <f t="shared" si="4"/>
        <v/>
      </c>
      <c r="AC30" s="142"/>
    </row>
    <row r="31" spans="1:29" ht="25.5">
      <c r="C31" s="60" t="s">
        <v>126</v>
      </c>
      <c r="D31" s="146">
        <v>496670</v>
      </c>
      <c r="E31" s="146"/>
      <c r="F31" s="146"/>
      <c r="G31" s="146">
        <f t="shared" si="5"/>
        <v>496670</v>
      </c>
      <c r="H31" s="146"/>
      <c r="I31" s="146">
        <f t="shared" si="12"/>
        <v>496670</v>
      </c>
      <c r="J31" s="146"/>
      <c r="K31" s="146"/>
      <c r="L31" s="146"/>
      <c r="M31" s="146"/>
      <c r="N31" s="146"/>
      <c r="O31" s="146"/>
      <c r="P31" s="146"/>
      <c r="Q31" s="146"/>
      <c r="R31" s="146"/>
      <c r="S31" s="146"/>
      <c r="T31" s="146">
        <f t="shared" si="6"/>
        <v>0</v>
      </c>
      <c r="U31" s="146"/>
      <c r="V31" s="146"/>
      <c r="W31" s="146"/>
      <c r="X31" s="93">
        <f t="shared" si="1"/>
        <v>496670</v>
      </c>
      <c r="Y31" s="146">
        <v>496670</v>
      </c>
      <c r="Z31" s="146">
        <f t="shared" si="2"/>
        <v>0</v>
      </c>
      <c r="AA31" s="146">
        <f t="shared" si="3"/>
        <v>0</v>
      </c>
      <c r="AB31" s="197">
        <f t="shared" si="4"/>
        <v>0</v>
      </c>
      <c r="AC31" s="146"/>
    </row>
    <row r="32" spans="1:29">
      <c r="C32" s="57" t="s">
        <v>34</v>
      </c>
      <c r="D32" s="138">
        <v>371612</v>
      </c>
      <c r="E32" s="138"/>
      <c r="F32" s="138"/>
      <c r="G32" s="138">
        <f t="shared" si="5"/>
        <v>371612</v>
      </c>
      <c r="H32" s="138"/>
      <c r="I32" s="138">
        <f t="shared" si="12"/>
        <v>371612</v>
      </c>
      <c r="J32" s="138"/>
      <c r="K32" s="138"/>
      <c r="L32" s="138"/>
      <c r="M32" s="138"/>
      <c r="N32" s="138"/>
      <c r="O32" s="138"/>
      <c r="P32" s="138"/>
      <c r="Q32" s="138"/>
      <c r="R32" s="138"/>
      <c r="S32" s="138"/>
      <c r="T32" s="138">
        <f t="shared" si="6"/>
        <v>0</v>
      </c>
      <c r="U32" s="138"/>
      <c r="V32" s="138"/>
      <c r="W32" s="138"/>
      <c r="X32" s="139">
        <f t="shared" si="1"/>
        <v>371612</v>
      </c>
      <c r="Y32" s="138">
        <v>371612</v>
      </c>
      <c r="Z32" s="138">
        <f t="shared" si="2"/>
        <v>0</v>
      </c>
      <c r="AA32" s="138">
        <f t="shared" si="3"/>
        <v>0</v>
      </c>
      <c r="AB32" s="193">
        <f t="shared" si="4"/>
        <v>0</v>
      </c>
      <c r="AC32" s="138"/>
    </row>
    <row r="33" spans="3:29">
      <c r="C33" s="64"/>
      <c r="D33" s="146"/>
      <c r="E33" s="146"/>
      <c r="F33" s="146"/>
      <c r="G33" s="146">
        <f t="shared" si="5"/>
        <v>0</v>
      </c>
      <c r="H33" s="146"/>
      <c r="I33" s="146">
        <f t="shared" si="12"/>
        <v>0</v>
      </c>
      <c r="J33" s="146"/>
      <c r="K33" s="146"/>
      <c r="L33" s="146"/>
      <c r="M33" s="146"/>
      <c r="N33" s="146"/>
      <c r="O33" s="146"/>
      <c r="P33" s="146"/>
      <c r="Q33" s="146"/>
      <c r="R33" s="146"/>
      <c r="S33" s="146"/>
      <c r="T33" s="146">
        <f t="shared" ref="T33:T91" si="13">SUM(J33:S33)</f>
        <v>0</v>
      </c>
      <c r="U33" s="146"/>
      <c r="V33" s="146"/>
      <c r="W33" s="146"/>
      <c r="X33" s="93">
        <f t="shared" si="1"/>
        <v>0</v>
      </c>
      <c r="Y33" s="146"/>
      <c r="Z33" s="146">
        <f t="shared" si="2"/>
        <v>0</v>
      </c>
      <c r="AA33" s="146">
        <f t="shared" si="3"/>
        <v>0</v>
      </c>
      <c r="AB33" s="197" t="str">
        <f t="shared" si="4"/>
        <v/>
      </c>
      <c r="AC33" s="146"/>
    </row>
    <row r="34" spans="3:29">
      <c r="C34" s="59" t="s">
        <v>35</v>
      </c>
      <c r="D34" s="142"/>
      <c r="E34" s="142"/>
      <c r="F34" s="142"/>
      <c r="G34" s="142">
        <f t="shared" si="5"/>
        <v>0</v>
      </c>
      <c r="H34" s="142"/>
      <c r="I34" s="142">
        <f t="shared" si="12"/>
        <v>0</v>
      </c>
      <c r="J34" s="142"/>
      <c r="K34" s="142"/>
      <c r="L34" s="142"/>
      <c r="M34" s="142"/>
      <c r="N34" s="142"/>
      <c r="O34" s="142"/>
      <c r="P34" s="142"/>
      <c r="Q34" s="142"/>
      <c r="R34" s="142"/>
      <c r="S34" s="142"/>
      <c r="T34" s="142">
        <f t="shared" si="13"/>
        <v>0</v>
      </c>
      <c r="U34" s="142"/>
      <c r="V34" s="142"/>
      <c r="W34" s="142"/>
      <c r="X34" s="229">
        <f t="shared" si="1"/>
        <v>0</v>
      </c>
      <c r="Y34" s="142"/>
      <c r="Z34" s="142">
        <f t="shared" si="2"/>
        <v>0</v>
      </c>
      <c r="AA34" s="142">
        <f t="shared" si="3"/>
        <v>0</v>
      </c>
      <c r="AB34" s="198" t="str">
        <f t="shared" si="4"/>
        <v/>
      </c>
      <c r="AC34" s="142"/>
    </row>
    <row r="35" spans="3:29">
      <c r="C35" s="60" t="s">
        <v>7</v>
      </c>
      <c r="D35" s="146">
        <v>199870</v>
      </c>
      <c r="E35" s="146"/>
      <c r="F35" s="146">
        <v>5750</v>
      </c>
      <c r="G35" s="146">
        <f t="shared" si="5"/>
        <v>194120</v>
      </c>
      <c r="H35" s="146"/>
      <c r="I35" s="146">
        <f t="shared" si="12"/>
        <v>199870</v>
      </c>
      <c r="J35" s="146"/>
      <c r="K35" s="146"/>
      <c r="L35" s="146"/>
      <c r="M35" s="146"/>
      <c r="N35" s="146"/>
      <c r="O35" s="146"/>
      <c r="P35" s="146"/>
      <c r="Q35" s="146"/>
      <c r="R35" s="146"/>
      <c r="S35" s="146"/>
      <c r="T35" s="146">
        <f t="shared" si="13"/>
        <v>0</v>
      </c>
      <c r="U35" s="146">
        <v>5750</v>
      </c>
      <c r="V35" s="146"/>
      <c r="W35" s="146"/>
      <c r="X35" s="93">
        <f t="shared" si="1"/>
        <v>199870</v>
      </c>
      <c r="Y35" s="146">
        <v>199870</v>
      </c>
      <c r="Z35" s="146">
        <f t="shared" si="2"/>
        <v>0</v>
      </c>
      <c r="AA35" s="146">
        <f t="shared" si="3"/>
        <v>0</v>
      </c>
      <c r="AB35" s="197">
        <f t="shared" si="4"/>
        <v>0</v>
      </c>
      <c r="AC35" s="146"/>
    </row>
    <row r="36" spans="3:29" s="130" customFormat="1" ht="24">
      <c r="C36" s="290" t="s">
        <v>237</v>
      </c>
      <c r="D36" s="644">
        <v>139410</v>
      </c>
      <c r="E36" s="644"/>
      <c r="F36" s="644"/>
      <c r="G36" s="644">
        <f t="shared" si="5"/>
        <v>139410</v>
      </c>
      <c r="H36" s="644"/>
      <c r="I36" s="644">
        <f t="shared" si="12"/>
        <v>139410</v>
      </c>
      <c r="J36" s="644"/>
      <c r="K36" s="644"/>
      <c r="L36" s="644"/>
      <c r="M36" s="644"/>
      <c r="N36" s="644"/>
      <c r="O36" s="644"/>
      <c r="P36" s="644"/>
      <c r="Q36" s="644"/>
      <c r="R36" s="644"/>
      <c r="S36" s="644"/>
      <c r="T36" s="644"/>
      <c r="U36" s="644"/>
      <c r="V36" s="644"/>
      <c r="W36" s="644"/>
      <c r="X36" s="645">
        <f t="shared" si="1"/>
        <v>139410</v>
      </c>
      <c r="Y36" s="646">
        <v>139410</v>
      </c>
      <c r="Z36" s="146">
        <f t="shared" si="2"/>
        <v>0</v>
      </c>
      <c r="AA36" s="146">
        <f t="shared" si="3"/>
        <v>0</v>
      </c>
      <c r="AB36" s="197">
        <f t="shared" si="4"/>
        <v>0</v>
      </c>
      <c r="AC36" s="146"/>
    </row>
    <row r="37" spans="3:29" s="130" customFormat="1" ht="24">
      <c r="C37" s="290" t="s">
        <v>238</v>
      </c>
      <c r="D37" s="644">
        <v>60460</v>
      </c>
      <c r="E37" s="644"/>
      <c r="F37" s="644">
        <v>5750</v>
      </c>
      <c r="G37" s="644">
        <f t="shared" si="5"/>
        <v>54710</v>
      </c>
      <c r="H37" s="644"/>
      <c r="I37" s="644">
        <f t="shared" si="12"/>
        <v>60460</v>
      </c>
      <c r="J37" s="644"/>
      <c r="K37" s="644"/>
      <c r="L37" s="644"/>
      <c r="M37" s="644"/>
      <c r="N37" s="644"/>
      <c r="O37" s="644"/>
      <c r="P37" s="644"/>
      <c r="Q37" s="644"/>
      <c r="R37" s="644"/>
      <c r="S37" s="644"/>
      <c r="T37" s="644"/>
      <c r="U37" s="644">
        <v>5750</v>
      </c>
      <c r="V37" s="644"/>
      <c r="W37" s="644"/>
      <c r="X37" s="645">
        <f t="shared" si="1"/>
        <v>60460</v>
      </c>
      <c r="Y37" s="646">
        <v>60460</v>
      </c>
      <c r="Z37" s="146">
        <f t="shared" si="2"/>
        <v>0</v>
      </c>
      <c r="AA37" s="146">
        <f t="shared" si="3"/>
        <v>0</v>
      </c>
      <c r="AB37" s="197">
        <f t="shared" si="4"/>
        <v>0</v>
      </c>
      <c r="AC37" s="146"/>
    </row>
    <row r="38" spans="3:29">
      <c r="C38" s="65"/>
      <c r="D38" s="148"/>
      <c r="E38" s="148"/>
      <c r="F38" s="148"/>
      <c r="G38" s="148">
        <f t="shared" si="5"/>
        <v>0</v>
      </c>
      <c r="H38" s="148"/>
      <c r="I38" s="148">
        <f t="shared" si="12"/>
        <v>0</v>
      </c>
      <c r="J38" s="148"/>
      <c r="K38" s="148"/>
      <c r="L38" s="148"/>
      <c r="M38" s="148"/>
      <c r="N38" s="148"/>
      <c r="O38" s="148"/>
      <c r="P38" s="148"/>
      <c r="Q38" s="148"/>
      <c r="R38" s="148"/>
      <c r="S38" s="148"/>
      <c r="T38" s="148">
        <f t="shared" si="13"/>
        <v>0</v>
      </c>
      <c r="U38" s="148"/>
      <c r="V38" s="148"/>
      <c r="W38" s="148"/>
      <c r="X38" s="234">
        <f t="shared" si="1"/>
        <v>0</v>
      </c>
      <c r="Y38" s="148"/>
      <c r="Z38" s="148">
        <f t="shared" si="2"/>
        <v>0</v>
      </c>
      <c r="AA38" s="148">
        <f t="shared" si="3"/>
        <v>0</v>
      </c>
      <c r="AB38" s="210" t="str">
        <f t="shared" si="4"/>
        <v/>
      </c>
      <c r="AC38" s="148"/>
    </row>
    <row r="39" spans="3:29">
      <c r="C39" s="59" t="s">
        <v>35</v>
      </c>
      <c r="D39" s="142"/>
      <c r="E39" s="142"/>
      <c r="F39" s="142"/>
      <c r="G39" s="142">
        <f t="shared" si="5"/>
        <v>0</v>
      </c>
      <c r="H39" s="142"/>
      <c r="I39" s="142">
        <f t="shared" si="12"/>
        <v>0</v>
      </c>
      <c r="J39" s="142"/>
      <c r="K39" s="142"/>
      <c r="L39" s="142"/>
      <c r="M39" s="142"/>
      <c r="N39" s="142"/>
      <c r="O39" s="142"/>
      <c r="P39" s="142"/>
      <c r="Q39" s="142"/>
      <c r="R39" s="142"/>
      <c r="S39" s="142"/>
      <c r="T39" s="142">
        <f t="shared" si="13"/>
        <v>0</v>
      </c>
      <c r="U39" s="142"/>
      <c r="V39" s="142"/>
      <c r="W39" s="142"/>
      <c r="X39" s="229">
        <f t="shared" si="1"/>
        <v>0</v>
      </c>
      <c r="Y39" s="142"/>
      <c r="Z39" s="142">
        <f t="shared" si="2"/>
        <v>0</v>
      </c>
      <c r="AA39" s="142">
        <f t="shared" si="3"/>
        <v>0</v>
      </c>
      <c r="AB39" s="198" t="str">
        <f t="shared" si="4"/>
        <v/>
      </c>
      <c r="AC39" s="142"/>
    </row>
    <row r="40" spans="3:29">
      <c r="C40" s="60" t="s">
        <v>8</v>
      </c>
      <c r="D40" s="146">
        <v>12000</v>
      </c>
      <c r="E40" s="146"/>
      <c r="F40" s="146"/>
      <c r="G40" s="146">
        <f t="shared" si="5"/>
        <v>12000</v>
      </c>
      <c r="H40" s="146"/>
      <c r="I40" s="146">
        <f t="shared" si="12"/>
        <v>12000</v>
      </c>
      <c r="J40" s="146"/>
      <c r="K40" s="146"/>
      <c r="L40" s="146"/>
      <c r="M40" s="146"/>
      <c r="N40" s="146"/>
      <c r="O40" s="146"/>
      <c r="P40" s="146"/>
      <c r="Q40" s="146"/>
      <c r="R40" s="146"/>
      <c r="S40" s="146"/>
      <c r="T40" s="146">
        <f t="shared" si="13"/>
        <v>0</v>
      </c>
      <c r="U40" s="146"/>
      <c r="V40" s="146"/>
      <c r="W40" s="146"/>
      <c r="X40" s="93">
        <f t="shared" si="1"/>
        <v>12000</v>
      </c>
      <c r="Y40" s="146">
        <v>12000</v>
      </c>
      <c r="Z40" s="146">
        <f t="shared" si="2"/>
        <v>0</v>
      </c>
      <c r="AA40" s="146">
        <f t="shared" si="3"/>
        <v>0</v>
      </c>
      <c r="AB40" s="197">
        <f t="shared" si="4"/>
        <v>0</v>
      </c>
      <c r="AC40" s="146"/>
    </row>
    <row r="41" spans="3:29">
      <c r="C41" s="62"/>
      <c r="D41" s="132"/>
      <c r="E41" s="132"/>
      <c r="F41" s="132"/>
      <c r="G41" s="132">
        <f t="shared" si="5"/>
        <v>0</v>
      </c>
      <c r="H41" s="132"/>
      <c r="I41" s="132">
        <f t="shared" si="12"/>
        <v>0</v>
      </c>
      <c r="J41" s="132"/>
      <c r="K41" s="132"/>
      <c r="L41" s="132"/>
      <c r="M41" s="132"/>
      <c r="N41" s="132"/>
      <c r="O41" s="132"/>
      <c r="P41" s="132"/>
      <c r="Q41" s="132"/>
      <c r="R41" s="132"/>
      <c r="S41" s="132"/>
      <c r="T41" s="132">
        <f t="shared" si="13"/>
        <v>0</v>
      </c>
      <c r="U41" s="132"/>
      <c r="V41" s="132"/>
      <c r="W41" s="132"/>
      <c r="X41" s="96">
        <f t="shared" si="1"/>
        <v>0</v>
      </c>
      <c r="Y41" s="132"/>
      <c r="Z41" s="132">
        <f t="shared" si="2"/>
        <v>0</v>
      </c>
      <c r="AA41" s="132">
        <f t="shared" si="3"/>
        <v>0</v>
      </c>
      <c r="AB41" s="157" t="str">
        <f t="shared" si="4"/>
        <v/>
      </c>
      <c r="AC41" s="132"/>
    </row>
    <row r="42" spans="3:29">
      <c r="C42" s="59" t="s">
        <v>35</v>
      </c>
      <c r="D42" s="142"/>
      <c r="E42" s="142"/>
      <c r="F42" s="142"/>
      <c r="G42" s="142">
        <f t="shared" si="5"/>
        <v>0</v>
      </c>
      <c r="H42" s="142"/>
      <c r="I42" s="142">
        <f t="shared" si="12"/>
        <v>0</v>
      </c>
      <c r="J42" s="142"/>
      <c r="K42" s="142"/>
      <c r="L42" s="142"/>
      <c r="M42" s="142"/>
      <c r="N42" s="142"/>
      <c r="O42" s="142"/>
      <c r="P42" s="142"/>
      <c r="Q42" s="142"/>
      <c r="R42" s="142"/>
      <c r="S42" s="142"/>
      <c r="T42" s="142">
        <f t="shared" si="13"/>
        <v>0</v>
      </c>
      <c r="U42" s="142"/>
      <c r="V42" s="142"/>
      <c r="W42" s="142"/>
      <c r="X42" s="229">
        <f t="shared" si="1"/>
        <v>0</v>
      </c>
      <c r="Y42" s="142"/>
      <c r="Z42" s="142">
        <f t="shared" si="2"/>
        <v>0</v>
      </c>
      <c r="AA42" s="142">
        <f t="shared" si="3"/>
        <v>0</v>
      </c>
      <c r="AB42" s="198" t="str">
        <f t="shared" si="4"/>
        <v/>
      </c>
      <c r="AC42" s="142"/>
    </row>
    <row r="43" spans="3:29" ht="35.25">
      <c r="C43" s="60" t="s">
        <v>127</v>
      </c>
      <c r="D43" s="146">
        <v>2098080</v>
      </c>
      <c r="E43" s="146"/>
      <c r="F43" s="146">
        <v>214162</v>
      </c>
      <c r="G43" s="146">
        <f t="shared" si="5"/>
        <v>1883918</v>
      </c>
      <c r="H43" s="146">
        <v>72026</v>
      </c>
      <c r="I43" s="146">
        <f t="shared" si="12"/>
        <v>2170106</v>
      </c>
      <c r="J43" s="146"/>
      <c r="K43" s="146"/>
      <c r="L43" s="146"/>
      <c r="M43" s="146"/>
      <c r="N43" s="146"/>
      <c r="O43" s="146"/>
      <c r="P43" s="146">
        <f>59006+19669</f>
        <v>78675</v>
      </c>
      <c r="Q43" s="146"/>
      <c r="R43" s="146"/>
      <c r="S43" s="146"/>
      <c r="T43" s="146">
        <f t="shared" si="13"/>
        <v>78675</v>
      </c>
      <c r="U43" s="146">
        <v>608692</v>
      </c>
      <c r="V43" s="146"/>
      <c r="W43" s="146">
        <f>W45+W46+W48</f>
        <v>5</v>
      </c>
      <c r="X43" s="93">
        <f t="shared" si="1"/>
        <v>2571290</v>
      </c>
      <c r="Y43" s="146">
        <v>2571290</v>
      </c>
      <c r="Z43" s="146">
        <f t="shared" si="2"/>
        <v>0</v>
      </c>
      <c r="AA43" s="146">
        <f t="shared" si="3"/>
        <v>401184</v>
      </c>
      <c r="AB43" s="197">
        <f t="shared" si="4"/>
        <v>0.18486838891740773</v>
      </c>
      <c r="AC43" s="146"/>
    </row>
    <row r="44" spans="3:29">
      <c r="C44" s="57" t="s">
        <v>34</v>
      </c>
      <c r="D44" s="138">
        <v>1215975</v>
      </c>
      <c r="E44" s="138"/>
      <c r="F44" s="138"/>
      <c r="G44" s="138">
        <f t="shared" ref="G44:G117" si="14">D44-E44-F44</f>
        <v>1215975</v>
      </c>
      <c r="H44" s="138">
        <v>44100</v>
      </c>
      <c r="I44" s="138">
        <f t="shared" si="12"/>
        <v>1260075</v>
      </c>
      <c r="J44" s="138"/>
      <c r="K44" s="138"/>
      <c r="L44" s="138"/>
      <c r="M44" s="138"/>
      <c r="N44" s="138"/>
      <c r="O44" s="138"/>
      <c r="P44" s="138">
        <f>44100+14700</f>
        <v>58800</v>
      </c>
      <c r="Q44" s="138"/>
      <c r="R44" s="138"/>
      <c r="S44" s="138"/>
      <c r="T44" s="138">
        <f t="shared" si="13"/>
        <v>58800</v>
      </c>
      <c r="U44" s="138"/>
      <c r="V44" s="138"/>
      <c r="W44" s="138"/>
      <c r="X44" s="139">
        <f t="shared" si="1"/>
        <v>1274775</v>
      </c>
      <c r="Y44" s="138">
        <v>1274775</v>
      </c>
      <c r="Z44" s="138">
        <f t="shared" ref="Z44:Z107" si="15">Y44-X44</f>
        <v>0</v>
      </c>
      <c r="AA44" s="138">
        <f t="shared" ref="AA44:AA107" si="16">Y44-I44</f>
        <v>14700</v>
      </c>
      <c r="AB44" s="193">
        <f t="shared" ref="AB44:AB107" si="17">IF(I44=0,"",AA44/I44)</f>
        <v>1.166597226355574E-2</v>
      </c>
      <c r="AC44" s="138"/>
    </row>
    <row r="45" spans="3:29" s="130" customFormat="1">
      <c r="C45" s="291" t="s">
        <v>239</v>
      </c>
      <c r="D45" s="647">
        <v>16600</v>
      </c>
      <c r="E45" s="647"/>
      <c r="F45" s="647"/>
      <c r="G45" s="647">
        <f t="shared" si="14"/>
        <v>16600</v>
      </c>
      <c r="H45" s="647"/>
      <c r="I45" s="647">
        <f t="shared" si="12"/>
        <v>16600</v>
      </c>
      <c r="J45" s="647"/>
      <c r="K45" s="647"/>
      <c r="L45" s="647"/>
      <c r="M45" s="647"/>
      <c r="N45" s="647"/>
      <c r="O45" s="647"/>
      <c r="P45" s="647"/>
      <c r="Q45" s="647"/>
      <c r="R45" s="647"/>
      <c r="S45" s="647"/>
      <c r="T45" s="647"/>
      <c r="U45" s="647"/>
      <c r="V45" s="647"/>
      <c r="W45" s="647"/>
      <c r="X45" s="648">
        <f t="shared" si="1"/>
        <v>16600</v>
      </c>
      <c r="Y45" s="217">
        <v>16600</v>
      </c>
      <c r="Z45" s="647"/>
      <c r="AA45" s="138">
        <f t="shared" si="16"/>
        <v>0</v>
      </c>
      <c r="AB45" s="193">
        <f t="shared" si="17"/>
        <v>0</v>
      </c>
      <c r="AC45" s="138"/>
    </row>
    <row r="46" spans="3:29" s="130" customFormat="1">
      <c r="C46" s="290" t="s">
        <v>240</v>
      </c>
      <c r="D46" s="647">
        <v>841565</v>
      </c>
      <c r="E46" s="647"/>
      <c r="F46" s="647">
        <f>107662</f>
        <v>107662</v>
      </c>
      <c r="G46" s="647">
        <f t="shared" si="14"/>
        <v>733903</v>
      </c>
      <c r="H46" s="647"/>
      <c r="I46" s="647">
        <f t="shared" si="12"/>
        <v>841565</v>
      </c>
      <c r="J46" s="647"/>
      <c r="K46" s="647"/>
      <c r="L46" s="647"/>
      <c r="M46" s="647"/>
      <c r="N46" s="647"/>
      <c r="O46" s="647"/>
      <c r="P46" s="647"/>
      <c r="Q46" s="647"/>
      <c r="R46" s="647"/>
      <c r="S46" s="647"/>
      <c r="T46" s="647"/>
      <c r="U46" s="647">
        <v>257177</v>
      </c>
      <c r="V46" s="647"/>
      <c r="W46" s="647"/>
      <c r="X46" s="648">
        <f t="shared" si="1"/>
        <v>991080</v>
      </c>
      <c r="Y46" s="217">
        <v>991080</v>
      </c>
      <c r="Z46" s="647"/>
      <c r="AA46" s="138">
        <f t="shared" si="16"/>
        <v>149515</v>
      </c>
      <c r="AB46" s="193">
        <f t="shared" si="17"/>
        <v>0.17766304444695299</v>
      </c>
      <c r="AC46" s="138"/>
    </row>
    <row r="47" spans="3:29" s="130" customFormat="1">
      <c r="C47" s="289" t="s">
        <v>34</v>
      </c>
      <c r="D47" s="401">
        <v>472318</v>
      </c>
      <c r="E47" s="401"/>
      <c r="F47" s="401"/>
      <c r="G47" s="401">
        <f t="shared" si="14"/>
        <v>472318</v>
      </c>
      <c r="H47" s="401"/>
      <c r="I47" s="401">
        <f t="shared" si="12"/>
        <v>472318</v>
      </c>
      <c r="J47" s="401"/>
      <c r="K47" s="401"/>
      <c r="L47" s="401"/>
      <c r="M47" s="401"/>
      <c r="N47" s="401"/>
      <c r="O47" s="401"/>
      <c r="P47" s="401"/>
      <c r="Q47" s="401"/>
      <c r="R47" s="401"/>
      <c r="S47" s="401"/>
      <c r="T47" s="401"/>
      <c r="U47" s="401"/>
      <c r="V47" s="401"/>
      <c r="W47" s="401"/>
      <c r="X47" s="139">
        <f t="shared" si="1"/>
        <v>472318</v>
      </c>
      <c r="Y47" s="138">
        <v>472318</v>
      </c>
      <c r="Z47" s="401"/>
      <c r="AA47" s="138">
        <f t="shared" si="16"/>
        <v>0</v>
      </c>
      <c r="AB47" s="193">
        <f t="shared" si="17"/>
        <v>0</v>
      </c>
      <c r="AC47" s="138"/>
    </row>
    <row r="48" spans="3:29" s="130" customFormat="1">
      <c r="C48" s="290" t="s">
        <v>241</v>
      </c>
      <c r="D48" s="647">
        <v>1239915</v>
      </c>
      <c r="E48" s="647"/>
      <c r="F48" s="647">
        <f>106500</f>
        <v>106500</v>
      </c>
      <c r="G48" s="647">
        <f t="shared" si="14"/>
        <v>1133415</v>
      </c>
      <c r="H48" s="647">
        <v>72026</v>
      </c>
      <c r="I48" s="647">
        <f t="shared" si="12"/>
        <v>1311941</v>
      </c>
      <c r="J48" s="647"/>
      <c r="K48" s="647"/>
      <c r="L48" s="647"/>
      <c r="M48" s="647"/>
      <c r="N48" s="647"/>
      <c r="O48" s="647"/>
      <c r="P48" s="647">
        <v>78675</v>
      </c>
      <c r="Q48" s="647"/>
      <c r="R48" s="647"/>
      <c r="S48" s="647"/>
      <c r="T48" s="647">
        <f>SUM(J48:S48)</f>
        <v>78675</v>
      </c>
      <c r="U48" s="647">
        <v>351515</v>
      </c>
      <c r="V48" s="647"/>
      <c r="W48" s="647">
        <v>5</v>
      </c>
      <c r="X48" s="648">
        <f t="shared" si="1"/>
        <v>1563610</v>
      </c>
      <c r="Y48" s="217">
        <v>1563605</v>
      </c>
      <c r="Z48" s="647"/>
      <c r="AA48" s="138">
        <f t="shared" si="16"/>
        <v>251664</v>
      </c>
      <c r="AB48" s="193">
        <f t="shared" si="17"/>
        <v>0.19182569947886377</v>
      </c>
      <c r="AC48" s="138"/>
    </row>
    <row r="49" spans="3:30" s="130" customFormat="1">
      <c r="C49" s="289" t="s">
        <v>34</v>
      </c>
      <c r="D49" s="401">
        <v>743657</v>
      </c>
      <c r="E49" s="401"/>
      <c r="F49" s="401"/>
      <c r="G49" s="401">
        <f t="shared" si="14"/>
        <v>743657</v>
      </c>
      <c r="H49" s="401">
        <v>44100</v>
      </c>
      <c r="I49" s="401">
        <f t="shared" si="12"/>
        <v>787757</v>
      </c>
      <c r="J49" s="401"/>
      <c r="K49" s="401"/>
      <c r="L49" s="401"/>
      <c r="M49" s="401"/>
      <c r="N49" s="401"/>
      <c r="O49" s="401"/>
      <c r="P49" s="401">
        <v>58800</v>
      </c>
      <c r="Q49" s="401"/>
      <c r="R49" s="401"/>
      <c r="S49" s="401"/>
      <c r="T49" s="401">
        <f>SUM(P49:S49)</f>
        <v>58800</v>
      </c>
      <c r="U49" s="401"/>
      <c r="V49" s="401"/>
      <c r="W49" s="401"/>
      <c r="X49" s="139">
        <f t="shared" si="1"/>
        <v>802457</v>
      </c>
      <c r="Y49" s="138">
        <v>802457</v>
      </c>
      <c r="Z49" s="401"/>
      <c r="AA49" s="138">
        <f t="shared" si="16"/>
        <v>14700</v>
      </c>
      <c r="AB49" s="193">
        <f t="shared" si="17"/>
        <v>1.8660576802237237E-2</v>
      </c>
      <c r="AC49" s="138"/>
    </row>
    <row r="50" spans="3:30">
      <c r="C50" s="64"/>
      <c r="D50" s="146"/>
      <c r="E50" s="146"/>
      <c r="F50" s="146"/>
      <c r="G50" s="146">
        <f t="shared" si="14"/>
        <v>0</v>
      </c>
      <c r="H50" s="146"/>
      <c r="I50" s="146">
        <f t="shared" si="12"/>
        <v>0</v>
      </c>
      <c r="J50" s="146"/>
      <c r="K50" s="146"/>
      <c r="L50" s="146"/>
      <c r="M50" s="146"/>
      <c r="N50" s="146"/>
      <c r="O50" s="146"/>
      <c r="P50" s="146"/>
      <c r="Q50" s="146"/>
      <c r="R50" s="146"/>
      <c r="S50" s="146"/>
      <c r="T50" s="146">
        <f t="shared" si="13"/>
        <v>0</v>
      </c>
      <c r="U50" s="146"/>
      <c r="V50" s="146"/>
      <c r="W50" s="146"/>
      <c r="X50" s="93">
        <f t="shared" si="1"/>
        <v>0</v>
      </c>
      <c r="Y50" s="146"/>
      <c r="Z50" s="146">
        <f t="shared" si="15"/>
        <v>0</v>
      </c>
      <c r="AA50" s="146">
        <f t="shared" si="16"/>
        <v>0</v>
      </c>
      <c r="AB50" s="197" t="str">
        <f t="shared" si="17"/>
        <v/>
      </c>
      <c r="AC50" s="146"/>
    </row>
    <row r="51" spans="3:30">
      <c r="C51" s="59" t="s">
        <v>35</v>
      </c>
      <c r="D51" s="142"/>
      <c r="E51" s="142"/>
      <c r="F51" s="142"/>
      <c r="G51" s="142">
        <f t="shared" si="14"/>
        <v>0</v>
      </c>
      <c r="H51" s="142"/>
      <c r="I51" s="142">
        <f t="shared" si="12"/>
        <v>0</v>
      </c>
      <c r="J51" s="142"/>
      <c r="K51" s="142"/>
      <c r="L51" s="142"/>
      <c r="M51" s="142"/>
      <c r="N51" s="142"/>
      <c r="O51" s="142"/>
      <c r="P51" s="142"/>
      <c r="Q51" s="142"/>
      <c r="R51" s="142"/>
      <c r="S51" s="142"/>
      <c r="T51" s="142">
        <f t="shared" si="13"/>
        <v>0</v>
      </c>
      <c r="U51" s="142"/>
      <c r="V51" s="142"/>
      <c r="W51" s="142"/>
      <c r="X51" s="229">
        <f t="shared" si="1"/>
        <v>0</v>
      </c>
      <c r="Y51" s="142"/>
      <c r="Z51" s="142">
        <f t="shared" si="15"/>
        <v>0</v>
      </c>
      <c r="AA51" s="142">
        <f t="shared" si="16"/>
        <v>0</v>
      </c>
      <c r="AB51" s="198" t="str">
        <f t="shared" si="17"/>
        <v/>
      </c>
      <c r="AC51" s="142"/>
    </row>
    <row r="52" spans="3:30" ht="25.5">
      <c r="C52" s="60" t="s">
        <v>40</v>
      </c>
      <c r="D52" s="146">
        <v>20780</v>
      </c>
      <c r="E52" s="146"/>
      <c r="F52" s="146"/>
      <c r="G52" s="146">
        <f t="shared" si="14"/>
        <v>20780</v>
      </c>
      <c r="H52" s="146"/>
      <c r="I52" s="146">
        <f t="shared" si="12"/>
        <v>20780</v>
      </c>
      <c r="J52" s="146"/>
      <c r="K52" s="146"/>
      <c r="L52" s="146"/>
      <c r="M52" s="146"/>
      <c r="N52" s="146"/>
      <c r="O52" s="146"/>
      <c r="P52" s="146"/>
      <c r="Q52" s="146"/>
      <c r="R52" s="146"/>
      <c r="S52" s="146"/>
      <c r="T52" s="146">
        <f t="shared" si="13"/>
        <v>0</v>
      </c>
      <c r="U52" s="146"/>
      <c r="V52" s="146"/>
      <c r="W52" s="146"/>
      <c r="X52" s="93">
        <f t="shared" si="1"/>
        <v>20780</v>
      </c>
      <c r="Y52" s="146">
        <v>20780</v>
      </c>
      <c r="Z52" s="146">
        <f t="shared" si="15"/>
        <v>0</v>
      </c>
      <c r="AA52" s="146">
        <f t="shared" si="16"/>
        <v>0</v>
      </c>
      <c r="AB52" s="197">
        <f t="shared" si="17"/>
        <v>0</v>
      </c>
      <c r="AC52" s="146"/>
    </row>
    <row r="53" spans="3:30" s="130" customFormat="1">
      <c r="C53" s="290" t="s">
        <v>242</v>
      </c>
      <c r="D53" s="644">
        <v>14320</v>
      </c>
      <c r="E53" s="644"/>
      <c r="F53" s="644"/>
      <c r="G53" s="644">
        <f>D53</f>
        <v>14320</v>
      </c>
      <c r="H53" s="644"/>
      <c r="I53" s="644">
        <f>G53</f>
        <v>14320</v>
      </c>
      <c r="J53" s="644"/>
      <c r="K53" s="644"/>
      <c r="L53" s="644"/>
      <c r="M53" s="644"/>
      <c r="N53" s="644"/>
      <c r="O53" s="644"/>
      <c r="P53" s="644"/>
      <c r="Q53" s="644"/>
      <c r="R53" s="644"/>
      <c r="S53" s="644"/>
      <c r="T53" s="644"/>
      <c r="U53" s="644"/>
      <c r="V53" s="644"/>
      <c r="W53" s="644"/>
      <c r="X53" s="645">
        <f t="shared" si="1"/>
        <v>14320</v>
      </c>
      <c r="Y53" s="646">
        <v>14320</v>
      </c>
      <c r="Z53" s="644"/>
      <c r="AA53" s="644"/>
      <c r="AB53" s="649"/>
      <c r="AC53" s="644"/>
      <c r="AD53" s="409"/>
    </row>
    <row r="54" spans="3:30" s="130" customFormat="1">
      <c r="C54" s="292" t="s">
        <v>243</v>
      </c>
      <c r="D54" s="644">
        <v>6460</v>
      </c>
      <c r="E54" s="644"/>
      <c r="F54" s="644"/>
      <c r="G54" s="644">
        <f>D54</f>
        <v>6460</v>
      </c>
      <c r="H54" s="644"/>
      <c r="I54" s="644">
        <f>G54</f>
        <v>6460</v>
      </c>
      <c r="J54" s="644"/>
      <c r="K54" s="644"/>
      <c r="L54" s="644"/>
      <c r="M54" s="644"/>
      <c r="N54" s="644"/>
      <c r="O54" s="644"/>
      <c r="P54" s="644"/>
      <c r="Q54" s="644"/>
      <c r="R54" s="644"/>
      <c r="S54" s="644"/>
      <c r="T54" s="644"/>
      <c r="U54" s="644"/>
      <c r="V54" s="644"/>
      <c r="W54" s="644"/>
      <c r="X54" s="645">
        <f t="shared" si="1"/>
        <v>6460</v>
      </c>
      <c r="Y54" s="646">
        <v>6460</v>
      </c>
      <c r="Z54" s="644"/>
      <c r="AA54" s="644"/>
      <c r="AB54" s="649"/>
      <c r="AC54" s="644"/>
      <c r="AD54" s="409"/>
    </row>
    <row r="55" spans="3:30">
      <c r="C55" s="64"/>
      <c r="D55" s="146"/>
      <c r="E55" s="146"/>
      <c r="F55" s="146"/>
      <c r="G55" s="146">
        <f t="shared" si="14"/>
        <v>0</v>
      </c>
      <c r="H55" s="146"/>
      <c r="I55" s="146">
        <f t="shared" si="12"/>
        <v>0</v>
      </c>
      <c r="J55" s="146"/>
      <c r="K55" s="146"/>
      <c r="L55" s="146"/>
      <c r="M55" s="146"/>
      <c r="N55" s="146"/>
      <c r="O55" s="146"/>
      <c r="P55" s="146"/>
      <c r="Q55" s="146"/>
      <c r="R55" s="146"/>
      <c r="S55" s="146"/>
      <c r="T55" s="146">
        <f t="shared" si="13"/>
        <v>0</v>
      </c>
      <c r="U55" s="146"/>
      <c r="V55" s="146"/>
      <c r="W55" s="146"/>
      <c r="X55" s="93">
        <f t="shared" si="1"/>
        <v>0</v>
      </c>
      <c r="Y55" s="146"/>
      <c r="Z55" s="146">
        <f t="shared" si="15"/>
        <v>0</v>
      </c>
      <c r="AA55" s="146">
        <f t="shared" si="16"/>
        <v>0</v>
      </c>
      <c r="AB55" s="197" t="str">
        <f t="shared" si="17"/>
        <v/>
      </c>
      <c r="AC55" s="146"/>
    </row>
    <row r="56" spans="3:30">
      <c r="C56" s="59" t="s">
        <v>35</v>
      </c>
      <c r="D56" s="142"/>
      <c r="E56" s="142"/>
      <c r="F56" s="142"/>
      <c r="G56" s="142">
        <f t="shared" si="14"/>
        <v>0</v>
      </c>
      <c r="H56" s="142"/>
      <c r="I56" s="142">
        <f t="shared" si="12"/>
        <v>0</v>
      </c>
      <c r="J56" s="142"/>
      <c r="K56" s="142"/>
      <c r="L56" s="142"/>
      <c r="M56" s="142"/>
      <c r="N56" s="142"/>
      <c r="O56" s="142"/>
      <c r="P56" s="142"/>
      <c r="Q56" s="142"/>
      <c r="R56" s="142"/>
      <c r="S56" s="142"/>
      <c r="T56" s="142">
        <f t="shared" si="13"/>
        <v>0</v>
      </c>
      <c r="U56" s="142"/>
      <c r="V56" s="142"/>
      <c r="W56" s="142"/>
      <c r="X56" s="229">
        <f t="shared" si="1"/>
        <v>0</v>
      </c>
      <c r="Y56" s="142"/>
      <c r="Z56" s="142">
        <f t="shared" si="15"/>
        <v>0</v>
      </c>
      <c r="AA56" s="142">
        <f t="shared" si="16"/>
        <v>0</v>
      </c>
      <c r="AB56" s="198" t="str">
        <f t="shared" si="17"/>
        <v/>
      </c>
      <c r="AC56" s="142"/>
    </row>
    <row r="57" spans="3:30" ht="25.5">
      <c r="C57" s="60" t="s">
        <v>128</v>
      </c>
      <c r="D57" s="146">
        <v>440170</v>
      </c>
      <c r="E57" s="146"/>
      <c r="F57" s="146">
        <v>41930</v>
      </c>
      <c r="G57" s="146">
        <f t="shared" si="14"/>
        <v>398240</v>
      </c>
      <c r="H57" s="146">
        <v>8188</v>
      </c>
      <c r="I57" s="146">
        <f t="shared" si="12"/>
        <v>448358</v>
      </c>
      <c r="J57" s="146"/>
      <c r="K57" s="146">
        <f>20000+6000+160</f>
        <v>26160</v>
      </c>
      <c r="L57" s="146"/>
      <c r="M57" s="146"/>
      <c r="N57" s="146"/>
      <c r="O57" s="146"/>
      <c r="P57" s="146"/>
      <c r="Q57" s="146"/>
      <c r="R57" s="146"/>
      <c r="S57" s="146"/>
      <c r="T57" s="146">
        <f t="shared" si="13"/>
        <v>26160</v>
      </c>
      <c r="U57" s="146">
        <v>1086640</v>
      </c>
      <c r="V57" s="146"/>
      <c r="W57" s="146"/>
      <c r="X57" s="93">
        <f t="shared" ref="X57:X138" si="18">G57+T57+U57+V57+W57</f>
        <v>1511040</v>
      </c>
      <c r="Y57" s="146">
        <v>1511040</v>
      </c>
      <c r="Z57" s="146">
        <f t="shared" si="15"/>
        <v>0</v>
      </c>
      <c r="AA57" s="146">
        <f t="shared" si="16"/>
        <v>1062682</v>
      </c>
      <c r="AB57" s="197">
        <f t="shared" si="17"/>
        <v>2.3701640207155887</v>
      </c>
      <c r="AC57" s="146"/>
    </row>
    <row r="58" spans="3:30">
      <c r="C58" s="57" t="s">
        <v>34</v>
      </c>
      <c r="D58" s="138">
        <v>270054</v>
      </c>
      <c r="E58" s="138"/>
      <c r="F58" s="138"/>
      <c r="G58" s="138">
        <f t="shared" si="14"/>
        <v>270054</v>
      </c>
      <c r="H58" s="138">
        <v>6000</v>
      </c>
      <c r="I58" s="138">
        <f t="shared" si="12"/>
        <v>276054</v>
      </c>
      <c r="J58" s="138"/>
      <c r="K58" s="138"/>
      <c r="L58" s="138"/>
      <c r="M58" s="138"/>
      <c r="N58" s="138"/>
      <c r="O58" s="138"/>
      <c r="P58" s="138"/>
      <c r="Q58" s="138"/>
      <c r="R58" s="138"/>
      <c r="S58" s="138"/>
      <c r="T58" s="138">
        <f t="shared" si="13"/>
        <v>0</v>
      </c>
      <c r="U58" s="138"/>
      <c r="V58" s="138"/>
      <c r="W58" s="138"/>
      <c r="X58" s="139">
        <f t="shared" si="18"/>
        <v>270054</v>
      </c>
      <c r="Y58" s="138">
        <v>270054</v>
      </c>
      <c r="Z58" s="138">
        <f t="shared" si="15"/>
        <v>0</v>
      </c>
      <c r="AA58" s="138">
        <f t="shared" si="16"/>
        <v>-6000</v>
      </c>
      <c r="AB58" s="193">
        <f t="shared" si="17"/>
        <v>-2.1734877958660262E-2</v>
      </c>
      <c r="AC58" s="138"/>
    </row>
    <row r="59" spans="3:30">
      <c r="C59" s="67"/>
      <c r="D59" s="98"/>
      <c r="E59" s="98"/>
      <c r="F59" s="98"/>
      <c r="G59" s="98">
        <f t="shared" si="14"/>
        <v>0</v>
      </c>
      <c r="H59" s="98"/>
      <c r="I59" s="98">
        <f t="shared" si="12"/>
        <v>0</v>
      </c>
      <c r="J59" s="98"/>
      <c r="K59" s="98"/>
      <c r="L59" s="98"/>
      <c r="M59" s="98"/>
      <c r="N59" s="98"/>
      <c r="O59" s="98"/>
      <c r="P59" s="98"/>
      <c r="Q59" s="98"/>
      <c r="R59" s="98"/>
      <c r="S59" s="98"/>
      <c r="T59" s="98">
        <f t="shared" si="13"/>
        <v>0</v>
      </c>
      <c r="U59" s="98"/>
      <c r="V59" s="98"/>
      <c r="W59" s="98"/>
      <c r="X59" s="235">
        <f t="shared" si="18"/>
        <v>0</v>
      </c>
      <c r="Y59" s="98"/>
      <c r="Z59" s="98">
        <f t="shared" si="15"/>
        <v>0</v>
      </c>
      <c r="AA59" s="219">
        <f t="shared" si="16"/>
        <v>0</v>
      </c>
      <c r="AB59" s="301" t="str">
        <f t="shared" si="17"/>
        <v/>
      </c>
      <c r="AC59" s="98"/>
    </row>
    <row r="60" spans="3:30">
      <c r="C60" s="49" t="s">
        <v>41</v>
      </c>
      <c r="D60" s="142">
        <f>D63+D69+D72+D75+D78</f>
        <v>4838820</v>
      </c>
      <c r="E60" s="142">
        <f>E63+E69+E72+E75+E78</f>
        <v>0</v>
      </c>
      <c r="F60" s="142">
        <f>F63+F69+F72+F75+F78</f>
        <v>1869700</v>
      </c>
      <c r="G60" s="142">
        <f t="shared" si="14"/>
        <v>2969120</v>
      </c>
      <c r="H60" s="142">
        <f>H63+H69+H72+H75+H78</f>
        <v>154029</v>
      </c>
      <c r="I60" s="142">
        <f t="shared" si="12"/>
        <v>4992849</v>
      </c>
      <c r="J60" s="142">
        <f>J63+J69+J72+J75+J78</f>
        <v>0</v>
      </c>
      <c r="K60" s="142">
        <f>K63+K69+K72+K75+K78</f>
        <v>86579</v>
      </c>
      <c r="L60" s="142">
        <f>L63+L69+L72+L75+L78</f>
        <v>0</v>
      </c>
      <c r="M60" s="142">
        <f>M63+M69+M72+M75+M78</f>
        <v>0</v>
      </c>
      <c r="N60" s="142"/>
      <c r="O60" s="142">
        <f>O63+O69+O72+O75+O78</f>
        <v>0</v>
      </c>
      <c r="P60" s="142">
        <f>P63+P69+P72+P75+P78</f>
        <v>89400</v>
      </c>
      <c r="Q60" s="142">
        <f>Q63+Q69+Q72+Q75+Q78</f>
        <v>0</v>
      </c>
      <c r="R60" s="142"/>
      <c r="S60" s="142">
        <f>S63+S69+S72+S75+S78</f>
        <v>0</v>
      </c>
      <c r="T60" s="142">
        <f t="shared" si="13"/>
        <v>175979</v>
      </c>
      <c r="U60" s="142">
        <f>U63+U69+U72+U75+U78</f>
        <v>1889700</v>
      </c>
      <c r="V60" s="142">
        <f>V63+V69+V72+V75+V78</f>
        <v>0</v>
      </c>
      <c r="W60" s="142">
        <f>W63</f>
        <v>1</v>
      </c>
      <c r="X60" s="229">
        <f t="shared" si="18"/>
        <v>5034800</v>
      </c>
      <c r="Y60" s="142">
        <f>Y63+Y69+Y72+Y75+Y78</f>
        <v>5034800</v>
      </c>
      <c r="Z60" s="142">
        <f t="shared" si="15"/>
        <v>0</v>
      </c>
      <c r="AA60" s="142">
        <f t="shared" si="16"/>
        <v>41951</v>
      </c>
      <c r="AB60" s="198">
        <f t="shared" si="17"/>
        <v>8.402216850539641E-3</v>
      </c>
      <c r="AC60" s="142"/>
    </row>
    <row r="61" spans="3:30">
      <c r="C61" s="50" t="s">
        <v>34</v>
      </c>
      <c r="D61" s="138">
        <f>D64</f>
        <v>1407356</v>
      </c>
      <c r="E61" s="138">
        <f>E64</f>
        <v>0</v>
      </c>
      <c r="F61" s="138">
        <f t="shared" ref="F61:V61" si="19">F64</f>
        <v>0</v>
      </c>
      <c r="G61" s="138">
        <f t="shared" si="14"/>
        <v>1407356</v>
      </c>
      <c r="H61" s="138">
        <f>H64</f>
        <v>50112</v>
      </c>
      <c r="I61" s="138">
        <f t="shared" si="12"/>
        <v>1457468</v>
      </c>
      <c r="J61" s="138">
        <f t="shared" si="19"/>
        <v>0</v>
      </c>
      <c r="K61" s="138">
        <f t="shared" si="19"/>
        <v>0</v>
      </c>
      <c r="L61" s="138">
        <f t="shared" ref="L61:S61" si="20">L64</f>
        <v>0</v>
      </c>
      <c r="M61" s="138">
        <f t="shared" si="20"/>
        <v>0</v>
      </c>
      <c r="N61" s="138"/>
      <c r="O61" s="138">
        <f t="shared" si="20"/>
        <v>0</v>
      </c>
      <c r="P61" s="138">
        <f t="shared" si="20"/>
        <v>66816</v>
      </c>
      <c r="Q61" s="138">
        <f t="shared" si="20"/>
        <v>0</v>
      </c>
      <c r="R61" s="138"/>
      <c r="S61" s="138">
        <f t="shared" si="20"/>
        <v>0</v>
      </c>
      <c r="T61" s="138">
        <f t="shared" si="13"/>
        <v>66816</v>
      </c>
      <c r="U61" s="138">
        <f t="shared" si="19"/>
        <v>0</v>
      </c>
      <c r="V61" s="138">
        <f t="shared" si="19"/>
        <v>0</v>
      </c>
      <c r="W61" s="138"/>
      <c r="X61" s="139">
        <f t="shared" si="18"/>
        <v>1474172</v>
      </c>
      <c r="Y61" s="138">
        <f>Y64</f>
        <v>1474172</v>
      </c>
      <c r="Z61" s="138">
        <f t="shared" si="15"/>
        <v>0</v>
      </c>
      <c r="AA61" s="138">
        <f t="shared" si="16"/>
        <v>16704</v>
      </c>
      <c r="AB61" s="193">
        <f t="shared" si="17"/>
        <v>1.1460972041924762E-2</v>
      </c>
      <c r="AC61" s="138"/>
    </row>
    <row r="62" spans="3:30">
      <c r="C62" s="59" t="s">
        <v>35</v>
      </c>
      <c r="D62" s="142"/>
      <c r="E62" s="142"/>
      <c r="F62" s="142"/>
      <c r="G62" s="142">
        <f t="shared" si="14"/>
        <v>0</v>
      </c>
      <c r="H62" s="142"/>
      <c r="I62" s="142">
        <f t="shared" si="12"/>
        <v>0</v>
      </c>
      <c r="J62" s="142"/>
      <c r="K62" s="142"/>
      <c r="L62" s="142"/>
      <c r="M62" s="142"/>
      <c r="N62" s="142"/>
      <c r="O62" s="142"/>
      <c r="P62" s="142"/>
      <c r="Q62" s="142"/>
      <c r="R62" s="142"/>
      <c r="S62" s="142"/>
      <c r="T62" s="142">
        <f t="shared" si="13"/>
        <v>0</v>
      </c>
      <c r="U62" s="142"/>
      <c r="V62" s="142"/>
      <c r="W62" s="142"/>
      <c r="X62" s="229">
        <f t="shared" si="18"/>
        <v>0</v>
      </c>
      <c r="Y62" s="142"/>
      <c r="Z62" s="142">
        <f t="shared" si="15"/>
        <v>0</v>
      </c>
      <c r="AA62" s="142">
        <f t="shared" si="16"/>
        <v>0</v>
      </c>
      <c r="AB62" s="198" t="str">
        <f t="shared" si="17"/>
        <v/>
      </c>
      <c r="AC62" s="142"/>
    </row>
    <row r="63" spans="3:30" ht="24">
      <c r="C63" s="60" t="s">
        <v>129</v>
      </c>
      <c r="D63" s="146">
        <v>4619690</v>
      </c>
      <c r="E63" s="146"/>
      <c r="F63" s="146">
        <v>1869700</v>
      </c>
      <c r="G63" s="146">
        <f t="shared" si="14"/>
        <v>2749990</v>
      </c>
      <c r="H63" s="146">
        <v>154029</v>
      </c>
      <c r="I63" s="146">
        <f t="shared" si="12"/>
        <v>4773719</v>
      </c>
      <c r="J63" s="146"/>
      <c r="K63" s="146">
        <f>85800+779</f>
        <v>86579</v>
      </c>
      <c r="L63" s="146"/>
      <c r="M63" s="146"/>
      <c r="N63" s="146"/>
      <c r="O63" s="146"/>
      <c r="P63" s="146">
        <f>67050+22350</f>
        <v>89400</v>
      </c>
      <c r="Q63" s="146"/>
      <c r="R63" s="146"/>
      <c r="S63" s="146"/>
      <c r="T63" s="146">
        <f t="shared" si="13"/>
        <v>175979</v>
      </c>
      <c r="U63" s="146">
        <v>1889700</v>
      </c>
      <c r="V63" s="146"/>
      <c r="W63" s="146">
        <f>W65+W66</f>
        <v>1</v>
      </c>
      <c r="X63" s="93">
        <f t="shared" si="18"/>
        <v>4815670</v>
      </c>
      <c r="Y63" s="146">
        <v>4815670</v>
      </c>
      <c r="Z63" s="146">
        <f t="shared" si="15"/>
        <v>0</v>
      </c>
      <c r="AA63" s="146">
        <f t="shared" si="16"/>
        <v>41951</v>
      </c>
      <c r="AB63" s="197">
        <f t="shared" si="17"/>
        <v>8.7879072898928486E-3</v>
      </c>
      <c r="AC63" s="146"/>
    </row>
    <row r="64" spans="3:30">
      <c r="C64" s="57" t="s">
        <v>34</v>
      </c>
      <c r="D64" s="138">
        <v>1407356</v>
      </c>
      <c r="E64" s="138"/>
      <c r="F64" s="138"/>
      <c r="G64" s="138">
        <f t="shared" si="14"/>
        <v>1407356</v>
      </c>
      <c r="H64" s="138">
        <v>50112</v>
      </c>
      <c r="I64" s="138">
        <f t="shared" si="12"/>
        <v>1457468</v>
      </c>
      <c r="J64" s="138"/>
      <c r="K64" s="138"/>
      <c r="L64" s="138"/>
      <c r="M64" s="138"/>
      <c r="N64" s="138"/>
      <c r="O64" s="138"/>
      <c r="P64" s="138">
        <f>50112+16704</f>
        <v>66816</v>
      </c>
      <c r="Q64" s="138"/>
      <c r="R64" s="138"/>
      <c r="S64" s="138"/>
      <c r="T64" s="138">
        <f t="shared" si="13"/>
        <v>66816</v>
      </c>
      <c r="U64" s="138"/>
      <c r="V64" s="138"/>
      <c r="W64" s="138"/>
      <c r="X64" s="139">
        <f t="shared" si="18"/>
        <v>1474172</v>
      </c>
      <c r="Y64" s="138">
        <v>1474172</v>
      </c>
      <c r="Z64" s="138">
        <f t="shared" si="15"/>
        <v>0</v>
      </c>
      <c r="AA64" s="138">
        <f t="shared" si="16"/>
        <v>16704</v>
      </c>
      <c r="AB64" s="193">
        <f t="shared" si="17"/>
        <v>1.1460972041924762E-2</v>
      </c>
      <c r="AC64" s="138"/>
    </row>
    <row r="65" spans="3:29" s="130" customFormat="1">
      <c r="C65" s="290" t="s">
        <v>244</v>
      </c>
      <c r="D65" s="647">
        <v>3129960</v>
      </c>
      <c r="E65" s="647"/>
      <c r="F65" s="647">
        <v>1869700</v>
      </c>
      <c r="G65" s="647">
        <f>D65-F65</f>
        <v>1260260</v>
      </c>
      <c r="H65" s="647"/>
      <c r="I65" s="647">
        <f>D65+H65</f>
        <v>3129960</v>
      </c>
      <c r="J65" s="647"/>
      <c r="K65" s="647"/>
      <c r="L65" s="647"/>
      <c r="M65" s="647"/>
      <c r="N65" s="647"/>
      <c r="O65" s="647"/>
      <c r="P65" s="647">
        <v>89400</v>
      </c>
      <c r="Q65" s="647"/>
      <c r="R65" s="647"/>
      <c r="S65" s="647"/>
      <c r="T65" s="647">
        <f>SUM(J65:S65)</f>
        <v>89400</v>
      </c>
      <c r="U65" s="647">
        <v>1889700</v>
      </c>
      <c r="V65" s="647"/>
      <c r="W65" s="647"/>
      <c r="X65" s="648">
        <f t="shared" si="18"/>
        <v>3239360</v>
      </c>
      <c r="Y65" s="217">
        <v>3239360</v>
      </c>
      <c r="Z65" s="647"/>
      <c r="AA65" s="647"/>
      <c r="AB65" s="650"/>
      <c r="AC65" s="647"/>
    </row>
    <row r="66" spans="3:29" s="130" customFormat="1">
      <c r="C66" s="292" t="s">
        <v>47</v>
      </c>
      <c r="D66" s="647">
        <v>1489730</v>
      </c>
      <c r="E66" s="647"/>
      <c r="F66" s="647"/>
      <c r="G66" s="647">
        <f>D66-F66</f>
        <v>1489730</v>
      </c>
      <c r="H66" s="647"/>
      <c r="I66" s="647">
        <f>D66+H66</f>
        <v>1489730</v>
      </c>
      <c r="J66" s="647"/>
      <c r="K66" s="647">
        <v>86579</v>
      </c>
      <c r="L66" s="647"/>
      <c r="M66" s="647"/>
      <c r="N66" s="647"/>
      <c r="O66" s="647"/>
      <c r="P66" s="647"/>
      <c r="Q66" s="647"/>
      <c r="R66" s="647"/>
      <c r="S66" s="647"/>
      <c r="T66" s="647">
        <f>SUM(J66:S66)</f>
        <v>86579</v>
      </c>
      <c r="U66" s="647"/>
      <c r="V66" s="647"/>
      <c r="W66" s="647">
        <v>1</v>
      </c>
      <c r="X66" s="648">
        <f t="shared" si="18"/>
        <v>1576310</v>
      </c>
      <c r="Y66" s="217">
        <v>1576309</v>
      </c>
      <c r="Z66" s="647"/>
      <c r="AA66" s="647"/>
      <c r="AB66" s="650"/>
      <c r="AC66" s="647"/>
    </row>
    <row r="67" spans="3:29">
      <c r="C67" s="60"/>
      <c r="D67" s="146"/>
      <c r="E67" s="146"/>
      <c r="F67" s="146"/>
      <c r="G67" s="146">
        <f t="shared" si="14"/>
        <v>0</v>
      </c>
      <c r="H67" s="146"/>
      <c r="I67" s="146">
        <f t="shared" si="12"/>
        <v>0</v>
      </c>
      <c r="J67" s="146"/>
      <c r="K67" s="146"/>
      <c r="L67" s="146"/>
      <c r="M67" s="146"/>
      <c r="N67" s="146"/>
      <c r="O67" s="146"/>
      <c r="P67" s="146"/>
      <c r="Q67" s="146"/>
      <c r="R67" s="146"/>
      <c r="S67" s="146"/>
      <c r="T67" s="146">
        <f t="shared" si="13"/>
        <v>0</v>
      </c>
      <c r="U67" s="146"/>
      <c r="V67" s="146"/>
      <c r="W67" s="146"/>
      <c r="X67" s="93">
        <f t="shared" si="18"/>
        <v>0</v>
      </c>
      <c r="Y67" s="146"/>
      <c r="Z67" s="146">
        <f t="shared" si="15"/>
        <v>0</v>
      </c>
      <c r="AA67" s="146">
        <f t="shared" si="16"/>
        <v>0</v>
      </c>
      <c r="AB67" s="197" t="str">
        <f t="shared" si="17"/>
        <v/>
      </c>
      <c r="AC67" s="146"/>
    </row>
    <row r="68" spans="3:29">
      <c r="C68" s="59" t="s">
        <v>35</v>
      </c>
      <c r="D68" s="142"/>
      <c r="E68" s="142"/>
      <c r="F68" s="142"/>
      <c r="G68" s="142">
        <f t="shared" si="14"/>
        <v>0</v>
      </c>
      <c r="H68" s="142"/>
      <c r="I68" s="142">
        <f t="shared" si="12"/>
        <v>0</v>
      </c>
      <c r="J68" s="142"/>
      <c r="K68" s="142"/>
      <c r="L68" s="142"/>
      <c r="M68" s="142"/>
      <c r="N68" s="142"/>
      <c r="O68" s="142"/>
      <c r="P68" s="142"/>
      <c r="Q68" s="142"/>
      <c r="R68" s="142"/>
      <c r="S68" s="142"/>
      <c r="T68" s="142">
        <f t="shared" si="13"/>
        <v>0</v>
      </c>
      <c r="U68" s="142"/>
      <c r="V68" s="142"/>
      <c r="W68" s="142"/>
      <c r="X68" s="229">
        <f t="shared" si="18"/>
        <v>0</v>
      </c>
      <c r="Y68" s="142"/>
      <c r="Z68" s="142">
        <f t="shared" si="15"/>
        <v>0</v>
      </c>
      <c r="AA68" s="142">
        <f t="shared" si="16"/>
        <v>0</v>
      </c>
      <c r="AB68" s="198" t="str">
        <f t="shared" si="17"/>
        <v/>
      </c>
      <c r="AC68" s="142"/>
    </row>
    <row r="69" spans="3:29" ht="25.5">
      <c r="C69" s="60" t="s">
        <v>9</v>
      </c>
      <c r="D69" s="146">
        <v>26910</v>
      </c>
      <c r="E69" s="146"/>
      <c r="F69" s="146"/>
      <c r="G69" s="146">
        <f t="shared" si="14"/>
        <v>26910</v>
      </c>
      <c r="H69" s="146"/>
      <c r="I69" s="146">
        <f t="shared" si="12"/>
        <v>26910</v>
      </c>
      <c r="J69" s="146"/>
      <c r="K69" s="146"/>
      <c r="L69" s="146"/>
      <c r="M69" s="146"/>
      <c r="N69" s="146"/>
      <c r="O69" s="146"/>
      <c r="P69" s="146"/>
      <c r="Q69" s="146"/>
      <c r="R69" s="146"/>
      <c r="S69" s="146"/>
      <c r="T69" s="146">
        <f t="shared" si="13"/>
        <v>0</v>
      </c>
      <c r="U69" s="146"/>
      <c r="V69" s="146"/>
      <c r="W69" s="146"/>
      <c r="X69" s="93">
        <f t="shared" si="18"/>
        <v>26910</v>
      </c>
      <c r="Y69" s="146">
        <v>26910</v>
      </c>
      <c r="Z69" s="146">
        <f t="shared" si="15"/>
        <v>0</v>
      </c>
      <c r="AA69" s="146">
        <f t="shared" si="16"/>
        <v>0</v>
      </c>
      <c r="AB69" s="197">
        <f t="shared" si="17"/>
        <v>0</v>
      </c>
      <c r="AC69" s="146"/>
    </row>
    <row r="70" spans="3:29">
      <c r="C70" s="63"/>
      <c r="D70" s="148"/>
      <c r="E70" s="148"/>
      <c r="F70" s="148"/>
      <c r="G70" s="148">
        <f t="shared" si="14"/>
        <v>0</v>
      </c>
      <c r="H70" s="148"/>
      <c r="I70" s="148">
        <f t="shared" si="12"/>
        <v>0</v>
      </c>
      <c r="J70" s="148"/>
      <c r="K70" s="148"/>
      <c r="L70" s="148"/>
      <c r="M70" s="148"/>
      <c r="N70" s="148"/>
      <c r="O70" s="148"/>
      <c r="P70" s="148"/>
      <c r="Q70" s="148"/>
      <c r="R70" s="148"/>
      <c r="S70" s="148"/>
      <c r="T70" s="148">
        <f t="shared" si="13"/>
        <v>0</v>
      </c>
      <c r="U70" s="148"/>
      <c r="V70" s="148"/>
      <c r="W70" s="148"/>
      <c r="X70" s="234">
        <f t="shared" si="18"/>
        <v>0</v>
      </c>
      <c r="Y70" s="148"/>
      <c r="Z70" s="148">
        <f t="shared" si="15"/>
        <v>0</v>
      </c>
      <c r="AA70" s="148">
        <f t="shared" si="16"/>
        <v>0</v>
      </c>
      <c r="AB70" s="210" t="str">
        <f t="shared" si="17"/>
        <v/>
      </c>
      <c r="AC70" s="148"/>
    </row>
    <row r="71" spans="3:29">
      <c r="C71" s="59" t="s">
        <v>35</v>
      </c>
      <c r="D71" s="142"/>
      <c r="E71" s="142"/>
      <c r="F71" s="142"/>
      <c r="G71" s="142">
        <f t="shared" si="14"/>
        <v>0</v>
      </c>
      <c r="H71" s="142"/>
      <c r="I71" s="142">
        <f t="shared" si="12"/>
        <v>0</v>
      </c>
      <c r="J71" s="142"/>
      <c r="K71" s="142"/>
      <c r="L71" s="142"/>
      <c r="M71" s="142"/>
      <c r="N71" s="142"/>
      <c r="O71" s="142"/>
      <c r="P71" s="142"/>
      <c r="Q71" s="142"/>
      <c r="R71" s="142"/>
      <c r="S71" s="142"/>
      <c r="T71" s="142">
        <f t="shared" si="13"/>
        <v>0</v>
      </c>
      <c r="U71" s="142"/>
      <c r="V71" s="142"/>
      <c r="W71" s="142"/>
      <c r="X71" s="229">
        <f t="shared" si="18"/>
        <v>0</v>
      </c>
      <c r="Y71" s="142"/>
      <c r="Z71" s="142">
        <f t="shared" si="15"/>
        <v>0</v>
      </c>
      <c r="AA71" s="142">
        <f t="shared" si="16"/>
        <v>0</v>
      </c>
      <c r="AB71" s="198" t="str">
        <f t="shared" si="17"/>
        <v/>
      </c>
      <c r="AC71" s="142"/>
    </row>
    <row r="72" spans="3:29">
      <c r="C72" s="60" t="s">
        <v>20</v>
      </c>
      <c r="D72" s="146">
        <v>131000</v>
      </c>
      <c r="E72" s="146"/>
      <c r="F72" s="146"/>
      <c r="G72" s="146">
        <f t="shared" si="14"/>
        <v>131000</v>
      </c>
      <c r="H72" s="146"/>
      <c r="I72" s="146">
        <f t="shared" si="12"/>
        <v>131000</v>
      </c>
      <c r="J72" s="146"/>
      <c r="K72" s="146"/>
      <c r="L72" s="146"/>
      <c r="M72" s="146"/>
      <c r="N72" s="146"/>
      <c r="O72" s="146"/>
      <c r="P72" s="146"/>
      <c r="Q72" s="146"/>
      <c r="R72" s="146"/>
      <c r="S72" s="146"/>
      <c r="T72" s="146">
        <f t="shared" si="13"/>
        <v>0</v>
      </c>
      <c r="U72" s="146"/>
      <c r="V72" s="146"/>
      <c r="W72" s="146"/>
      <c r="X72" s="93">
        <f t="shared" si="18"/>
        <v>131000</v>
      </c>
      <c r="Y72" s="146">
        <v>131000</v>
      </c>
      <c r="Z72" s="146">
        <f t="shared" si="15"/>
        <v>0</v>
      </c>
      <c r="AA72" s="146">
        <f t="shared" si="16"/>
        <v>0</v>
      </c>
      <c r="AB72" s="197">
        <f t="shared" si="17"/>
        <v>0</v>
      </c>
      <c r="AC72" s="146"/>
    </row>
    <row r="73" spans="3:29">
      <c r="C73" s="63"/>
      <c r="D73" s="148"/>
      <c r="E73" s="148"/>
      <c r="F73" s="148"/>
      <c r="G73" s="148">
        <f t="shared" si="14"/>
        <v>0</v>
      </c>
      <c r="H73" s="148"/>
      <c r="I73" s="148">
        <f t="shared" si="12"/>
        <v>0</v>
      </c>
      <c r="J73" s="148"/>
      <c r="K73" s="148"/>
      <c r="L73" s="148"/>
      <c r="M73" s="148"/>
      <c r="N73" s="148"/>
      <c r="O73" s="148"/>
      <c r="P73" s="148"/>
      <c r="Q73" s="148"/>
      <c r="R73" s="148"/>
      <c r="S73" s="148"/>
      <c r="T73" s="148">
        <f t="shared" si="13"/>
        <v>0</v>
      </c>
      <c r="U73" s="148"/>
      <c r="V73" s="148"/>
      <c r="W73" s="148"/>
      <c r="X73" s="234">
        <f t="shared" si="18"/>
        <v>0</v>
      </c>
      <c r="Y73" s="148"/>
      <c r="Z73" s="148">
        <f t="shared" si="15"/>
        <v>0</v>
      </c>
      <c r="AA73" s="148">
        <f t="shared" si="16"/>
        <v>0</v>
      </c>
      <c r="AB73" s="210" t="str">
        <f t="shared" si="17"/>
        <v/>
      </c>
      <c r="AC73" s="148"/>
    </row>
    <row r="74" spans="3:29">
      <c r="C74" s="59" t="s">
        <v>35</v>
      </c>
      <c r="D74" s="142"/>
      <c r="E74" s="142"/>
      <c r="F74" s="142"/>
      <c r="G74" s="142">
        <f t="shared" si="14"/>
        <v>0</v>
      </c>
      <c r="H74" s="142"/>
      <c r="I74" s="142">
        <f t="shared" si="12"/>
        <v>0</v>
      </c>
      <c r="J74" s="142"/>
      <c r="K74" s="142"/>
      <c r="L74" s="142"/>
      <c r="M74" s="142"/>
      <c r="N74" s="142"/>
      <c r="O74" s="142"/>
      <c r="P74" s="142"/>
      <c r="Q74" s="142"/>
      <c r="R74" s="142"/>
      <c r="S74" s="142"/>
      <c r="T74" s="142">
        <f t="shared" si="13"/>
        <v>0</v>
      </c>
      <c r="U74" s="142"/>
      <c r="V74" s="142"/>
      <c r="W74" s="142"/>
      <c r="X74" s="229">
        <f t="shared" si="18"/>
        <v>0</v>
      </c>
      <c r="Y74" s="142"/>
      <c r="Z74" s="142">
        <f t="shared" si="15"/>
        <v>0</v>
      </c>
      <c r="AA74" s="142">
        <f t="shared" si="16"/>
        <v>0</v>
      </c>
      <c r="AB74" s="198" t="str">
        <f t="shared" si="17"/>
        <v/>
      </c>
      <c r="AC74" s="142"/>
    </row>
    <row r="75" spans="3:29">
      <c r="C75" s="60" t="s">
        <v>95</v>
      </c>
      <c r="D75" s="146">
        <v>16220</v>
      </c>
      <c r="E75" s="146"/>
      <c r="F75" s="146"/>
      <c r="G75" s="146">
        <f t="shared" si="14"/>
        <v>16220</v>
      </c>
      <c r="H75" s="146"/>
      <c r="I75" s="146">
        <f t="shared" si="12"/>
        <v>16220</v>
      </c>
      <c r="J75" s="146"/>
      <c r="K75" s="146"/>
      <c r="L75" s="146"/>
      <c r="M75" s="146"/>
      <c r="N75" s="146"/>
      <c r="O75" s="146"/>
      <c r="P75" s="146"/>
      <c r="Q75" s="146"/>
      <c r="R75" s="146"/>
      <c r="S75" s="146"/>
      <c r="T75" s="146">
        <f t="shared" si="13"/>
        <v>0</v>
      </c>
      <c r="U75" s="146"/>
      <c r="V75" s="146"/>
      <c r="W75" s="146"/>
      <c r="X75" s="93">
        <f t="shared" si="18"/>
        <v>16220</v>
      </c>
      <c r="Y75" s="146">
        <v>16220</v>
      </c>
      <c r="Z75" s="146">
        <f t="shared" si="15"/>
        <v>0</v>
      </c>
      <c r="AA75" s="146">
        <f t="shared" si="16"/>
        <v>0</v>
      </c>
      <c r="AB75" s="197">
        <f t="shared" si="17"/>
        <v>0</v>
      </c>
      <c r="AC75" s="146"/>
    </row>
    <row r="76" spans="3:29">
      <c r="C76" s="63"/>
      <c r="D76" s="148"/>
      <c r="E76" s="148"/>
      <c r="F76" s="148"/>
      <c r="G76" s="148">
        <f t="shared" si="14"/>
        <v>0</v>
      </c>
      <c r="H76" s="148"/>
      <c r="I76" s="148">
        <f t="shared" si="12"/>
        <v>0</v>
      </c>
      <c r="J76" s="148"/>
      <c r="K76" s="148"/>
      <c r="L76" s="148"/>
      <c r="M76" s="148"/>
      <c r="N76" s="148"/>
      <c r="O76" s="148"/>
      <c r="P76" s="148"/>
      <c r="Q76" s="148"/>
      <c r="R76" s="148"/>
      <c r="S76" s="148"/>
      <c r="T76" s="148">
        <f t="shared" si="13"/>
        <v>0</v>
      </c>
      <c r="U76" s="148"/>
      <c r="V76" s="148"/>
      <c r="W76" s="148"/>
      <c r="X76" s="234">
        <f t="shared" si="18"/>
        <v>0</v>
      </c>
      <c r="Y76" s="148"/>
      <c r="Z76" s="148">
        <f t="shared" si="15"/>
        <v>0</v>
      </c>
      <c r="AA76" s="148">
        <f t="shared" si="16"/>
        <v>0</v>
      </c>
      <c r="AB76" s="210" t="str">
        <f t="shared" si="17"/>
        <v/>
      </c>
      <c r="AC76" s="148"/>
    </row>
    <row r="77" spans="3:29">
      <c r="C77" s="59" t="s">
        <v>35</v>
      </c>
      <c r="D77" s="142"/>
      <c r="E77" s="142"/>
      <c r="F77" s="142"/>
      <c r="G77" s="142">
        <f t="shared" si="14"/>
        <v>0</v>
      </c>
      <c r="H77" s="142"/>
      <c r="I77" s="142">
        <f t="shared" si="12"/>
        <v>0</v>
      </c>
      <c r="J77" s="142"/>
      <c r="K77" s="142"/>
      <c r="L77" s="142"/>
      <c r="M77" s="142"/>
      <c r="N77" s="142"/>
      <c r="O77" s="142"/>
      <c r="P77" s="142"/>
      <c r="Q77" s="142"/>
      <c r="R77" s="142"/>
      <c r="S77" s="142"/>
      <c r="T77" s="142">
        <f t="shared" si="13"/>
        <v>0</v>
      </c>
      <c r="U77" s="142"/>
      <c r="V77" s="142"/>
      <c r="W77" s="142"/>
      <c r="X77" s="229">
        <f t="shared" si="18"/>
        <v>0</v>
      </c>
      <c r="Y77" s="142"/>
      <c r="Z77" s="142">
        <f t="shared" si="15"/>
        <v>0</v>
      </c>
      <c r="AA77" s="142">
        <f t="shared" si="16"/>
        <v>0</v>
      </c>
      <c r="AB77" s="198" t="str">
        <f t="shared" si="17"/>
        <v/>
      </c>
      <c r="AC77" s="142"/>
    </row>
    <row r="78" spans="3:29">
      <c r="C78" s="60" t="s">
        <v>99</v>
      </c>
      <c r="D78" s="146">
        <v>45000</v>
      </c>
      <c r="E78" s="146"/>
      <c r="F78" s="146"/>
      <c r="G78" s="146">
        <f t="shared" si="14"/>
        <v>45000</v>
      </c>
      <c r="H78" s="146"/>
      <c r="I78" s="146">
        <f t="shared" si="12"/>
        <v>45000</v>
      </c>
      <c r="J78" s="146"/>
      <c r="K78" s="146"/>
      <c r="L78" s="146"/>
      <c r="M78" s="146"/>
      <c r="N78" s="146"/>
      <c r="O78" s="146"/>
      <c r="P78" s="146"/>
      <c r="Q78" s="146"/>
      <c r="R78" s="146"/>
      <c r="S78" s="146"/>
      <c r="T78" s="146">
        <f t="shared" si="13"/>
        <v>0</v>
      </c>
      <c r="U78" s="146"/>
      <c r="V78" s="146"/>
      <c r="W78" s="146"/>
      <c r="X78" s="93">
        <f t="shared" si="18"/>
        <v>45000</v>
      </c>
      <c r="Y78" s="146">
        <v>45000</v>
      </c>
      <c r="Z78" s="146">
        <f t="shared" si="15"/>
        <v>0</v>
      </c>
      <c r="AA78" s="146">
        <f t="shared" si="16"/>
        <v>0</v>
      </c>
      <c r="AB78" s="197">
        <f t="shared" si="17"/>
        <v>0</v>
      </c>
      <c r="AC78" s="146"/>
    </row>
    <row r="79" spans="3:29">
      <c r="C79" s="63"/>
      <c r="D79" s="148"/>
      <c r="E79" s="148"/>
      <c r="F79" s="148"/>
      <c r="G79" s="148">
        <f t="shared" si="14"/>
        <v>0</v>
      </c>
      <c r="H79" s="148"/>
      <c r="I79" s="148">
        <f t="shared" si="12"/>
        <v>0</v>
      </c>
      <c r="J79" s="148"/>
      <c r="K79" s="148"/>
      <c r="L79" s="148"/>
      <c r="M79" s="148"/>
      <c r="N79" s="148"/>
      <c r="O79" s="148"/>
      <c r="P79" s="148"/>
      <c r="Q79" s="148"/>
      <c r="R79" s="148"/>
      <c r="S79" s="148"/>
      <c r="T79" s="148">
        <f t="shared" si="13"/>
        <v>0</v>
      </c>
      <c r="U79" s="148"/>
      <c r="V79" s="148"/>
      <c r="W79" s="148"/>
      <c r="X79" s="234">
        <f t="shared" si="18"/>
        <v>0</v>
      </c>
      <c r="Y79" s="148"/>
      <c r="Z79" s="148">
        <f t="shared" si="15"/>
        <v>0</v>
      </c>
      <c r="AA79" s="148">
        <f t="shared" si="16"/>
        <v>0</v>
      </c>
      <c r="AB79" s="210" t="str">
        <f t="shared" si="17"/>
        <v/>
      </c>
      <c r="AC79" s="148"/>
    </row>
    <row r="80" spans="3:29">
      <c r="C80" s="49" t="s">
        <v>42</v>
      </c>
      <c r="D80" s="142">
        <f>D83+D86+D90+D94+D107+D119+D123+D127+D135+D131</f>
        <v>3632650</v>
      </c>
      <c r="E80" s="142">
        <f>E83+E86+E90+E94+E107+E119+E123+E127+E131+E135</f>
        <v>0</v>
      </c>
      <c r="F80" s="142">
        <f>F83+F86+F90+F94+F107+F119+F123+F127+F131+F135</f>
        <v>280220</v>
      </c>
      <c r="G80" s="142">
        <f t="shared" si="14"/>
        <v>3352430</v>
      </c>
      <c r="H80" s="142">
        <f>H83+H86+H90+H94+H107+H119+H123+H127+H135+H131</f>
        <v>132755</v>
      </c>
      <c r="I80" s="142">
        <f t="shared" si="12"/>
        <v>3765405</v>
      </c>
      <c r="J80" s="142">
        <f>J83+J86+J90+J94+J107+J119+J123+J127+J131+J135</f>
        <v>0</v>
      </c>
      <c r="K80" s="142">
        <f>K83+K86+K90+K94+K107+K119+K123+K127+K131+K135</f>
        <v>45146</v>
      </c>
      <c r="L80" s="142">
        <f>L83+L86+L90+L94+L107+L119+L123+L127+L131+L135</f>
        <v>0</v>
      </c>
      <c r="M80" s="142">
        <f>M83+M86+M90+M94+M107+M119+M123+M127+M131+M135</f>
        <v>0</v>
      </c>
      <c r="N80" s="142"/>
      <c r="O80" s="142">
        <f>O83+O86+O90+O94+O107+O119+O123+O127+O131+O135</f>
        <v>0</v>
      </c>
      <c r="P80" s="142">
        <f>P83+P86+P90+P94+P107+P119+P123+P127+P131+P135</f>
        <v>68334</v>
      </c>
      <c r="Q80" s="142">
        <f>Q83+Q86+Q90+Q94+Q107+Q119+Q123+Q127+Q131+Q135</f>
        <v>0</v>
      </c>
      <c r="R80" s="142"/>
      <c r="S80" s="142">
        <f>S83+S86+S90+S94+S107+S119+S123+S127+S131+S135</f>
        <v>0</v>
      </c>
      <c r="T80" s="142">
        <f t="shared" si="13"/>
        <v>113480</v>
      </c>
      <c r="U80" s="142">
        <f>U83+U86+U90+U94+U107+U119+U123+U127+U131+U135</f>
        <v>304361</v>
      </c>
      <c r="V80" s="142">
        <f>V83+V86+V90+V94+V107+V119+V123+V127+V131+V135</f>
        <v>0</v>
      </c>
      <c r="W80" s="142">
        <f>W83+W86+W90+W94+W107+W119+W123+W127+W131+W135</f>
        <v>-1</v>
      </c>
      <c r="X80" s="229">
        <f t="shared" si="18"/>
        <v>3770270</v>
      </c>
      <c r="Y80" s="142">
        <f>Y83+Y86+Y90+Y94+Y107+Y119+Y123+Y127+Y135+Y131</f>
        <v>3770270</v>
      </c>
      <c r="Z80" s="142">
        <f t="shared" si="15"/>
        <v>0</v>
      </c>
      <c r="AA80" s="142">
        <f t="shared" si="16"/>
        <v>4865</v>
      </c>
      <c r="AB80" s="198">
        <f t="shared" si="17"/>
        <v>1.292025691791454E-3</v>
      </c>
      <c r="AC80" s="142"/>
    </row>
    <row r="81" spans="3:29">
      <c r="C81" s="50" t="s">
        <v>34</v>
      </c>
      <c r="D81" s="138">
        <f>D87+D91+D95+D108+D120+D124+D128+D136+D132</f>
        <v>2039790</v>
      </c>
      <c r="E81" s="138">
        <f>E87+E91+E95+E108+E120+E124+E128+E132+E136</f>
        <v>0</v>
      </c>
      <c r="F81" s="138">
        <f>F87+F91+F95+F108+F120+F124+F128+F132+F136</f>
        <v>0</v>
      </c>
      <c r="G81" s="138">
        <f t="shared" si="14"/>
        <v>2039790</v>
      </c>
      <c r="H81" s="138">
        <f>H87+H91+H95+H108+H120+H124+H128+H136+H132</f>
        <v>55909</v>
      </c>
      <c r="I81" s="138">
        <f t="shared" si="12"/>
        <v>2095699</v>
      </c>
      <c r="J81" s="138">
        <f>J87+J91+J95+J108+J120+J124+J128+J132+J136</f>
        <v>0</v>
      </c>
      <c r="K81" s="138">
        <f>K87+K91+K95+K108+K120+K124+K128+K132+K136</f>
        <v>29760</v>
      </c>
      <c r="L81" s="138">
        <f>L87+L91+L95+L108+L120+L124+L128+L132+L136</f>
        <v>0</v>
      </c>
      <c r="M81" s="138">
        <f>M87+M91+M95+M108+M120+M124+M128+M132+M136</f>
        <v>0</v>
      </c>
      <c r="N81" s="138"/>
      <c r="O81" s="138">
        <f>O87+O91+O95+O108+O120+O124+O128+O132+O136</f>
        <v>0</v>
      </c>
      <c r="P81" s="138">
        <f>P87+P91+P95+P108+P120+P124+P128+P132+P136</f>
        <v>51072</v>
      </c>
      <c r="Q81" s="138">
        <f>Q87+Q91+Q95+Q108+Q120+Q124+Q128+Q132+Q136</f>
        <v>0</v>
      </c>
      <c r="R81" s="138"/>
      <c r="S81" s="138">
        <f>S87+S91+S95+S108+S120+S124+S128+S132+S136</f>
        <v>0</v>
      </c>
      <c r="T81" s="138">
        <f t="shared" si="13"/>
        <v>80832</v>
      </c>
      <c r="U81" s="138">
        <f>U87+U91+U95+U108+U120+U124+U128+U132+U136</f>
        <v>0</v>
      </c>
      <c r="V81" s="138">
        <f>V87+V91+V95+V108+V120+V124+V128+V132+V136</f>
        <v>0</v>
      </c>
      <c r="W81" s="138"/>
      <c r="X81" s="139">
        <f t="shared" si="18"/>
        <v>2120622</v>
      </c>
      <c r="Y81" s="138">
        <f>Y87+Y91+Y95+Y108+Y120+Y124+Y128+Y136+Y132</f>
        <v>2120622</v>
      </c>
      <c r="Z81" s="138">
        <f t="shared" si="15"/>
        <v>0</v>
      </c>
      <c r="AA81" s="138">
        <f t="shared" si="16"/>
        <v>24923</v>
      </c>
      <c r="AB81" s="193">
        <f t="shared" si="17"/>
        <v>1.1892452112636405E-2</v>
      </c>
      <c r="AC81" s="138"/>
    </row>
    <row r="82" spans="3:29">
      <c r="C82" s="59" t="s">
        <v>35</v>
      </c>
      <c r="D82" s="142"/>
      <c r="E82" s="142"/>
      <c r="F82" s="142"/>
      <c r="G82" s="142">
        <f t="shared" si="14"/>
        <v>0</v>
      </c>
      <c r="H82" s="142"/>
      <c r="I82" s="142">
        <f t="shared" si="12"/>
        <v>0</v>
      </c>
      <c r="J82" s="142"/>
      <c r="K82" s="142"/>
      <c r="L82" s="142"/>
      <c r="M82" s="142"/>
      <c r="N82" s="142"/>
      <c r="O82" s="142"/>
      <c r="P82" s="142"/>
      <c r="Q82" s="142"/>
      <c r="R82" s="142"/>
      <c r="S82" s="142"/>
      <c r="T82" s="142">
        <f t="shared" si="13"/>
        <v>0</v>
      </c>
      <c r="U82" s="142"/>
      <c r="V82" s="142"/>
      <c r="W82" s="142"/>
      <c r="X82" s="229">
        <f t="shared" si="18"/>
        <v>0</v>
      </c>
      <c r="Y82" s="142"/>
      <c r="Z82" s="142">
        <f t="shared" si="15"/>
        <v>0</v>
      </c>
      <c r="AA82" s="142">
        <f t="shared" si="16"/>
        <v>0</v>
      </c>
      <c r="AB82" s="198" t="str">
        <f t="shared" si="17"/>
        <v/>
      </c>
      <c r="AC82" s="142"/>
    </row>
    <row r="83" spans="3:29">
      <c r="C83" s="60" t="s">
        <v>10</v>
      </c>
      <c r="D83" s="146">
        <v>39680</v>
      </c>
      <c r="E83" s="146"/>
      <c r="F83" s="146"/>
      <c r="G83" s="146">
        <f t="shared" si="14"/>
        <v>39680</v>
      </c>
      <c r="H83" s="146"/>
      <c r="I83" s="146">
        <f t="shared" si="12"/>
        <v>39680</v>
      </c>
      <c r="J83" s="146"/>
      <c r="K83" s="146"/>
      <c r="L83" s="146"/>
      <c r="M83" s="146"/>
      <c r="N83" s="146"/>
      <c r="O83" s="146"/>
      <c r="P83" s="146"/>
      <c r="Q83" s="146"/>
      <c r="R83" s="146"/>
      <c r="S83" s="146"/>
      <c r="T83" s="146">
        <f t="shared" si="13"/>
        <v>0</v>
      </c>
      <c r="U83" s="146"/>
      <c r="V83" s="146"/>
      <c r="W83" s="146"/>
      <c r="X83" s="93">
        <f t="shared" si="18"/>
        <v>39680</v>
      </c>
      <c r="Y83" s="146">
        <v>39680</v>
      </c>
      <c r="Z83" s="146">
        <f t="shared" si="15"/>
        <v>0</v>
      </c>
      <c r="AA83" s="146">
        <f t="shared" si="16"/>
        <v>0</v>
      </c>
      <c r="AB83" s="197">
        <f t="shared" si="17"/>
        <v>0</v>
      </c>
      <c r="AC83" s="146"/>
    </row>
    <row r="84" spans="3:29">
      <c r="C84" s="64"/>
      <c r="D84" s="146"/>
      <c r="E84" s="146"/>
      <c r="F84" s="146"/>
      <c r="G84" s="146">
        <f t="shared" si="14"/>
        <v>0</v>
      </c>
      <c r="H84" s="146"/>
      <c r="I84" s="146">
        <f t="shared" si="12"/>
        <v>0</v>
      </c>
      <c r="J84" s="146"/>
      <c r="K84" s="146"/>
      <c r="L84" s="146"/>
      <c r="M84" s="146"/>
      <c r="N84" s="146"/>
      <c r="O84" s="146"/>
      <c r="P84" s="146"/>
      <c r="Q84" s="146"/>
      <c r="R84" s="146"/>
      <c r="S84" s="146"/>
      <c r="T84" s="146">
        <f t="shared" si="13"/>
        <v>0</v>
      </c>
      <c r="U84" s="146"/>
      <c r="V84" s="146"/>
      <c r="W84" s="146"/>
      <c r="X84" s="93">
        <f t="shared" si="18"/>
        <v>0</v>
      </c>
      <c r="Y84" s="146">
        <v>0</v>
      </c>
      <c r="Z84" s="146">
        <f t="shared" si="15"/>
        <v>0</v>
      </c>
      <c r="AA84" s="146">
        <f t="shared" si="16"/>
        <v>0</v>
      </c>
      <c r="AB84" s="197" t="str">
        <f t="shared" si="17"/>
        <v/>
      </c>
      <c r="AC84" s="146"/>
    </row>
    <row r="85" spans="3:29">
      <c r="C85" s="59" t="s">
        <v>35</v>
      </c>
      <c r="D85" s="142"/>
      <c r="E85" s="142"/>
      <c r="F85" s="142"/>
      <c r="G85" s="142">
        <f t="shared" si="14"/>
        <v>0</v>
      </c>
      <c r="H85" s="142"/>
      <c r="I85" s="142">
        <f t="shared" si="12"/>
        <v>0</v>
      </c>
      <c r="J85" s="142"/>
      <c r="K85" s="142"/>
      <c r="L85" s="142"/>
      <c r="M85" s="142"/>
      <c r="N85" s="142"/>
      <c r="O85" s="142"/>
      <c r="P85" s="142"/>
      <c r="Q85" s="142"/>
      <c r="R85" s="142"/>
      <c r="S85" s="142"/>
      <c r="T85" s="142">
        <f t="shared" si="13"/>
        <v>0</v>
      </c>
      <c r="U85" s="142"/>
      <c r="V85" s="142"/>
      <c r="W85" s="142"/>
      <c r="X85" s="229">
        <f t="shared" si="18"/>
        <v>0</v>
      </c>
      <c r="Y85" s="142">
        <v>0</v>
      </c>
      <c r="Z85" s="142">
        <f t="shared" si="15"/>
        <v>0</v>
      </c>
      <c r="AA85" s="142">
        <f t="shared" si="16"/>
        <v>0</v>
      </c>
      <c r="AB85" s="198" t="str">
        <f t="shared" si="17"/>
        <v/>
      </c>
      <c r="AC85" s="142"/>
    </row>
    <row r="86" spans="3:29" ht="24">
      <c r="C86" s="60" t="s">
        <v>130</v>
      </c>
      <c r="D86" s="146">
        <v>431840</v>
      </c>
      <c r="E86" s="146"/>
      <c r="F86" s="146"/>
      <c r="G86" s="146">
        <f t="shared" si="14"/>
        <v>431840</v>
      </c>
      <c r="H86" s="146">
        <v>16299</v>
      </c>
      <c r="I86" s="146">
        <f t="shared" si="12"/>
        <v>448139</v>
      </c>
      <c r="J86" s="146"/>
      <c r="K86" s="146">
        <f>24090+56</f>
        <v>24146</v>
      </c>
      <c r="L86" s="146"/>
      <c r="M86" s="146"/>
      <c r="N86" s="146"/>
      <c r="O86" s="146"/>
      <c r="P86" s="146">
        <f>8213+2738</f>
        <v>10951</v>
      </c>
      <c r="Q86" s="146"/>
      <c r="R86" s="146"/>
      <c r="S86" s="146"/>
      <c r="T86" s="146">
        <f t="shared" si="13"/>
        <v>35097</v>
      </c>
      <c r="U86" s="146"/>
      <c r="V86" s="146"/>
      <c r="W86" s="146">
        <v>3</v>
      </c>
      <c r="X86" s="93">
        <f t="shared" si="18"/>
        <v>466940</v>
      </c>
      <c r="Y86" s="146">
        <v>466940</v>
      </c>
      <c r="Z86" s="146">
        <f t="shared" si="15"/>
        <v>0</v>
      </c>
      <c r="AA86" s="146">
        <f t="shared" si="16"/>
        <v>18801</v>
      </c>
      <c r="AB86" s="197">
        <f t="shared" si="17"/>
        <v>4.1953501034277314E-2</v>
      </c>
      <c r="AC86" s="146"/>
    </row>
    <row r="87" spans="3:29">
      <c r="C87" s="57" t="s">
        <v>34</v>
      </c>
      <c r="D87" s="138">
        <v>284341</v>
      </c>
      <c r="E87" s="138"/>
      <c r="F87" s="138"/>
      <c r="G87" s="138">
        <f t="shared" si="14"/>
        <v>284341</v>
      </c>
      <c r="H87" s="138">
        <v>12138</v>
      </c>
      <c r="I87" s="138">
        <f t="shared" ref="I87:I153" si="21">D87+H87</f>
        <v>296479</v>
      </c>
      <c r="J87" s="138"/>
      <c r="K87" s="138">
        <v>18000</v>
      </c>
      <c r="L87" s="138"/>
      <c r="M87" s="138"/>
      <c r="N87" s="138"/>
      <c r="O87" s="138"/>
      <c r="P87" s="138">
        <f>6138+2046</f>
        <v>8184</v>
      </c>
      <c r="Q87" s="138"/>
      <c r="R87" s="138"/>
      <c r="S87" s="138"/>
      <c r="T87" s="138">
        <f t="shared" si="13"/>
        <v>26184</v>
      </c>
      <c r="U87" s="138"/>
      <c r="V87" s="138"/>
      <c r="W87" s="138"/>
      <c r="X87" s="139">
        <f t="shared" si="18"/>
        <v>310525</v>
      </c>
      <c r="Y87" s="138">
        <v>310525</v>
      </c>
      <c r="Z87" s="138">
        <f t="shared" si="15"/>
        <v>0</v>
      </c>
      <c r="AA87" s="138">
        <f t="shared" si="16"/>
        <v>14046</v>
      </c>
      <c r="AB87" s="193">
        <f t="shared" si="17"/>
        <v>4.7376036751338203E-2</v>
      </c>
      <c r="AC87" s="138"/>
    </row>
    <row r="88" spans="3:29">
      <c r="C88" s="69"/>
      <c r="D88" s="99"/>
      <c r="E88" s="99"/>
      <c r="F88" s="99"/>
      <c r="G88" s="99">
        <f t="shared" si="14"/>
        <v>0</v>
      </c>
      <c r="H88" s="99"/>
      <c r="I88" s="99">
        <f t="shared" si="21"/>
        <v>0</v>
      </c>
      <c r="J88" s="99"/>
      <c r="K88" s="99"/>
      <c r="L88" s="99"/>
      <c r="M88" s="99"/>
      <c r="N88" s="99"/>
      <c r="O88" s="99"/>
      <c r="P88" s="99"/>
      <c r="Q88" s="99"/>
      <c r="R88" s="99"/>
      <c r="S88" s="99"/>
      <c r="T88" s="99">
        <f t="shared" si="13"/>
        <v>0</v>
      </c>
      <c r="U88" s="99"/>
      <c r="V88" s="99"/>
      <c r="W88" s="99"/>
      <c r="X88" s="236">
        <f t="shared" si="18"/>
        <v>0</v>
      </c>
      <c r="Y88" s="99">
        <v>0</v>
      </c>
      <c r="Z88" s="99">
        <f t="shared" si="15"/>
        <v>0</v>
      </c>
      <c r="AA88" s="99">
        <f t="shared" si="16"/>
        <v>0</v>
      </c>
      <c r="AB88" s="207" t="str">
        <f t="shared" si="17"/>
        <v/>
      </c>
      <c r="AC88" s="99"/>
    </row>
    <row r="89" spans="3:29">
      <c r="C89" s="59" t="s">
        <v>35</v>
      </c>
      <c r="D89" s="142"/>
      <c r="E89" s="142"/>
      <c r="F89" s="142"/>
      <c r="G89" s="142">
        <f t="shared" si="14"/>
        <v>0</v>
      </c>
      <c r="H89" s="142"/>
      <c r="I89" s="142">
        <f t="shared" si="21"/>
        <v>0</v>
      </c>
      <c r="J89" s="142"/>
      <c r="K89" s="142"/>
      <c r="L89" s="142"/>
      <c r="M89" s="142"/>
      <c r="N89" s="142"/>
      <c r="O89" s="142"/>
      <c r="P89" s="142"/>
      <c r="Q89" s="142"/>
      <c r="R89" s="142"/>
      <c r="S89" s="142"/>
      <c r="T89" s="142">
        <f t="shared" si="13"/>
        <v>0</v>
      </c>
      <c r="U89" s="142"/>
      <c r="V89" s="142"/>
      <c r="W89" s="142"/>
      <c r="X89" s="229">
        <f t="shared" si="18"/>
        <v>0</v>
      </c>
      <c r="Y89" s="142">
        <v>0</v>
      </c>
      <c r="Z89" s="142">
        <f t="shared" si="15"/>
        <v>0</v>
      </c>
      <c r="AA89" s="142">
        <f t="shared" si="16"/>
        <v>0</v>
      </c>
      <c r="AB89" s="198" t="str">
        <f t="shared" si="17"/>
        <v/>
      </c>
      <c r="AC89" s="142"/>
    </row>
    <row r="90" spans="3:29">
      <c r="C90" s="60" t="s">
        <v>131</v>
      </c>
      <c r="D90" s="146">
        <v>45670</v>
      </c>
      <c r="E90" s="146"/>
      <c r="F90" s="146"/>
      <c r="G90" s="146">
        <f t="shared" si="14"/>
        <v>45670</v>
      </c>
      <c r="H90" s="146">
        <v>2023</v>
      </c>
      <c r="I90" s="146">
        <f t="shared" si="21"/>
        <v>47693</v>
      </c>
      <c r="J90" s="146"/>
      <c r="K90" s="146"/>
      <c r="L90" s="146"/>
      <c r="M90" s="146"/>
      <c r="N90" s="146"/>
      <c r="O90" s="146"/>
      <c r="P90" s="146">
        <f>2023+674</f>
        <v>2697</v>
      </c>
      <c r="Q90" s="146"/>
      <c r="R90" s="146"/>
      <c r="S90" s="146"/>
      <c r="T90" s="146">
        <f t="shared" si="13"/>
        <v>2697</v>
      </c>
      <c r="U90" s="146"/>
      <c r="V90" s="146"/>
      <c r="W90" s="146">
        <v>3</v>
      </c>
      <c r="X90" s="93">
        <f t="shared" si="18"/>
        <v>48370</v>
      </c>
      <c r="Y90" s="146">
        <v>48370</v>
      </c>
      <c r="Z90" s="146">
        <f t="shared" si="15"/>
        <v>0</v>
      </c>
      <c r="AA90" s="146">
        <f t="shared" si="16"/>
        <v>677</v>
      </c>
      <c r="AB90" s="197">
        <f t="shared" si="17"/>
        <v>1.4194955234520789E-2</v>
      </c>
      <c r="AC90" s="146"/>
    </row>
    <row r="91" spans="3:29">
      <c r="C91" s="57" t="s">
        <v>34</v>
      </c>
      <c r="D91" s="138">
        <v>22666</v>
      </c>
      <c r="E91" s="138"/>
      <c r="F91" s="138"/>
      <c r="G91" s="138">
        <f t="shared" si="14"/>
        <v>22666</v>
      </c>
      <c r="H91" s="138">
        <v>1512</v>
      </c>
      <c r="I91" s="138">
        <f t="shared" si="21"/>
        <v>24178</v>
      </c>
      <c r="J91" s="138"/>
      <c r="K91" s="138"/>
      <c r="L91" s="138"/>
      <c r="M91" s="138"/>
      <c r="N91" s="138"/>
      <c r="O91" s="138"/>
      <c r="P91" s="138">
        <f>1512+504</f>
        <v>2016</v>
      </c>
      <c r="Q91" s="138"/>
      <c r="R91" s="138"/>
      <c r="S91" s="138"/>
      <c r="T91" s="138">
        <f t="shared" si="13"/>
        <v>2016</v>
      </c>
      <c r="U91" s="138"/>
      <c r="V91" s="138"/>
      <c r="W91" s="138"/>
      <c r="X91" s="139">
        <f t="shared" si="18"/>
        <v>24682</v>
      </c>
      <c r="Y91" s="138">
        <v>24682</v>
      </c>
      <c r="Z91" s="138">
        <f t="shared" si="15"/>
        <v>0</v>
      </c>
      <c r="AA91" s="138">
        <f t="shared" si="16"/>
        <v>504</v>
      </c>
      <c r="AB91" s="193">
        <f t="shared" si="17"/>
        <v>2.0845396641574986E-2</v>
      </c>
      <c r="AC91" s="138"/>
    </row>
    <row r="92" spans="3:29">
      <c r="C92" s="16"/>
      <c r="D92" s="142"/>
      <c r="E92" s="142"/>
      <c r="F92" s="142"/>
      <c r="G92" s="142">
        <f t="shared" si="14"/>
        <v>0</v>
      </c>
      <c r="H92" s="142"/>
      <c r="I92" s="142">
        <f t="shared" si="21"/>
        <v>0</v>
      </c>
      <c r="J92" s="142"/>
      <c r="K92" s="142"/>
      <c r="L92" s="142"/>
      <c r="M92" s="142"/>
      <c r="N92" s="142"/>
      <c r="O92" s="142"/>
      <c r="P92" s="142"/>
      <c r="Q92" s="142"/>
      <c r="R92" s="142"/>
      <c r="S92" s="142"/>
      <c r="T92" s="142">
        <f t="shared" ref="T92:T158" si="22">SUM(J92:S92)</f>
        <v>0</v>
      </c>
      <c r="U92" s="142"/>
      <c r="V92" s="142"/>
      <c r="W92" s="142"/>
      <c r="X92" s="229">
        <f t="shared" si="18"/>
        <v>0</v>
      </c>
      <c r="Y92" s="142">
        <v>0</v>
      </c>
      <c r="Z92" s="142">
        <f t="shared" si="15"/>
        <v>0</v>
      </c>
      <c r="AA92" s="142">
        <f t="shared" si="16"/>
        <v>0</v>
      </c>
      <c r="AB92" s="198" t="str">
        <f t="shared" si="17"/>
        <v/>
      </c>
      <c r="AC92" s="142"/>
    </row>
    <row r="93" spans="3:29">
      <c r="C93" s="59" t="s">
        <v>35</v>
      </c>
      <c r="D93" s="142"/>
      <c r="E93" s="142"/>
      <c r="F93" s="142"/>
      <c r="G93" s="142">
        <f t="shared" si="14"/>
        <v>0</v>
      </c>
      <c r="H93" s="142"/>
      <c r="I93" s="142">
        <f t="shared" si="21"/>
        <v>0</v>
      </c>
      <c r="J93" s="142"/>
      <c r="K93" s="142"/>
      <c r="L93" s="142"/>
      <c r="M93" s="142"/>
      <c r="N93" s="142"/>
      <c r="O93" s="142"/>
      <c r="P93" s="142"/>
      <c r="Q93" s="142"/>
      <c r="R93" s="142"/>
      <c r="S93" s="142"/>
      <c r="T93" s="142">
        <f t="shared" si="22"/>
        <v>0</v>
      </c>
      <c r="U93" s="142"/>
      <c r="V93" s="142"/>
      <c r="W93" s="142"/>
      <c r="X93" s="229">
        <f t="shared" si="18"/>
        <v>0</v>
      </c>
      <c r="Y93" s="142">
        <v>0</v>
      </c>
      <c r="Z93" s="142">
        <f t="shared" si="15"/>
        <v>0</v>
      </c>
      <c r="AA93" s="142">
        <f t="shared" si="16"/>
        <v>0</v>
      </c>
      <c r="AB93" s="198" t="str">
        <f t="shared" si="17"/>
        <v/>
      </c>
      <c r="AC93" s="142"/>
    </row>
    <row r="94" spans="3:29">
      <c r="C94" s="60" t="s">
        <v>11</v>
      </c>
      <c r="D94" s="146">
        <v>211850</v>
      </c>
      <c r="E94" s="146"/>
      <c r="F94" s="146"/>
      <c r="G94" s="146">
        <f t="shared" si="14"/>
        <v>211850</v>
      </c>
      <c r="H94" s="146">
        <v>2047</v>
      </c>
      <c r="I94" s="146">
        <f t="shared" si="21"/>
        <v>213897</v>
      </c>
      <c r="J94" s="146"/>
      <c r="K94" s="146"/>
      <c r="L94" s="146"/>
      <c r="M94" s="146"/>
      <c r="N94" s="146"/>
      <c r="O94" s="146"/>
      <c r="P94" s="146">
        <f>2047+682</f>
        <v>2729</v>
      </c>
      <c r="Q94" s="146"/>
      <c r="R94" s="146"/>
      <c r="S94" s="146"/>
      <c r="T94" s="146">
        <f t="shared" si="22"/>
        <v>2729</v>
      </c>
      <c r="U94" s="146"/>
      <c r="V94" s="146"/>
      <c r="W94" s="146">
        <f>W97+W98+W99+W101+W102+W104</f>
        <v>-9</v>
      </c>
      <c r="X94" s="93">
        <f t="shared" si="18"/>
        <v>214570</v>
      </c>
      <c r="Y94" s="146">
        <v>214570</v>
      </c>
      <c r="Z94" s="146">
        <f t="shared" si="15"/>
        <v>0</v>
      </c>
      <c r="AA94" s="146">
        <f t="shared" si="16"/>
        <v>673</v>
      </c>
      <c r="AB94" s="197">
        <f t="shared" si="17"/>
        <v>3.1463741894463223E-3</v>
      </c>
      <c r="AC94" s="146"/>
    </row>
    <row r="95" spans="3:29">
      <c r="C95" s="57" t="s">
        <v>34</v>
      </c>
      <c r="D95" s="138">
        <v>49999</v>
      </c>
      <c r="E95" s="138"/>
      <c r="F95" s="138"/>
      <c r="G95" s="138">
        <f t="shared" si="14"/>
        <v>49999</v>
      </c>
      <c r="H95" s="138">
        <v>1530</v>
      </c>
      <c r="I95" s="138">
        <f t="shared" si="21"/>
        <v>51529</v>
      </c>
      <c r="J95" s="138"/>
      <c r="K95" s="138"/>
      <c r="L95" s="138"/>
      <c r="M95" s="138"/>
      <c r="N95" s="138"/>
      <c r="O95" s="138"/>
      <c r="P95" s="138">
        <f>1530+510</f>
        <v>2040</v>
      </c>
      <c r="Q95" s="138"/>
      <c r="R95" s="138"/>
      <c r="S95" s="138"/>
      <c r="T95" s="138">
        <f t="shared" si="22"/>
        <v>2040</v>
      </c>
      <c r="U95" s="138"/>
      <c r="V95" s="138"/>
      <c r="W95" s="138"/>
      <c r="X95" s="139">
        <f t="shared" si="18"/>
        <v>52039</v>
      </c>
      <c r="Y95" s="138">
        <v>52039</v>
      </c>
      <c r="Z95" s="138">
        <f t="shared" si="15"/>
        <v>0</v>
      </c>
      <c r="AA95" s="138">
        <f t="shared" si="16"/>
        <v>510</v>
      </c>
      <c r="AB95" s="193">
        <f t="shared" si="17"/>
        <v>9.8973393623008402E-3</v>
      </c>
      <c r="AC95" s="138"/>
    </row>
    <row r="96" spans="3:29">
      <c r="C96" s="66" t="s">
        <v>2</v>
      </c>
      <c r="D96" s="138">
        <v>45554</v>
      </c>
      <c r="E96" s="138"/>
      <c r="F96" s="138"/>
      <c r="G96" s="138">
        <f t="shared" si="14"/>
        <v>45554</v>
      </c>
      <c r="H96" s="138"/>
      <c r="I96" s="138">
        <f t="shared" si="21"/>
        <v>45554</v>
      </c>
      <c r="J96" s="138"/>
      <c r="K96" s="138"/>
      <c r="L96" s="138"/>
      <c r="M96" s="138"/>
      <c r="N96" s="138"/>
      <c r="O96" s="138"/>
      <c r="P96" s="138"/>
      <c r="Q96" s="138"/>
      <c r="R96" s="138"/>
      <c r="S96" s="138"/>
      <c r="T96" s="138">
        <f t="shared" si="22"/>
        <v>0</v>
      </c>
      <c r="U96" s="138"/>
      <c r="V96" s="138"/>
      <c r="W96" s="138"/>
      <c r="X96" s="139">
        <v>45550</v>
      </c>
      <c r="Y96" s="138">
        <v>45550</v>
      </c>
      <c r="Z96" s="138">
        <f t="shared" si="15"/>
        <v>0</v>
      </c>
      <c r="AA96" s="138">
        <f t="shared" si="16"/>
        <v>-4</v>
      </c>
      <c r="AB96" s="193">
        <f t="shared" si="17"/>
        <v>-8.7807876366510077E-5</v>
      </c>
      <c r="AC96" s="138"/>
    </row>
    <row r="97" spans="3:30" s="130" customFormat="1" ht="24">
      <c r="C97" s="292" t="s">
        <v>245</v>
      </c>
      <c r="D97" s="647">
        <v>9891</v>
      </c>
      <c r="E97" s="647"/>
      <c r="F97" s="647"/>
      <c r="G97" s="647">
        <f>D97</f>
        <v>9891</v>
      </c>
      <c r="H97" s="647"/>
      <c r="I97" s="647">
        <f>G97</f>
        <v>9891</v>
      </c>
      <c r="J97" s="647"/>
      <c r="K97" s="647"/>
      <c r="L97" s="647"/>
      <c r="M97" s="647"/>
      <c r="N97" s="647"/>
      <c r="O97" s="647"/>
      <c r="P97" s="647"/>
      <c r="Q97" s="647"/>
      <c r="R97" s="647"/>
      <c r="S97" s="647"/>
      <c r="T97" s="647"/>
      <c r="U97" s="647"/>
      <c r="V97" s="647"/>
      <c r="W97" s="647">
        <v>-1</v>
      </c>
      <c r="X97" s="648">
        <f t="shared" ref="X97:X102" si="23">G97+T97+U97+V97+W97</f>
        <v>9890</v>
      </c>
      <c r="Y97" s="647">
        <v>9891</v>
      </c>
      <c r="Z97" s="647"/>
      <c r="AA97" s="647"/>
      <c r="AB97" s="650"/>
      <c r="AC97" s="647"/>
      <c r="AD97" s="651"/>
    </row>
    <row r="98" spans="3:30" s="130" customFormat="1">
      <c r="C98" s="293" t="s">
        <v>587</v>
      </c>
      <c r="D98" s="647">
        <v>6500</v>
      </c>
      <c r="E98" s="647"/>
      <c r="F98" s="647"/>
      <c r="G98" s="647">
        <f t="shared" ref="G98:G103" si="24">D98</f>
        <v>6500</v>
      </c>
      <c r="H98" s="647"/>
      <c r="I98" s="647">
        <f t="shared" ref="I98:I103" si="25">G98</f>
        <v>6500</v>
      </c>
      <c r="J98" s="647"/>
      <c r="K98" s="647"/>
      <c r="L98" s="647"/>
      <c r="M98" s="647"/>
      <c r="N98" s="647"/>
      <c r="O98" s="647"/>
      <c r="P98" s="647"/>
      <c r="Q98" s="647"/>
      <c r="R98" s="647"/>
      <c r="S98" s="647"/>
      <c r="T98" s="647"/>
      <c r="U98" s="647"/>
      <c r="V98" s="647"/>
      <c r="W98" s="647"/>
      <c r="X98" s="648">
        <f t="shared" si="23"/>
        <v>6500</v>
      </c>
      <c r="Y98" s="647">
        <v>6500</v>
      </c>
      <c r="Z98" s="647"/>
      <c r="AA98" s="647"/>
      <c r="AB98" s="650"/>
      <c r="AC98" s="647"/>
      <c r="AD98" s="651"/>
    </row>
    <row r="99" spans="3:30" s="130" customFormat="1">
      <c r="C99" s="293" t="s">
        <v>246</v>
      </c>
      <c r="D99" s="647">
        <v>57605</v>
      </c>
      <c r="E99" s="647"/>
      <c r="F99" s="647"/>
      <c r="G99" s="647">
        <f t="shared" si="24"/>
        <v>57605</v>
      </c>
      <c r="H99" s="647">
        <v>2047</v>
      </c>
      <c r="I99" s="647">
        <f>G99+H99</f>
        <v>59652</v>
      </c>
      <c r="J99" s="647"/>
      <c r="K99" s="647"/>
      <c r="L99" s="647"/>
      <c r="M99" s="647"/>
      <c r="N99" s="647"/>
      <c r="O99" s="647"/>
      <c r="P99" s="647">
        <v>2729</v>
      </c>
      <c r="Q99" s="647"/>
      <c r="R99" s="647"/>
      <c r="S99" s="647"/>
      <c r="T99" s="647">
        <f>P99</f>
        <v>2729</v>
      </c>
      <c r="U99" s="647"/>
      <c r="V99" s="647"/>
      <c r="W99" s="647">
        <v>-4</v>
      </c>
      <c r="X99" s="648">
        <f t="shared" si="23"/>
        <v>60330</v>
      </c>
      <c r="Y99" s="647">
        <v>60334</v>
      </c>
      <c r="Z99" s="647"/>
      <c r="AA99" s="647"/>
      <c r="AB99" s="650"/>
      <c r="AC99" s="647"/>
      <c r="AD99" s="651"/>
    </row>
    <row r="100" spans="3:30" s="130" customFormat="1">
      <c r="C100" s="294" t="s">
        <v>34</v>
      </c>
      <c r="D100" s="401">
        <v>42999</v>
      </c>
      <c r="E100" s="401"/>
      <c r="F100" s="401"/>
      <c r="G100" s="401">
        <f t="shared" si="24"/>
        <v>42999</v>
      </c>
      <c r="H100" s="401">
        <v>1530</v>
      </c>
      <c r="I100" s="401">
        <f>G100+H100</f>
        <v>44529</v>
      </c>
      <c r="J100" s="401"/>
      <c r="K100" s="401"/>
      <c r="L100" s="401"/>
      <c r="M100" s="401"/>
      <c r="N100" s="401"/>
      <c r="O100" s="401"/>
      <c r="P100" s="401">
        <v>2040</v>
      </c>
      <c r="Q100" s="401"/>
      <c r="R100" s="401"/>
      <c r="S100" s="401"/>
      <c r="T100" s="401">
        <f>P100</f>
        <v>2040</v>
      </c>
      <c r="U100" s="401"/>
      <c r="V100" s="401"/>
      <c r="W100" s="401"/>
      <c r="X100" s="139">
        <f t="shared" si="23"/>
        <v>45039</v>
      </c>
      <c r="Y100" s="401">
        <v>45039</v>
      </c>
      <c r="Z100" s="401"/>
      <c r="AA100" s="401"/>
      <c r="AB100" s="650"/>
      <c r="AC100" s="647"/>
      <c r="AD100" s="651"/>
    </row>
    <row r="101" spans="3:30" s="130" customFormat="1">
      <c r="C101" s="293" t="s">
        <v>2</v>
      </c>
      <c r="D101" s="647">
        <v>45554</v>
      </c>
      <c r="E101" s="647"/>
      <c r="F101" s="647"/>
      <c r="G101" s="647">
        <f t="shared" si="24"/>
        <v>45554</v>
      </c>
      <c r="H101" s="647"/>
      <c r="I101" s="647">
        <f t="shared" si="25"/>
        <v>45554</v>
      </c>
      <c r="J101" s="647"/>
      <c r="K101" s="647"/>
      <c r="L101" s="647"/>
      <c r="M101" s="647"/>
      <c r="N101" s="647"/>
      <c r="O101" s="647"/>
      <c r="P101" s="647"/>
      <c r="Q101" s="647"/>
      <c r="R101" s="647"/>
      <c r="S101" s="647"/>
      <c r="T101" s="647"/>
      <c r="U101" s="647"/>
      <c r="V101" s="647"/>
      <c r="W101" s="647">
        <v>-4</v>
      </c>
      <c r="X101" s="648">
        <f t="shared" si="23"/>
        <v>45550</v>
      </c>
      <c r="Y101" s="647">
        <v>45554</v>
      </c>
      <c r="Z101" s="647"/>
      <c r="AA101" s="647"/>
      <c r="AB101" s="410"/>
      <c r="AC101" s="401"/>
      <c r="AD101" s="651"/>
    </row>
    <row r="102" spans="3:30" s="130" customFormat="1">
      <c r="C102" s="293" t="s">
        <v>247</v>
      </c>
      <c r="D102" s="647">
        <v>16340</v>
      </c>
      <c r="E102" s="647"/>
      <c r="F102" s="647"/>
      <c r="G102" s="647">
        <f t="shared" si="24"/>
        <v>16340</v>
      </c>
      <c r="H102" s="647"/>
      <c r="I102" s="647">
        <f t="shared" si="25"/>
        <v>16340</v>
      </c>
      <c r="J102" s="647"/>
      <c r="K102" s="647"/>
      <c r="L102" s="647"/>
      <c r="M102" s="647"/>
      <c r="N102" s="647"/>
      <c r="O102" s="647"/>
      <c r="P102" s="647"/>
      <c r="Q102" s="647"/>
      <c r="R102" s="647"/>
      <c r="S102" s="647"/>
      <c r="T102" s="647"/>
      <c r="U102" s="647"/>
      <c r="V102" s="647"/>
      <c r="W102" s="647"/>
      <c r="X102" s="648">
        <f t="shared" si="23"/>
        <v>16340</v>
      </c>
      <c r="Y102" s="647">
        <v>16340</v>
      </c>
      <c r="Z102" s="647"/>
      <c r="AA102" s="647"/>
      <c r="AB102" s="650"/>
      <c r="AC102" s="647"/>
      <c r="AD102" s="651"/>
    </row>
    <row r="103" spans="3:30" s="130" customFormat="1">
      <c r="C103" s="294" t="s">
        <v>34</v>
      </c>
      <c r="D103" s="401">
        <v>7000</v>
      </c>
      <c r="E103" s="401"/>
      <c r="F103" s="401"/>
      <c r="G103" s="401">
        <f t="shared" si="24"/>
        <v>7000</v>
      </c>
      <c r="H103" s="401"/>
      <c r="I103" s="401">
        <f t="shared" si="25"/>
        <v>7000</v>
      </c>
      <c r="J103" s="401"/>
      <c r="K103" s="401"/>
      <c r="L103" s="401"/>
      <c r="M103" s="401"/>
      <c r="N103" s="401"/>
      <c r="O103" s="401"/>
      <c r="P103" s="401"/>
      <c r="Q103" s="401"/>
      <c r="R103" s="401"/>
      <c r="S103" s="401"/>
      <c r="T103" s="401"/>
      <c r="U103" s="401"/>
      <c r="V103" s="401"/>
      <c r="W103" s="401"/>
      <c r="X103" s="401">
        <v>7000</v>
      </c>
      <c r="Y103" s="401">
        <v>7000</v>
      </c>
      <c r="Z103" s="401"/>
      <c r="AA103" s="401"/>
      <c r="AB103" s="650"/>
      <c r="AC103" s="647"/>
      <c r="AD103" s="651"/>
    </row>
    <row r="104" spans="3:30">
      <c r="C104" s="295" t="s">
        <v>248</v>
      </c>
      <c r="D104" s="644">
        <v>75960</v>
      </c>
      <c r="E104" s="644"/>
      <c r="F104" s="644"/>
      <c r="G104" s="644">
        <f t="shared" ref="G104" si="26">D104-E104-F104</f>
        <v>75960</v>
      </c>
      <c r="H104" s="644"/>
      <c r="I104" s="644">
        <f t="shared" ref="I104" si="27">D104+H104</f>
        <v>75960</v>
      </c>
      <c r="J104" s="644"/>
      <c r="K104" s="644"/>
      <c r="L104" s="644"/>
      <c r="M104" s="644"/>
      <c r="N104" s="644"/>
      <c r="O104" s="644"/>
      <c r="P104" s="644"/>
      <c r="Q104" s="644"/>
      <c r="R104" s="644"/>
      <c r="S104" s="644"/>
      <c r="T104" s="644">
        <f t="shared" ref="T104" si="28">SUM(J104:S104)</f>
        <v>0</v>
      </c>
      <c r="U104" s="644"/>
      <c r="V104" s="644"/>
      <c r="W104" s="644"/>
      <c r="X104" s="644">
        <f t="shared" ref="X104" si="29">G104+T104+U104+V104+W104</f>
        <v>75960</v>
      </c>
      <c r="Y104" s="644">
        <v>75960</v>
      </c>
      <c r="Z104" s="644"/>
      <c r="AA104" s="644"/>
      <c r="AB104" s="410"/>
      <c r="AC104" s="401"/>
      <c r="AD104" s="651"/>
    </row>
    <row r="105" spans="3:30" s="130" customFormat="1">
      <c r="C105" s="295"/>
      <c r="D105" s="644"/>
      <c r="E105" s="644"/>
      <c r="F105" s="644"/>
      <c r="G105" s="644">
        <f t="shared" ref="G105" si="30">D105-E105-F105</f>
        <v>0</v>
      </c>
      <c r="H105" s="644"/>
      <c r="I105" s="644">
        <f t="shared" ref="I105" si="31">D105+H105</f>
        <v>0</v>
      </c>
      <c r="J105" s="644"/>
      <c r="K105" s="644"/>
      <c r="L105" s="644"/>
      <c r="M105" s="644"/>
      <c r="N105" s="644"/>
      <c r="O105" s="644"/>
      <c r="P105" s="644"/>
      <c r="Q105" s="644"/>
      <c r="R105" s="644"/>
      <c r="S105" s="644"/>
      <c r="T105" s="644">
        <f t="shared" ref="T105" si="32">SUM(J105:S105)</f>
        <v>0</v>
      </c>
      <c r="U105" s="644"/>
      <c r="V105" s="644"/>
      <c r="W105" s="146"/>
      <c r="X105" s="644">
        <f t="shared" si="18"/>
        <v>0</v>
      </c>
      <c r="Y105" s="646"/>
      <c r="Z105" s="644"/>
      <c r="AA105" s="644"/>
      <c r="AB105" s="649" t="str">
        <f t="shared" ref="AB105" si="33">IF(I105=0,"",AA105/I105)</f>
        <v/>
      </c>
      <c r="AC105" s="644"/>
      <c r="AD105" s="409"/>
    </row>
    <row r="106" spans="3:30">
      <c r="C106" s="59" t="s">
        <v>35</v>
      </c>
      <c r="D106" s="142"/>
      <c r="E106" s="142"/>
      <c r="F106" s="142"/>
      <c r="G106" s="142">
        <f t="shared" si="14"/>
        <v>0</v>
      </c>
      <c r="H106" s="142"/>
      <c r="I106" s="142">
        <f t="shared" si="21"/>
        <v>0</v>
      </c>
      <c r="J106" s="142"/>
      <c r="K106" s="142"/>
      <c r="L106" s="142"/>
      <c r="M106" s="142"/>
      <c r="N106" s="142"/>
      <c r="O106" s="142"/>
      <c r="P106" s="142"/>
      <c r="Q106" s="142"/>
      <c r="R106" s="142"/>
      <c r="S106" s="142"/>
      <c r="T106" s="142">
        <f t="shared" si="22"/>
        <v>0</v>
      </c>
      <c r="U106" s="142"/>
      <c r="V106" s="142"/>
      <c r="W106" s="142"/>
      <c r="X106" s="229">
        <f t="shared" si="18"/>
        <v>0</v>
      </c>
      <c r="Y106" s="142">
        <v>0</v>
      </c>
      <c r="Z106" s="142">
        <f t="shared" si="15"/>
        <v>0</v>
      </c>
      <c r="AA106" s="142">
        <f t="shared" si="16"/>
        <v>0</v>
      </c>
      <c r="AB106" s="198" t="str">
        <f t="shared" si="17"/>
        <v/>
      </c>
      <c r="AC106" s="142"/>
    </row>
    <row r="107" spans="3:30" ht="48">
      <c r="C107" s="60" t="s">
        <v>132</v>
      </c>
      <c r="D107" s="146">
        <v>914990</v>
      </c>
      <c r="E107" s="146"/>
      <c r="F107" s="146"/>
      <c r="G107" s="146">
        <f t="shared" si="14"/>
        <v>914990</v>
      </c>
      <c r="H107" s="146">
        <v>19292</v>
      </c>
      <c r="I107" s="146">
        <f t="shared" si="21"/>
        <v>934282</v>
      </c>
      <c r="J107" s="146"/>
      <c r="K107" s="146">
        <v>21000</v>
      </c>
      <c r="L107" s="146"/>
      <c r="M107" s="146"/>
      <c r="N107" s="146"/>
      <c r="O107" s="146"/>
      <c r="P107" s="146">
        <f>17172+5724</f>
        <v>22896</v>
      </c>
      <c r="Q107" s="146"/>
      <c r="R107" s="146"/>
      <c r="S107" s="146"/>
      <c r="T107" s="146">
        <f t="shared" si="22"/>
        <v>43896</v>
      </c>
      <c r="U107" s="146"/>
      <c r="V107" s="146"/>
      <c r="W107" s="146">
        <f>W109+W113+W115</f>
        <v>-6</v>
      </c>
      <c r="X107" s="93">
        <f t="shared" si="18"/>
        <v>958880</v>
      </c>
      <c r="Y107" s="146">
        <v>958880</v>
      </c>
      <c r="Z107" s="146">
        <f t="shared" si="15"/>
        <v>0</v>
      </c>
      <c r="AA107" s="146">
        <f t="shared" si="16"/>
        <v>24598</v>
      </c>
      <c r="AB107" s="197">
        <f t="shared" si="17"/>
        <v>2.632823922541588E-2</v>
      </c>
      <c r="AC107" s="146"/>
    </row>
    <row r="108" spans="3:30">
      <c r="C108" s="57" t="s">
        <v>34</v>
      </c>
      <c r="D108" s="138">
        <v>510056</v>
      </c>
      <c r="E108" s="138"/>
      <c r="F108" s="138"/>
      <c r="G108" s="138">
        <f t="shared" si="14"/>
        <v>510056</v>
      </c>
      <c r="H108" s="138">
        <v>12834</v>
      </c>
      <c r="I108" s="138">
        <f t="shared" si="21"/>
        <v>522890</v>
      </c>
      <c r="J108" s="138"/>
      <c r="K108" s="138">
        <v>11760</v>
      </c>
      <c r="L108" s="138"/>
      <c r="M108" s="138"/>
      <c r="N108" s="138"/>
      <c r="O108" s="138"/>
      <c r="P108" s="138">
        <f>12834+4278</f>
        <v>17112</v>
      </c>
      <c r="Q108" s="138"/>
      <c r="R108" s="138"/>
      <c r="S108" s="138"/>
      <c r="T108" s="138">
        <f t="shared" si="22"/>
        <v>28872</v>
      </c>
      <c r="U108" s="138"/>
      <c r="V108" s="138"/>
      <c r="W108" s="138"/>
      <c r="X108" s="139">
        <f t="shared" si="18"/>
        <v>538928</v>
      </c>
      <c r="Y108" s="138">
        <v>538928</v>
      </c>
      <c r="Z108" s="138">
        <f t="shared" ref="Z108:Z171" si="34">Y108-X108</f>
        <v>0</v>
      </c>
      <c r="AA108" s="138">
        <f t="shared" ref="AA108:AA171" si="35">Y108-I108</f>
        <v>16038</v>
      </c>
      <c r="AB108" s="193">
        <f t="shared" ref="AB108:AB171" si="36">IF(I108=0,"",AA108/I108)</f>
        <v>3.0671843026257913E-2</v>
      </c>
      <c r="AC108" s="138"/>
    </row>
    <row r="109" spans="3:30" s="130" customFormat="1" ht="24">
      <c r="C109" s="292" t="s">
        <v>249</v>
      </c>
      <c r="D109" s="647">
        <f>D110+D111</f>
        <v>120260</v>
      </c>
      <c r="E109" s="647"/>
      <c r="F109" s="647"/>
      <c r="G109" s="647">
        <f t="shared" si="14"/>
        <v>120260</v>
      </c>
      <c r="H109" s="647">
        <f>H110+H111</f>
        <v>2047</v>
      </c>
      <c r="I109" s="647">
        <f>D109+H109</f>
        <v>122307</v>
      </c>
      <c r="J109" s="647"/>
      <c r="K109" s="647"/>
      <c r="L109" s="647"/>
      <c r="M109" s="647"/>
      <c r="N109" s="647"/>
      <c r="O109" s="647"/>
      <c r="P109" s="647">
        <f>P110+P111</f>
        <v>2729</v>
      </c>
      <c r="Q109" s="647"/>
      <c r="R109" s="647"/>
      <c r="S109" s="647"/>
      <c r="T109" s="647">
        <f>SUM(J109:S109)</f>
        <v>2729</v>
      </c>
      <c r="U109" s="647"/>
      <c r="V109" s="647"/>
      <c r="W109" s="647">
        <f>W110+W111</f>
        <v>1</v>
      </c>
      <c r="X109" s="647">
        <f>T109+U109+V109+W109+G109</f>
        <v>122990</v>
      </c>
      <c r="Y109" s="217">
        <v>122989</v>
      </c>
      <c r="Z109" s="647"/>
      <c r="AA109" s="647"/>
      <c r="AB109" s="650"/>
      <c r="AC109" s="647"/>
      <c r="AD109" s="651"/>
    </row>
    <row r="110" spans="3:30" s="130" customFormat="1">
      <c r="C110" s="296" t="s">
        <v>47</v>
      </c>
      <c r="D110" s="647">
        <v>79470</v>
      </c>
      <c r="E110" s="647"/>
      <c r="F110" s="647"/>
      <c r="G110" s="647">
        <f t="shared" si="14"/>
        <v>79470</v>
      </c>
      <c r="H110" s="647"/>
      <c r="I110" s="647">
        <f t="shared" ref="I110:I116" si="37">D110+H110</f>
        <v>79470</v>
      </c>
      <c r="J110" s="647"/>
      <c r="K110" s="647"/>
      <c r="L110" s="647"/>
      <c r="M110" s="647"/>
      <c r="N110" s="647"/>
      <c r="O110" s="647"/>
      <c r="P110" s="647"/>
      <c r="Q110" s="647"/>
      <c r="R110" s="647"/>
      <c r="S110" s="647"/>
      <c r="T110" s="647">
        <f t="shared" ref="T110:T116" si="38">SUM(J110:S110)</f>
        <v>0</v>
      </c>
      <c r="U110" s="647"/>
      <c r="V110" s="647"/>
      <c r="W110" s="647"/>
      <c r="X110" s="647">
        <f t="shared" ref="X110:X116" si="39">T110+U110+V110+W110+G110</f>
        <v>79470</v>
      </c>
      <c r="Y110" s="217">
        <v>79470</v>
      </c>
      <c r="Z110" s="647"/>
      <c r="AA110" s="647"/>
      <c r="AB110" s="650"/>
      <c r="AC110" s="647"/>
      <c r="AD110" s="651"/>
    </row>
    <row r="111" spans="3:30" s="130" customFormat="1">
      <c r="C111" s="296" t="s">
        <v>250</v>
      </c>
      <c r="D111" s="647">
        <v>40790</v>
      </c>
      <c r="E111" s="647"/>
      <c r="F111" s="647"/>
      <c r="G111" s="647">
        <f t="shared" si="14"/>
        <v>40790</v>
      </c>
      <c r="H111" s="647">
        <v>2047</v>
      </c>
      <c r="I111" s="647">
        <f t="shared" si="37"/>
        <v>42837</v>
      </c>
      <c r="J111" s="647"/>
      <c r="K111" s="647"/>
      <c r="L111" s="647"/>
      <c r="M111" s="647"/>
      <c r="N111" s="647"/>
      <c r="O111" s="647"/>
      <c r="P111" s="647">
        <f>682+2047</f>
        <v>2729</v>
      </c>
      <c r="Q111" s="647"/>
      <c r="R111" s="647"/>
      <c r="S111" s="647"/>
      <c r="T111" s="647">
        <f t="shared" si="38"/>
        <v>2729</v>
      </c>
      <c r="U111" s="647"/>
      <c r="V111" s="647"/>
      <c r="W111" s="647">
        <v>1</v>
      </c>
      <c r="X111" s="647">
        <f t="shared" si="39"/>
        <v>43520</v>
      </c>
      <c r="Y111" s="217">
        <v>43519</v>
      </c>
      <c r="Z111" s="647"/>
      <c r="AA111" s="647"/>
      <c r="AB111" s="650"/>
      <c r="AC111" s="647"/>
      <c r="AD111" s="651"/>
    </row>
    <row r="112" spans="3:30" s="130" customFormat="1">
      <c r="C112" s="297" t="s">
        <v>34</v>
      </c>
      <c r="D112" s="401">
        <v>25522</v>
      </c>
      <c r="E112" s="401"/>
      <c r="F112" s="401"/>
      <c r="G112" s="401">
        <f t="shared" si="14"/>
        <v>25522</v>
      </c>
      <c r="H112" s="401">
        <v>1530</v>
      </c>
      <c r="I112" s="401">
        <f t="shared" si="37"/>
        <v>27052</v>
      </c>
      <c r="J112" s="401"/>
      <c r="K112" s="401"/>
      <c r="L112" s="401"/>
      <c r="M112" s="401"/>
      <c r="N112" s="401"/>
      <c r="O112" s="401"/>
      <c r="P112" s="401">
        <f>510+1530</f>
        <v>2040</v>
      </c>
      <c r="Q112" s="401"/>
      <c r="R112" s="401"/>
      <c r="S112" s="401"/>
      <c r="T112" s="401">
        <f t="shared" si="38"/>
        <v>2040</v>
      </c>
      <c r="U112" s="401"/>
      <c r="V112" s="401"/>
      <c r="W112" s="401"/>
      <c r="X112" s="401">
        <f t="shared" si="39"/>
        <v>27562</v>
      </c>
      <c r="Y112" s="138">
        <v>27562</v>
      </c>
      <c r="Z112" s="401"/>
      <c r="AA112" s="401"/>
      <c r="AB112" s="410"/>
      <c r="AC112" s="401"/>
      <c r="AD112" s="651"/>
    </row>
    <row r="113" spans="3:30" s="130" customFormat="1" ht="24">
      <c r="C113" s="293" t="s">
        <v>251</v>
      </c>
      <c r="D113" s="647">
        <v>235107</v>
      </c>
      <c r="E113" s="647"/>
      <c r="F113" s="647"/>
      <c r="G113" s="647">
        <f t="shared" si="14"/>
        <v>235107</v>
      </c>
      <c r="H113" s="647">
        <v>15125</v>
      </c>
      <c r="I113" s="647">
        <f t="shared" si="37"/>
        <v>250232</v>
      </c>
      <c r="J113" s="647"/>
      <c r="K113" s="647"/>
      <c r="L113" s="647"/>
      <c r="M113" s="647"/>
      <c r="N113" s="647"/>
      <c r="O113" s="647"/>
      <c r="P113" s="647">
        <f>5042+15125</f>
        <v>20167</v>
      </c>
      <c r="Q113" s="647"/>
      <c r="R113" s="647"/>
      <c r="S113" s="647"/>
      <c r="T113" s="647">
        <f t="shared" si="38"/>
        <v>20167</v>
      </c>
      <c r="U113" s="647"/>
      <c r="V113" s="647"/>
      <c r="W113" s="647">
        <v>-4</v>
      </c>
      <c r="X113" s="647">
        <f t="shared" si="39"/>
        <v>255270</v>
      </c>
      <c r="Y113" s="217">
        <v>255274</v>
      </c>
      <c r="Z113" s="647"/>
      <c r="AA113" s="647"/>
      <c r="AB113" s="650"/>
      <c r="AC113" s="647"/>
      <c r="AD113" s="651"/>
    </row>
    <row r="114" spans="3:30" s="130" customFormat="1">
      <c r="C114" s="294" t="s">
        <v>34</v>
      </c>
      <c r="D114" s="401">
        <v>144410</v>
      </c>
      <c r="E114" s="401"/>
      <c r="F114" s="401"/>
      <c r="G114" s="401">
        <f t="shared" si="14"/>
        <v>144410</v>
      </c>
      <c r="H114" s="401">
        <v>11304</v>
      </c>
      <c r="I114" s="401">
        <f t="shared" si="37"/>
        <v>155714</v>
      </c>
      <c r="J114" s="401"/>
      <c r="K114" s="401"/>
      <c r="L114" s="401"/>
      <c r="M114" s="401"/>
      <c r="N114" s="401"/>
      <c r="O114" s="401"/>
      <c r="P114" s="401">
        <f>3768+11304</f>
        <v>15072</v>
      </c>
      <c r="Q114" s="401"/>
      <c r="R114" s="401"/>
      <c r="S114" s="401"/>
      <c r="T114" s="401">
        <f t="shared" si="38"/>
        <v>15072</v>
      </c>
      <c r="U114" s="401"/>
      <c r="V114" s="401"/>
      <c r="W114" s="401"/>
      <c r="X114" s="401">
        <f t="shared" si="39"/>
        <v>159482</v>
      </c>
      <c r="Y114" s="138">
        <v>159482</v>
      </c>
      <c r="Z114" s="401"/>
      <c r="AA114" s="401"/>
      <c r="AB114" s="410"/>
      <c r="AC114" s="401"/>
      <c r="AD114" s="651"/>
    </row>
    <row r="115" spans="3:30" s="130" customFormat="1">
      <c r="C115" s="295" t="s">
        <v>584</v>
      </c>
      <c r="D115" s="647">
        <v>559623</v>
      </c>
      <c r="E115" s="647"/>
      <c r="F115" s="647"/>
      <c r="G115" s="647">
        <f t="shared" si="14"/>
        <v>559623</v>
      </c>
      <c r="H115" s="647">
        <v>2120</v>
      </c>
      <c r="I115" s="647">
        <f t="shared" si="37"/>
        <v>561743</v>
      </c>
      <c r="J115" s="647"/>
      <c r="K115" s="647">
        <v>21000</v>
      </c>
      <c r="L115" s="647"/>
      <c r="M115" s="647"/>
      <c r="N115" s="647"/>
      <c r="O115" s="647"/>
      <c r="P115" s="647"/>
      <c r="Q115" s="647"/>
      <c r="R115" s="647"/>
      <c r="S115" s="647"/>
      <c r="T115" s="647">
        <f t="shared" si="38"/>
        <v>21000</v>
      </c>
      <c r="U115" s="647"/>
      <c r="V115" s="647"/>
      <c r="W115" s="647">
        <v>-3</v>
      </c>
      <c r="X115" s="647">
        <f t="shared" si="39"/>
        <v>580620</v>
      </c>
      <c r="Y115" s="217">
        <v>580623</v>
      </c>
      <c r="Z115" s="647"/>
      <c r="AA115" s="647"/>
      <c r="AB115" s="650"/>
      <c r="AC115" s="647"/>
      <c r="AD115" s="651"/>
    </row>
    <row r="116" spans="3:30" s="130" customFormat="1">
      <c r="C116" s="294" t="s">
        <v>34</v>
      </c>
      <c r="D116" s="401">
        <v>340124</v>
      </c>
      <c r="E116" s="401"/>
      <c r="F116" s="401"/>
      <c r="G116" s="401">
        <f t="shared" si="14"/>
        <v>340124</v>
      </c>
      <c r="H116" s="401"/>
      <c r="I116" s="401">
        <f t="shared" si="37"/>
        <v>340124</v>
      </c>
      <c r="J116" s="401"/>
      <c r="K116" s="401">
        <v>11760</v>
      </c>
      <c r="L116" s="401"/>
      <c r="M116" s="401"/>
      <c r="N116" s="401"/>
      <c r="O116" s="401"/>
      <c r="P116" s="401"/>
      <c r="Q116" s="401"/>
      <c r="R116" s="401"/>
      <c r="S116" s="401"/>
      <c r="T116" s="401">
        <f t="shared" si="38"/>
        <v>11760</v>
      </c>
      <c r="U116" s="401"/>
      <c r="V116" s="401"/>
      <c r="W116" s="401"/>
      <c r="X116" s="401">
        <f t="shared" si="39"/>
        <v>351884</v>
      </c>
      <c r="Y116" s="138">
        <v>351884</v>
      </c>
      <c r="Z116" s="401"/>
      <c r="AA116" s="401"/>
      <c r="AB116" s="410"/>
      <c r="AC116" s="401"/>
      <c r="AD116" s="651"/>
    </row>
    <row r="117" spans="3:30">
      <c r="C117" s="70"/>
      <c r="D117" s="100"/>
      <c r="E117" s="100"/>
      <c r="F117" s="100"/>
      <c r="G117" s="100">
        <f t="shared" si="14"/>
        <v>0</v>
      </c>
      <c r="H117" s="100"/>
      <c r="I117" s="100">
        <f t="shared" si="21"/>
        <v>0</v>
      </c>
      <c r="J117" s="100"/>
      <c r="K117" s="100"/>
      <c r="L117" s="100"/>
      <c r="M117" s="100"/>
      <c r="N117" s="100"/>
      <c r="O117" s="100"/>
      <c r="P117" s="100"/>
      <c r="Q117" s="100"/>
      <c r="R117" s="100"/>
      <c r="S117" s="100"/>
      <c r="T117" s="100">
        <f t="shared" si="22"/>
        <v>0</v>
      </c>
      <c r="U117" s="100"/>
      <c r="V117" s="100"/>
      <c r="W117" s="653"/>
      <c r="X117" s="237">
        <f t="shared" si="18"/>
        <v>0</v>
      </c>
      <c r="Y117" s="100">
        <v>0</v>
      </c>
      <c r="Z117" s="100">
        <f t="shared" si="34"/>
        <v>0</v>
      </c>
      <c r="AA117" s="100">
        <f t="shared" si="35"/>
        <v>0</v>
      </c>
      <c r="AB117" s="204" t="str">
        <f t="shared" si="36"/>
        <v/>
      </c>
      <c r="AC117" s="100"/>
    </row>
    <row r="118" spans="3:30">
      <c r="C118" s="59" t="s">
        <v>35</v>
      </c>
      <c r="D118" s="142"/>
      <c r="E118" s="142"/>
      <c r="F118" s="142"/>
      <c r="G118" s="142">
        <f t="shared" ref="G118:G171" si="40">D118-E118-F118</f>
        <v>0</v>
      </c>
      <c r="H118" s="142"/>
      <c r="I118" s="142">
        <f t="shared" si="21"/>
        <v>0</v>
      </c>
      <c r="J118" s="142"/>
      <c r="K118" s="142"/>
      <c r="L118" s="142"/>
      <c r="M118" s="142"/>
      <c r="N118" s="142"/>
      <c r="O118" s="142"/>
      <c r="P118" s="142"/>
      <c r="Q118" s="142"/>
      <c r="R118" s="142"/>
      <c r="S118" s="142"/>
      <c r="T118" s="142">
        <f t="shared" si="22"/>
        <v>0</v>
      </c>
      <c r="U118" s="142"/>
      <c r="V118" s="142"/>
      <c r="W118" s="142"/>
      <c r="X118" s="229">
        <f t="shared" si="18"/>
        <v>0</v>
      </c>
      <c r="Y118" s="142">
        <v>0</v>
      </c>
      <c r="Z118" s="142">
        <f t="shared" si="34"/>
        <v>0</v>
      </c>
      <c r="AA118" s="142">
        <f t="shared" si="35"/>
        <v>0</v>
      </c>
      <c r="AB118" s="198" t="str">
        <f t="shared" si="36"/>
        <v/>
      </c>
      <c r="AC118" s="142"/>
    </row>
    <row r="119" spans="3:30">
      <c r="C119" s="60" t="s">
        <v>12</v>
      </c>
      <c r="D119" s="146">
        <v>16040</v>
      </c>
      <c r="E119" s="146"/>
      <c r="F119" s="146"/>
      <c r="G119" s="146">
        <f t="shared" si="40"/>
        <v>16040</v>
      </c>
      <c r="H119" s="146"/>
      <c r="I119" s="146">
        <f t="shared" si="21"/>
        <v>16040</v>
      </c>
      <c r="J119" s="146"/>
      <c r="K119" s="146"/>
      <c r="L119" s="146"/>
      <c r="M119" s="146"/>
      <c r="N119" s="146"/>
      <c r="O119" s="146"/>
      <c r="P119" s="146"/>
      <c r="Q119" s="146"/>
      <c r="R119" s="146"/>
      <c r="S119" s="146"/>
      <c r="T119" s="146">
        <f t="shared" si="22"/>
        <v>0</v>
      </c>
      <c r="U119" s="146"/>
      <c r="V119" s="146"/>
      <c r="W119" s="146"/>
      <c r="X119" s="93">
        <f t="shared" si="18"/>
        <v>16040</v>
      </c>
      <c r="Y119" s="146">
        <v>16040</v>
      </c>
      <c r="Z119" s="146">
        <f t="shared" si="34"/>
        <v>0</v>
      </c>
      <c r="AA119" s="146">
        <f t="shared" si="35"/>
        <v>0</v>
      </c>
      <c r="AB119" s="197">
        <f t="shared" si="36"/>
        <v>0</v>
      </c>
      <c r="AC119" s="146"/>
    </row>
    <row r="120" spans="3:30">
      <c r="C120" s="57" t="s">
        <v>34</v>
      </c>
      <c r="D120" s="138">
        <v>959</v>
      </c>
      <c r="E120" s="138"/>
      <c r="F120" s="138"/>
      <c r="G120" s="138">
        <f t="shared" si="40"/>
        <v>959</v>
      </c>
      <c r="H120" s="138">
        <v>-659</v>
      </c>
      <c r="I120" s="138">
        <f t="shared" si="21"/>
        <v>300</v>
      </c>
      <c r="J120" s="138"/>
      <c r="K120" s="138"/>
      <c r="L120" s="138"/>
      <c r="M120" s="138"/>
      <c r="N120" s="138"/>
      <c r="O120" s="138"/>
      <c r="P120" s="138"/>
      <c r="Q120" s="138"/>
      <c r="R120" s="138"/>
      <c r="S120" s="138"/>
      <c r="T120" s="138">
        <f t="shared" si="22"/>
        <v>0</v>
      </c>
      <c r="U120" s="138"/>
      <c r="V120" s="138"/>
      <c r="W120" s="138"/>
      <c r="X120" s="139">
        <f t="shared" si="18"/>
        <v>959</v>
      </c>
      <c r="Y120" s="138">
        <v>959</v>
      </c>
      <c r="Z120" s="138">
        <f t="shared" si="34"/>
        <v>0</v>
      </c>
      <c r="AA120" s="138">
        <f t="shared" si="35"/>
        <v>659</v>
      </c>
      <c r="AB120" s="193">
        <f t="shared" si="36"/>
        <v>2.1966666666666668</v>
      </c>
      <c r="AC120" s="138"/>
    </row>
    <row r="121" spans="3:30">
      <c r="C121" s="62"/>
      <c r="D121" s="132"/>
      <c r="E121" s="132"/>
      <c r="F121" s="132"/>
      <c r="G121" s="132">
        <f t="shared" si="40"/>
        <v>0</v>
      </c>
      <c r="H121" s="132"/>
      <c r="I121" s="132">
        <f t="shared" si="21"/>
        <v>0</v>
      </c>
      <c r="J121" s="132"/>
      <c r="K121" s="132"/>
      <c r="L121" s="132"/>
      <c r="M121" s="132"/>
      <c r="N121" s="132"/>
      <c r="O121" s="132"/>
      <c r="P121" s="132"/>
      <c r="Q121" s="132"/>
      <c r="R121" s="132"/>
      <c r="S121" s="132"/>
      <c r="T121" s="132">
        <f t="shared" si="22"/>
        <v>0</v>
      </c>
      <c r="U121" s="132"/>
      <c r="V121" s="132"/>
      <c r="W121" s="132"/>
      <c r="X121" s="96">
        <f t="shared" si="18"/>
        <v>0</v>
      </c>
      <c r="Y121" s="132">
        <v>0</v>
      </c>
      <c r="Z121" s="132">
        <f t="shared" si="34"/>
        <v>0</v>
      </c>
      <c r="AA121" s="132">
        <f t="shared" si="35"/>
        <v>0</v>
      </c>
      <c r="AB121" s="157" t="str">
        <f t="shared" si="36"/>
        <v/>
      </c>
      <c r="AC121" s="132"/>
    </row>
    <row r="122" spans="3:30">
      <c r="C122" s="59" t="s">
        <v>35</v>
      </c>
      <c r="D122" s="142"/>
      <c r="E122" s="142"/>
      <c r="F122" s="142"/>
      <c r="G122" s="142">
        <f t="shared" si="40"/>
        <v>0</v>
      </c>
      <c r="H122" s="142"/>
      <c r="I122" s="142">
        <f t="shared" si="21"/>
        <v>0</v>
      </c>
      <c r="J122" s="142"/>
      <c r="K122" s="142"/>
      <c r="L122" s="142"/>
      <c r="M122" s="142"/>
      <c r="N122" s="142"/>
      <c r="O122" s="142"/>
      <c r="P122" s="142"/>
      <c r="Q122" s="142"/>
      <c r="R122" s="142"/>
      <c r="S122" s="142"/>
      <c r="T122" s="142">
        <f t="shared" si="22"/>
        <v>0</v>
      </c>
      <c r="U122" s="142"/>
      <c r="V122" s="142"/>
      <c r="W122" s="142"/>
      <c r="X122" s="229">
        <f t="shared" si="18"/>
        <v>0</v>
      </c>
      <c r="Y122" s="142">
        <v>0</v>
      </c>
      <c r="Z122" s="142">
        <f t="shared" si="34"/>
        <v>0</v>
      </c>
      <c r="AA122" s="142">
        <f t="shared" si="35"/>
        <v>0</v>
      </c>
      <c r="AB122" s="198" t="str">
        <f t="shared" si="36"/>
        <v/>
      </c>
      <c r="AC122" s="142"/>
    </row>
    <row r="123" spans="3:30" ht="24">
      <c r="C123" s="60" t="s">
        <v>133</v>
      </c>
      <c r="D123" s="146">
        <v>878910</v>
      </c>
      <c r="E123" s="146"/>
      <c r="F123" s="146">
        <v>280220</v>
      </c>
      <c r="G123" s="146">
        <f t="shared" si="40"/>
        <v>598690</v>
      </c>
      <c r="H123" s="146">
        <v>75189</v>
      </c>
      <c r="I123" s="146">
        <f t="shared" si="21"/>
        <v>954099</v>
      </c>
      <c r="J123" s="146"/>
      <c r="K123" s="146"/>
      <c r="L123" s="146"/>
      <c r="M123" s="146"/>
      <c r="N123" s="146"/>
      <c r="O123" s="146"/>
      <c r="P123" s="146">
        <f>20592+6864</f>
        <v>27456</v>
      </c>
      <c r="Q123" s="146"/>
      <c r="R123" s="146"/>
      <c r="S123" s="146"/>
      <c r="T123" s="146">
        <f t="shared" si="22"/>
        <v>27456</v>
      </c>
      <c r="U123" s="146">
        <v>304361</v>
      </c>
      <c r="V123" s="146"/>
      <c r="W123" s="146">
        <v>3</v>
      </c>
      <c r="X123" s="93">
        <f t="shared" si="18"/>
        <v>930510</v>
      </c>
      <c r="Y123" s="146">
        <v>930510</v>
      </c>
      <c r="Z123" s="146">
        <f t="shared" si="34"/>
        <v>0</v>
      </c>
      <c r="AA123" s="146">
        <f t="shared" si="35"/>
        <v>-23589</v>
      </c>
      <c r="AB123" s="197">
        <f t="shared" si="36"/>
        <v>-2.4723849411853488E-2</v>
      </c>
      <c r="AC123" s="146"/>
    </row>
    <row r="124" spans="3:30">
      <c r="C124" s="57" t="s">
        <v>34</v>
      </c>
      <c r="D124" s="138">
        <v>526234</v>
      </c>
      <c r="E124" s="138"/>
      <c r="F124" s="138"/>
      <c r="G124" s="138">
        <f t="shared" si="40"/>
        <v>526234</v>
      </c>
      <c r="H124" s="138">
        <v>15390</v>
      </c>
      <c r="I124" s="138">
        <f t="shared" si="21"/>
        <v>541624</v>
      </c>
      <c r="J124" s="138"/>
      <c r="K124" s="138"/>
      <c r="L124" s="138"/>
      <c r="M124" s="138"/>
      <c r="N124" s="138"/>
      <c r="O124" s="138"/>
      <c r="P124" s="138">
        <f>15390+5130</f>
        <v>20520</v>
      </c>
      <c r="Q124" s="138"/>
      <c r="R124" s="138"/>
      <c r="S124" s="138"/>
      <c r="T124" s="138">
        <f t="shared" si="22"/>
        <v>20520</v>
      </c>
      <c r="U124" s="138"/>
      <c r="V124" s="138"/>
      <c r="W124" s="138"/>
      <c r="X124" s="139">
        <f t="shared" si="18"/>
        <v>546754</v>
      </c>
      <c r="Y124" s="138">
        <v>546754</v>
      </c>
      <c r="Z124" s="138">
        <f t="shared" si="34"/>
        <v>0</v>
      </c>
      <c r="AA124" s="138">
        <f t="shared" si="35"/>
        <v>5130</v>
      </c>
      <c r="AB124" s="193">
        <f t="shared" si="36"/>
        <v>9.4715152947432175E-3</v>
      </c>
      <c r="AC124" s="138"/>
    </row>
    <row r="125" spans="3:30">
      <c r="C125" s="62"/>
      <c r="D125" s="132"/>
      <c r="E125" s="132"/>
      <c r="F125" s="132"/>
      <c r="G125" s="132">
        <f t="shared" si="40"/>
        <v>0</v>
      </c>
      <c r="H125" s="132"/>
      <c r="I125" s="132">
        <f t="shared" si="21"/>
        <v>0</v>
      </c>
      <c r="J125" s="132"/>
      <c r="K125" s="132"/>
      <c r="L125" s="132"/>
      <c r="M125" s="132"/>
      <c r="N125" s="132"/>
      <c r="O125" s="132"/>
      <c r="P125" s="132"/>
      <c r="Q125" s="132"/>
      <c r="R125" s="132"/>
      <c r="S125" s="132"/>
      <c r="T125" s="132">
        <f t="shared" si="22"/>
        <v>0</v>
      </c>
      <c r="U125" s="132"/>
      <c r="V125" s="132"/>
      <c r="W125" s="132"/>
      <c r="X125" s="96">
        <f t="shared" si="18"/>
        <v>0</v>
      </c>
      <c r="Y125" s="132">
        <v>0</v>
      </c>
      <c r="Z125" s="132">
        <f t="shared" si="34"/>
        <v>0</v>
      </c>
      <c r="AA125" s="132">
        <f t="shared" si="35"/>
        <v>0</v>
      </c>
      <c r="AB125" s="157" t="str">
        <f t="shared" si="36"/>
        <v/>
      </c>
      <c r="AC125" s="132"/>
    </row>
    <row r="126" spans="3:30">
      <c r="C126" s="59" t="s">
        <v>35</v>
      </c>
      <c r="D126" s="142"/>
      <c r="E126" s="142"/>
      <c r="F126" s="142"/>
      <c r="G126" s="142">
        <f t="shared" si="40"/>
        <v>0</v>
      </c>
      <c r="H126" s="142"/>
      <c r="I126" s="142">
        <f t="shared" si="21"/>
        <v>0</v>
      </c>
      <c r="J126" s="142"/>
      <c r="K126" s="142"/>
      <c r="L126" s="142"/>
      <c r="M126" s="142"/>
      <c r="N126" s="142"/>
      <c r="O126" s="142"/>
      <c r="P126" s="142"/>
      <c r="Q126" s="142"/>
      <c r="R126" s="142"/>
      <c r="S126" s="142"/>
      <c r="T126" s="142">
        <f t="shared" si="22"/>
        <v>0</v>
      </c>
      <c r="U126" s="142"/>
      <c r="V126" s="142"/>
      <c r="W126" s="142"/>
      <c r="X126" s="229">
        <f t="shared" si="18"/>
        <v>0</v>
      </c>
      <c r="Y126" s="142">
        <v>0</v>
      </c>
      <c r="Z126" s="142">
        <f t="shared" si="34"/>
        <v>0</v>
      </c>
      <c r="AA126" s="142">
        <f t="shared" si="35"/>
        <v>0</v>
      </c>
      <c r="AB126" s="198" t="str">
        <f t="shared" si="36"/>
        <v/>
      </c>
      <c r="AC126" s="142"/>
    </row>
    <row r="127" spans="3:30">
      <c r="C127" s="71" t="s">
        <v>134</v>
      </c>
      <c r="D127" s="101">
        <v>981280</v>
      </c>
      <c r="E127" s="101"/>
      <c r="F127" s="101"/>
      <c r="G127" s="101">
        <f t="shared" si="40"/>
        <v>981280</v>
      </c>
      <c r="H127" s="101">
        <v>1205</v>
      </c>
      <c r="I127" s="101">
        <f t="shared" si="21"/>
        <v>982485</v>
      </c>
      <c r="J127" s="101"/>
      <c r="K127" s="101"/>
      <c r="L127" s="101"/>
      <c r="M127" s="101"/>
      <c r="N127" s="101"/>
      <c r="O127" s="101"/>
      <c r="P127" s="101">
        <f>1204+401</f>
        <v>1605</v>
      </c>
      <c r="Q127" s="101"/>
      <c r="R127" s="101"/>
      <c r="S127" s="101"/>
      <c r="T127" s="101">
        <f t="shared" si="22"/>
        <v>1605</v>
      </c>
      <c r="U127" s="101"/>
      <c r="V127" s="101"/>
      <c r="W127" s="101">
        <v>5</v>
      </c>
      <c r="X127" s="238">
        <f t="shared" si="18"/>
        <v>982890</v>
      </c>
      <c r="Y127" s="101">
        <v>982890</v>
      </c>
      <c r="Z127" s="101">
        <f t="shared" si="34"/>
        <v>0</v>
      </c>
      <c r="AA127" s="101">
        <f t="shared" si="35"/>
        <v>405</v>
      </c>
      <c r="AB127" s="192">
        <f t="shared" si="36"/>
        <v>4.1222003389364725E-4</v>
      </c>
      <c r="AC127" s="101"/>
    </row>
    <row r="128" spans="3:30">
      <c r="C128" s="57" t="s">
        <v>34</v>
      </c>
      <c r="D128" s="138">
        <v>623095</v>
      </c>
      <c r="E128" s="138"/>
      <c r="F128" s="138"/>
      <c r="G128" s="138">
        <f t="shared" si="40"/>
        <v>623095</v>
      </c>
      <c r="H128" s="138">
        <v>900</v>
      </c>
      <c r="I128" s="138">
        <f t="shared" si="21"/>
        <v>623995</v>
      </c>
      <c r="J128" s="138"/>
      <c r="K128" s="138"/>
      <c r="L128" s="138"/>
      <c r="M128" s="138"/>
      <c r="N128" s="138"/>
      <c r="O128" s="138"/>
      <c r="P128" s="138">
        <f>900+300</f>
        <v>1200</v>
      </c>
      <c r="Q128" s="138"/>
      <c r="R128" s="138"/>
      <c r="S128" s="138"/>
      <c r="T128" s="138">
        <f t="shared" si="22"/>
        <v>1200</v>
      </c>
      <c r="U128" s="138"/>
      <c r="V128" s="138"/>
      <c r="W128" s="138"/>
      <c r="X128" s="139">
        <f t="shared" si="18"/>
        <v>624295</v>
      </c>
      <c r="Y128" s="138">
        <v>624295</v>
      </c>
      <c r="Z128" s="138">
        <f t="shared" si="34"/>
        <v>0</v>
      </c>
      <c r="AA128" s="138">
        <f t="shared" si="35"/>
        <v>300</v>
      </c>
      <c r="AB128" s="193">
        <f t="shared" si="36"/>
        <v>4.8077308311765321E-4</v>
      </c>
      <c r="AC128" s="138"/>
    </row>
    <row r="129" spans="3:29">
      <c r="C129" s="63"/>
      <c r="D129" s="148"/>
      <c r="E129" s="148"/>
      <c r="F129" s="148"/>
      <c r="G129" s="148">
        <f t="shared" si="40"/>
        <v>0</v>
      </c>
      <c r="H129" s="148"/>
      <c r="I129" s="148">
        <f t="shared" si="21"/>
        <v>0</v>
      </c>
      <c r="J129" s="148"/>
      <c r="K129" s="148"/>
      <c r="L129" s="148"/>
      <c r="M129" s="148"/>
      <c r="N129" s="148"/>
      <c r="O129" s="148"/>
      <c r="P129" s="148"/>
      <c r="Q129" s="148"/>
      <c r="R129" s="148"/>
      <c r="S129" s="148"/>
      <c r="T129" s="148">
        <f t="shared" si="22"/>
        <v>0</v>
      </c>
      <c r="U129" s="148"/>
      <c r="V129" s="148"/>
      <c r="W129" s="148"/>
      <c r="X129" s="234">
        <f t="shared" si="18"/>
        <v>0</v>
      </c>
      <c r="Y129" s="148"/>
      <c r="Z129" s="148">
        <f t="shared" si="34"/>
        <v>0</v>
      </c>
      <c r="AA129" s="148">
        <f t="shared" si="35"/>
        <v>0</v>
      </c>
      <c r="AB129" s="210" t="str">
        <f t="shared" si="36"/>
        <v/>
      </c>
      <c r="AC129" s="148"/>
    </row>
    <row r="130" spans="3:29">
      <c r="C130" s="59" t="s">
        <v>35</v>
      </c>
      <c r="D130" s="142"/>
      <c r="E130" s="142"/>
      <c r="F130" s="142"/>
      <c r="G130" s="142">
        <f t="shared" si="40"/>
        <v>0</v>
      </c>
      <c r="H130" s="142"/>
      <c r="I130" s="142">
        <f t="shared" si="21"/>
        <v>0</v>
      </c>
      <c r="J130" s="142"/>
      <c r="K130" s="142"/>
      <c r="L130" s="142"/>
      <c r="M130" s="142"/>
      <c r="N130" s="142"/>
      <c r="O130" s="142"/>
      <c r="P130" s="142"/>
      <c r="Q130" s="142"/>
      <c r="R130" s="142"/>
      <c r="S130" s="142"/>
      <c r="T130" s="142">
        <f t="shared" si="22"/>
        <v>0</v>
      </c>
      <c r="U130" s="142"/>
      <c r="V130" s="142"/>
      <c r="W130" s="142"/>
      <c r="X130" s="229">
        <f t="shared" si="18"/>
        <v>0</v>
      </c>
      <c r="Y130" s="142"/>
      <c r="Z130" s="142">
        <f t="shared" si="34"/>
        <v>0</v>
      </c>
      <c r="AA130" s="142">
        <f t="shared" si="35"/>
        <v>0</v>
      </c>
      <c r="AB130" s="198" t="str">
        <f t="shared" si="36"/>
        <v/>
      </c>
      <c r="AC130" s="142"/>
    </row>
    <row r="131" spans="3:29" ht="36.75">
      <c r="C131" s="60" t="s">
        <v>143</v>
      </c>
      <c r="D131" s="146">
        <v>27390</v>
      </c>
      <c r="E131" s="146"/>
      <c r="F131" s="146"/>
      <c r="G131" s="146">
        <f t="shared" si="40"/>
        <v>27390</v>
      </c>
      <c r="H131" s="146">
        <v>16700</v>
      </c>
      <c r="I131" s="146">
        <f t="shared" si="21"/>
        <v>44090</v>
      </c>
      <c r="J131" s="146"/>
      <c r="K131" s="146"/>
      <c r="L131" s="146"/>
      <c r="M131" s="146"/>
      <c r="N131" s="146"/>
      <c r="O131" s="146"/>
      <c r="P131" s="146"/>
      <c r="Q131" s="146"/>
      <c r="R131" s="146"/>
      <c r="S131" s="146"/>
      <c r="T131" s="146">
        <f t="shared" si="22"/>
        <v>0</v>
      </c>
      <c r="U131" s="146"/>
      <c r="V131" s="146"/>
      <c r="W131" s="146"/>
      <c r="X131" s="93">
        <f t="shared" si="18"/>
        <v>27390</v>
      </c>
      <c r="Y131" s="146">
        <v>27390</v>
      </c>
      <c r="Z131" s="146">
        <f t="shared" si="34"/>
        <v>0</v>
      </c>
      <c r="AA131" s="146">
        <f t="shared" si="35"/>
        <v>-16700</v>
      </c>
      <c r="AB131" s="197">
        <f t="shared" si="36"/>
        <v>-0.37877069630301657</v>
      </c>
      <c r="AC131" s="146"/>
    </row>
    <row r="132" spans="3:29">
      <c r="C132" s="57" t="s">
        <v>34</v>
      </c>
      <c r="D132" s="138">
        <v>17832</v>
      </c>
      <c r="E132" s="138"/>
      <c r="F132" s="138"/>
      <c r="G132" s="138">
        <f t="shared" si="40"/>
        <v>17832</v>
      </c>
      <c r="H132" s="138">
        <v>10872</v>
      </c>
      <c r="I132" s="138">
        <f t="shared" si="21"/>
        <v>28704</v>
      </c>
      <c r="J132" s="138"/>
      <c r="K132" s="138"/>
      <c r="L132" s="138"/>
      <c r="M132" s="138"/>
      <c r="N132" s="138"/>
      <c r="O132" s="138"/>
      <c r="P132" s="138"/>
      <c r="Q132" s="138"/>
      <c r="R132" s="138"/>
      <c r="S132" s="138"/>
      <c r="T132" s="138">
        <f t="shared" si="22"/>
        <v>0</v>
      </c>
      <c r="U132" s="138"/>
      <c r="V132" s="138"/>
      <c r="W132" s="138"/>
      <c r="X132" s="139">
        <f t="shared" si="18"/>
        <v>17832</v>
      </c>
      <c r="Y132" s="138">
        <v>17832</v>
      </c>
      <c r="Z132" s="138">
        <f t="shared" si="34"/>
        <v>0</v>
      </c>
      <c r="AA132" s="138">
        <f t="shared" si="35"/>
        <v>-10872</v>
      </c>
      <c r="AB132" s="193">
        <f t="shared" si="36"/>
        <v>-0.37876254180602009</v>
      </c>
      <c r="AC132" s="138"/>
    </row>
    <row r="133" spans="3:29">
      <c r="C133" s="70"/>
      <c r="D133" s="100"/>
      <c r="E133" s="100"/>
      <c r="F133" s="100"/>
      <c r="G133" s="100">
        <f t="shared" si="40"/>
        <v>0</v>
      </c>
      <c r="H133" s="100"/>
      <c r="I133" s="100">
        <f t="shared" si="21"/>
        <v>0</v>
      </c>
      <c r="J133" s="100"/>
      <c r="K133" s="100"/>
      <c r="L133" s="100"/>
      <c r="M133" s="100"/>
      <c r="N133" s="100"/>
      <c r="O133" s="100"/>
      <c r="P133" s="100"/>
      <c r="Q133" s="100"/>
      <c r="R133" s="100"/>
      <c r="S133" s="100"/>
      <c r="T133" s="100">
        <f t="shared" si="22"/>
        <v>0</v>
      </c>
      <c r="U133" s="100"/>
      <c r="V133" s="100"/>
      <c r="W133" s="100"/>
      <c r="X133" s="237">
        <f t="shared" si="18"/>
        <v>0</v>
      </c>
      <c r="Y133" s="100"/>
      <c r="Z133" s="100">
        <f t="shared" si="34"/>
        <v>0</v>
      </c>
      <c r="AA133" s="100">
        <f t="shared" si="35"/>
        <v>0</v>
      </c>
      <c r="AB133" s="204" t="str">
        <f t="shared" si="36"/>
        <v/>
      </c>
      <c r="AC133" s="100"/>
    </row>
    <row r="134" spans="3:29">
      <c r="C134" s="59" t="s">
        <v>35</v>
      </c>
      <c r="D134" s="142"/>
      <c r="E134" s="142"/>
      <c r="F134" s="142"/>
      <c r="G134" s="142">
        <f t="shared" si="40"/>
        <v>0</v>
      </c>
      <c r="H134" s="142"/>
      <c r="I134" s="142">
        <f t="shared" si="21"/>
        <v>0</v>
      </c>
      <c r="J134" s="142"/>
      <c r="K134" s="142"/>
      <c r="L134" s="142"/>
      <c r="M134" s="142"/>
      <c r="N134" s="142"/>
      <c r="O134" s="142"/>
      <c r="P134" s="142"/>
      <c r="Q134" s="142"/>
      <c r="R134" s="142"/>
      <c r="S134" s="142"/>
      <c r="T134" s="142">
        <f t="shared" si="22"/>
        <v>0</v>
      </c>
      <c r="U134" s="142"/>
      <c r="V134" s="142"/>
      <c r="W134" s="142"/>
      <c r="X134" s="229">
        <f t="shared" si="18"/>
        <v>0</v>
      </c>
      <c r="Y134" s="142"/>
      <c r="Z134" s="142">
        <f t="shared" si="34"/>
        <v>0</v>
      </c>
      <c r="AA134" s="142">
        <f t="shared" si="35"/>
        <v>0</v>
      </c>
      <c r="AB134" s="198" t="str">
        <f t="shared" si="36"/>
        <v/>
      </c>
      <c r="AC134" s="142"/>
    </row>
    <row r="135" spans="3:29">
      <c r="C135" s="60" t="s">
        <v>43</v>
      </c>
      <c r="D135" s="146">
        <v>85000</v>
      </c>
      <c r="E135" s="146"/>
      <c r="F135" s="146"/>
      <c r="G135" s="146">
        <f t="shared" si="40"/>
        <v>85000</v>
      </c>
      <c r="H135" s="146"/>
      <c r="I135" s="146">
        <f t="shared" si="21"/>
        <v>85000</v>
      </c>
      <c r="J135" s="146"/>
      <c r="K135" s="146"/>
      <c r="L135" s="146"/>
      <c r="M135" s="146"/>
      <c r="N135" s="146"/>
      <c r="O135" s="146"/>
      <c r="P135" s="146"/>
      <c r="Q135" s="146"/>
      <c r="R135" s="146"/>
      <c r="S135" s="146"/>
      <c r="T135" s="146">
        <f t="shared" si="22"/>
        <v>0</v>
      </c>
      <c r="U135" s="146"/>
      <c r="V135" s="146"/>
      <c r="W135" s="146"/>
      <c r="X135" s="93">
        <f t="shared" si="18"/>
        <v>85000</v>
      </c>
      <c r="Y135" s="146">
        <v>85000</v>
      </c>
      <c r="Z135" s="146">
        <f t="shared" si="34"/>
        <v>0</v>
      </c>
      <c r="AA135" s="146">
        <f t="shared" si="35"/>
        <v>0</v>
      </c>
      <c r="AB135" s="197">
        <f t="shared" si="36"/>
        <v>0</v>
      </c>
      <c r="AC135" s="146"/>
    </row>
    <row r="136" spans="3:29">
      <c r="C136" s="57" t="s">
        <v>34</v>
      </c>
      <c r="D136" s="138">
        <v>4608</v>
      </c>
      <c r="E136" s="138"/>
      <c r="F136" s="138"/>
      <c r="G136" s="138">
        <f t="shared" si="40"/>
        <v>4608</v>
      </c>
      <c r="H136" s="138">
        <v>1392</v>
      </c>
      <c r="I136" s="138">
        <f t="shared" si="21"/>
        <v>6000</v>
      </c>
      <c r="J136" s="138"/>
      <c r="K136" s="138"/>
      <c r="L136" s="138"/>
      <c r="M136" s="138"/>
      <c r="N136" s="138"/>
      <c r="O136" s="138"/>
      <c r="P136" s="138"/>
      <c r="Q136" s="138"/>
      <c r="R136" s="138"/>
      <c r="S136" s="138"/>
      <c r="T136" s="138">
        <f t="shared" si="22"/>
        <v>0</v>
      </c>
      <c r="U136" s="138"/>
      <c r="V136" s="138"/>
      <c r="W136" s="138"/>
      <c r="X136" s="139">
        <f t="shared" si="18"/>
        <v>4608</v>
      </c>
      <c r="Y136" s="138">
        <v>4608</v>
      </c>
      <c r="Z136" s="138">
        <f t="shared" si="34"/>
        <v>0</v>
      </c>
      <c r="AA136" s="138">
        <f t="shared" si="35"/>
        <v>-1392</v>
      </c>
      <c r="AB136" s="193">
        <f t="shared" si="36"/>
        <v>-0.23200000000000001</v>
      </c>
      <c r="AC136" s="138"/>
    </row>
    <row r="137" spans="3:29">
      <c r="C137" s="64"/>
      <c r="D137" s="146"/>
      <c r="E137" s="146"/>
      <c r="F137" s="146"/>
      <c r="G137" s="146">
        <f t="shared" si="40"/>
        <v>0</v>
      </c>
      <c r="H137" s="146"/>
      <c r="I137" s="146">
        <f t="shared" si="21"/>
        <v>0</v>
      </c>
      <c r="J137" s="146"/>
      <c r="K137" s="146"/>
      <c r="L137" s="146"/>
      <c r="M137" s="146"/>
      <c r="N137" s="146"/>
      <c r="O137" s="146"/>
      <c r="P137" s="146"/>
      <c r="Q137" s="146"/>
      <c r="R137" s="146"/>
      <c r="S137" s="146"/>
      <c r="T137" s="146">
        <f t="shared" si="22"/>
        <v>0</v>
      </c>
      <c r="U137" s="146"/>
      <c r="V137" s="146"/>
      <c r="W137" s="146"/>
      <c r="X137" s="93">
        <f t="shared" si="18"/>
        <v>0</v>
      </c>
      <c r="Y137" s="146"/>
      <c r="Z137" s="146">
        <f t="shared" si="34"/>
        <v>0</v>
      </c>
      <c r="AA137" s="146">
        <f t="shared" si="35"/>
        <v>0</v>
      </c>
      <c r="AB137" s="197" t="str">
        <f t="shared" si="36"/>
        <v/>
      </c>
      <c r="AC137" s="146"/>
    </row>
    <row r="138" spans="3:29" ht="25.5">
      <c r="C138" s="51" t="s">
        <v>44</v>
      </c>
      <c r="D138" s="144">
        <f>D141+D144+D147+D150+D153+D158+D161+D164</f>
        <v>1364740</v>
      </c>
      <c r="E138" s="144">
        <f>E141+E144+E147+E150+E153+E158+E161+E164</f>
        <v>0</v>
      </c>
      <c r="F138" s="144">
        <f>F141+F144+F147+F150+F153+F158+F161+F164</f>
        <v>0</v>
      </c>
      <c r="G138" s="144">
        <f t="shared" si="40"/>
        <v>1364740</v>
      </c>
      <c r="H138" s="144">
        <f>H141+H144+H147+H150+H153+H158+H161+H164+H168</f>
        <v>67200</v>
      </c>
      <c r="I138" s="144">
        <f t="shared" si="21"/>
        <v>1431940</v>
      </c>
      <c r="J138" s="144">
        <f>J141+J144+J147+J150+J153+J158+J161+J164</f>
        <v>0</v>
      </c>
      <c r="K138" s="144">
        <f>K141+K144+K147+K150+K153+K158+K161+K164</f>
        <v>675</v>
      </c>
      <c r="L138" s="144">
        <f>L141+L144+L147+L150+L153+L158+L161+L164</f>
        <v>0</v>
      </c>
      <c r="M138" s="144">
        <f>M141+M144+M147+M150+M153+M158+M161+M164</f>
        <v>0</v>
      </c>
      <c r="N138" s="144"/>
      <c r="O138" s="144">
        <f>O141+O144+O147+O150+O153+O158+O161+O164</f>
        <v>0</v>
      </c>
      <c r="P138" s="144">
        <f>P141+P144+P147+P150+P153+P158+P161+P164</f>
        <v>27660</v>
      </c>
      <c r="Q138" s="144">
        <f>Q141+Q144+Q147+Q150+Q153+Q158+Q161+Q164</f>
        <v>0</v>
      </c>
      <c r="R138" s="144"/>
      <c r="S138" s="144">
        <f>S141+S144+S147+S150+S153+S158+S161+S164</f>
        <v>0</v>
      </c>
      <c r="T138" s="144">
        <f t="shared" si="22"/>
        <v>28335</v>
      </c>
      <c r="U138" s="144">
        <f>U141+U144+U147+U150+U153+U158+U161+U164</f>
        <v>0</v>
      </c>
      <c r="V138" s="144">
        <f>V141+V144+V147+V150+V153+V158+V161+V164</f>
        <v>0</v>
      </c>
      <c r="W138" s="144">
        <f>W141+W144+W147+W150+W153+W158+W161+W164+W168</f>
        <v>5</v>
      </c>
      <c r="X138" s="239">
        <f t="shared" si="18"/>
        <v>1393080</v>
      </c>
      <c r="Y138" s="144">
        <f>Y141+Y144+Y147+Y150+Y153+Y158+Y161+Y164</f>
        <v>1393080</v>
      </c>
      <c r="Z138" s="144">
        <f t="shared" si="34"/>
        <v>0</v>
      </c>
      <c r="AA138" s="144">
        <f t="shared" si="35"/>
        <v>-38860</v>
      </c>
      <c r="AB138" s="202">
        <f t="shared" si="36"/>
        <v>-2.7138008575778316E-2</v>
      </c>
      <c r="AC138" s="144"/>
    </row>
    <row r="139" spans="3:29">
      <c r="C139" s="50" t="s">
        <v>34</v>
      </c>
      <c r="D139" s="138">
        <f>D165</f>
        <v>495143</v>
      </c>
      <c r="E139" s="138">
        <f>E165</f>
        <v>0</v>
      </c>
      <c r="F139" s="138">
        <f t="shared" ref="F139:V139" si="41">F165</f>
        <v>0</v>
      </c>
      <c r="G139" s="138">
        <f t="shared" si="40"/>
        <v>495143</v>
      </c>
      <c r="H139" s="138">
        <f>H165</f>
        <v>15504</v>
      </c>
      <c r="I139" s="138">
        <f t="shared" si="21"/>
        <v>510647</v>
      </c>
      <c r="J139" s="138">
        <f t="shared" si="41"/>
        <v>0</v>
      </c>
      <c r="K139" s="138">
        <f t="shared" si="41"/>
        <v>0</v>
      </c>
      <c r="L139" s="138">
        <f t="shared" ref="L139:S139" si="42">L165</f>
        <v>0</v>
      </c>
      <c r="M139" s="138">
        <f t="shared" si="42"/>
        <v>0</v>
      </c>
      <c r="N139" s="138"/>
      <c r="O139" s="138">
        <f t="shared" si="42"/>
        <v>0</v>
      </c>
      <c r="P139" s="138">
        <f t="shared" si="42"/>
        <v>20672</v>
      </c>
      <c r="Q139" s="138">
        <f t="shared" si="42"/>
        <v>0</v>
      </c>
      <c r="R139" s="138"/>
      <c r="S139" s="138">
        <f t="shared" si="42"/>
        <v>0</v>
      </c>
      <c r="T139" s="138">
        <f t="shared" si="22"/>
        <v>20672</v>
      </c>
      <c r="U139" s="138">
        <f t="shared" si="41"/>
        <v>0</v>
      </c>
      <c r="V139" s="138">
        <f t="shared" si="41"/>
        <v>0</v>
      </c>
      <c r="W139" s="138"/>
      <c r="X139" s="139">
        <f t="shared" ref="X139:X202" si="43">G139+T139+U139+V139+W139</f>
        <v>515815</v>
      </c>
      <c r="Y139" s="138">
        <f>Y165</f>
        <v>515815</v>
      </c>
      <c r="Z139" s="138">
        <f t="shared" si="34"/>
        <v>0</v>
      </c>
      <c r="AA139" s="138">
        <f t="shared" si="35"/>
        <v>5168</v>
      </c>
      <c r="AB139" s="193">
        <f t="shared" si="36"/>
        <v>1.0120494196578067E-2</v>
      </c>
      <c r="AC139" s="138"/>
    </row>
    <row r="140" spans="3:29">
      <c r="C140" s="59" t="s">
        <v>35</v>
      </c>
      <c r="D140" s="142"/>
      <c r="E140" s="142"/>
      <c r="F140" s="142"/>
      <c r="G140" s="142">
        <f t="shared" si="40"/>
        <v>0</v>
      </c>
      <c r="H140" s="142"/>
      <c r="I140" s="142">
        <f t="shared" si="21"/>
        <v>0</v>
      </c>
      <c r="J140" s="142"/>
      <c r="K140" s="142"/>
      <c r="L140" s="142"/>
      <c r="M140" s="142"/>
      <c r="N140" s="142"/>
      <c r="O140" s="142"/>
      <c r="P140" s="142"/>
      <c r="Q140" s="142"/>
      <c r="R140" s="142"/>
      <c r="S140" s="142"/>
      <c r="T140" s="142">
        <f t="shared" si="22"/>
        <v>0</v>
      </c>
      <c r="U140" s="142"/>
      <c r="V140" s="142"/>
      <c r="W140" s="142"/>
      <c r="X140" s="229">
        <f t="shared" si="43"/>
        <v>0</v>
      </c>
      <c r="Y140" s="142"/>
      <c r="Z140" s="142">
        <f t="shared" si="34"/>
        <v>0</v>
      </c>
      <c r="AA140" s="142">
        <f t="shared" si="35"/>
        <v>0</v>
      </c>
      <c r="AB140" s="198" t="str">
        <f t="shared" si="36"/>
        <v/>
      </c>
      <c r="AC140" s="142"/>
    </row>
    <row r="141" spans="3:29" ht="25.5">
      <c r="C141" s="60" t="s">
        <v>13</v>
      </c>
      <c r="D141" s="146">
        <v>179470</v>
      </c>
      <c r="E141" s="146"/>
      <c r="F141" s="146"/>
      <c r="G141" s="146">
        <f t="shared" si="40"/>
        <v>179470</v>
      </c>
      <c r="H141" s="146">
        <v>16590</v>
      </c>
      <c r="I141" s="146">
        <f t="shared" si="21"/>
        <v>196060</v>
      </c>
      <c r="J141" s="146"/>
      <c r="K141" s="146"/>
      <c r="L141" s="146"/>
      <c r="M141" s="146"/>
      <c r="N141" s="146"/>
      <c r="O141" s="146"/>
      <c r="P141" s="146"/>
      <c r="Q141" s="146"/>
      <c r="R141" s="146"/>
      <c r="S141" s="146"/>
      <c r="T141" s="146">
        <f t="shared" si="22"/>
        <v>0</v>
      </c>
      <c r="U141" s="146"/>
      <c r="V141" s="146"/>
      <c r="W141" s="146"/>
      <c r="X141" s="93">
        <f t="shared" si="43"/>
        <v>179470</v>
      </c>
      <c r="Y141" s="146">
        <v>179470</v>
      </c>
      <c r="Z141" s="146">
        <f t="shared" si="34"/>
        <v>0</v>
      </c>
      <c r="AA141" s="146">
        <f t="shared" si="35"/>
        <v>-16590</v>
      </c>
      <c r="AB141" s="197">
        <f t="shared" si="36"/>
        <v>-8.4616953993675401E-2</v>
      </c>
      <c r="AC141" s="146"/>
    </row>
    <row r="142" spans="3:29">
      <c r="C142" s="72"/>
      <c r="D142" s="102"/>
      <c r="E142" s="102"/>
      <c r="F142" s="102"/>
      <c r="G142" s="102">
        <f t="shared" si="40"/>
        <v>0</v>
      </c>
      <c r="H142" s="102"/>
      <c r="I142" s="102">
        <f t="shared" si="21"/>
        <v>0</v>
      </c>
      <c r="J142" s="102"/>
      <c r="K142" s="102"/>
      <c r="L142" s="102"/>
      <c r="M142" s="102"/>
      <c r="N142" s="102"/>
      <c r="O142" s="102"/>
      <c r="P142" s="102"/>
      <c r="Q142" s="102"/>
      <c r="R142" s="102"/>
      <c r="S142" s="102"/>
      <c r="T142" s="102">
        <f t="shared" si="22"/>
        <v>0</v>
      </c>
      <c r="U142" s="102"/>
      <c r="V142" s="102"/>
      <c r="W142" s="102"/>
      <c r="X142" s="240">
        <f t="shared" si="43"/>
        <v>0</v>
      </c>
      <c r="Y142" s="102"/>
      <c r="Z142" s="102">
        <f t="shared" si="34"/>
        <v>0</v>
      </c>
      <c r="AA142" s="102">
        <f t="shared" si="35"/>
        <v>0</v>
      </c>
      <c r="AB142" s="199" t="str">
        <f t="shared" si="36"/>
        <v/>
      </c>
      <c r="AC142" s="102"/>
    </row>
    <row r="143" spans="3:29">
      <c r="C143" s="59" t="s">
        <v>35</v>
      </c>
      <c r="D143" s="142"/>
      <c r="E143" s="142"/>
      <c r="F143" s="142"/>
      <c r="G143" s="142">
        <f t="shared" si="40"/>
        <v>0</v>
      </c>
      <c r="H143" s="142"/>
      <c r="I143" s="142">
        <f t="shared" si="21"/>
        <v>0</v>
      </c>
      <c r="J143" s="142"/>
      <c r="K143" s="142"/>
      <c r="L143" s="142"/>
      <c r="M143" s="142"/>
      <c r="N143" s="142"/>
      <c r="O143" s="142"/>
      <c r="P143" s="142"/>
      <c r="Q143" s="142"/>
      <c r="R143" s="142"/>
      <c r="S143" s="142"/>
      <c r="T143" s="142">
        <f t="shared" si="22"/>
        <v>0</v>
      </c>
      <c r="U143" s="142"/>
      <c r="V143" s="142"/>
      <c r="W143" s="142"/>
      <c r="X143" s="229">
        <f t="shared" si="43"/>
        <v>0</v>
      </c>
      <c r="Y143" s="142"/>
      <c r="Z143" s="142">
        <f t="shared" si="34"/>
        <v>0</v>
      </c>
      <c r="AA143" s="142">
        <f t="shared" si="35"/>
        <v>0</v>
      </c>
      <c r="AB143" s="198" t="str">
        <f t="shared" si="36"/>
        <v/>
      </c>
      <c r="AC143" s="142"/>
    </row>
    <row r="144" spans="3:29">
      <c r="C144" s="60" t="s">
        <v>14</v>
      </c>
      <c r="D144" s="146">
        <v>130810</v>
      </c>
      <c r="E144" s="146"/>
      <c r="F144" s="146"/>
      <c r="G144" s="146">
        <f t="shared" si="40"/>
        <v>130810</v>
      </c>
      <c r="H144" s="146">
        <v>20190</v>
      </c>
      <c r="I144" s="146">
        <f t="shared" si="21"/>
        <v>151000</v>
      </c>
      <c r="J144" s="146"/>
      <c r="K144" s="146"/>
      <c r="L144" s="146"/>
      <c r="M144" s="146"/>
      <c r="N144" s="146"/>
      <c r="O144" s="146"/>
      <c r="P144" s="146"/>
      <c r="Q144" s="146"/>
      <c r="R144" s="146"/>
      <c r="S144" s="146"/>
      <c r="T144" s="146">
        <f t="shared" si="22"/>
        <v>0</v>
      </c>
      <c r="U144" s="146"/>
      <c r="V144" s="146"/>
      <c r="W144" s="146"/>
      <c r="X144" s="93">
        <f t="shared" si="43"/>
        <v>130810</v>
      </c>
      <c r="Y144" s="146">
        <v>130810</v>
      </c>
      <c r="Z144" s="146">
        <f t="shared" si="34"/>
        <v>0</v>
      </c>
      <c r="AA144" s="146">
        <f t="shared" si="35"/>
        <v>-20190</v>
      </c>
      <c r="AB144" s="197">
        <f t="shared" si="36"/>
        <v>-0.13370860927152317</v>
      </c>
      <c r="AC144" s="146"/>
    </row>
    <row r="145" spans="3:29">
      <c r="C145" s="72"/>
      <c r="D145" s="102"/>
      <c r="E145" s="102"/>
      <c r="F145" s="102"/>
      <c r="G145" s="102">
        <f t="shared" si="40"/>
        <v>0</v>
      </c>
      <c r="H145" s="102"/>
      <c r="I145" s="102">
        <f t="shared" si="21"/>
        <v>0</v>
      </c>
      <c r="J145" s="102"/>
      <c r="K145" s="102"/>
      <c r="L145" s="102"/>
      <c r="M145" s="102"/>
      <c r="N145" s="102"/>
      <c r="O145" s="102"/>
      <c r="P145" s="102"/>
      <c r="Q145" s="102"/>
      <c r="R145" s="102"/>
      <c r="S145" s="102"/>
      <c r="T145" s="102">
        <f t="shared" si="22"/>
        <v>0</v>
      </c>
      <c r="U145" s="102"/>
      <c r="V145" s="102"/>
      <c r="W145" s="102"/>
      <c r="X145" s="240">
        <f t="shared" si="43"/>
        <v>0</v>
      </c>
      <c r="Y145" s="102"/>
      <c r="Z145" s="102">
        <f t="shared" si="34"/>
        <v>0</v>
      </c>
      <c r="AA145" s="102">
        <f t="shared" si="35"/>
        <v>0</v>
      </c>
      <c r="AB145" s="199" t="str">
        <f t="shared" si="36"/>
        <v/>
      </c>
      <c r="AC145" s="102"/>
    </row>
    <row r="146" spans="3:29">
      <c r="C146" s="59" t="s">
        <v>35</v>
      </c>
      <c r="D146" s="142"/>
      <c r="E146" s="142"/>
      <c r="F146" s="142"/>
      <c r="G146" s="142">
        <f t="shared" si="40"/>
        <v>0</v>
      </c>
      <c r="H146" s="142"/>
      <c r="I146" s="142">
        <f t="shared" si="21"/>
        <v>0</v>
      </c>
      <c r="J146" s="142"/>
      <c r="K146" s="142"/>
      <c r="L146" s="142"/>
      <c r="M146" s="142"/>
      <c r="N146" s="142"/>
      <c r="O146" s="142"/>
      <c r="P146" s="142"/>
      <c r="Q146" s="142"/>
      <c r="R146" s="142"/>
      <c r="S146" s="142"/>
      <c r="T146" s="142">
        <f t="shared" si="22"/>
        <v>0</v>
      </c>
      <c r="U146" s="142"/>
      <c r="V146" s="142"/>
      <c r="W146" s="142"/>
      <c r="X146" s="229">
        <f t="shared" si="43"/>
        <v>0</v>
      </c>
      <c r="Y146" s="142"/>
      <c r="Z146" s="142">
        <f t="shared" si="34"/>
        <v>0</v>
      </c>
      <c r="AA146" s="142">
        <f t="shared" si="35"/>
        <v>0</v>
      </c>
      <c r="AB146" s="198" t="str">
        <f t="shared" si="36"/>
        <v/>
      </c>
      <c r="AC146" s="142"/>
    </row>
    <row r="147" spans="3:29">
      <c r="C147" s="60" t="s">
        <v>15</v>
      </c>
      <c r="D147" s="146">
        <v>155050</v>
      </c>
      <c r="E147" s="146"/>
      <c r="F147" s="146"/>
      <c r="G147" s="146">
        <f t="shared" si="40"/>
        <v>155050</v>
      </c>
      <c r="H147" s="146"/>
      <c r="I147" s="146">
        <f t="shared" si="21"/>
        <v>155050</v>
      </c>
      <c r="J147" s="146"/>
      <c r="K147" s="146"/>
      <c r="L147" s="146"/>
      <c r="M147" s="146"/>
      <c r="N147" s="146"/>
      <c r="O147" s="146"/>
      <c r="P147" s="146"/>
      <c r="Q147" s="146"/>
      <c r="R147" s="146"/>
      <c r="S147" s="146"/>
      <c r="T147" s="146">
        <f t="shared" si="22"/>
        <v>0</v>
      </c>
      <c r="U147" s="146"/>
      <c r="V147" s="146"/>
      <c r="W147" s="146"/>
      <c r="X147" s="93">
        <f t="shared" si="43"/>
        <v>155050</v>
      </c>
      <c r="Y147" s="146">
        <v>155050</v>
      </c>
      <c r="Z147" s="146">
        <f t="shared" si="34"/>
        <v>0</v>
      </c>
      <c r="AA147" s="146">
        <f t="shared" si="35"/>
        <v>0</v>
      </c>
      <c r="AB147" s="197">
        <f t="shared" si="36"/>
        <v>0</v>
      </c>
      <c r="AC147" s="146"/>
    </row>
    <row r="148" spans="3:29">
      <c r="C148" s="62"/>
      <c r="D148" s="132"/>
      <c r="E148" s="132"/>
      <c r="F148" s="132"/>
      <c r="G148" s="132">
        <f t="shared" si="40"/>
        <v>0</v>
      </c>
      <c r="H148" s="132"/>
      <c r="I148" s="132">
        <f t="shared" si="21"/>
        <v>0</v>
      </c>
      <c r="J148" s="132"/>
      <c r="K148" s="132"/>
      <c r="L148" s="132"/>
      <c r="M148" s="132"/>
      <c r="N148" s="132"/>
      <c r="O148" s="132"/>
      <c r="P148" s="132"/>
      <c r="Q148" s="132"/>
      <c r="R148" s="132"/>
      <c r="S148" s="132"/>
      <c r="T148" s="132">
        <f t="shared" si="22"/>
        <v>0</v>
      </c>
      <c r="U148" s="132"/>
      <c r="V148" s="132"/>
      <c r="W148" s="132"/>
      <c r="X148" s="96">
        <f t="shared" si="43"/>
        <v>0</v>
      </c>
      <c r="Y148" s="132"/>
      <c r="Z148" s="132">
        <f t="shared" si="34"/>
        <v>0</v>
      </c>
      <c r="AA148" s="132">
        <f t="shared" si="35"/>
        <v>0</v>
      </c>
      <c r="AB148" s="157" t="str">
        <f t="shared" si="36"/>
        <v/>
      </c>
      <c r="AC148" s="132"/>
    </row>
    <row r="149" spans="3:29">
      <c r="C149" s="59" t="s">
        <v>35</v>
      </c>
      <c r="D149" s="142"/>
      <c r="E149" s="142"/>
      <c r="F149" s="142"/>
      <c r="G149" s="142">
        <f t="shared" si="40"/>
        <v>0</v>
      </c>
      <c r="H149" s="142"/>
      <c r="I149" s="142">
        <f t="shared" si="21"/>
        <v>0</v>
      </c>
      <c r="J149" s="142"/>
      <c r="K149" s="142"/>
      <c r="L149" s="142"/>
      <c r="M149" s="142"/>
      <c r="N149" s="142"/>
      <c r="O149" s="142"/>
      <c r="P149" s="142"/>
      <c r="Q149" s="142"/>
      <c r="R149" s="142"/>
      <c r="S149" s="142"/>
      <c r="T149" s="142">
        <f t="shared" si="22"/>
        <v>0</v>
      </c>
      <c r="U149" s="142"/>
      <c r="V149" s="142"/>
      <c r="W149" s="142"/>
      <c r="X149" s="229">
        <f t="shared" si="43"/>
        <v>0</v>
      </c>
      <c r="Y149" s="142"/>
      <c r="Z149" s="142">
        <f t="shared" si="34"/>
        <v>0</v>
      </c>
      <c r="AA149" s="142">
        <f t="shared" si="35"/>
        <v>0</v>
      </c>
      <c r="AB149" s="198" t="str">
        <f t="shared" si="36"/>
        <v/>
      </c>
      <c r="AC149" s="142"/>
    </row>
    <row r="150" spans="3:29">
      <c r="C150" s="60" t="s">
        <v>16</v>
      </c>
      <c r="D150" s="146">
        <v>13000</v>
      </c>
      <c r="E150" s="146"/>
      <c r="F150" s="146"/>
      <c r="G150" s="146">
        <f t="shared" si="40"/>
        <v>13000</v>
      </c>
      <c r="H150" s="146"/>
      <c r="I150" s="146">
        <f t="shared" si="21"/>
        <v>13000</v>
      </c>
      <c r="J150" s="146"/>
      <c r="K150" s="146"/>
      <c r="L150" s="146"/>
      <c r="M150" s="146"/>
      <c r="N150" s="146"/>
      <c r="O150" s="146"/>
      <c r="P150" s="146"/>
      <c r="Q150" s="146"/>
      <c r="R150" s="146"/>
      <c r="S150" s="146"/>
      <c r="T150" s="146">
        <f t="shared" si="22"/>
        <v>0</v>
      </c>
      <c r="U150" s="146"/>
      <c r="V150" s="146"/>
      <c r="W150" s="146"/>
      <c r="X150" s="93">
        <f t="shared" si="43"/>
        <v>13000</v>
      </c>
      <c r="Y150" s="146">
        <v>13000</v>
      </c>
      <c r="Z150" s="146">
        <f t="shared" si="34"/>
        <v>0</v>
      </c>
      <c r="AA150" s="146">
        <f t="shared" si="35"/>
        <v>0</v>
      </c>
      <c r="AB150" s="197">
        <f t="shared" si="36"/>
        <v>0</v>
      </c>
      <c r="AC150" s="146"/>
    </row>
    <row r="151" spans="3:29">
      <c r="C151" s="62"/>
      <c r="D151" s="132"/>
      <c r="E151" s="132"/>
      <c r="F151" s="132"/>
      <c r="G151" s="132">
        <f t="shared" si="40"/>
        <v>0</v>
      </c>
      <c r="H151" s="132"/>
      <c r="I151" s="132">
        <f t="shared" si="21"/>
        <v>0</v>
      </c>
      <c r="J151" s="132"/>
      <c r="K151" s="132"/>
      <c r="L151" s="132"/>
      <c r="M151" s="132"/>
      <c r="N151" s="132"/>
      <c r="O151" s="132"/>
      <c r="P151" s="132"/>
      <c r="Q151" s="132"/>
      <c r="R151" s="132"/>
      <c r="S151" s="132"/>
      <c r="T151" s="132">
        <f t="shared" si="22"/>
        <v>0</v>
      </c>
      <c r="U151" s="132"/>
      <c r="V151" s="132"/>
      <c r="W151" s="132"/>
      <c r="X151" s="96">
        <f t="shared" si="43"/>
        <v>0</v>
      </c>
      <c r="Y151" s="132"/>
      <c r="Z151" s="132">
        <f t="shared" si="34"/>
        <v>0</v>
      </c>
      <c r="AA151" s="132">
        <f t="shared" si="35"/>
        <v>0</v>
      </c>
      <c r="AB151" s="157" t="str">
        <f t="shared" si="36"/>
        <v/>
      </c>
      <c r="AC151" s="132"/>
    </row>
    <row r="152" spans="3:29">
      <c r="C152" s="59" t="s">
        <v>35</v>
      </c>
      <c r="D152" s="142"/>
      <c r="E152" s="142"/>
      <c r="F152" s="142"/>
      <c r="G152" s="142">
        <f t="shared" si="40"/>
        <v>0</v>
      </c>
      <c r="H152" s="142"/>
      <c r="I152" s="142">
        <f t="shared" si="21"/>
        <v>0</v>
      </c>
      <c r="J152" s="142"/>
      <c r="K152" s="142"/>
      <c r="L152" s="142"/>
      <c r="M152" s="142"/>
      <c r="N152" s="142"/>
      <c r="O152" s="142"/>
      <c r="P152" s="142"/>
      <c r="Q152" s="142"/>
      <c r="R152" s="142"/>
      <c r="S152" s="142"/>
      <c r="T152" s="142">
        <f t="shared" si="22"/>
        <v>0</v>
      </c>
      <c r="U152" s="142"/>
      <c r="V152" s="142"/>
      <c r="W152" s="142"/>
      <c r="X152" s="229">
        <f t="shared" si="43"/>
        <v>0</v>
      </c>
      <c r="Y152" s="142"/>
      <c r="Z152" s="142">
        <f t="shared" si="34"/>
        <v>0</v>
      </c>
      <c r="AA152" s="142">
        <f t="shared" si="35"/>
        <v>0</v>
      </c>
      <c r="AB152" s="198" t="str">
        <f t="shared" si="36"/>
        <v/>
      </c>
      <c r="AC152" s="142"/>
    </row>
    <row r="153" spans="3:29">
      <c r="C153" s="60" t="s">
        <v>17</v>
      </c>
      <c r="D153" s="146">
        <f>D154+D155</f>
        <v>91750</v>
      </c>
      <c r="E153" s="146">
        <f>E154+E155</f>
        <v>0</v>
      </c>
      <c r="F153" s="146">
        <f t="shared" ref="F153:V153" si="44">F154+F155</f>
        <v>0</v>
      </c>
      <c r="G153" s="146">
        <f t="shared" si="40"/>
        <v>91750</v>
      </c>
      <c r="H153" s="146"/>
      <c r="I153" s="146">
        <f t="shared" si="21"/>
        <v>91750</v>
      </c>
      <c r="J153" s="146">
        <f t="shared" si="44"/>
        <v>0</v>
      </c>
      <c r="K153" s="146">
        <f t="shared" si="44"/>
        <v>0</v>
      </c>
      <c r="L153" s="146">
        <f t="shared" ref="L153:S153" si="45">L154+L155</f>
        <v>0</v>
      </c>
      <c r="M153" s="146">
        <f t="shared" si="45"/>
        <v>0</v>
      </c>
      <c r="N153" s="146"/>
      <c r="O153" s="146">
        <f t="shared" si="45"/>
        <v>0</v>
      </c>
      <c r="P153" s="146">
        <f t="shared" si="45"/>
        <v>0</v>
      </c>
      <c r="Q153" s="146">
        <f t="shared" si="45"/>
        <v>0</v>
      </c>
      <c r="R153" s="146"/>
      <c r="S153" s="146">
        <f t="shared" si="45"/>
        <v>0</v>
      </c>
      <c r="T153" s="146">
        <f t="shared" si="22"/>
        <v>0</v>
      </c>
      <c r="U153" s="146">
        <f t="shared" si="44"/>
        <v>0</v>
      </c>
      <c r="V153" s="146">
        <f t="shared" si="44"/>
        <v>0</v>
      </c>
      <c r="W153" s="146"/>
      <c r="X153" s="93">
        <f t="shared" si="43"/>
        <v>91750</v>
      </c>
      <c r="Y153" s="146">
        <f>Y154+Y155</f>
        <v>91750</v>
      </c>
      <c r="Z153" s="146">
        <f t="shared" si="34"/>
        <v>0</v>
      </c>
      <c r="AA153" s="146">
        <f t="shared" si="35"/>
        <v>0</v>
      </c>
      <c r="AB153" s="197">
        <f t="shared" si="36"/>
        <v>0</v>
      </c>
      <c r="AC153" s="146"/>
    </row>
    <row r="154" spans="3:29">
      <c r="C154" s="74" t="s">
        <v>96</v>
      </c>
      <c r="D154" s="131">
        <v>48150</v>
      </c>
      <c r="E154" s="131"/>
      <c r="F154" s="131"/>
      <c r="G154" s="131">
        <f t="shared" si="40"/>
        <v>48150</v>
      </c>
      <c r="H154" s="131"/>
      <c r="I154" s="131">
        <f t="shared" ref="I154:I216" si="46">D154+H154</f>
        <v>48150</v>
      </c>
      <c r="J154" s="131"/>
      <c r="K154" s="131"/>
      <c r="L154" s="131"/>
      <c r="M154" s="131"/>
      <c r="N154" s="131"/>
      <c r="O154" s="131"/>
      <c r="P154" s="131"/>
      <c r="Q154" s="131"/>
      <c r="R154" s="131"/>
      <c r="S154" s="131"/>
      <c r="T154" s="131">
        <f t="shared" si="22"/>
        <v>0</v>
      </c>
      <c r="U154" s="131"/>
      <c r="V154" s="131"/>
      <c r="W154" s="131"/>
      <c r="X154" s="233">
        <f t="shared" si="43"/>
        <v>48150</v>
      </c>
      <c r="Y154" s="131">
        <v>48150</v>
      </c>
      <c r="Z154" s="131">
        <f t="shared" si="34"/>
        <v>0</v>
      </c>
      <c r="AA154" s="131">
        <f t="shared" si="35"/>
        <v>0</v>
      </c>
      <c r="AB154" s="206">
        <f t="shared" si="36"/>
        <v>0</v>
      </c>
      <c r="AC154" s="131"/>
    </row>
    <row r="155" spans="3:29">
      <c r="C155" s="75" t="s">
        <v>102</v>
      </c>
      <c r="D155" s="131">
        <f>33600+10000</f>
        <v>43600</v>
      </c>
      <c r="E155" s="131"/>
      <c r="F155" s="131"/>
      <c r="G155" s="131">
        <f t="shared" si="40"/>
        <v>43600</v>
      </c>
      <c r="H155" s="131"/>
      <c r="I155" s="131">
        <f t="shared" si="46"/>
        <v>43600</v>
      </c>
      <c r="J155" s="131"/>
      <c r="K155" s="131"/>
      <c r="L155" s="131"/>
      <c r="M155" s="131"/>
      <c r="N155" s="131"/>
      <c r="O155" s="131"/>
      <c r="P155" s="131"/>
      <c r="Q155" s="131"/>
      <c r="R155" s="131"/>
      <c r="S155" s="131"/>
      <c r="T155" s="131">
        <f t="shared" si="22"/>
        <v>0</v>
      </c>
      <c r="U155" s="131"/>
      <c r="V155" s="131"/>
      <c r="W155" s="131"/>
      <c r="X155" s="233">
        <f t="shared" si="43"/>
        <v>43600</v>
      </c>
      <c r="Y155" s="131">
        <f>33600+10000</f>
        <v>43600</v>
      </c>
      <c r="Z155" s="131">
        <f t="shared" si="34"/>
        <v>0</v>
      </c>
      <c r="AA155" s="131">
        <f t="shared" si="35"/>
        <v>0</v>
      </c>
      <c r="AB155" s="206">
        <f t="shared" si="36"/>
        <v>0</v>
      </c>
      <c r="AC155" s="131"/>
    </row>
    <row r="156" spans="3:29">
      <c r="C156" s="68"/>
      <c r="D156" s="147"/>
      <c r="E156" s="147"/>
      <c r="F156" s="147"/>
      <c r="G156" s="147">
        <f t="shared" si="40"/>
        <v>0</v>
      </c>
      <c r="H156" s="147"/>
      <c r="I156" s="147">
        <f t="shared" si="46"/>
        <v>0</v>
      </c>
      <c r="J156" s="147"/>
      <c r="K156" s="147"/>
      <c r="L156" s="147"/>
      <c r="M156" s="147"/>
      <c r="N156" s="147"/>
      <c r="O156" s="147"/>
      <c r="P156" s="147"/>
      <c r="Q156" s="147"/>
      <c r="R156" s="147"/>
      <c r="S156" s="147"/>
      <c r="T156" s="147">
        <f t="shared" si="22"/>
        <v>0</v>
      </c>
      <c r="U156" s="147"/>
      <c r="V156" s="147"/>
      <c r="W156" s="147"/>
      <c r="X156" s="232">
        <f t="shared" si="43"/>
        <v>0</v>
      </c>
      <c r="Y156" s="147"/>
      <c r="Z156" s="147">
        <f t="shared" si="34"/>
        <v>0</v>
      </c>
      <c r="AA156" s="218">
        <f t="shared" si="35"/>
        <v>0</v>
      </c>
      <c r="AB156" s="205" t="str">
        <f t="shared" si="36"/>
        <v/>
      </c>
      <c r="AC156" s="147"/>
    </row>
    <row r="157" spans="3:29">
      <c r="C157" s="59" t="s">
        <v>35</v>
      </c>
      <c r="D157" s="142"/>
      <c r="E157" s="142"/>
      <c r="F157" s="142"/>
      <c r="G157" s="142">
        <f t="shared" si="40"/>
        <v>0</v>
      </c>
      <c r="H157" s="142"/>
      <c r="I157" s="142">
        <f t="shared" si="46"/>
        <v>0</v>
      </c>
      <c r="J157" s="142"/>
      <c r="K157" s="142"/>
      <c r="L157" s="142"/>
      <c r="M157" s="142"/>
      <c r="N157" s="142"/>
      <c r="O157" s="142"/>
      <c r="P157" s="142"/>
      <c r="Q157" s="142"/>
      <c r="R157" s="142"/>
      <c r="S157" s="142"/>
      <c r="T157" s="142">
        <f t="shared" si="22"/>
        <v>0</v>
      </c>
      <c r="U157" s="142"/>
      <c r="V157" s="142"/>
      <c r="W157" s="142"/>
      <c r="X157" s="229">
        <f t="shared" si="43"/>
        <v>0</v>
      </c>
      <c r="Y157" s="142"/>
      <c r="Z157" s="142">
        <f t="shared" si="34"/>
        <v>0</v>
      </c>
      <c r="AA157" s="142">
        <f t="shared" si="35"/>
        <v>0</v>
      </c>
      <c r="AB157" s="198" t="str">
        <f t="shared" si="36"/>
        <v/>
      </c>
      <c r="AC157" s="142"/>
    </row>
    <row r="158" spans="3:29">
      <c r="C158" s="60" t="s">
        <v>45</v>
      </c>
      <c r="D158" s="146">
        <v>14170</v>
      </c>
      <c r="E158" s="146"/>
      <c r="F158" s="146"/>
      <c r="G158" s="146">
        <f t="shared" si="40"/>
        <v>14170</v>
      </c>
      <c r="H158" s="146"/>
      <c r="I158" s="146">
        <f t="shared" si="46"/>
        <v>14170</v>
      </c>
      <c r="J158" s="146"/>
      <c r="K158" s="146"/>
      <c r="L158" s="146"/>
      <c r="M158" s="146"/>
      <c r="N158" s="146"/>
      <c r="O158" s="146"/>
      <c r="P158" s="146"/>
      <c r="Q158" s="146"/>
      <c r="R158" s="146"/>
      <c r="S158" s="146"/>
      <c r="T158" s="146">
        <f t="shared" si="22"/>
        <v>0</v>
      </c>
      <c r="U158" s="146"/>
      <c r="V158" s="146"/>
      <c r="W158" s="146"/>
      <c r="X158" s="93">
        <f t="shared" si="43"/>
        <v>14170</v>
      </c>
      <c r="Y158" s="146">
        <v>14170</v>
      </c>
      <c r="Z158" s="146">
        <f t="shared" si="34"/>
        <v>0</v>
      </c>
      <c r="AA158" s="146">
        <f t="shared" si="35"/>
        <v>0</v>
      </c>
      <c r="AB158" s="197">
        <f t="shared" si="36"/>
        <v>0</v>
      </c>
      <c r="AC158" s="146"/>
    </row>
    <row r="159" spans="3:29">
      <c r="C159" s="72"/>
      <c r="D159" s="102"/>
      <c r="E159" s="102"/>
      <c r="F159" s="102"/>
      <c r="G159" s="102">
        <f t="shared" si="40"/>
        <v>0</v>
      </c>
      <c r="H159" s="102"/>
      <c r="I159" s="102">
        <f t="shared" si="46"/>
        <v>0</v>
      </c>
      <c r="J159" s="102"/>
      <c r="K159" s="102"/>
      <c r="L159" s="102"/>
      <c r="M159" s="102"/>
      <c r="N159" s="102"/>
      <c r="O159" s="102"/>
      <c r="P159" s="102"/>
      <c r="Q159" s="102"/>
      <c r="R159" s="102"/>
      <c r="S159" s="102"/>
      <c r="T159" s="102">
        <f t="shared" ref="T159:T243" si="47">SUM(J159:S159)</f>
        <v>0</v>
      </c>
      <c r="U159" s="102"/>
      <c r="V159" s="102"/>
      <c r="W159" s="102"/>
      <c r="X159" s="240">
        <f t="shared" si="43"/>
        <v>0</v>
      </c>
      <c r="Y159" s="102"/>
      <c r="Z159" s="102">
        <f t="shared" si="34"/>
        <v>0</v>
      </c>
      <c r="AA159" s="102">
        <f t="shared" si="35"/>
        <v>0</v>
      </c>
      <c r="AB159" s="199" t="str">
        <f t="shared" si="36"/>
        <v/>
      </c>
      <c r="AC159" s="102"/>
    </row>
    <row r="160" spans="3:29">
      <c r="C160" s="59" t="s">
        <v>35</v>
      </c>
      <c r="D160" s="142"/>
      <c r="E160" s="142"/>
      <c r="F160" s="142"/>
      <c r="G160" s="142">
        <f t="shared" si="40"/>
        <v>0</v>
      </c>
      <c r="H160" s="142"/>
      <c r="I160" s="142">
        <f t="shared" si="46"/>
        <v>0</v>
      </c>
      <c r="J160" s="142"/>
      <c r="K160" s="142"/>
      <c r="L160" s="142"/>
      <c r="M160" s="142"/>
      <c r="N160" s="142"/>
      <c r="O160" s="142"/>
      <c r="P160" s="142"/>
      <c r="Q160" s="142"/>
      <c r="R160" s="142"/>
      <c r="S160" s="142"/>
      <c r="T160" s="142">
        <f t="shared" si="47"/>
        <v>0</v>
      </c>
      <c r="U160" s="142"/>
      <c r="V160" s="142"/>
      <c r="W160" s="142"/>
      <c r="X160" s="229">
        <f t="shared" si="43"/>
        <v>0</v>
      </c>
      <c r="Y160" s="142"/>
      <c r="Z160" s="142">
        <f t="shared" si="34"/>
        <v>0</v>
      </c>
      <c r="AA160" s="142">
        <f t="shared" si="35"/>
        <v>0</v>
      </c>
      <c r="AB160" s="198" t="str">
        <f t="shared" si="36"/>
        <v/>
      </c>
      <c r="AC160" s="142"/>
    </row>
    <row r="161" spans="1:29">
      <c r="C161" s="60" t="s">
        <v>18</v>
      </c>
      <c r="D161" s="146">
        <v>40000</v>
      </c>
      <c r="E161" s="146"/>
      <c r="F161" s="146"/>
      <c r="G161" s="146">
        <f t="shared" si="40"/>
        <v>40000</v>
      </c>
      <c r="H161" s="146"/>
      <c r="I161" s="146">
        <f t="shared" si="46"/>
        <v>40000</v>
      </c>
      <c r="J161" s="146"/>
      <c r="K161" s="146"/>
      <c r="L161" s="146"/>
      <c r="M161" s="146"/>
      <c r="N161" s="146"/>
      <c r="O161" s="146"/>
      <c r="P161" s="146"/>
      <c r="Q161" s="146"/>
      <c r="R161" s="146"/>
      <c r="S161" s="146"/>
      <c r="T161" s="146">
        <f t="shared" si="47"/>
        <v>0</v>
      </c>
      <c r="U161" s="146"/>
      <c r="V161" s="146"/>
      <c r="W161" s="146"/>
      <c r="X161" s="93">
        <f t="shared" si="43"/>
        <v>40000</v>
      </c>
      <c r="Y161" s="146">
        <v>40000</v>
      </c>
      <c r="Z161" s="146">
        <f t="shared" si="34"/>
        <v>0</v>
      </c>
      <c r="AA161" s="146">
        <f t="shared" si="35"/>
        <v>0</v>
      </c>
      <c r="AB161" s="197">
        <f t="shared" si="36"/>
        <v>0</v>
      </c>
      <c r="AC161" s="146"/>
    </row>
    <row r="162" spans="1:29">
      <c r="C162" s="73"/>
      <c r="D162" s="149"/>
      <c r="E162" s="149"/>
      <c r="F162" s="149"/>
      <c r="G162" s="149">
        <f t="shared" si="40"/>
        <v>0</v>
      </c>
      <c r="H162" s="149"/>
      <c r="I162" s="149">
        <f t="shared" si="46"/>
        <v>0</v>
      </c>
      <c r="J162" s="149"/>
      <c r="K162" s="149"/>
      <c r="L162" s="149"/>
      <c r="M162" s="149"/>
      <c r="N162" s="149"/>
      <c r="O162" s="149"/>
      <c r="P162" s="149"/>
      <c r="Q162" s="149"/>
      <c r="R162" s="149"/>
      <c r="S162" s="149"/>
      <c r="T162" s="149">
        <f t="shared" si="47"/>
        <v>0</v>
      </c>
      <c r="U162" s="149"/>
      <c r="V162" s="149"/>
      <c r="W162" s="149"/>
      <c r="X162" s="241">
        <f t="shared" si="43"/>
        <v>0</v>
      </c>
      <c r="Y162" s="149"/>
      <c r="Z162" s="149">
        <f t="shared" si="34"/>
        <v>0</v>
      </c>
      <c r="AA162" s="220">
        <f t="shared" si="35"/>
        <v>0</v>
      </c>
      <c r="AB162" s="209" t="str">
        <f t="shared" si="36"/>
        <v/>
      </c>
      <c r="AC162" s="149"/>
    </row>
    <row r="163" spans="1:29">
      <c r="C163" s="59" t="s">
        <v>35</v>
      </c>
      <c r="D163" s="142"/>
      <c r="E163" s="142"/>
      <c r="F163" s="142"/>
      <c r="G163" s="142">
        <f t="shared" si="40"/>
        <v>0</v>
      </c>
      <c r="H163" s="142"/>
      <c r="I163" s="142">
        <f t="shared" si="46"/>
        <v>0</v>
      </c>
      <c r="J163" s="142"/>
      <c r="K163" s="142"/>
      <c r="L163" s="142"/>
      <c r="M163" s="142"/>
      <c r="N163" s="142"/>
      <c r="O163" s="142"/>
      <c r="P163" s="142"/>
      <c r="Q163" s="142"/>
      <c r="R163" s="142"/>
      <c r="S163" s="142"/>
      <c r="T163" s="142">
        <f t="shared" si="47"/>
        <v>0</v>
      </c>
      <c r="U163" s="142"/>
      <c r="V163" s="142"/>
      <c r="W163" s="142"/>
      <c r="X163" s="229">
        <f t="shared" si="43"/>
        <v>0</v>
      </c>
      <c r="Y163" s="142"/>
      <c r="Z163" s="142">
        <f t="shared" si="34"/>
        <v>0</v>
      </c>
      <c r="AA163" s="142">
        <f t="shared" si="35"/>
        <v>0</v>
      </c>
      <c r="AB163" s="198" t="str">
        <f t="shared" si="36"/>
        <v/>
      </c>
      <c r="AC163" s="142"/>
    </row>
    <row r="164" spans="1:29" ht="24">
      <c r="C164" s="60" t="s">
        <v>135</v>
      </c>
      <c r="D164" s="146">
        <v>740490</v>
      </c>
      <c r="E164" s="146"/>
      <c r="F164" s="146"/>
      <c r="G164" s="146">
        <f t="shared" si="40"/>
        <v>740490</v>
      </c>
      <c r="H164" s="146">
        <v>21420</v>
      </c>
      <c r="I164" s="146">
        <f t="shared" si="46"/>
        <v>761910</v>
      </c>
      <c r="J164" s="146"/>
      <c r="K164" s="146">
        <v>675</v>
      </c>
      <c r="L164" s="146"/>
      <c r="M164" s="146"/>
      <c r="N164" s="146"/>
      <c r="O164" s="146"/>
      <c r="P164" s="146">
        <f>20745+6915</f>
        <v>27660</v>
      </c>
      <c r="Q164" s="146"/>
      <c r="R164" s="146"/>
      <c r="S164" s="146"/>
      <c r="T164" s="146">
        <f t="shared" si="47"/>
        <v>28335</v>
      </c>
      <c r="U164" s="146"/>
      <c r="V164" s="146"/>
      <c r="W164" s="146">
        <v>5</v>
      </c>
      <c r="X164" s="93">
        <f t="shared" si="43"/>
        <v>768830</v>
      </c>
      <c r="Y164" s="146">
        <v>768830</v>
      </c>
      <c r="Z164" s="146">
        <f t="shared" si="34"/>
        <v>0</v>
      </c>
      <c r="AA164" s="146">
        <f t="shared" si="35"/>
        <v>6920</v>
      </c>
      <c r="AB164" s="197">
        <f t="shared" si="36"/>
        <v>9.0824375582417866E-3</v>
      </c>
      <c r="AC164" s="146"/>
    </row>
    <row r="165" spans="1:29">
      <c r="C165" s="57" t="s">
        <v>34</v>
      </c>
      <c r="D165" s="138">
        <v>495143</v>
      </c>
      <c r="E165" s="138"/>
      <c r="F165" s="138"/>
      <c r="G165" s="138">
        <f t="shared" si="40"/>
        <v>495143</v>
      </c>
      <c r="H165" s="138">
        <v>15504</v>
      </c>
      <c r="I165" s="138">
        <f t="shared" si="46"/>
        <v>510647</v>
      </c>
      <c r="J165" s="138"/>
      <c r="K165" s="138"/>
      <c r="L165" s="138"/>
      <c r="M165" s="138"/>
      <c r="N165" s="138"/>
      <c r="O165" s="138"/>
      <c r="P165" s="138">
        <f>15504+5168</f>
        <v>20672</v>
      </c>
      <c r="Q165" s="138"/>
      <c r="R165" s="138"/>
      <c r="S165" s="138"/>
      <c r="T165" s="138">
        <f t="shared" si="47"/>
        <v>20672</v>
      </c>
      <c r="U165" s="138"/>
      <c r="V165" s="138"/>
      <c r="W165" s="138"/>
      <c r="X165" s="139">
        <f t="shared" si="43"/>
        <v>515815</v>
      </c>
      <c r="Y165" s="138">
        <v>515815</v>
      </c>
      <c r="Z165" s="138">
        <f t="shared" si="34"/>
        <v>0</v>
      </c>
      <c r="AA165" s="138">
        <f t="shared" si="35"/>
        <v>5168</v>
      </c>
      <c r="AB165" s="193">
        <f t="shared" si="36"/>
        <v>1.0120494196578067E-2</v>
      </c>
      <c r="AC165" s="138"/>
    </row>
    <row r="166" spans="1:29" s="130" customFormat="1">
      <c r="C166" s="57"/>
      <c r="D166" s="138"/>
      <c r="E166" s="138"/>
      <c r="F166" s="138"/>
      <c r="G166" s="138"/>
      <c r="H166" s="138"/>
      <c r="I166" s="138">
        <f t="shared" si="46"/>
        <v>0</v>
      </c>
      <c r="J166" s="138"/>
      <c r="K166" s="138"/>
      <c r="L166" s="138"/>
      <c r="M166" s="138"/>
      <c r="N166" s="138"/>
      <c r="O166" s="138"/>
      <c r="P166" s="138"/>
      <c r="Q166" s="138"/>
      <c r="R166" s="138"/>
      <c r="S166" s="138"/>
      <c r="T166" s="138"/>
      <c r="U166" s="138"/>
      <c r="V166" s="138"/>
      <c r="W166" s="138"/>
      <c r="X166" s="139">
        <f t="shared" si="43"/>
        <v>0</v>
      </c>
      <c r="Y166" s="138"/>
      <c r="Z166" s="138">
        <f t="shared" si="34"/>
        <v>0</v>
      </c>
      <c r="AA166" s="138">
        <f t="shared" si="35"/>
        <v>0</v>
      </c>
      <c r="AB166" s="193" t="str">
        <f t="shared" si="36"/>
        <v/>
      </c>
      <c r="AC166" s="138"/>
    </row>
    <row r="167" spans="1:29" s="130" customFormat="1">
      <c r="C167" s="59" t="s">
        <v>35</v>
      </c>
      <c r="D167" s="138"/>
      <c r="E167" s="138"/>
      <c r="F167" s="138"/>
      <c r="G167" s="138"/>
      <c r="H167" s="138"/>
      <c r="I167" s="138">
        <f t="shared" si="46"/>
        <v>0</v>
      </c>
      <c r="J167" s="138"/>
      <c r="K167" s="138"/>
      <c r="L167" s="138"/>
      <c r="M167" s="138"/>
      <c r="N167" s="138"/>
      <c r="O167" s="138"/>
      <c r="P167" s="138"/>
      <c r="Q167" s="138"/>
      <c r="R167" s="138"/>
      <c r="S167" s="138"/>
      <c r="T167" s="138"/>
      <c r="U167" s="138"/>
      <c r="V167" s="138"/>
      <c r="W167" s="138"/>
      <c r="X167" s="139">
        <f t="shared" si="43"/>
        <v>0</v>
      </c>
      <c r="Y167" s="138"/>
      <c r="Z167" s="138">
        <f t="shared" si="34"/>
        <v>0</v>
      </c>
      <c r="AA167" s="138">
        <f t="shared" si="35"/>
        <v>0</v>
      </c>
      <c r="AB167" s="193" t="str">
        <f t="shared" si="36"/>
        <v/>
      </c>
      <c r="AC167" s="138"/>
    </row>
    <row r="168" spans="1:29" s="130" customFormat="1">
      <c r="C168" s="60" t="s">
        <v>201</v>
      </c>
      <c r="D168" s="138"/>
      <c r="E168" s="138"/>
      <c r="F168" s="138"/>
      <c r="G168" s="138"/>
      <c r="H168" s="217">
        <v>9000</v>
      </c>
      <c r="I168" s="138">
        <f t="shared" si="46"/>
        <v>9000</v>
      </c>
      <c r="J168" s="138"/>
      <c r="K168" s="138"/>
      <c r="L168" s="138"/>
      <c r="M168" s="138"/>
      <c r="N168" s="138"/>
      <c r="O168" s="138"/>
      <c r="P168" s="138"/>
      <c r="Q168" s="138"/>
      <c r="R168" s="138"/>
      <c r="S168" s="138"/>
      <c r="T168" s="138"/>
      <c r="U168" s="138"/>
      <c r="V168" s="138"/>
      <c r="W168" s="138"/>
      <c r="X168" s="139">
        <f t="shared" si="43"/>
        <v>0</v>
      </c>
      <c r="Y168" s="138"/>
      <c r="Z168" s="138">
        <f t="shared" si="34"/>
        <v>0</v>
      </c>
      <c r="AA168" s="138">
        <f t="shared" si="35"/>
        <v>-9000</v>
      </c>
      <c r="AB168" s="193">
        <f t="shared" si="36"/>
        <v>-1</v>
      </c>
      <c r="AC168" s="138"/>
    </row>
    <row r="169" spans="1:29">
      <c r="C169" s="73"/>
      <c r="D169" s="149"/>
      <c r="E169" s="149"/>
      <c r="F169" s="149"/>
      <c r="G169" s="149">
        <f t="shared" si="40"/>
        <v>0</v>
      </c>
      <c r="H169" s="149"/>
      <c r="I169" s="149">
        <f t="shared" si="46"/>
        <v>0</v>
      </c>
      <c r="J169" s="149"/>
      <c r="K169" s="149"/>
      <c r="L169" s="149"/>
      <c r="M169" s="149"/>
      <c r="N169" s="149"/>
      <c r="O169" s="149"/>
      <c r="P169" s="149"/>
      <c r="Q169" s="149"/>
      <c r="R169" s="149"/>
      <c r="S169" s="149"/>
      <c r="T169" s="149">
        <f t="shared" si="47"/>
        <v>0</v>
      </c>
      <c r="U169" s="149"/>
      <c r="V169" s="149"/>
      <c r="W169" s="149"/>
      <c r="X169" s="241">
        <f t="shared" si="43"/>
        <v>0</v>
      </c>
      <c r="Y169" s="149"/>
      <c r="Z169" s="149">
        <f t="shared" si="34"/>
        <v>0</v>
      </c>
      <c r="AA169" s="220">
        <f t="shared" si="35"/>
        <v>0</v>
      </c>
      <c r="AB169" s="209" t="str">
        <f t="shared" si="36"/>
        <v/>
      </c>
      <c r="AC169" s="149"/>
    </row>
    <row r="170" spans="1:29">
      <c r="C170" s="16" t="s">
        <v>33</v>
      </c>
      <c r="D170" s="142">
        <f>D172+D221</f>
        <v>17640625</v>
      </c>
      <c r="E170" s="142">
        <f t="shared" ref="E170:V170" si="48">E172+E221</f>
        <v>0</v>
      </c>
      <c r="F170" s="142">
        <f t="shared" si="48"/>
        <v>400357</v>
      </c>
      <c r="G170" s="142">
        <f t="shared" si="40"/>
        <v>17240268</v>
      </c>
      <c r="H170" s="142">
        <f>H172+H221</f>
        <v>8103147</v>
      </c>
      <c r="I170" s="142">
        <f t="shared" si="46"/>
        <v>25743772</v>
      </c>
      <c r="J170" s="142">
        <f t="shared" si="48"/>
        <v>-40000</v>
      </c>
      <c r="K170" s="142">
        <f t="shared" si="48"/>
        <v>2661920</v>
      </c>
      <c r="L170" s="142">
        <f t="shared" ref="L170:S170" si="49">L172+L221</f>
        <v>0</v>
      </c>
      <c r="M170" s="142">
        <f t="shared" si="49"/>
        <v>0</v>
      </c>
      <c r="N170" s="142"/>
      <c r="O170" s="142">
        <f t="shared" si="49"/>
        <v>2782</v>
      </c>
      <c r="P170" s="142">
        <f t="shared" si="49"/>
        <v>-254507</v>
      </c>
      <c r="Q170" s="142">
        <f t="shared" si="49"/>
        <v>0</v>
      </c>
      <c r="R170" s="142"/>
      <c r="S170" s="142">
        <f t="shared" si="49"/>
        <v>0</v>
      </c>
      <c r="T170" s="142">
        <f t="shared" si="47"/>
        <v>2370195</v>
      </c>
      <c r="U170" s="142">
        <f t="shared" si="48"/>
        <v>8427042</v>
      </c>
      <c r="V170" s="142">
        <f t="shared" si="48"/>
        <v>0</v>
      </c>
      <c r="W170" s="142">
        <f>W172+W221</f>
        <v>-5</v>
      </c>
      <c r="X170" s="229">
        <f>G170+T170+U170+V170+W170</f>
        <v>28037500</v>
      </c>
      <c r="Y170" s="142">
        <f>Y172+Y221</f>
        <v>28037500</v>
      </c>
      <c r="Z170" s="142">
        <f t="shared" si="34"/>
        <v>0</v>
      </c>
      <c r="AA170" s="142">
        <f t="shared" si="35"/>
        <v>2293728</v>
      </c>
      <c r="AB170" s="198">
        <f t="shared" si="36"/>
        <v>8.909836522790833E-2</v>
      </c>
      <c r="AC170" s="142"/>
    </row>
    <row r="171" spans="1:29">
      <c r="C171" s="76"/>
      <c r="D171" s="92"/>
      <c r="E171" s="92"/>
      <c r="F171" s="92"/>
      <c r="G171" s="92">
        <f t="shared" si="40"/>
        <v>0</v>
      </c>
      <c r="H171" s="92"/>
      <c r="I171" s="92">
        <f t="shared" si="46"/>
        <v>0</v>
      </c>
      <c r="J171" s="92"/>
      <c r="K171" s="92"/>
      <c r="L171" s="92"/>
      <c r="M171" s="92"/>
      <c r="N171" s="92"/>
      <c r="O171" s="92"/>
      <c r="P171" s="92"/>
      <c r="Q171" s="92"/>
      <c r="R171" s="92"/>
      <c r="S171" s="92"/>
      <c r="T171" s="92">
        <f t="shared" si="47"/>
        <v>0</v>
      </c>
      <c r="U171" s="92"/>
      <c r="V171" s="92"/>
      <c r="W171" s="92"/>
      <c r="X171" s="227">
        <f t="shared" si="43"/>
        <v>0</v>
      </c>
      <c r="Y171" s="92"/>
      <c r="Z171" s="92">
        <f t="shared" si="34"/>
        <v>0</v>
      </c>
      <c r="AA171" s="92">
        <f t="shared" si="35"/>
        <v>0</v>
      </c>
      <c r="AB171" s="203" t="str">
        <f t="shared" si="36"/>
        <v/>
      </c>
      <c r="AC171" s="92"/>
    </row>
    <row r="172" spans="1:29">
      <c r="C172" s="77" t="s">
        <v>178</v>
      </c>
      <c r="D172" s="17">
        <f>D174+D177+D179+D182+D205+D218</f>
        <v>15469500</v>
      </c>
      <c r="E172" s="17">
        <f>E174+E177+E179+E182+E205+E218</f>
        <v>0</v>
      </c>
      <c r="F172" s="17">
        <f t="shared" ref="F172:V172" si="50">F174+F177+F179+F182+F205+F218</f>
        <v>151382</v>
      </c>
      <c r="G172" s="17">
        <f t="shared" ref="G172:G258" si="51">D172-E172-F172</f>
        <v>15318118</v>
      </c>
      <c r="H172" s="17">
        <f>H174+H177+H179+H182+H205+H218+H202+H213</f>
        <v>2686</v>
      </c>
      <c r="I172" s="17">
        <f t="shared" si="46"/>
        <v>15472186</v>
      </c>
      <c r="J172" s="17">
        <f t="shared" si="50"/>
        <v>0</v>
      </c>
      <c r="K172" s="17">
        <f>K174+K177+K179+K182+K205+K218+K213+K210</f>
        <v>2661920</v>
      </c>
      <c r="L172" s="17">
        <f t="shared" ref="L172:S172" si="52">L174+L177+L179+L182+L205+L218</f>
        <v>0</v>
      </c>
      <c r="M172" s="17">
        <f t="shared" si="52"/>
        <v>0</v>
      </c>
      <c r="N172" s="17"/>
      <c r="O172" s="17">
        <f t="shared" si="52"/>
        <v>2782</v>
      </c>
      <c r="P172" s="17">
        <f t="shared" si="52"/>
        <v>-254507</v>
      </c>
      <c r="Q172" s="17">
        <f t="shared" si="52"/>
        <v>0</v>
      </c>
      <c r="R172" s="17"/>
      <c r="S172" s="17">
        <f t="shared" si="52"/>
        <v>0</v>
      </c>
      <c r="T172" s="17">
        <f>SUM(J172:S172)</f>
        <v>2410195</v>
      </c>
      <c r="U172" s="17">
        <f t="shared" si="50"/>
        <v>155382</v>
      </c>
      <c r="V172" s="17">
        <f t="shared" si="50"/>
        <v>0</v>
      </c>
      <c r="W172" s="17">
        <f>W174+W177+W179+W182+W205+W210+W213+W218</f>
        <v>-5</v>
      </c>
      <c r="X172" s="242">
        <f>G172+T172+U172+V172+W172</f>
        <v>17883690</v>
      </c>
      <c r="Y172" s="17">
        <f>Y174+Y177+Y179+Y182+Y205+Y218+Y210</f>
        <v>17883690</v>
      </c>
      <c r="Z172" s="17">
        <f t="shared" ref="Z172:Z228" si="53">Y172-X172</f>
        <v>0</v>
      </c>
      <c r="AA172" s="17">
        <f t="shared" ref="AA172:AA235" si="54">Y172-I172</f>
        <v>2411504</v>
      </c>
      <c r="AB172" s="302">
        <f t="shared" ref="AB172:AB235" si="55">IF(I172=0,"",AA172/I172)</f>
        <v>0.15586058750844903</v>
      </c>
      <c r="AC172" s="17"/>
    </row>
    <row r="173" spans="1:29">
      <c r="C173" s="76"/>
      <c r="D173" s="92"/>
      <c r="E173" s="92"/>
      <c r="F173" s="92"/>
      <c r="G173" s="92">
        <f t="shared" si="51"/>
        <v>0</v>
      </c>
      <c r="H173" s="92"/>
      <c r="I173" s="92">
        <f t="shared" si="46"/>
        <v>0</v>
      </c>
      <c r="J173" s="92"/>
      <c r="K173" s="92"/>
      <c r="L173" s="92"/>
      <c r="M173" s="92"/>
      <c r="N173" s="92"/>
      <c r="O173" s="92"/>
      <c r="P173" s="92"/>
      <c r="Q173" s="92"/>
      <c r="R173" s="92"/>
      <c r="S173" s="92"/>
      <c r="T173" s="92">
        <f t="shared" si="47"/>
        <v>0</v>
      </c>
      <c r="U173" s="92"/>
      <c r="V173" s="92"/>
      <c r="W173" s="92"/>
      <c r="X173" s="227">
        <f t="shared" si="43"/>
        <v>0</v>
      </c>
      <c r="Y173" s="92"/>
      <c r="Z173" s="92">
        <f t="shared" si="53"/>
        <v>0</v>
      </c>
      <c r="AA173" s="92">
        <f t="shared" si="54"/>
        <v>0</v>
      </c>
      <c r="AB173" s="203" t="str">
        <f t="shared" si="55"/>
        <v/>
      </c>
      <c r="AC173" s="92"/>
    </row>
    <row r="174" spans="1:29">
      <c r="A174" s="4" t="s">
        <v>114</v>
      </c>
      <c r="B174" s="4" t="s">
        <v>28</v>
      </c>
      <c r="C174" s="78" t="s">
        <v>47</v>
      </c>
      <c r="D174" s="137">
        <v>1027030</v>
      </c>
      <c r="E174" s="137"/>
      <c r="F174" s="137">
        <v>51152</v>
      </c>
      <c r="G174" s="137">
        <f t="shared" si="51"/>
        <v>975878</v>
      </c>
      <c r="H174" s="137">
        <v>7500</v>
      </c>
      <c r="I174" s="137">
        <f t="shared" si="46"/>
        <v>1034530</v>
      </c>
      <c r="J174" s="137"/>
      <c r="K174" s="137"/>
      <c r="L174" s="137"/>
      <c r="M174" s="137"/>
      <c r="N174" s="137"/>
      <c r="O174" s="137">
        <v>2782</v>
      </c>
      <c r="P174" s="137"/>
      <c r="Q174" s="137"/>
      <c r="R174" s="137"/>
      <c r="S174" s="137"/>
      <c r="T174" s="137">
        <f t="shared" si="47"/>
        <v>2782</v>
      </c>
      <c r="U174" s="137">
        <v>51152</v>
      </c>
      <c r="V174" s="137"/>
      <c r="W174" s="137">
        <v>-2</v>
      </c>
      <c r="X174" s="106">
        <f t="shared" si="43"/>
        <v>1029810</v>
      </c>
      <c r="Y174" s="137">
        <v>1029810</v>
      </c>
      <c r="Z174" s="137">
        <f t="shared" si="53"/>
        <v>0</v>
      </c>
      <c r="AA174" s="137">
        <f t="shared" si="54"/>
        <v>-4720</v>
      </c>
      <c r="AB174" s="192">
        <f t="shared" si="55"/>
        <v>-4.5624583144036421E-3</v>
      </c>
      <c r="AC174" s="137"/>
    </row>
    <row r="175" spans="1:29">
      <c r="C175" s="46" t="s">
        <v>34</v>
      </c>
      <c r="D175" s="138">
        <v>599884</v>
      </c>
      <c r="E175" s="138"/>
      <c r="F175" s="138"/>
      <c r="G175" s="138">
        <f t="shared" si="51"/>
        <v>599884</v>
      </c>
      <c r="H175" s="138">
        <v>7200</v>
      </c>
      <c r="I175" s="138">
        <f t="shared" si="46"/>
        <v>607084</v>
      </c>
      <c r="J175" s="138"/>
      <c r="K175" s="138"/>
      <c r="L175" s="138"/>
      <c r="M175" s="138"/>
      <c r="N175" s="138"/>
      <c r="O175" s="138">
        <v>2079</v>
      </c>
      <c r="P175" s="138"/>
      <c r="Q175" s="138"/>
      <c r="R175" s="138"/>
      <c r="S175" s="138"/>
      <c r="T175" s="138">
        <f>SUM(J175:S175)</f>
        <v>2079</v>
      </c>
      <c r="U175" s="138"/>
      <c r="V175" s="138"/>
      <c r="W175" s="138"/>
      <c r="X175" s="139">
        <f t="shared" si="43"/>
        <v>601963</v>
      </c>
      <c r="Y175" s="138">
        <v>601963</v>
      </c>
      <c r="Z175" s="138">
        <f t="shared" si="53"/>
        <v>0</v>
      </c>
      <c r="AA175" s="138">
        <f t="shared" si="54"/>
        <v>-5121</v>
      </c>
      <c r="AB175" s="193">
        <f t="shared" si="55"/>
        <v>-8.4354059734731927E-3</v>
      </c>
      <c r="AC175" s="138"/>
    </row>
    <row r="176" spans="1:29">
      <c r="C176" s="70"/>
      <c r="D176" s="100"/>
      <c r="E176" s="100"/>
      <c r="F176" s="100"/>
      <c r="G176" s="100">
        <f t="shared" si="51"/>
        <v>0</v>
      </c>
      <c r="H176" s="100"/>
      <c r="I176" s="100">
        <f t="shared" si="46"/>
        <v>0</v>
      </c>
      <c r="J176" s="100"/>
      <c r="K176" s="100"/>
      <c r="L176" s="100"/>
      <c r="M176" s="100"/>
      <c r="N176" s="100"/>
      <c r="O176" s="100"/>
      <c r="P176" s="100"/>
      <c r="Q176" s="100"/>
      <c r="R176" s="100"/>
      <c r="S176" s="100"/>
      <c r="T176" s="100">
        <f t="shared" si="47"/>
        <v>0</v>
      </c>
      <c r="U176" s="100"/>
      <c r="V176" s="100"/>
      <c r="W176" s="100"/>
      <c r="X176" s="237">
        <f t="shared" si="43"/>
        <v>0</v>
      </c>
      <c r="Y176" s="100">
        <v>0</v>
      </c>
      <c r="Z176" s="100">
        <f t="shared" si="53"/>
        <v>0</v>
      </c>
      <c r="AA176" s="100">
        <f t="shared" si="54"/>
        <v>0</v>
      </c>
      <c r="AB176" s="204" t="str">
        <f t="shared" si="55"/>
        <v/>
      </c>
      <c r="AC176" s="100"/>
    </row>
    <row r="177" spans="1:29">
      <c r="A177" s="4" t="s">
        <v>114</v>
      </c>
      <c r="B177" s="4" t="s">
        <v>28</v>
      </c>
      <c r="C177" s="78" t="s">
        <v>19</v>
      </c>
      <c r="D177" s="137">
        <v>1425440</v>
      </c>
      <c r="E177" s="137"/>
      <c r="F177" s="137"/>
      <c r="G177" s="137">
        <f t="shared" si="51"/>
        <v>1425440</v>
      </c>
      <c r="H177" s="137">
        <v>162640</v>
      </c>
      <c r="I177" s="137">
        <f t="shared" si="46"/>
        <v>1588080</v>
      </c>
      <c r="J177" s="137"/>
      <c r="K177" s="137">
        <v>487920</v>
      </c>
      <c r="L177" s="137"/>
      <c r="M177" s="137"/>
      <c r="N177" s="137"/>
      <c r="O177" s="137"/>
      <c r="P177" s="137"/>
      <c r="Q177" s="137"/>
      <c r="R177" s="137"/>
      <c r="S177" s="137"/>
      <c r="T177" s="137">
        <f>SUM(J177:S177)</f>
        <v>487920</v>
      </c>
      <c r="U177" s="137"/>
      <c r="V177" s="137"/>
      <c r="W177" s="137"/>
      <c r="X177" s="106">
        <f t="shared" si="43"/>
        <v>1913360</v>
      </c>
      <c r="Y177" s="137">
        <f>1425440+T177</f>
        <v>1913360</v>
      </c>
      <c r="Z177" s="137">
        <f t="shared" si="53"/>
        <v>0</v>
      </c>
      <c r="AA177" s="137">
        <f t="shared" si="54"/>
        <v>325280</v>
      </c>
      <c r="AB177" s="192">
        <f t="shared" si="55"/>
        <v>0.20482595335247594</v>
      </c>
      <c r="AC177" s="137"/>
    </row>
    <row r="178" spans="1:29">
      <c r="C178" s="62"/>
      <c r="D178" s="132"/>
      <c r="E178" s="132"/>
      <c r="F178" s="132"/>
      <c r="G178" s="132">
        <f t="shared" si="51"/>
        <v>0</v>
      </c>
      <c r="H178" s="132"/>
      <c r="I178" s="132">
        <f t="shared" si="46"/>
        <v>0</v>
      </c>
      <c r="J178" s="132"/>
      <c r="K178" s="132"/>
      <c r="L178" s="132"/>
      <c r="M178" s="132"/>
      <c r="N178" s="132"/>
      <c r="O178" s="132"/>
      <c r="P178" s="132"/>
      <c r="Q178" s="132"/>
      <c r="R178" s="132"/>
      <c r="S178" s="132"/>
      <c r="T178" s="132">
        <f t="shared" si="47"/>
        <v>0</v>
      </c>
      <c r="U178" s="132"/>
      <c r="V178" s="132"/>
      <c r="W178" s="132"/>
      <c r="X178" s="96">
        <f t="shared" si="43"/>
        <v>0</v>
      </c>
      <c r="Y178" s="132">
        <v>0</v>
      </c>
      <c r="Z178" s="132">
        <f t="shared" si="53"/>
        <v>0</v>
      </c>
      <c r="AA178" s="132">
        <f t="shared" si="54"/>
        <v>0</v>
      </c>
      <c r="AB178" s="157" t="str">
        <f t="shared" si="55"/>
        <v/>
      </c>
      <c r="AC178" s="132"/>
    </row>
    <row r="179" spans="1:29">
      <c r="A179" s="4" t="s">
        <v>114</v>
      </c>
      <c r="B179" s="4" t="s">
        <v>28</v>
      </c>
      <c r="C179" s="78" t="s">
        <v>136</v>
      </c>
      <c r="D179" s="137">
        <v>1266020</v>
      </c>
      <c r="E179" s="137"/>
      <c r="F179" s="137">
        <v>100230</v>
      </c>
      <c r="G179" s="137">
        <f t="shared" si="51"/>
        <v>1165790</v>
      </c>
      <c r="H179" s="137">
        <v>61120</v>
      </c>
      <c r="I179" s="137">
        <f t="shared" si="46"/>
        <v>1327140</v>
      </c>
      <c r="J179" s="137"/>
      <c r="K179" s="137"/>
      <c r="L179" s="137"/>
      <c r="M179" s="137"/>
      <c r="N179" s="137"/>
      <c r="O179" s="137"/>
      <c r="P179" s="137">
        <f>55120+18373</f>
        <v>73493</v>
      </c>
      <c r="Q179" s="137"/>
      <c r="R179" s="137"/>
      <c r="S179" s="137"/>
      <c r="T179" s="137">
        <f t="shared" si="47"/>
        <v>73493</v>
      </c>
      <c r="U179" s="137">
        <v>104230</v>
      </c>
      <c r="V179" s="137"/>
      <c r="W179" s="137">
        <v>-3</v>
      </c>
      <c r="X179" s="106">
        <f t="shared" si="43"/>
        <v>1343510</v>
      </c>
      <c r="Y179" s="137">
        <v>1343510</v>
      </c>
      <c r="Z179" s="137">
        <f t="shared" si="53"/>
        <v>0</v>
      </c>
      <c r="AA179" s="137">
        <f t="shared" si="54"/>
        <v>16370</v>
      </c>
      <c r="AB179" s="192">
        <f t="shared" si="55"/>
        <v>1.2334795123347951E-2</v>
      </c>
      <c r="AC179" s="137"/>
    </row>
    <row r="180" spans="1:29">
      <c r="C180" s="46" t="s">
        <v>34</v>
      </c>
      <c r="D180" s="138">
        <v>652992</v>
      </c>
      <c r="E180" s="138"/>
      <c r="F180" s="138"/>
      <c r="G180" s="138">
        <f t="shared" si="51"/>
        <v>652992</v>
      </c>
      <c r="H180" s="138">
        <v>41195</v>
      </c>
      <c r="I180" s="138">
        <f t="shared" si="46"/>
        <v>694187</v>
      </c>
      <c r="J180" s="138"/>
      <c r="K180" s="138"/>
      <c r="L180" s="138"/>
      <c r="M180" s="138"/>
      <c r="N180" s="138"/>
      <c r="O180" s="138"/>
      <c r="P180" s="138">
        <f>41195+13732</f>
        <v>54927</v>
      </c>
      <c r="Q180" s="138"/>
      <c r="R180" s="138"/>
      <c r="S180" s="138"/>
      <c r="T180" s="138">
        <f t="shared" si="47"/>
        <v>54927</v>
      </c>
      <c r="U180" s="138"/>
      <c r="V180" s="138"/>
      <c r="W180" s="138"/>
      <c r="X180" s="139">
        <f t="shared" si="43"/>
        <v>707919</v>
      </c>
      <c r="Y180" s="138">
        <v>707919</v>
      </c>
      <c r="Z180" s="138">
        <f t="shared" si="53"/>
        <v>0</v>
      </c>
      <c r="AA180" s="138">
        <f t="shared" si="54"/>
        <v>13732</v>
      </c>
      <c r="AB180" s="193">
        <f t="shared" si="55"/>
        <v>1.978141336556288E-2</v>
      </c>
      <c r="AC180" s="138"/>
    </row>
    <row r="181" spans="1:29">
      <c r="C181" s="46"/>
      <c r="D181" s="138"/>
      <c r="E181" s="138"/>
      <c r="F181" s="138"/>
      <c r="G181" s="138">
        <f t="shared" si="51"/>
        <v>0</v>
      </c>
      <c r="H181" s="138"/>
      <c r="I181" s="138">
        <f t="shared" si="46"/>
        <v>0</v>
      </c>
      <c r="J181" s="138"/>
      <c r="K181" s="138"/>
      <c r="L181" s="138"/>
      <c r="M181" s="138"/>
      <c r="N181" s="138"/>
      <c r="O181" s="138"/>
      <c r="P181" s="138"/>
      <c r="Q181" s="138"/>
      <c r="R181" s="138"/>
      <c r="S181" s="138"/>
      <c r="T181" s="138">
        <f t="shared" si="47"/>
        <v>0</v>
      </c>
      <c r="U181" s="138"/>
      <c r="V181" s="138"/>
      <c r="W181" s="138"/>
      <c r="X181" s="139">
        <f t="shared" si="43"/>
        <v>0</v>
      </c>
      <c r="Y181" s="138"/>
      <c r="Z181" s="138">
        <f t="shared" si="53"/>
        <v>0</v>
      </c>
      <c r="AA181" s="138">
        <f t="shared" si="54"/>
        <v>0</v>
      </c>
      <c r="AB181" s="193" t="str">
        <f t="shared" si="55"/>
        <v/>
      </c>
      <c r="AC181" s="138"/>
    </row>
    <row r="182" spans="1:29">
      <c r="A182" s="4" t="s">
        <v>114</v>
      </c>
      <c r="B182" s="4" t="s">
        <v>28</v>
      </c>
      <c r="C182" s="78" t="s">
        <v>137</v>
      </c>
      <c r="D182" s="137">
        <f>D184+D191+D197</f>
        <v>11340180</v>
      </c>
      <c r="E182" s="137">
        <f>E184+E191+E197</f>
        <v>0</v>
      </c>
      <c r="F182" s="137">
        <f t="shared" ref="F182:V182" si="56">F184+F191+F197</f>
        <v>0</v>
      </c>
      <c r="G182" s="137">
        <f t="shared" si="51"/>
        <v>11340180</v>
      </c>
      <c r="H182" s="137">
        <f>H184+H191+H197</f>
        <v>-7500</v>
      </c>
      <c r="I182" s="137">
        <f t="shared" si="46"/>
        <v>11332680</v>
      </c>
      <c r="J182" s="137">
        <f t="shared" si="56"/>
        <v>0</v>
      </c>
      <c r="K182" s="137">
        <f t="shared" si="56"/>
        <v>2124000</v>
      </c>
      <c r="L182" s="137">
        <f t="shared" ref="L182:S182" si="57">L184+L191+L197</f>
        <v>0</v>
      </c>
      <c r="M182" s="137">
        <f t="shared" si="57"/>
        <v>0</v>
      </c>
      <c r="N182" s="137"/>
      <c r="O182" s="137">
        <f t="shared" si="57"/>
        <v>0</v>
      </c>
      <c r="P182" s="137">
        <f t="shared" si="57"/>
        <v>0</v>
      </c>
      <c r="Q182" s="137">
        <f t="shared" si="57"/>
        <v>0</v>
      </c>
      <c r="R182" s="137"/>
      <c r="S182" s="137">
        <f t="shared" si="57"/>
        <v>0</v>
      </c>
      <c r="T182" s="137">
        <f t="shared" si="47"/>
        <v>2124000</v>
      </c>
      <c r="U182" s="137">
        <f t="shared" si="56"/>
        <v>0</v>
      </c>
      <c r="V182" s="137">
        <f t="shared" si="56"/>
        <v>0</v>
      </c>
      <c r="W182" s="137"/>
      <c r="X182" s="106">
        <f t="shared" si="43"/>
        <v>13464180</v>
      </c>
      <c r="Y182" s="137">
        <f>Y184+Y191+Y197</f>
        <v>13464180</v>
      </c>
      <c r="Z182" s="137">
        <f t="shared" si="53"/>
        <v>0</v>
      </c>
      <c r="AA182" s="137">
        <f t="shared" si="54"/>
        <v>2131500</v>
      </c>
      <c r="AB182" s="192">
        <f t="shared" si="55"/>
        <v>0.18808437192261671</v>
      </c>
      <c r="AC182" s="137"/>
    </row>
    <row r="183" spans="1:29">
      <c r="C183" s="78"/>
      <c r="D183" s="137"/>
      <c r="E183" s="137"/>
      <c r="F183" s="137"/>
      <c r="G183" s="137">
        <f t="shared" si="51"/>
        <v>0</v>
      </c>
      <c r="H183" s="137"/>
      <c r="I183" s="137">
        <f t="shared" si="46"/>
        <v>0</v>
      </c>
      <c r="J183" s="137"/>
      <c r="K183" s="137"/>
      <c r="L183" s="137"/>
      <c r="M183" s="137"/>
      <c r="N183" s="137"/>
      <c r="O183" s="137"/>
      <c r="P183" s="137"/>
      <c r="Q183" s="137"/>
      <c r="R183" s="137"/>
      <c r="S183" s="137"/>
      <c r="T183" s="137">
        <f t="shared" si="47"/>
        <v>0</v>
      </c>
      <c r="U183" s="137"/>
      <c r="V183" s="137"/>
      <c r="W183" s="137"/>
      <c r="X183" s="106">
        <f t="shared" si="43"/>
        <v>0</v>
      </c>
      <c r="Y183" s="137"/>
      <c r="Z183" s="137">
        <f t="shared" si="53"/>
        <v>0</v>
      </c>
      <c r="AA183" s="137">
        <f t="shared" si="54"/>
        <v>0</v>
      </c>
      <c r="AB183" s="192" t="str">
        <f t="shared" si="55"/>
        <v/>
      </c>
      <c r="AC183" s="137"/>
    </row>
    <row r="184" spans="1:29">
      <c r="C184" s="79" t="s">
        <v>48</v>
      </c>
      <c r="D184" s="137">
        <f>D185+D186+D187+D188+D189</f>
        <v>4173060</v>
      </c>
      <c r="E184" s="137">
        <f>E185+E186+E186+E187+E188+E189</f>
        <v>0</v>
      </c>
      <c r="F184" s="137">
        <f t="shared" ref="F184:V184" si="58">F185+F186+F186+F187+F188+F189</f>
        <v>0</v>
      </c>
      <c r="G184" s="137">
        <f t="shared" si="51"/>
        <v>4173060</v>
      </c>
      <c r="H184" s="137"/>
      <c r="I184" s="137">
        <f t="shared" si="46"/>
        <v>4173060</v>
      </c>
      <c r="J184" s="137">
        <f t="shared" si="58"/>
        <v>0</v>
      </c>
      <c r="K184" s="137">
        <f t="shared" si="58"/>
        <v>0</v>
      </c>
      <c r="L184" s="137">
        <f t="shared" ref="L184:S184" si="59">L185+L186+L186+L187+L188+L189</f>
        <v>0</v>
      </c>
      <c r="M184" s="137">
        <f t="shared" si="59"/>
        <v>0</v>
      </c>
      <c r="N184" s="137"/>
      <c r="O184" s="137">
        <f t="shared" si="59"/>
        <v>0</v>
      </c>
      <c r="P184" s="137">
        <f t="shared" si="59"/>
        <v>0</v>
      </c>
      <c r="Q184" s="137">
        <f t="shared" si="59"/>
        <v>0</v>
      </c>
      <c r="R184" s="137"/>
      <c r="S184" s="137">
        <f t="shared" si="59"/>
        <v>0</v>
      </c>
      <c r="T184" s="137">
        <f t="shared" si="47"/>
        <v>0</v>
      </c>
      <c r="U184" s="137">
        <f t="shared" si="58"/>
        <v>0</v>
      </c>
      <c r="V184" s="137">
        <f t="shared" si="58"/>
        <v>0</v>
      </c>
      <c r="W184" s="137"/>
      <c r="X184" s="106">
        <f t="shared" si="43"/>
        <v>4173060</v>
      </c>
      <c r="Y184" s="137">
        <f>Y185+Y186+Y187+Y188+Y189</f>
        <v>4173060</v>
      </c>
      <c r="Z184" s="137">
        <f t="shared" si="53"/>
        <v>0</v>
      </c>
      <c r="AA184" s="137">
        <f t="shared" si="54"/>
        <v>0</v>
      </c>
      <c r="AB184" s="192">
        <f t="shared" si="55"/>
        <v>0</v>
      </c>
      <c r="AC184" s="137"/>
    </row>
    <row r="185" spans="1:29">
      <c r="C185" s="58" t="s">
        <v>105</v>
      </c>
      <c r="D185" s="140">
        <v>482750</v>
      </c>
      <c r="E185" s="140"/>
      <c r="F185" s="140"/>
      <c r="G185" s="140">
        <f t="shared" si="51"/>
        <v>482750</v>
      </c>
      <c r="H185" s="140"/>
      <c r="I185" s="140">
        <f t="shared" si="46"/>
        <v>482750</v>
      </c>
      <c r="J185" s="140"/>
      <c r="K185" s="140"/>
      <c r="L185" s="140"/>
      <c r="M185" s="140"/>
      <c r="N185" s="140"/>
      <c r="O185" s="140"/>
      <c r="P185" s="140"/>
      <c r="Q185" s="140"/>
      <c r="R185" s="140"/>
      <c r="S185" s="140"/>
      <c r="T185" s="140">
        <f t="shared" si="47"/>
        <v>0</v>
      </c>
      <c r="U185" s="140"/>
      <c r="V185" s="140"/>
      <c r="W185" s="140"/>
      <c r="X185" s="94">
        <f t="shared" si="43"/>
        <v>482750</v>
      </c>
      <c r="Y185" s="140">
        <v>482750</v>
      </c>
      <c r="Z185" s="140">
        <f t="shared" si="53"/>
        <v>0</v>
      </c>
      <c r="AA185" s="140">
        <f t="shared" si="54"/>
        <v>0</v>
      </c>
      <c r="AB185" s="196">
        <f t="shared" si="55"/>
        <v>0</v>
      </c>
      <c r="AC185" s="140"/>
    </row>
    <row r="186" spans="1:29">
      <c r="C186" s="58" t="s">
        <v>106</v>
      </c>
      <c r="D186" s="140">
        <v>1472000</v>
      </c>
      <c r="E186" s="140"/>
      <c r="F186" s="140"/>
      <c r="G186" s="140">
        <f t="shared" si="51"/>
        <v>1472000</v>
      </c>
      <c r="H186" s="140"/>
      <c r="I186" s="140">
        <f t="shared" si="46"/>
        <v>1472000</v>
      </c>
      <c r="J186" s="140"/>
      <c r="K186" s="140"/>
      <c r="L186" s="140"/>
      <c r="M186" s="140"/>
      <c r="N186" s="140"/>
      <c r="O186" s="140"/>
      <c r="P186" s="140"/>
      <c r="Q186" s="140"/>
      <c r="R186" s="140"/>
      <c r="S186" s="140"/>
      <c r="T186" s="140">
        <f t="shared" si="47"/>
        <v>0</v>
      </c>
      <c r="U186" s="140"/>
      <c r="V186" s="140"/>
      <c r="W186" s="140"/>
      <c r="X186" s="94">
        <f t="shared" si="43"/>
        <v>1472000</v>
      </c>
      <c r="Y186" s="140">
        <v>1472000</v>
      </c>
      <c r="Z186" s="140">
        <f t="shared" si="53"/>
        <v>0</v>
      </c>
      <c r="AA186" s="140">
        <f t="shared" si="54"/>
        <v>0</v>
      </c>
      <c r="AB186" s="196">
        <f t="shared" si="55"/>
        <v>0</v>
      </c>
      <c r="AC186" s="140"/>
    </row>
    <row r="187" spans="1:29">
      <c r="C187" s="80" t="s">
        <v>107</v>
      </c>
      <c r="D187" s="131">
        <v>1216000</v>
      </c>
      <c r="E187" s="131"/>
      <c r="F187" s="131"/>
      <c r="G187" s="131">
        <f t="shared" si="51"/>
        <v>1216000</v>
      </c>
      <c r="H187" s="131"/>
      <c r="I187" s="131">
        <f t="shared" si="46"/>
        <v>1216000</v>
      </c>
      <c r="J187" s="131"/>
      <c r="K187" s="131"/>
      <c r="L187" s="131"/>
      <c r="M187" s="131"/>
      <c r="N187" s="131"/>
      <c r="O187" s="131"/>
      <c r="P187" s="131"/>
      <c r="Q187" s="131"/>
      <c r="R187" s="131"/>
      <c r="S187" s="131"/>
      <c r="T187" s="131">
        <f t="shared" si="47"/>
        <v>0</v>
      </c>
      <c r="U187" s="131"/>
      <c r="V187" s="131"/>
      <c r="W187" s="131"/>
      <c r="X187" s="233">
        <f t="shared" si="43"/>
        <v>1216000</v>
      </c>
      <c r="Y187" s="131">
        <v>1216000</v>
      </c>
      <c r="Z187" s="131">
        <f t="shared" si="53"/>
        <v>0</v>
      </c>
      <c r="AA187" s="131">
        <f t="shared" si="54"/>
        <v>0</v>
      </c>
      <c r="AB187" s="206">
        <f t="shared" si="55"/>
        <v>0</v>
      </c>
      <c r="AC187" s="131"/>
    </row>
    <row r="188" spans="1:29">
      <c r="C188" s="80" t="s">
        <v>108</v>
      </c>
      <c r="D188" s="131">
        <v>984070</v>
      </c>
      <c r="E188" s="131"/>
      <c r="F188" s="131"/>
      <c r="G188" s="131">
        <f t="shared" si="51"/>
        <v>984070</v>
      </c>
      <c r="H188" s="131"/>
      <c r="I188" s="131">
        <f t="shared" si="46"/>
        <v>984070</v>
      </c>
      <c r="J188" s="131"/>
      <c r="K188" s="131"/>
      <c r="L188" s="131"/>
      <c r="M188" s="131"/>
      <c r="N188" s="131"/>
      <c r="O188" s="131"/>
      <c r="P188" s="131"/>
      <c r="Q188" s="131"/>
      <c r="R188" s="131"/>
      <c r="S188" s="131"/>
      <c r="T188" s="131">
        <f t="shared" si="47"/>
        <v>0</v>
      </c>
      <c r="U188" s="131"/>
      <c r="V188" s="131"/>
      <c r="W188" s="131"/>
      <c r="X188" s="233">
        <f t="shared" si="43"/>
        <v>984070</v>
      </c>
      <c r="Y188" s="131">
        <v>984070</v>
      </c>
      <c r="Z188" s="131">
        <f t="shared" si="53"/>
        <v>0</v>
      </c>
      <c r="AA188" s="131">
        <f t="shared" si="54"/>
        <v>0</v>
      </c>
      <c r="AB188" s="206">
        <f t="shared" si="55"/>
        <v>0</v>
      </c>
      <c r="AC188" s="131"/>
    </row>
    <row r="189" spans="1:29">
      <c r="C189" s="58" t="s">
        <v>110</v>
      </c>
      <c r="D189" s="140">
        <v>18240</v>
      </c>
      <c r="E189" s="140"/>
      <c r="F189" s="140"/>
      <c r="G189" s="140">
        <f t="shared" si="51"/>
        <v>18240</v>
      </c>
      <c r="H189" s="140"/>
      <c r="I189" s="140">
        <f t="shared" si="46"/>
        <v>18240</v>
      </c>
      <c r="J189" s="140"/>
      <c r="K189" s="140"/>
      <c r="L189" s="140"/>
      <c r="M189" s="140"/>
      <c r="N189" s="140"/>
      <c r="O189" s="140"/>
      <c r="P189" s="140"/>
      <c r="Q189" s="140"/>
      <c r="R189" s="140"/>
      <c r="S189" s="140"/>
      <c r="T189" s="140">
        <f t="shared" si="47"/>
        <v>0</v>
      </c>
      <c r="U189" s="140"/>
      <c r="V189" s="140"/>
      <c r="W189" s="140"/>
      <c r="X189" s="94">
        <f t="shared" si="43"/>
        <v>18240</v>
      </c>
      <c r="Y189" s="140">
        <v>18240</v>
      </c>
      <c r="Z189" s="140">
        <f t="shared" si="53"/>
        <v>0</v>
      </c>
      <c r="AA189" s="140">
        <f t="shared" si="54"/>
        <v>0</v>
      </c>
      <c r="AB189" s="196">
        <f t="shared" si="55"/>
        <v>0</v>
      </c>
      <c r="AC189" s="140"/>
    </row>
    <row r="190" spans="1:29">
      <c r="C190" s="81"/>
      <c r="D190" s="3"/>
      <c r="E190" s="3"/>
      <c r="F190" s="3"/>
      <c r="G190" s="3">
        <f t="shared" si="51"/>
        <v>0</v>
      </c>
      <c r="H190" s="3"/>
      <c r="I190" s="3">
        <f t="shared" si="46"/>
        <v>0</v>
      </c>
      <c r="J190" s="3"/>
      <c r="K190" s="3"/>
      <c r="L190" s="3"/>
      <c r="M190" s="3"/>
      <c r="N190" s="3"/>
      <c r="O190" s="3"/>
      <c r="P190" s="3"/>
      <c r="Q190" s="3"/>
      <c r="R190" s="3"/>
      <c r="S190" s="3"/>
      <c r="T190" s="3">
        <f t="shared" si="47"/>
        <v>0</v>
      </c>
      <c r="U190" s="3"/>
      <c r="V190" s="3"/>
      <c r="W190" s="3"/>
      <c r="X190" s="243">
        <f t="shared" si="43"/>
        <v>0</v>
      </c>
      <c r="Y190" s="3"/>
      <c r="Z190" s="3">
        <f t="shared" si="53"/>
        <v>0</v>
      </c>
      <c r="AA190" s="3">
        <f t="shared" si="54"/>
        <v>0</v>
      </c>
      <c r="AB190" s="212" t="str">
        <f t="shared" si="55"/>
        <v/>
      </c>
      <c r="AC190" s="3"/>
    </row>
    <row r="191" spans="1:29">
      <c r="C191" s="79" t="s">
        <v>49</v>
      </c>
      <c r="D191" s="137">
        <f>D192</f>
        <v>7026030</v>
      </c>
      <c r="E191" s="137">
        <f>E192</f>
        <v>0</v>
      </c>
      <c r="F191" s="137">
        <f t="shared" ref="F191:V191" si="60">F192</f>
        <v>0</v>
      </c>
      <c r="G191" s="137">
        <f t="shared" si="51"/>
        <v>7026030</v>
      </c>
      <c r="H191" s="137"/>
      <c r="I191" s="137">
        <f t="shared" si="46"/>
        <v>7026030</v>
      </c>
      <c r="J191" s="137">
        <f t="shared" si="60"/>
        <v>0</v>
      </c>
      <c r="K191" s="137">
        <f t="shared" si="60"/>
        <v>2134000</v>
      </c>
      <c r="L191" s="137">
        <f t="shared" ref="L191:S191" si="61">L192</f>
        <v>0</v>
      </c>
      <c r="M191" s="137">
        <f t="shared" si="61"/>
        <v>0</v>
      </c>
      <c r="N191" s="137"/>
      <c r="O191" s="137">
        <f t="shared" si="61"/>
        <v>0</v>
      </c>
      <c r="P191" s="137">
        <f t="shared" si="61"/>
        <v>0</v>
      </c>
      <c r="Q191" s="137">
        <f t="shared" si="61"/>
        <v>0</v>
      </c>
      <c r="R191" s="137"/>
      <c r="S191" s="137">
        <f t="shared" si="61"/>
        <v>0</v>
      </c>
      <c r="T191" s="137">
        <f t="shared" si="47"/>
        <v>2134000</v>
      </c>
      <c r="U191" s="137">
        <f t="shared" si="60"/>
        <v>0</v>
      </c>
      <c r="V191" s="137">
        <f t="shared" si="60"/>
        <v>0</v>
      </c>
      <c r="W191" s="137"/>
      <c r="X191" s="106">
        <f t="shared" si="43"/>
        <v>9160030</v>
      </c>
      <c r="Y191" s="137">
        <f>Y192</f>
        <v>9160030</v>
      </c>
      <c r="Z191" s="137">
        <f t="shared" si="53"/>
        <v>0</v>
      </c>
      <c r="AA191" s="137">
        <f t="shared" si="54"/>
        <v>2134000</v>
      </c>
      <c r="AB191" s="192">
        <f t="shared" si="55"/>
        <v>0.30372770967388413</v>
      </c>
      <c r="AC191" s="137"/>
    </row>
    <row r="192" spans="1:29">
      <c r="C192" s="58" t="s">
        <v>112</v>
      </c>
      <c r="D192" s="140">
        <f>D193+D194</f>
        <v>7026030</v>
      </c>
      <c r="E192" s="140">
        <f>E193+E194</f>
        <v>0</v>
      </c>
      <c r="F192" s="140">
        <f t="shared" ref="F192:V192" si="62">F193+F194</f>
        <v>0</v>
      </c>
      <c r="G192" s="140">
        <f t="shared" si="51"/>
        <v>7026030</v>
      </c>
      <c r="H192" s="140"/>
      <c r="I192" s="140">
        <f t="shared" si="46"/>
        <v>7026030</v>
      </c>
      <c r="J192" s="140">
        <f t="shared" si="62"/>
        <v>0</v>
      </c>
      <c r="K192" s="140">
        <f t="shared" si="62"/>
        <v>2134000</v>
      </c>
      <c r="L192" s="140">
        <f t="shared" ref="L192:S192" si="63">L193+L194</f>
        <v>0</v>
      </c>
      <c r="M192" s="140">
        <f t="shared" si="63"/>
        <v>0</v>
      </c>
      <c r="N192" s="140"/>
      <c r="O192" s="140">
        <f t="shared" si="63"/>
        <v>0</v>
      </c>
      <c r="P192" s="140">
        <f t="shared" si="63"/>
        <v>0</v>
      </c>
      <c r="Q192" s="140">
        <f t="shared" si="63"/>
        <v>0</v>
      </c>
      <c r="R192" s="140"/>
      <c r="S192" s="140">
        <f t="shared" si="63"/>
        <v>0</v>
      </c>
      <c r="T192" s="140">
        <f t="shared" si="47"/>
        <v>2134000</v>
      </c>
      <c r="U192" s="140">
        <f t="shared" si="62"/>
        <v>0</v>
      </c>
      <c r="V192" s="140">
        <f t="shared" si="62"/>
        <v>0</v>
      </c>
      <c r="W192" s="140"/>
      <c r="X192" s="94">
        <f t="shared" si="43"/>
        <v>9160030</v>
      </c>
      <c r="Y192" s="140">
        <v>9160030</v>
      </c>
      <c r="Z192" s="140">
        <f t="shared" si="53"/>
        <v>0</v>
      </c>
      <c r="AA192" s="140">
        <f t="shared" si="54"/>
        <v>2134000</v>
      </c>
      <c r="AB192" s="196">
        <f t="shared" si="55"/>
        <v>0.30372770967388413</v>
      </c>
      <c r="AC192" s="140"/>
    </row>
    <row r="193" spans="1:30">
      <c r="C193" s="82" t="s">
        <v>138</v>
      </c>
      <c r="D193" s="92">
        <v>7023030</v>
      </c>
      <c r="E193" s="92"/>
      <c r="F193" s="92"/>
      <c r="G193" s="92">
        <f t="shared" si="51"/>
        <v>7023030</v>
      </c>
      <c r="H193" s="92"/>
      <c r="I193" s="92">
        <f t="shared" si="46"/>
        <v>7023030</v>
      </c>
      <c r="J193" s="92"/>
      <c r="K193" s="92">
        <v>2134000</v>
      </c>
      <c r="L193" s="92"/>
      <c r="M193" s="92"/>
      <c r="N193" s="92"/>
      <c r="O193" s="92"/>
      <c r="P193" s="92"/>
      <c r="Q193" s="92"/>
      <c r="R193" s="92"/>
      <c r="S193" s="92"/>
      <c r="T193" s="92">
        <f t="shared" si="47"/>
        <v>2134000</v>
      </c>
      <c r="U193" s="92"/>
      <c r="V193" s="92"/>
      <c r="W193" s="92"/>
      <c r="X193" s="227">
        <f t="shared" si="43"/>
        <v>9157030</v>
      </c>
      <c r="Y193" s="92">
        <v>9157030</v>
      </c>
      <c r="Z193" s="92">
        <f t="shared" si="53"/>
        <v>0</v>
      </c>
      <c r="AA193" s="92">
        <f t="shared" si="54"/>
        <v>2134000</v>
      </c>
      <c r="AB193" s="203">
        <f t="shared" si="55"/>
        <v>0.30385745184058732</v>
      </c>
      <c r="AC193" s="92"/>
    </row>
    <row r="194" spans="1:30">
      <c r="C194" s="83" t="s">
        <v>50</v>
      </c>
      <c r="D194" s="140">
        <v>3000</v>
      </c>
      <c r="E194" s="140"/>
      <c r="F194" s="140"/>
      <c r="G194" s="140">
        <f t="shared" si="51"/>
        <v>3000</v>
      </c>
      <c r="H194" s="140"/>
      <c r="I194" s="140">
        <f t="shared" si="46"/>
        <v>3000</v>
      </c>
      <c r="J194" s="140"/>
      <c r="K194" s="140"/>
      <c r="L194" s="140"/>
      <c r="M194" s="140"/>
      <c r="N194" s="140"/>
      <c r="O194" s="140"/>
      <c r="P194" s="140"/>
      <c r="Q194" s="140"/>
      <c r="R194" s="140"/>
      <c r="S194" s="140"/>
      <c r="T194" s="140">
        <f t="shared" si="47"/>
        <v>0</v>
      </c>
      <c r="U194" s="140"/>
      <c r="V194" s="140"/>
      <c r="W194" s="140"/>
      <c r="X194" s="94">
        <f t="shared" si="43"/>
        <v>3000</v>
      </c>
      <c r="Y194" s="140">
        <v>3000</v>
      </c>
      <c r="Z194" s="140">
        <f t="shared" si="53"/>
        <v>0</v>
      </c>
      <c r="AA194" s="140">
        <f t="shared" si="54"/>
        <v>0</v>
      </c>
      <c r="AB194" s="196">
        <f t="shared" si="55"/>
        <v>0</v>
      </c>
      <c r="AC194" s="140"/>
    </row>
    <row r="195" spans="1:30">
      <c r="C195" s="58" t="s">
        <v>139</v>
      </c>
      <c r="D195" s="140"/>
      <c r="E195" s="140"/>
      <c r="F195" s="140"/>
      <c r="G195" s="140">
        <f t="shared" si="51"/>
        <v>0</v>
      </c>
      <c r="H195" s="140"/>
      <c r="I195" s="140">
        <f t="shared" si="46"/>
        <v>0</v>
      </c>
      <c r="J195" s="140"/>
      <c r="K195" s="140"/>
      <c r="L195" s="140"/>
      <c r="M195" s="140"/>
      <c r="N195" s="140"/>
      <c r="O195" s="140"/>
      <c r="P195" s="140"/>
      <c r="Q195" s="140"/>
      <c r="R195" s="140"/>
      <c r="S195" s="140"/>
      <c r="T195" s="140">
        <f t="shared" si="47"/>
        <v>0</v>
      </c>
      <c r="U195" s="140"/>
      <c r="V195" s="140"/>
      <c r="W195" s="140"/>
      <c r="X195" s="94">
        <f t="shared" si="43"/>
        <v>0</v>
      </c>
      <c r="Y195" s="140"/>
      <c r="Z195" s="140">
        <f t="shared" si="53"/>
        <v>0</v>
      </c>
      <c r="AA195" s="140">
        <f t="shared" si="54"/>
        <v>0</v>
      </c>
      <c r="AB195" s="196" t="str">
        <f t="shared" si="55"/>
        <v/>
      </c>
      <c r="AC195" s="140"/>
    </row>
    <row r="196" spans="1:30">
      <c r="C196" s="58"/>
      <c r="D196" s="140"/>
      <c r="E196" s="140"/>
      <c r="F196" s="140"/>
      <c r="G196" s="140">
        <f t="shared" si="51"/>
        <v>0</v>
      </c>
      <c r="H196" s="140"/>
      <c r="I196" s="140">
        <f t="shared" si="46"/>
        <v>0</v>
      </c>
      <c r="J196" s="140"/>
      <c r="K196" s="140"/>
      <c r="L196" s="140"/>
      <c r="M196" s="140"/>
      <c r="N196" s="140"/>
      <c r="O196" s="140"/>
      <c r="P196" s="140"/>
      <c r="Q196" s="140"/>
      <c r="R196" s="140"/>
      <c r="S196" s="140"/>
      <c r="T196" s="140">
        <f t="shared" si="47"/>
        <v>0</v>
      </c>
      <c r="U196" s="140"/>
      <c r="V196" s="140"/>
      <c r="W196" s="140"/>
      <c r="X196" s="94">
        <f t="shared" si="43"/>
        <v>0</v>
      </c>
      <c r="Y196" s="140"/>
      <c r="Z196" s="140">
        <f t="shared" si="53"/>
        <v>0</v>
      </c>
      <c r="AA196" s="140">
        <f t="shared" si="54"/>
        <v>0</v>
      </c>
      <c r="AB196" s="196" t="str">
        <f t="shared" si="55"/>
        <v/>
      </c>
      <c r="AC196" s="140"/>
    </row>
    <row r="197" spans="1:30">
      <c r="C197" s="79" t="s">
        <v>122</v>
      </c>
      <c r="D197" s="137">
        <f>D198+D199+D200</f>
        <v>141090</v>
      </c>
      <c r="E197" s="137">
        <f>E198+E199+E200</f>
        <v>0</v>
      </c>
      <c r="F197" s="137">
        <f t="shared" ref="F197:V197" si="64">F198+F199+F200</f>
        <v>0</v>
      </c>
      <c r="G197" s="137">
        <f t="shared" si="51"/>
        <v>141090</v>
      </c>
      <c r="H197" s="137">
        <f>H199</f>
        <v>-7500</v>
      </c>
      <c r="I197" s="137">
        <f t="shared" si="46"/>
        <v>133590</v>
      </c>
      <c r="J197" s="137">
        <f t="shared" si="64"/>
        <v>0</v>
      </c>
      <c r="K197" s="137">
        <f t="shared" si="64"/>
        <v>-10000</v>
      </c>
      <c r="L197" s="137">
        <f t="shared" ref="L197:S197" si="65">L198+L199+L200</f>
        <v>0</v>
      </c>
      <c r="M197" s="137">
        <f t="shared" si="65"/>
        <v>0</v>
      </c>
      <c r="N197" s="137"/>
      <c r="O197" s="137">
        <f t="shared" si="65"/>
        <v>0</v>
      </c>
      <c r="P197" s="137">
        <f t="shared" si="65"/>
        <v>0</v>
      </c>
      <c r="Q197" s="137">
        <f t="shared" si="65"/>
        <v>0</v>
      </c>
      <c r="R197" s="137"/>
      <c r="S197" s="137">
        <f t="shared" si="65"/>
        <v>0</v>
      </c>
      <c r="T197" s="137">
        <f t="shared" si="47"/>
        <v>-10000</v>
      </c>
      <c r="U197" s="137">
        <f t="shared" si="64"/>
        <v>0</v>
      </c>
      <c r="V197" s="137">
        <f t="shared" si="64"/>
        <v>0</v>
      </c>
      <c r="W197" s="137"/>
      <c r="X197" s="106">
        <f>G197+T197+U197+V197+W197</f>
        <v>131090</v>
      </c>
      <c r="Y197" s="137">
        <f>Y198+Y199+Y200</f>
        <v>131090</v>
      </c>
      <c r="Z197" s="137">
        <f t="shared" si="53"/>
        <v>0</v>
      </c>
      <c r="AA197" s="137">
        <f t="shared" si="54"/>
        <v>-2500</v>
      </c>
      <c r="AB197" s="192">
        <f t="shared" si="55"/>
        <v>-1.871397559697582E-2</v>
      </c>
      <c r="AC197" s="137"/>
    </row>
    <row r="198" spans="1:30">
      <c r="C198" s="58" t="s">
        <v>109</v>
      </c>
      <c r="D198" s="140">
        <v>101190</v>
      </c>
      <c r="E198" s="140"/>
      <c r="F198" s="140"/>
      <c r="G198" s="140">
        <f t="shared" si="51"/>
        <v>101190</v>
      </c>
      <c r="H198" s="140"/>
      <c r="I198" s="140">
        <f t="shared" si="46"/>
        <v>101190</v>
      </c>
      <c r="J198" s="140"/>
      <c r="K198" s="140"/>
      <c r="L198" s="140"/>
      <c r="M198" s="140"/>
      <c r="N198" s="140"/>
      <c r="O198" s="140"/>
      <c r="P198" s="140"/>
      <c r="Q198" s="140"/>
      <c r="R198" s="140"/>
      <c r="S198" s="140"/>
      <c r="T198" s="140">
        <f t="shared" si="47"/>
        <v>0</v>
      </c>
      <c r="U198" s="140"/>
      <c r="V198" s="140"/>
      <c r="W198" s="140"/>
      <c r="X198" s="94">
        <f t="shared" si="43"/>
        <v>101190</v>
      </c>
      <c r="Y198" s="140">
        <v>101190</v>
      </c>
      <c r="Z198" s="140">
        <f t="shared" si="53"/>
        <v>0</v>
      </c>
      <c r="AA198" s="140">
        <f t="shared" si="54"/>
        <v>0</v>
      </c>
      <c r="AB198" s="196">
        <f t="shared" si="55"/>
        <v>0</v>
      </c>
      <c r="AC198" s="140"/>
    </row>
    <row r="199" spans="1:30">
      <c r="C199" s="58" t="s">
        <v>111</v>
      </c>
      <c r="D199" s="140">
        <v>30000</v>
      </c>
      <c r="E199" s="140"/>
      <c r="F199" s="140"/>
      <c r="G199" s="140">
        <f t="shared" si="51"/>
        <v>30000</v>
      </c>
      <c r="H199" s="140">
        <v>-7500</v>
      </c>
      <c r="I199" s="140">
        <f t="shared" si="46"/>
        <v>22500</v>
      </c>
      <c r="J199" s="140"/>
      <c r="K199" s="140">
        <v>-10000</v>
      </c>
      <c r="L199" s="140"/>
      <c r="M199" s="140"/>
      <c r="N199" s="140"/>
      <c r="O199" s="140"/>
      <c r="P199" s="140"/>
      <c r="Q199" s="140"/>
      <c r="R199" s="140"/>
      <c r="S199" s="140"/>
      <c r="T199" s="140">
        <f>SUM(J199:S199)</f>
        <v>-10000</v>
      </c>
      <c r="U199" s="140"/>
      <c r="V199" s="140"/>
      <c r="W199" s="140"/>
      <c r="X199" s="94">
        <f t="shared" si="43"/>
        <v>20000</v>
      </c>
      <c r="Y199" s="140">
        <v>20000</v>
      </c>
      <c r="Z199" s="140">
        <f t="shared" si="53"/>
        <v>0</v>
      </c>
      <c r="AA199" s="140">
        <f t="shared" si="54"/>
        <v>-2500</v>
      </c>
      <c r="AB199" s="196">
        <f t="shared" si="55"/>
        <v>-0.1111111111111111</v>
      </c>
      <c r="AC199" s="140"/>
    </row>
    <row r="200" spans="1:30" ht="18" customHeight="1">
      <c r="C200" s="58" t="s">
        <v>142</v>
      </c>
      <c r="D200" s="140">
        <v>9900</v>
      </c>
      <c r="E200" s="140"/>
      <c r="F200" s="140"/>
      <c r="G200" s="140">
        <f t="shared" si="51"/>
        <v>9900</v>
      </c>
      <c r="H200" s="140"/>
      <c r="I200" s="140">
        <f t="shared" si="46"/>
        <v>9900</v>
      </c>
      <c r="J200" s="140"/>
      <c r="K200" s="140"/>
      <c r="L200" s="140"/>
      <c r="M200" s="140"/>
      <c r="N200" s="140"/>
      <c r="O200" s="140"/>
      <c r="P200" s="140"/>
      <c r="Q200" s="140"/>
      <c r="R200" s="140"/>
      <c r="S200" s="140"/>
      <c r="T200" s="140">
        <f t="shared" si="47"/>
        <v>0</v>
      </c>
      <c r="U200" s="140"/>
      <c r="V200" s="140"/>
      <c r="W200" s="140"/>
      <c r="X200" s="94">
        <f t="shared" si="43"/>
        <v>9900</v>
      </c>
      <c r="Y200" s="140">
        <v>9900</v>
      </c>
      <c r="Z200" s="140">
        <f t="shared" si="53"/>
        <v>0</v>
      </c>
      <c r="AA200" s="140">
        <f t="shared" si="54"/>
        <v>0</v>
      </c>
      <c r="AB200" s="196">
        <f t="shared" si="55"/>
        <v>0</v>
      </c>
      <c r="AC200" s="140"/>
    </row>
    <row r="201" spans="1:30" s="130" customFormat="1" ht="18" customHeight="1">
      <c r="C201" s="58"/>
      <c r="D201" s="140"/>
      <c r="E201" s="140"/>
      <c r="F201" s="140"/>
      <c r="G201" s="140"/>
      <c r="H201" s="140"/>
      <c r="I201" s="140">
        <f t="shared" si="46"/>
        <v>0</v>
      </c>
      <c r="J201" s="140"/>
      <c r="K201" s="140"/>
      <c r="L201" s="140"/>
      <c r="M201" s="140"/>
      <c r="N201" s="140"/>
      <c r="O201" s="140"/>
      <c r="P201" s="140"/>
      <c r="Q201" s="140"/>
      <c r="R201" s="140"/>
      <c r="S201" s="140"/>
      <c r="T201" s="140"/>
      <c r="U201" s="140"/>
      <c r="V201" s="140"/>
      <c r="W201" s="140"/>
      <c r="X201" s="94">
        <f t="shared" si="43"/>
        <v>0</v>
      </c>
      <c r="Y201" s="140"/>
      <c r="Z201" s="140">
        <f t="shared" si="53"/>
        <v>0</v>
      </c>
      <c r="AA201" s="140">
        <f t="shared" si="54"/>
        <v>0</v>
      </c>
      <c r="AB201" s="196" t="str">
        <f t="shared" si="55"/>
        <v/>
      </c>
      <c r="AC201" s="140"/>
    </row>
    <row r="202" spans="1:30" s="130" customFormat="1" ht="38.25">
      <c r="A202" s="130" t="s">
        <v>114</v>
      </c>
      <c r="B202" s="130" t="s">
        <v>28</v>
      </c>
      <c r="C202" s="216" t="s">
        <v>202</v>
      </c>
      <c r="D202" s="108"/>
      <c r="E202" s="108"/>
      <c r="F202" s="108"/>
      <c r="G202" s="108"/>
      <c r="H202" s="108">
        <v>19000</v>
      </c>
      <c r="I202" s="108">
        <f t="shared" si="46"/>
        <v>19000</v>
      </c>
      <c r="J202" s="108"/>
      <c r="K202" s="108"/>
      <c r="L202" s="108"/>
      <c r="M202" s="108"/>
      <c r="N202" s="108"/>
      <c r="O202" s="108"/>
      <c r="P202" s="108"/>
      <c r="Q202" s="108"/>
      <c r="R202" s="108"/>
      <c r="S202" s="108"/>
      <c r="T202" s="108">
        <f t="shared" ref="T202:T203" si="66">SUM(J202:S202)</f>
        <v>0</v>
      </c>
      <c r="U202" s="108"/>
      <c r="V202" s="108"/>
      <c r="W202" s="108"/>
      <c r="X202" s="244">
        <f t="shared" si="43"/>
        <v>0</v>
      </c>
      <c r="Y202" s="108"/>
      <c r="Z202" s="108">
        <f t="shared" si="53"/>
        <v>0</v>
      </c>
      <c r="AA202" s="133">
        <f t="shared" si="54"/>
        <v>-19000</v>
      </c>
      <c r="AB202" s="214">
        <f t="shared" si="55"/>
        <v>-1</v>
      </c>
      <c r="AC202" s="108"/>
    </row>
    <row r="203" spans="1:30" s="130" customFormat="1">
      <c r="C203" s="46"/>
      <c r="D203" s="138"/>
      <c r="E203" s="138"/>
      <c r="F203" s="138"/>
      <c r="G203" s="138"/>
      <c r="H203" s="138"/>
      <c r="I203" s="138">
        <f t="shared" si="46"/>
        <v>0</v>
      </c>
      <c r="J203" s="138"/>
      <c r="K203" s="138"/>
      <c r="L203" s="138"/>
      <c r="M203" s="138"/>
      <c r="N203" s="138"/>
      <c r="O203" s="138"/>
      <c r="P203" s="138"/>
      <c r="Q203" s="138"/>
      <c r="R203" s="138"/>
      <c r="S203" s="138"/>
      <c r="T203" s="138">
        <f t="shared" si="66"/>
        <v>0</v>
      </c>
      <c r="U203" s="138"/>
      <c r="V203" s="138"/>
      <c r="W203" s="138"/>
      <c r="X203" s="139">
        <f t="shared" ref="X203:X261" si="67">G203+T203+U203+V203+W203</f>
        <v>0</v>
      </c>
      <c r="Y203" s="138"/>
      <c r="Z203" s="138">
        <f t="shared" si="53"/>
        <v>0</v>
      </c>
      <c r="AA203" s="138">
        <f t="shared" si="54"/>
        <v>0</v>
      </c>
      <c r="AB203" s="193" t="str">
        <f t="shared" si="55"/>
        <v/>
      </c>
      <c r="AC203" s="138"/>
    </row>
    <row r="204" spans="1:30">
      <c r="C204" s="78"/>
      <c r="D204" s="137"/>
      <c r="E204" s="137"/>
      <c r="F204" s="137"/>
      <c r="G204" s="137">
        <f t="shared" si="51"/>
        <v>0</v>
      </c>
      <c r="H204" s="137"/>
      <c r="I204" s="137">
        <f t="shared" si="46"/>
        <v>0</v>
      </c>
      <c r="J204" s="137"/>
      <c r="K204" s="137"/>
      <c r="L204" s="137"/>
      <c r="M204" s="137"/>
      <c r="N204" s="137"/>
      <c r="O204" s="137"/>
      <c r="P204" s="137"/>
      <c r="Q204" s="137"/>
      <c r="R204" s="137"/>
      <c r="S204" s="137"/>
      <c r="T204" s="137">
        <f t="shared" si="47"/>
        <v>0</v>
      </c>
      <c r="U204" s="137"/>
      <c r="V204" s="137"/>
      <c r="W204" s="137"/>
      <c r="X204" s="106">
        <f t="shared" si="67"/>
        <v>0</v>
      </c>
      <c r="Y204" s="137"/>
      <c r="Z204" s="137">
        <f t="shared" si="53"/>
        <v>0</v>
      </c>
      <c r="AA204" s="137">
        <f t="shared" si="54"/>
        <v>0</v>
      </c>
      <c r="AB204" s="192" t="str">
        <f t="shared" si="55"/>
        <v/>
      </c>
      <c r="AC204" s="137"/>
    </row>
    <row r="205" spans="1:30" s="130" customFormat="1">
      <c r="A205" s="4" t="s">
        <v>114</v>
      </c>
      <c r="B205" s="4" t="s">
        <v>28</v>
      </c>
      <c r="C205" s="78" t="s">
        <v>4</v>
      </c>
      <c r="D205" s="137">
        <f>SUM(D206:D208)</f>
        <v>82830</v>
      </c>
      <c r="E205" s="137">
        <f>E206+E207+E208</f>
        <v>0</v>
      </c>
      <c r="F205" s="137">
        <f t="shared" ref="F205:V205" si="68">F206+F207+F208</f>
        <v>0</v>
      </c>
      <c r="G205" s="137">
        <f t="shared" si="51"/>
        <v>82830</v>
      </c>
      <c r="H205" s="137"/>
      <c r="I205" s="137">
        <f t="shared" si="46"/>
        <v>82830</v>
      </c>
      <c r="J205" s="137">
        <f t="shared" si="68"/>
        <v>0</v>
      </c>
      <c r="K205" s="137">
        <f t="shared" si="68"/>
        <v>0</v>
      </c>
      <c r="L205" s="137">
        <f t="shared" ref="L205:S205" si="69">L206+L207+L208</f>
        <v>0</v>
      </c>
      <c r="M205" s="137">
        <f t="shared" si="69"/>
        <v>0</v>
      </c>
      <c r="N205" s="137"/>
      <c r="O205" s="137">
        <f t="shared" si="69"/>
        <v>0</v>
      </c>
      <c r="P205" s="137">
        <f t="shared" si="69"/>
        <v>0</v>
      </c>
      <c r="Q205" s="137">
        <f t="shared" si="69"/>
        <v>0</v>
      </c>
      <c r="R205" s="137"/>
      <c r="S205" s="137">
        <f t="shared" si="69"/>
        <v>0</v>
      </c>
      <c r="T205" s="137">
        <f t="shared" si="47"/>
        <v>0</v>
      </c>
      <c r="U205" s="137">
        <f t="shared" si="68"/>
        <v>0</v>
      </c>
      <c r="V205" s="137">
        <f t="shared" si="68"/>
        <v>0</v>
      </c>
      <c r="W205" s="137"/>
      <c r="X205" s="106">
        <f>G205+T205+U205+V205+W205</f>
        <v>82830</v>
      </c>
      <c r="Y205" s="137">
        <f>SUM(Y206:Y208)</f>
        <v>82830</v>
      </c>
      <c r="Z205" s="137">
        <f t="shared" si="53"/>
        <v>0</v>
      </c>
      <c r="AA205" s="137">
        <f t="shared" si="54"/>
        <v>0</v>
      </c>
      <c r="AB205" s="192">
        <f t="shared" si="55"/>
        <v>0</v>
      </c>
      <c r="AC205" s="137"/>
      <c r="AD205" s="4"/>
    </row>
    <row r="206" spans="1:30" s="130" customFormat="1">
      <c r="A206" s="4"/>
      <c r="B206" s="4"/>
      <c r="C206" s="84" t="s">
        <v>140</v>
      </c>
      <c r="D206" s="103">
        <v>17570</v>
      </c>
      <c r="E206" s="103"/>
      <c r="F206" s="103"/>
      <c r="G206" s="103">
        <f t="shared" si="51"/>
        <v>17570</v>
      </c>
      <c r="H206" s="103"/>
      <c r="I206" s="103">
        <f t="shared" si="46"/>
        <v>17570</v>
      </c>
      <c r="J206" s="103"/>
      <c r="K206" s="103"/>
      <c r="L206" s="103"/>
      <c r="M206" s="103"/>
      <c r="N206" s="103"/>
      <c r="O206" s="103"/>
      <c r="P206" s="103"/>
      <c r="Q206" s="103"/>
      <c r="R206" s="103"/>
      <c r="S206" s="103"/>
      <c r="T206" s="103">
        <f t="shared" si="47"/>
        <v>0</v>
      </c>
      <c r="U206" s="103"/>
      <c r="V206" s="103"/>
      <c r="W206" s="103"/>
      <c r="X206" s="107">
        <f t="shared" si="67"/>
        <v>17570</v>
      </c>
      <c r="Y206" s="103">
        <v>17570</v>
      </c>
      <c r="Z206" s="103">
        <f t="shared" si="53"/>
        <v>0</v>
      </c>
      <c r="AA206" s="103">
        <f t="shared" si="54"/>
        <v>0</v>
      </c>
      <c r="AB206" s="207">
        <f t="shared" si="55"/>
        <v>0</v>
      </c>
      <c r="AC206" s="103"/>
      <c r="AD206" s="4"/>
    </row>
    <row r="207" spans="1:30" s="130" customFormat="1">
      <c r="A207" s="4"/>
      <c r="B207" s="4"/>
      <c r="C207" s="85" t="s">
        <v>51</v>
      </c>
      <c r="D207" s="145">
        <v>30260</v>
      </c>
      <c r="E207" s="145"/>
      <c r="F207" s="145"/>
      <c r="G207" s="145">
        <f t="shared" si="51"/>
        <v>30260</v>
      </c>
      <c r="H207" s="145"/>
      <c r="I207" s="145">
        <f t="shared" si="46"/>
        <v>30260</v>
      </c>
      <c r="J207" s="145"/>
      <c r="K207" s="145"/>
      <c r="L207" s="145"/>
      <c r="M207" s="145"/>
      <c r="N207" s="145"/>
      <c r="O207" s="145"/>
      <c r="P207" s="145"/>
      <c r="Q207" s="145"/>
      <c r="R207" s="145"/>
      <c r="S207" s="145"/>
      <c r="T207" s="145">
        <f t="shared" si="47"/>
        <v>0</v>
      </c>
      <c r="U207" s="145"/>
      <c r="V207" s="145"/>
      <c r="W207" s="145"/>
      <c r="X207" s="231">
        <f t="shared" si="67"/>
        <v>30260</v>
      </c>
      <c r="Y207" s="145">
        <v>30260</v>
      </c>
      <c r="Z207" s="145">
        <f t="shared" si="53"/>
        <v>0</v>
      </c>
      <c r="AA207" s="145">
        <f t="shared" si="54"/>
        <v>0</v>
      </c>
      <c r="AB207" s="204">
        <f t="shared" si="55"/>
        <v>0</v>
      </c>
      <c r="AC207" s="145"/>
      <c r="AD207" s="4"/>
    </row>
    <row r="208" spans="1:30">
      <c r="C208" s="86" t="s">
        <v>123</v>
      </c>
      <c r="D208" s="104">
        <v>35000</v>
      </c>
      <c r="E208" s="104"/>
      <c r="F208" s="104"/>
      <c r="G208" s="104">
        <f t="shared" si="51"/>
        <v>35000</v>
      </c>
      <c r="H208" s="104"/>
      <c r="I208" s="104">
        <f t="shared" si="46"/>
        <v>35000</v>
      </c>
      <c r="J208" s="104"/>
      <c r="K208" s="104"/>
      <c r="L208" s="104"/>
      <c r="M208" s="104"/>
      <c r="N208" s="104"/>
      <c r="O208" s="104"/>
      <c r="P208" s="104"/>
      <c r="Q208" s="104"/>
      <c r="R208" s="104"/>
      <c r="S208" s="104"/>
      <c r="T208" s="104">
        <f t="shared" si="47"/>
        <v>0</v>
      </c>
      <c r="U208" s="104"/>
      <c r="V208" s="104"/>
      <c r="W208" s="104"/>
      <c r="X208" s="245">
        <f t="shared" si="67"/>
        <v>35000</v>
      </c>
      <c r="Y208" s="104">
        <v>35000</v>
      </c>
      <c r="Z208" s="104">
        <f t="shared" si="53"/>
        <v>0</v>
      </c>
      <c r="AA208" s="221">
        <f t="shared" si="54"/>
        <v>0</v>
      </c>
      <c r="AB208" s="303">
        <f t="shared" si="55"/>
        <v>0</v>
      </c>
      <c r="AC208" s="104"/>
    </row>
    <row r="209" spans="1:30" s="130" customFormat="1">
      <c r="C209" s="86"/>
      <c r="D209" s="104"/>
      <c r="E209" s="104"/>
      <c r="F209" s="104"/>
      <c r="G209" s="104"/>
      <c r="H209" s="104"/>
      <c r="I209" s="104"/>
      <c r="J209" s="104"/>
      <c r="K209" s="104"/>
      <c r="L209" s="104"/>
      <c r="M209" s="104"/>
      <c r="N209" s="104"/>
      <c r="O209" s="104"/>
      <c r="P209" s="104"/>
      <c r="Q209" s="104"/>
      <c r="R209" s="104"/>
      <c r="S209" s="104"/>
      <c r="T209" s="104"/>
      <c r="U209" s="104"/>
      <c r="V209" s="104"/>
      <c r="W209" s="104"/>
      <c r="X209" s="245"/>
      <c r="Y209" s="104"/>
      <c r="Z209" s="104">
        <f t="shared" si="53"/>
        <v>0</v>
      </c>
      <c r="AA209" s="221">
        <f t="shared" si="54"/>
        <v>0</v>
      </c>
      <c r="AB209" s="303" t="str">
        <f t="shared" si="55"/>
        <v/>
      </c>
      <c r="AC209" s="104"/>
    </row>
    <row r="210" spans="1:30" s="130" customFormat="1" ht="25.5">
      <c r="A210" s="130" t="s">
        <v>114</v>
      </c>
      <c r="B210" s="130" t="s">
        <v>28</v>
      </c>
      <c r="C210" s="89" t="s">
        <v>315</v>
      </c>
      <c r="D210" s="104"/>
      <c r="E210" s="104"/>
      <c r="F210" s="104"/>
      <c r="G210" s="104"/>
      <c r="H210" s="104"/>
      <c r="I210" s="104"/>
      <c r="J210" s="108"/>
      <c r="K210" s="133">
        <f>40000+10000</f>
        <v>50000</v>
      </c>
      <c r="L210" s="133"/>
      <c r="M210" s="133"/>
      <c r="N210" s="133"/>
      <c r="O210" s="133"/>
      <c r="P210" s="133"/>
      <c r="Q210" s="133"/>
      <c r="R210" s="133"/>
      <c r="S210" s="133"/>
      <c r="T210" s="133">
        <f>SUM(J210:S210)</f>
        <v>50000</v>
      </c>
      <c r="U210" s="133"/>
      <c r="V210" s="133"/>
      <c r="W210" s="133"/>
      <c r="X210" s="226">
        <f>T210+U210+V210+W210</f>
        <v>50000</v>
      </c>
      <c r="Y210" s="133">
        <v>50000</v>
      </c>
      <c r="Z210" s="133">
        <f t="shared" si="53"/>
        <v>0</v>
      </c>
      <c r="AA210" s="133">
        <f t="shared" si="54"/>
        <v>50000</v>
      </c>
      <c r="AB210" s="194" t="str">
        <f t="shared" si="55"/>
        <v/>
      </c>
      <c r="AC210" s="133"/>
    </row>
    <row r="211" spans="1:30" s="130" customFormat="1">
      <c r="C211" s="46" t="s">
        <v>34</v>
      </c>
      <c r="D211" s="104"/>
      <c r="E211" s="104"/>
      <c r="F211" s="104"/>
      <c r="G211" s="104"/>
      <c r="H211" s="104"/>
      <c r="I211" s="104"/>
      <c r="J211" s="104"/>
      <c r="K211" s="405">
        <v>16800</v>
      </c>
      <c r="L211" s="405"/>
      <c r="M211" s="405"/>
      <c r="N211" s="405"/>
      <c r="O211" s="405"/>
      <c r="P211" s="405"/>
      <c r="Q211" s="405"/>
      <c r="R211" s="405"/>
      <c r="S211" s="405"/>
      <c r="T211" s="405">
        <f>SUM(K211:S211)</f>
        <v>16800</v>
      </c>
      <c r="U211" s="405"/>
      <c r="V211" s="405"/>
      <c r="W211" s="405"/>
      <c r="X211" s="406">
        <f>T211+U211+V211+W211</f>
        <v>16800</v>
      </c>
      <c r="Y211" s="405">
        <v>16800</v>
      </c>
      <c r="Z211" s="405">
        <f t="shared" si="53"/>
        <v>0</v>
      </c>
      <c r="AA211" s="110">
        <f t="shared" si="54"/>
        <v>16800</v>
      </c>
      <c r="AB211" s="407" t="str">
        <f t="shared" si="55"/>
        <v/>
      </c>
      <c r="AC211" s="405"/>
      <c r="AD211" s="408"/>
    </row>
    <row r="212" spans="1:30" s="130" customFormat="1">
      <c r="C212" s="86"/>
      <c r="D212" s="104"/>
      <c r="E212" s="104"/>
      <c r="F212" s="104"/>
      <c r="G212" s="104"/>
      <c r="H212" s="104"/>
      <c r="I212" s="104">
        <f t="shared" si="46"/>
        <v>0</v>
      </c>
      <c r="J212" s="104"/>
      <c r="K212" s="104"/>
      <c r="L212" s="104"/>
      <c r="M212" s="104"/>
      <c r="N212" s="104"/>
      <c r="O212" s="104"/>
      <c r="P212" s="104"/>
      <c r="Q212" s="104"/>
      <c r="R212" s="104"/>
      <c r="S212" s="104"/>
      <c r="T212" s="104">
        <f t="shared" si="47"/>
        <v>0</v>
      </c>
      <c r="U212" s="104"/>
      <c r="V212" s="104"/>
      <c r="W212" s="104"/>
      <c r="X212" s="245">
        <f t="shared" si="67"/>
        <v>0</v>
      </c>
      <c r="Y212" s="104"/>
      <c r="Z212" s="104">
        <f t="shared" si="53"/>
        <v>0</v>
      </c>
      <c r="AA212" s="221">
        <f t="shared" si="54"/>
        <v>0</v>
      </c>
      <c r="AB212" s="303" t="str">
        <f t="shared" si="55"/>
        <v/>
      </c>
      <c r="AC212" s="104"/>
    </row>
    <row r="213" spans="1:30" s="130" customFormat="1" ht="38.25">
      <c r="A213" s="130" t="s">
        <v>114</v>
      </c>
      <c r="B213" s="130" t="s">
        <v>28</v>
      </c>
      <c r="C213" s="216" t="s">
        <v>203</v>
      </c>
      <c r="D213" s="108"/>
      <c r="E213" s="108"/>
      <c r="F213" s="108"/>
      <c r="G213" s="108"/>
      <c r="H213" s="108">
        <v>87926</v>
      </c>
      <c r="I213" s="108">
        <f t="shared" si="46"/>
        <v>87926</v>
      </c>
      <c r="J213" s="108"/>
      <c r="K213" s="108"/>
      <c r="L213" s="108"/>
      <c r="M213" s="108"/>
      <c r="N213" s="108"/>
      <c r="O213" s="108"/>
      <c r="P213" s="108"/>
      <c r="Q213" s="108"/>
      <c r="R213" s="108"/>
      <c r="S213" s="108"/>
      <c r="T213" s="108">
        <f t="shared" si="47"/>
        <v>0</v>
      </c>
      <c r="U213" s="108"/>
      <c r="V213" s="108"/>
      <c r="W213" s="108"/>
      <c r="X213" s="244">
        <f t="shared" si="67"/>
        <v>0</v>
      </c>
      <c r="Y213" s="108"/>
      <c r="Z213" s="108">
        <f t="shared" si="53"/>
        <v>0</v>
      </c>
      <c r="AA213" s="133">
        <f t="shared" si="54"/>
        <v>-87926</v>
      </c>
      <c r="AB213" s="214">
        <f t="shared" si="55"/>
        <v>-1</v>
      </c>
      <c r="AC213" s="108"/>
    </row>
    <row r="214" spans="1:30" s="130" customFormat="1">
      <c r="C214" s="46" t="s">
        <v>34</v>
      </c>
      <c r="D214" s="138"/>
      <c r="E214" s="138"/>
      <c r="F214" s="138"/>
      <c r="G214" s="138"/>
      <c r="H214" s="138">
        <v>28645</v>
      </c>
      <c r="I214" s="138">
        <f t="shared" si="46"/>
        <v>28645</v>
      </c>
      <c r="J214" s="138"/>
      <c r="K214" s="138"/>
      <c r="L214" s="138"/>
      <c r="M214" s="138"/>
      <c r="N214" s="138"/>
      <c r="O214" s="138"/>
      <c r="P214" s="138"/>
      <c r="Q214" s="138"/>
      <c r="R214" s="138"/>
      <c r="S214" s="138"/>
      <c r="T214" s="138">
        <f t="shared" si="47"/>
        <v>0</v>
      </c>
      <c r="U214" s="138"/>
      <c r="V214" s="138"/>
      <c r="W214" s="138"/>
      <c r="X214" s="139">
        <f t="shared" si="67"/>
        <v>0</v>
      </c>
      <c r="Y214" s="138"/>
      <c r="Z214" s="138">
        <f t="shared" si="53"/>
        <v>0</v>
      </c>
      <c r="AA214" s="138">
        <f t="shared" si="54"/>
        <v>-28645</v>
      </c>
      <c r="AB214" s="193">
        <f t="shared" si="55"/>
        <v>-1</v>
      </c>
      <c r="AC214" s="138"/>
    </row>
    <row r="215" spans="1:30" s="130" customFormat="1">
      <c r="C215" s="46"/>
      <c r="D215" s="138"/>
      <c r="E215" s="138"/>
      <c r="F215" s="138"/>
      <c r="G215" s="138"/>
      <c r="H215" s="138"/>
      <c r="I215" s="138">
        <f t="shared" si="46"/>
        <v>0</v>
      </c>
      <c r="J215" s="138"/>
      <c r="K215" s="138"/>
      <c r="L215" s="138"/>
      <c r="M215" s="138"/>
      <c r="N215" s="138"/>
      <c r="O215" s="138"/>
      <c r="P215" s="138"/>
      <c r="Q215" s="138"/>
      <c r="R215" s="138"/>
      <c r="S215" s="138"/>
      <c r="T215" s="138"/>
      <c r="U215" s="138"/>
      <c r="V215" s="138"/>
      <c r="W215" s="138"/>
      <c r="X215" s="139">
        <f t="shared" si="67"/>
        <v>0</v>
      </c>
      <c r="Y215" s="138"/>
      <c r="Z215" s="138">
        <f t="shared" si="53"/>
        <v>0</v>
      </c>
      <c r="AA215" s="138">
        <f t="shared" si="54"/>
        <v>0</v>
      </c>
      <c r="AB215" s="193" t="str">
        <f t="shared" si="55"/>
        <v/>
      </c>
      <c r="AC215" s="138"/>
    </row>
    <row r="216" spans="1:30" s="130" customFormat="1">
      <c r="C216" s="47" t="s">
        <v>36</v>
      </c>
      <c r="D216" s="138"/>
      <c r="E216" s="138"/>
      <c r="F216" s="138"/>
      <c r="G216" s="138"/>
      <c r="H216" s="138">
        <v>87926</v>
      </c>
      <c r="I216" s="138">
        <f t="shared" si="46"/>
        <v>87926</v>
      </c>
      <c r="J216" s="138"/>
      <c r="K216" s="138"/>
      <c r="L216" s="138"/>
      <c r="M216" s="138"/>
      <c r="N216" s="138"/>
      <c r="O216" s="138"/>
      <c r="P216" s="138"/>
      <c r="Q216" s="138"/>
      <c r="R216" s="138"/>
      <c r="S216" s="138"/>
      <c r="T216" s="138"/>
      <c r="U216" s="138"/>
      <c r="V216" s="138"/>
      <c r="W216" s="138"/>
      <c r="X216" s="139">
        <f t="shared" si="67"/>
        <v>0</v>
      </c>
      <c r="Y216" s="138"/>
      <c r="Z216" s="138">
        <f t="shared" si="53"/>
        <v>0</v>
      </c>
      <c r="AA216" s="138">
        <f t="shared" si="54"/>
        <v>-87926</v>
      </c>
      <c r="AB216" s="193">
        <f t="shared" si="55"/>
        <v>-1</v>
      </c>
      <c r="AC216" s="138"/>
    </row>
    <row r="217" spans="1:30">
      <c r="C217" s="86"/>
      <c r="D217" s="104"/>
      <c r="E217" s="104"/>
      <c r="F217" s="104"/>
      <c r="G217" s="104">
        <f t="shared" si="51"/>
        <v>0</v>
      </c>
      <c r="H217" s="104"/>
      <c r="I217" s="104">
        <f t="shared" ref="I217:I261" si="70">D217+H217</f>
        <v>0</v>
      </c>
      <c r="J217" s="104"/>
      <c r="K217" s="104"/>
      <c r="L217" s="104"/>
      <c r="M217" s="104"/>
      <c r="N217" s="104"/>
      <c r="O217" s="104"/>
      <c r="P217" s="104"/>
      <c r="Q217" s="104"/>
      <c r="R217" s="104"/>
      <c r="S217" s="104"/>
      <c r="T217" s="104">
        <f t="shared" si="47"/>
        <v>0</v>
      </c>
      <c r="U217" s="104"/>
      <c r="V217" s="104"/>
      <c r="W217" s="104"/>
      <c r="X217" s="245">
        <f t="shared" si="67"/>
        <v>0</v>
      </c>
      <c r="Y217" s="104"/>
      <c r="Z217" s="104">
        <f t="shared" si="53"/>
        <v>0</v>
      </c>
      <c r="AA217" s="221">
        <f t="shared" si="54"/>
        <v>0</v>
      </c>
      <c r="AB217" s="303" t="str">
        <f t="shared" si="55"/>
        <v/>
      </c>
      <c r="AC217" s="104"/>
    </row>
    <row r="218" spans="1:30" ht="38.25">
      <c r="A218" s="4" t="s">
        <v>114</v>
      </c>
      <c r="B218" s="4" t="s">
        <v>28</v>
      </c>
      <c r="C218" s="89" t="s">
        <v>124</v>
      </c>
      <c r="D218" s="141">
        <v>328000</v>
      </c>
      <c r="E218" s="141"/>
      <c r="F218" s="141"/>
      <c r="G218" s="141">
        <f t="shared" si="51"/>
        <v>328000</v>
      </c>
      <c r="H218" s="141">
        <v>-328000</v>
      </c>
      <c r="I218" s="141">
        <f t="shared" si="70"/>
        <v>0</v>
      </c>
      <c r="J218" s="141"/>
      <c r="K218" s="141"/>
      <c r="L218" s="141"/>
      <c r="M218" s="141"/>
      <c r="N218" s="141"/>
      <c r="O218" s="141"/>
      <c r="P218" s="141">
        <v>-328000</v>
      </c>
      <c r="Q218" s="141"/>
      <c r="R218" s="141"/>
      <c r="S218" s="141"/>
      <c r="T218" s="141">
        <f t="shared" si="47"/>
        <v>-328000</v>
      </c>
      <c r="U218" s="141"/>
      <c r="V218" s="141"/>
      <c r="W218" s="141"/>
      <c r="X218" s="228">
        <f t="shared" si="67"/>
        <v>0</v>
      </c>
      <c r="Y218" s="141"/>
      <c r="Z218" s="141">
        <f t="shared" si="53"/>
        <v>0</v>
      </c>
      <c r="AA218" s="141">
        <f t="shared" si="54"/>
        <v>0</v>
      </c>
      <c r="AB218" s="197" t="str">
        <f t="shared" si="55"/>
        <v/>
      </c>
      <c r="AC218" s="141"/>
    </row>
    <row r="219" spans="1:30">
      <c r="C219" s="46" t="s">
        <v>34</v>
      </c>
      <c r="D219" s="138">
        <v>246060</v>
      </c>
      <c r="E219" s="138"/>
      <c r="F219" s="138"/>
      <c r="G219" s="138">
        <f t="shared" si="51"/>
        <v>246060</v>
      </c>
      <c r="H219" s="138">
        <v>-246060</v>
      </c>
      <c r="I219" s="138">
        <f t="shared" si="70"/>
        <v>0</v>
      </c>
      <c r="J219" s="138"/>
      <c r="K219" s="138"/>
      <c r="L219" s="138"/>
      <c r="M219" s="138"/>
      <c r="N219" s="138"/>
      <c r="O219" s="138"/>
      <c r="P219" s="138">
        <v>-246060</v>
      </c>
      <c r="Q219" s="138"/>
      <c r="R219" s="138"/>
      <c r="S219" s="138"/>
      <c r="T219" s="138">
        <f t="shared" si="47"/>
        <v>-246060</v>
      </c>
      <c r="U219" s="138"/>
      <c r="V219" s="138"/>
      <c r="W219" s="138"/>
      <c r="X219" s="139">
        <f t="shared" si="67"/>
        <v>0</v>
      </c>
      <c r="Y219" s="138"/>
      <c r="Z219" s="138">
        <f t="shared" si="53"/>
        <v>0</v>
      </c>
      <c r="AA219" s="138">
        <f t="shared" si="54"/>
        <v>0</v>
      </c>
      <c r="AB219" s="193" t="str">
        <f t="shared" si="55"/>
        <v/>
      </c>
      <c r="AC219" s="138"/>
    </row>
    <row r="220" spans="1:30">
      <c r="C220" s="85"/>
      <c r="D220" s="145"/>
      <c r="E220" s="145"/>
      <c r="F220" s="145"/>
      <c r="G220" s="145">
        <f t="shared" si="51"/>
        <v>0</v>
      </c>
      <c r="H220" s="145"/>
      <c r="I220" s="145">
        <f t="shared" si="70"/>
        <v>0</v>
      </c>
      <c r="J220" s="145"/>
      <c r="K220" s="145"/>
      <c r="L220" s="145"/>
      <c r="M220" s="145"/>
      <c r="N220" s="145"/>
      <c r="O220" s="145"/>
      <c r="P220" s="145"/>
      <c r="Q220" s="145"/>
      <c r="R220" s="145"/>
      <c r="S220" s="145"/>
      <c r="T220" s="145">
        <f t="shared" si="47"/>
        <v>0</v>
      </c>
      <c r="U220" s="145"/>
      <c r="V220" s="145"/>
      <c r="W220" s="145"/>
      <c r="X220" s="231">
        <f t="shared" si="67"/>
        <v>0</v>
      </c>
      <c r="Y220" s="145"/>
      <c r="Z220" s="145">
        <f t="shared" si="53"/>
        <v>0</v>
      </c>
      <c r="AA220" s="145">
        <f t="shared" si="54"/>
        <v>0</v>
      </c>
      <c r="AB220" s="204" t="str">
        <f t="shared" si="55"/>
        <v/>
      </c>
      <c r="AC220" s="145"/>
    </row>
    <row r="221" spans="1:30">
      <c r="A221" s="4" t="s">
        <v>116</v>
      </c>
      <c r="B221" s="4" t="s">
        <v>28</v>
      </c>
      <c r="C221" s="87" t="s">
        <v>179</v>
      </c>
      <c r="D221" s="105">
        <f>D223+D226+D243+D245+D247+D249+D251+D253+D255+D257+D259</f>
        <v>2171125</v>
      </c>
      <c r="E221" s="105">
        <f>E223+E226+E243+E245+E247+E249+E251+E253+E255+E257+E259</f>
        <v>0</v>
      </c>
      <c r="F221" s="105">
        <f>F223+F226+F243+F245+F247+F249+F251+F253+F255+F257+F259</f>
        <v>248975</v>
      </c>
      <c r="G221" s="105">
        <f t="shared" si="51"/>
        <v>1922150</v>
      </c>
      <c r="H221" s="105">
        <f>H223+H226+H243+H245+H247+H249+H251+H253+H255+H257+H259</f>
        <v>8100461</v>
      </c>
      <c r="I221" s="105">
        <f t="shared" si="70"/>
        <v>10271586</v>
      </c>
      <c r="J221" s="105">
        <f>J223+J226+J243+J245+J247+J249+J251+J253+J255+J257+J259</f>
        <v>-40000</v>
      </c>
      <c r="K221" s="105">
        <f>K223+K226+K243+K245+K247+K249+K251+K253+K255+K257+K259</f>
        <v>0</v>
      </c>
      <c r="L221" s="105">
        <f>L223+L226+L243+L245+L247+L249+L251+L253+L255+L257+L259</f>
        <v>0</v>
      </c>
      <c r="M221" s="105">
        <f>M223+M226+M243+M245+M247+M249+M251+M253+M255+M257+M259</f>
        <v>0</v>
      </c>
      <c r="N221" s="105"/>
      <c r="O221" s="105">
        <f>O223+O226+O243+O245+O247+O249+O251+O253+O255+O257+O259</f>
        <v>0</v>
      </c>
      <c r="P221" s="105">
        <f>P223+P226+P243+P245+P247+P249+P251+P253+P255+P257+P259</f>
        <v>0</v>
      </c>
      <c r="Q221" s="105">
        <f>Q223+Q226+Q243+Q245+Q247+Q249+Q251+Q253+Q255+Q257+Q259</f>
        <v>0</v>
      </c>
      <c r="R221" s="105"/>
      <c r="S221" s="105">
        <f>S223+S226+S243+S245+S247+S249+S251+S253+S255+S257+S259</f>
        <v>0</v>
      </c>
      <c r="T221" s="105">
        <f>SUM(J221:S221)</f>
        <v>-40000</v>
      </c>
      <c r="U221" s="105">
        <f>U223+U226+U243+U245+U247+U249+U251+U253+U255+U257+U259</f>
        <v>8271660</v>
      </c>
      <c r="V221" s="105">
        <f>V223+V226+V243+V245+V247+V249+V251+V253+V255+V257+V259</f>
        <v>0</v>
      </c>
      <c r="W221" s="105">
        <f>W223+W226+W243+W245+W247+W249+W251+W253+W255+W257+W259</f>
        <v>0</v>
      </c>
      <c r="X221" s="246">
        <f t="shared" si="67"/>
        <v>10153810</v>
      </c>
      <c r="Y221" s="105">
        <f>Y223+Y226+Y243+Y245+Y247+Y249+Y251+Y253+Y255+Y257+Y259</f>
        <v>10153810</v>
      </c>
      <c r="Z221" s="105">
        <f t="shared" si="53"/>
        <v>0</v>
      </c>
      <c r="AA221" s="105">
        <f t="shared" si="54"/>
        <v>-117776</v>
      </c>
      <c r="AB221" s="213">
        <f t="shared" si="55"/>
        <v>-1.1466194217718665E-2</v>
      </c>
      <c r="AC221" s="105"/>
    </row>
    <row r="222" spans="1:30">
      <c r="C222" s="87"/>
      <c r="D222" s="105"/>
      <c r="E222" s="105"/>
      <c r="F222" s="105"/>
      <c r="G222" s="105">
        <f t="shared" si="51"/>
        <v>0</v>
      </c>
      <c r="H222" s="105"/>
      <c r="I222" s="105">
        <f t="shared" si="70"/>
        <v>0</v>
      </c>
      <c r="J222" s="105"/>
      <c r="K222" s="105"/>
      <c r="L222" s="105"/>
      <c r="M222" s="105"/>
      <c r="N222" s="105"/>
      <c r="O222" s="105"/>
      <c r="P222" s="105"/>
      <c r="Q222" s="105"/>
      <c r="R222" s="105"/>
      <c r="S222" s="105"/>
      <c r="T222" s="105">
        <f t="shared" si="47"/>
        <v>0</v>
      </c>
      <c r="U222" s="105"/>
      <c r="V222" s="105"/>
      <c r="W222" s="105"/>
      <c r="X222" s="246">
        <f t="shared" si="67"/>
        <v>0</v>
      </c>
      <c r="Y222" s="105"/>
      <c r="Z222" s="105">
        <f t="shared" si="53"/>
        <v>0</v>
      </c>
      <c r="AA222" s="105">
        <f t="shared" si="54"/>
        <v>0</v>
      </c>
      <c r="AB222" s="213" t="str">
        <f t="shared" si="55"/>
        <v/>
      </c>
      <c r="AC222" s="105"/>
    </row>
    <row r="223" spans="1:30">
      <c r="C223" s="78" t="s">
        <v>53</v>
      </c>
      <c r="D223" s="137">
        <v>235475</v>
      </c>
      <c r="E223" s="137"/>
      <c r="F223" s="137">
        <f>258155-22680</f>
        <v>235475</v>
      </c>
      <c r="G223" s="137">
        <f t="shared" si="51"/>
        <v>0</v>
      </c>
      <c r="H223" s="137">
        <v>8036271</v>
      </c>
      <c r="I223" s="137">
        <f t="shared" si="70"/>
        <v>8271746</v>
      </c>
      <c r="J223" s="137"/>
      <c r="K223" s="137"/>
      <c r="L223" s="137"/>
      <c r="M223" s="137"/>
      <c r="N223" s="137"/>
      <c r="O223" s="137"/>
      <c r="P223" s="137"/>
      <c r="Q223" s="137"/>
      <c r="R223" s="137"/>
      <c r="S223" s="137"/>
      <c r="T223" s="137">
        <f t="shared" si="47"/>
        <v>0</v>
      </c>
      <c r="U223" s="137">
        <v>8258160</v>
      </c>
      <c r="V223" s="137"/>
      <c r="W223" s="137"/>
      <c r="X223" s="106">
        <f t="shared" si="67"/>
        <v>8258160</v>
      </c>
      <c r="Y223" s="137">
        <v>8258160</v>
      </c>
      <c r="Z223" s="137">
        <f t="shared" si="53"/>
        <v>0</v>
      </c>
      <c r="AA223" s="137">
        <f t="shared" si="54"/>
        <v>-13586</v>
      </c>
      <c r="AB223" s="192">
        <f t="shared" si="55"/>
        <v>-1.6424585571172036E-3</v>
      </c>
      <c r="AC223" s="137"/>
    </row>
    <row r="224" spans="1:30">
      <c r="C224" s="46" t="s">
        <v>34</v>
      </c>
      <c r="D224" s="138">
        <v>101471</v>
      </c>
      <c r="E224" s="138"/>
      <c r="F224" s="138"/>
      <c r="G224" s="138">
        <f t="shared" si="51"/>
        <v>101471</v>
      </c>
      <c r="H224" s="138">
        <v>5100000</v>
      </c>
      <c r="I224" s="138">
        <f t="shared" si="70"/>
        <v>5201471</v>
      </c>
      <c r="J224" s="138"/>
      <c r="K224" s="138"/>
      <c r="L224" s="138"/>
      <c r="M224" s="138"/>
      <c r="N224" s="138"/>
      <c r="O224" s="138"/>
      <c r="P224" s="138"/>
      <c r="Q224" s="138"/>
      <c r="R224" s="138"/>
      <c r="S224" s="138"/>
      <c r="T224" s="138">
        <f t="shared" si="47"/>
        <v>0</v>
      </c>
      <c r="U224" s="138">
        <v>5201000</v>
      </c>
      <c r="V224" s="138"/>
      <c r="W224" s="138"/>
      <c r="X224" s="139">
        <f t="shared" si="67"/>
        <v>5302471</v>
      </c>
      <c r="Y224" s="138">
        <f>101471+U224</f>
        <v>5302471</v>
      </c>
      <c r="Z224" s="138">
        <f t="shared" si="53"/>
        <v>0</v>
      </c>
      <c r="AA224" s="138">
        <f t="shared" si="54"/>
        <v>101000</v>
      </c>
      <c r="AB224" s="193">
        <f t="shared" si="55"/>
        <v>1.9417583987298977E-2</v>
      </c>
      <c r="AC224" s="138"/>
    </row>
    <row r="225" spans="3:29">
      <c r="C225" s="87"/>
      <c r="D225" s="105"/>
      <c r="E225" s="105"/>
      <c r="F225" s="105"/>
      <c r="G225" s="105">
        <f t="shared" si="51"/>
        <v>0</v>
      </c>
      <c r="H225" s="105"/>
      <c r="I225" s="105">
        <f t="shared" si="70"/>
        <v>0</v>
      </c>
      <c r="J225" s="105"/>
      <c r="K225" s="105"/>
      <c r="L225" s="105"/>
      <c r="M225" s="105"/>
      <c r="N225" s="105"/>
      <c r="O225" s="105"/>
      <c r="P225" s="105"/>
      <c r="Q225" s="105"/>
      <c r="R225" s="105"/>
      <c r="S225" s="105"/>
      <c r="T225" s="105">
        <f t="shared" si="47"/>
        <v>0</v>
      </c>
      <c r="U225" s="105"/>
      <c r="V225" s="105"/>
      <c r="W225" s="105"/>
      <c r="X225" s="246">
        <f t="shared" si="67"/>
        <v>0</v>
      </c>
      <c r="Y225" s="105"/>
      <c r="Z225" s="105">
        <f t="shared" si="53"/>
        <v>0</v>
      </c>
      <c r="AA225" s="105">
        <f t="shared" si="54"/>
        <v>0</v>
      </c>
      <c r="AB225" s="213" t="str">
        <f t="shared" si="55"/>
        <v/>
      </c>
      <c r="AC225" s="105"/>
    </row>
    <row r="226" spans="3:29">
      <c r="C226" s="78" t="s">
        <v>54</v>
      </c>
      <c r="D226" s="137">
        <f>D228+D241</f>
        <v>894000</v>
      </c>
      <c r="E226" s="137">
        <f>E228+E241</f>
        <v>0</v>
      </c>
      <c r="F226" s="137">
        <f>F228+F241</f>
        <v>0</v>
      </c>
      <c r="G226" s="137">
        <f t="shared" si="51"/>
        <v>894000</v>
      </c>
      <c r="H226" s="137">
        <f>H228</f>
        <v>33000</v>
      </c>
      <c r="I226" s="137">
        <f t="shared" si="70"/>
        <v>927000</v>
      </c>
      <c r="J226" s="137">
        <f>J228+J241</f>
        <v>0</v>
      </c>
      <c r="K226" s="137"/>
      <c r="L226" s="137"/>
      <c r="M226" s="137">
        <f>M228+M241</f>
        <v>0</v>
      </c>
      <c r="N226" s="137"/>
      <c r="O226" s="137">
        <f>O228+O241</f>
        <v>0</v>
      </c>
      <c r="P226" s="137">
        <f>P228+P241</f>
        <v>0</v>
      </c>
      <c r="Q226" s="137">
        <f>Q228+Q241</f>
        <v>0</v>
      </c>
      <c r="R226" s="137"/>
      <c r="S226" s="137">
        <f>S228+S241</f>
        <v>0</v>
      </c>
      <c r="T226" s="137">
        <f t="shared" si="47"/>
        <v>0</v>
      </c>
      <c r="U226" s="137">
        <f>U228+U241</f>
        <v>0</v>
      </c>
      <c r="V226" s="137">
        <f>V228+V241</f>
        <v>0</v>
      </c>
      <c r="W226" s="137"/>
      <c r="X226" s="106">
        <f t="shared" si="67"/>
        <v>894000</v>
      </c>
      <c r="Y226" s="137">
        <f>Y228+Y241</f>
        <v>894000</v>
      </c>
      <c r="Z226" s="137">
        <f t="shared" si="53"/>
        <v>0</v>
      </c>
      <c r="AA226" s="137">
        <f t="shared" si="54"/>
        <v>-33000</v>
      </c>
      <c r="AB226" s="192">
        <f t="shared" si="55"/>
        <v>-3.5598705501618123E-2</v>
      </c>
      <c r="AC226" s="137"/>
    </row>
    <row r="227" spans="3:29">
      <c r="C227" s="46" t="s">
        <v>34</v>
      </c>
      <c r="D227" s="138">
        <v>5000</v>
      </c>
      <c r="E227" s="138"/>
      <c r="F227" s="138"/>
      <c r="G227" s="138">
        <f t="shared" si="51"/>
        <v>5000</v>
      </c>
      <c r="H227" s="138"/>
      <c r="I227" s="138">
        <f t="shared" si="70"/>
        <v>5000</v>
      </c>
      <c r="J227" s="138"/>
      <c r="K227" s="138"/>
      <c r="L227" s="138"/>
      <c r="M227" s="138"/>
      <c r="N227" s="138"/>
      <c r="O227" s="138"/>
      <c r="P227" s="138"/>
      <c r="Q227" s="138"/>
      <c r="R227" s="138"/>
      <c r="S227" s="138"/>
      <c r="T227" s="138">
        <f t="shared" si="47"/>
        <v>0</v>
      </c>
      <c r="U227" s="138"/>
      <c r="V227" s="138"/>
      <c r="W227" s="138"/>
      <c r="X227" s="139">
        <f t="shared" si="67"/>
        <v>5000</v>
      </c>
      <c r="Y227" s="138">
        <v>5000</v>
      </c>
      <c r="Z227" s="138">
        <f t="shared" si="53"/>
        <v>0</v>
      </c>
      <c r="AA227" s="138">
        <f t="shared" si="54"/>
        <v>0</v>
      </c>
      <c r="AB227" s="193">
        <f t="shared" si="55"/>
        <v>0</v>
      </c>
      <c r="AC227" s="138"/>
    </row>
    <row r="228" spans="3:29">
      <c r="C228" s="76" t="s">
        <v>141</v>
      </c>
      <c r="D228" s="92">
        <f>483000+6000</f>
        <v>489000</v>
      </c>
      <c r="E228" s="92"/>
      <c r="F228" s="92"/>
      <c r="G228" s="92">
        <f t="shared" si="51"/>
        <v>489000</v>
      </c>
      <c r="H228" s="92">
        <v>33000</v>
      </c>
      <c r="I228" s="92">
        <f t="shared" si="70"/>
        <v>522000</v>
      </c>
      <c r="J228" s="92"/>
      <c r="K228" s="92"/>
      <c r="L228" s="92"/>
      <c r="M228" s="92"/>
      <c r="N228" s="92"/>
      <c r="O228" s="92"/>
      <c r="P228" s="92"/>
      <c r="Q228" s="92"/>
      <c r="R228" s="92"/>
      <c r="S228" s="92"/>
      <c r="T228" s="92">
        <f t="shared" si="47"/>
        <v>0</v>
      </c>
      <c r="U228" s="92"/>
      <c r="V228" s="92"/>
      <c r="W228" s="92">
        <f>SUM(W229:W240)</f>
        <v>0</v>
      </c>
      <c r="X228" s="227">
        <f t="shared" si="67"/>
        <v>489000</v>
      </c>
      <c r="Y228" s="92">
        <f>483000+6000</f>
        <v>489000</v>
      </c>
      <c r="Z228" s="92">
        <f t="shared" si="53"/>
        <v>0</v>
      </c>
      <c r="AA228" s="92">
        <f t="shared" si="54"/>
        <v>-33000</v>
      </c>
      <c r="AB228" s="203">
        <f t="shared" si="55"/>
        <v>-6.3218390804597707E-2</v>
      </c>
      <c r="AC228" s="92"/>
    </row>
    <row r="229" spans="3:29" s="130" customFormat="1">
      <c r="C229" s="298" t="s">
        <v>252</v>
      </c>
      <c r="D229" s="652">
        <v>57521</v>
      </c>
      <c r="E229" s="652"/>
      <c r="F229" s="652"/>
      <c r="G229" s="652">
        <f>D229-E229-F229</f>
        <v>57521</v>
      </c>
      <c r="H229" s="652"/>
      <c r="I229" s="652">
        <f>G229+H229</f>
        <v>57521</v>
      </c>
      <c r="J229" s="652"/>
      <c r="K229" s="652"/>
      <c r="L229" s="652"/>
      <c r="M229" s="652"/>
      <c r="N229" s="652"/>
      <c r="O229" s="652"/>
      <c r="P229" s="652"/>
      <c r="Q229" s="652"/>
      <c r="R229" s="652"/>
      <c r="S229" s="652"/>
      <c r="T229" s="652"/>
      <c r="U229" s="652"/>
      <c r="V229" s="652"/>
      <c r="W229" s="652"/>
      <c r="X229" s="652">
        <f>G229+T229+U229+V229+W229</f>
        <v>57521</v>
      </c>
      <c r="Y229" s="140">
        <v>57521</v>
      </c>
      <c r="Z229" s="652"/>
      <c r="AA229" s="92">
        <f t="shared" si="54"/>
        <v>0</v>
      </c>
      <c r="AB229" s="203">
        <f t="shared" si="55"/>
        <v>0</v>
      </c>
      <c r="AC229" s="92"/>
    </row>
    <row r="230" spans="3:29" s="130" customFormat="1">
      <c r="C230" s="298" t="s">
        <v>253</v>
      </c>
      <c r="D230" s="652">
        <v>35621</v>
      </c>
      <c r="E230" s="652"/>
      <c r="F230" s="652"/>
      <c r="G230" s="652">
        <f t="shared" ref="G230:G240" si="71">D230-E230-F230</f>
        <v>35621</v>
      </c>
      <c r="H230" s="652">
        <v>15000</v>
      </c>
      <c r="I230" s="652">
        <f t="shared" ref="I230:I240" si="72">G230+H230</f>
        <v>50621</v>
      </c>
      <c r="J230" s="652"/>
      <c r="K230" s="652"/>
      <c r="L230" s="652"/>
      <c r="M230" s="652"/>
      <c r="N230" s="652"/>
      <c r="O230" s="652"/>
      <c r="P230" s="652"/>
      <c r="Q230" s="652"/>
      <c r="R230" s="652"/>
      <c r="S230" s="652"/>
      <c r="T230" s="652"/>
      <c r="U230" s="652"/>
      <c r="V230" s="652"/>
      <c r="W230" s="652"/>
      <c r="X230" s="652">
        <f t="shared" ref="X230:X240" si="73">G230+T230+U230+V230+W230</f>
        <v>35621</v>
      </c>
      <c r="Y230" s="140">
        <v>35621</v>
      </c>
      <c r="Z230" s="652"/>
      <c r="AA230" s="92">
        <f t="shared" si="54"/>
        <v>-15000</v>
      </c>
      <c r="AB230" s="203">
        <f t="shared" si="55"/>
        <v>-0.29631970921159201</v>
      </c>
      <c r="AC230" s="92"/>
    </row>
    <row r="231" spans="3:29" s="130" customFormat="1">
      <c r="C231" s="298" t="s">
        <v>254</v>
      </c>
      <c r="D231" s="652">
        <v>10482</v>
      </c>
      <c r="E231" s="652"/>
      <c r="F231" s="652"/>
      <c r="G231" s="652">
        <f t="shared" si="71"/>
        <v>10482</v>
      </c>
      <c r="H231" s="652"/>
      <c r="I231" s="652">
        <f t="shared" si="72"/>
        <v>10482</v>
      </c>
      <c r="J231" s="652"/>
      <c r="K231" s="652"/>
      <c r="L231" s="652"/>
      <c r="M231" s="652"/>
      <c r="N231" s="652"/>
      <c r="O231" s="652"/>
      <c r="P231" s="652"/>
      <c r="Q231" s="652"/>
      <c r="R231" s="652"/>
      <c r="S231" s="652"/>
      <c r="T231" s="652"/>
      <c r="U231" s="652"/>
      <c r="V231" s="652"/>
      <c r="W231" s="652"/>
      <c r="X231" s="652">
        <f t="shared" si="73"/>
        <v>10482</v>
      </c>
      <c r="Y231" s="140">
        <v>10482</v>
      </c>
      <c r="Z231" s="652"/>
      <c r="AA231" s="92">
        <f t="shared" si="54"/>
        <v>0</v>
      </c>
      <c r="AB231" s="203">
        <f t="shared" si="55"/>
        <v>0</v>
      </c>
      <c r="AC231" s="92"/>
    </row>
    <row r="232" spans="3:29" s="130" customFormat="1">
      <c r="C232" s="298" t="s">
        <v>255</v>
      </c>
      <c r="D232" s="652">
        <v>189770</v>
      </c>
      <c r="E232" s="652"/>
      <c r="F232" s="652"/>
      <c r="G232" s="652">
        <f t="shared" si="71"/>
        <v>189770</v>
      </c>
      <c r="H232" s="652"/>
      <c r="I232" s="652">
        <f t="shared" si="72"/>
        <v>189770</v>
      </c>
      <c r="J232" s="652"/>
      <c r="K232" s="652"/>
      <c r="L232" s="652"/>
      <c r="M232" s="652"/>
      <c r="N232" s="652"/>
      <c r="O232" s="652"/>
      <c r="P232" s="652"/>
      <c r="Q232" s="652"/>
      <c r="R232" s="652"/>
      <c r="S232" s="652"/>
      <c r="T232" s="652"/>
      <c r="U232" s="652"/>
      <c r="V232" s="652"/>
      <c r="W232" s="652"/>
      <c r="X232" s="652">
        <f t="shared" si="73"/>
        <v>189770</v>
      </c>
      <c r="Y232" s="140">
        <v>189770</v>
      </c>
      <c r="Z232" s="652"/>
      <c r="AA232" s="92">
        <f t="shared" si="54"/>
        <v>0</v>
      </c>
      <c r="AB232" s="203">
        <f t="shared" si="55"/>
        <v>0</v>
      </c>
      <c r="AC232" s="92"/>
    </row>
    <row r="233" spans="3:29" s="130" customFormat="1">
      <c r="C233" s="298" t="s">
        <v>256</v>
      </c>
      <c r="D233" s="652">
        <v>95868</v>
      </c>
      <c r="E233" s="652"/>
      <c r="F233" s="652"/>
      <c r="G233" s="652">
        <f t="shared" si="71"/>
        <v>95868</v>
      </c>
      <c r="H233" s="652"/>
      <c r="I233" s="652">
        <f t="shared" si="72"/>
        <v>95868</v>
      </c>
      <c r="J233" s="652"/>
      <c r="K233" s="652"/>
      <c r="L233" s="652"/>
      <c r="M233" s="652"/>
      <c r="N233" s="652"/>
      <c r="O233" s="652"/>
      <c r="P233" s="652"/>
      <c r="Q233" s="652"/>
      <c r="R233" s="652"/>
      <c r="S233" s="652"/>
      <c r="T233" s="652"/>
      <c r="U233" s="652"/>
      <c r="V233" s="652"/>
      <c r="W233" s="652"/>
      <c r="X233" s="652">
        <f t="shared" si="73"/>
        <v>95868</v>
      </c>
      <c r="Y233" s="140">
        <v>95868</v>
      </c>
      <c r="Z233" s="652"/>
      <c r="AA233" s="92">
        <f t="shared" si="54"/>
        <v>0</v>
      </c>
      <c r="AB233" s="203">
        <f t="shared" si="55"/>
        <v>0</v>
      </c>
      <c r="AC233" s="92"/>
    </row>
    <row r="234" spans="3:29" s="130" customFormat="1">
      <c r="C234" s="298" t="s">
        <v>585</v>
      </c>
      <c r="D234" s="652">
        <v>6000</v>
      </c>
      <c r="E234" s="652"/>
      <c r="F234" s="652"/>
      <c r="G234" s="652">
        <f t="shared" si="71"/>
        <v>6000</v>
      </c>
      <c r="H234" s="652"/>
      <c r="I234" s="652">
        <f t="shared" si="72"/>
        <v>6000</v>
      </c>
      <c r="J234" s="652"/>
      <c r="K234" s="652"/>
      <c r="L234" s="652"/>
      <c r="M234" s="652"/>
      <c r="N234" s="652"/>
      <c r="O234" s="652"/>
      <c r="P234" s="652"/>
      <c r="Q234" s="652"/>
      <c r="R234" s="652"/>
      <c r="S234" s="652"/>
      <c r="T234" s="652"/>
      <c r="U234" s="652"/>
      <c r="V234" s="652"/>
      <c r="W234" s="652"/>
      <c r="X234" s="652">
        <f t="shared" si="73"/>
        <v>6000</v>
      </c>
      <c r="Y234" s="140">
        <v>6000</v>
      </c>
      <c r="Z234" s="652"/>
      <c r="AA234" s="92">
        <f t="shared" si="54"/>
        <v>0</v>
      </c>
      <c r="AB234" s="203">
        <f t="shared" si="55"/>
        <v>0</v>
      </c>
      <c r="AC234" s="92"/>
    </row>
    <row r="235" spans="3:29" s="130" customFormat="1">
      <c r="C235" s="298" t="s">
        <v>257</v>
      </c>
      <c r="D235" s="652">
        <v>20000</v>
      </c>
      <c r="E235" s="652"/>
      <c r="F235" s="652"/>
      <c r="G235" s="652">
        <f t="shared" si="71"/>
        <v>20000</v>
      </c>
      <c r="H235" s="652"/>
      <c r="I235" s="652">
        <f t="shared" si="72"/>
        <v>20000</v>
      </c>
      <c r="J235" s="652"/>
      <c r="K235" s="652"/>
      <c r="L235" s="652"/>
      <c r="M235" s="652"/>
      <c r="N235" s="652"/>
      <c r="O235" s="652"/>
      <c r="P235" s="652"/>
      <c r="Q235" s="652"/>
      <c r="R235" s="652"/>
      <c r="S235" s="652"/>
      <c r="T235" s="652"/>
      <c r="U235" s="652"/>
      <c r="V235" s="652"/>
      <c r="W235" s="652"/>
      <c r="X235" s="652">
        <f t="shared" si="73"/>
        <v>20000</v>
      </c>
      <c r="Y235" s="140">
        <v>20000</v>
      </c>
      <c r="Z235" s="652"/>
      <c r="AA235" s="92">
        <f t="shared" si="54"/>
        <v>0</v>
      </c>
      <c r="AB235" s="203">
        <f t="shared" si="55"/>
        <v>0</v>
      </c>
      <c r="AC235" s="92"/>
    </row>
    <row r="236" spans="3:29" s="130" customFormat="1">
      <c r="C236" s="298" t="s">
        <v>258</v>
      </c>
      <c r="D236" s="652">
        <v>54791</v>
      </c>
      <c r="E236" s="652"/>
      <c r="F236" s="652"/>
      <c r="G236" s="652">
        <f t="shared" si="71"/>
        <v>54791</v>
      </c>
      <c r="H236" s="652">
        <v>18000</v>
      </c>
      <c r="I236" s="652">
        <f t="shared" si="72"/>
        <v>72791</v>
      </c>
      <c r="J236" s="652"/>
      <c r="K236" s="652"/>
      <c r="L236" s="652"/>
      <c r="M236" s="652"/>
      <c r="N236" s="652"/>
      <c r="O236" s="652"/>
      <c r="P236" s="652"/>
      <c r="Q236" s="652"/>
      <c r="R236" s="652"/>
      <c r="S236" s="652"/>
      <c r="T236" s="652"/>
      <c r="U236" s="652"/>
      <c r="V236" s="652"/>
      <c r="W236" s="652"/>
      <c r="X236" s="652">
        <f t="shared" si="73"/>
        <v>54791</v>
      </c>
      <c r="Y236" s="140">
        <v>54791</v>
      </c>
      <c r="Z236" s="652"/>
      <c r="AA236" s="92">
        <f t="shared" ref="AA236:AA261" si="74">Y236-I236</f>
        <v>-18000</v>
      </c>
      <c r="AB236" s="203">
        <f t="shared" ref="AB236:AB261" si="75">IF(I236=0,"",AA236/I236)</f>
        <v>-0.24728331799260897</v>
      </c>
      <c r="AC236" s="92"/>
    </row>
    <row r="237" spans="3:29" s="130" customFormat="1">
      <c r="C237" s="299" t="s">
        <v>34</v>
      </c>
      <c r="D237" s="402">
        <v>5000</v>
      </c>
      <c r="E237" s="402"/>
      <c r="F237" s="402"/>
      <c r="G237" s="402">
        <f t="shared" si="71"/>
        <v>5000</v>
      </c>
      <c r="H237" s="402"/>
      <c r="I237" s="402">
        <f t="shared" si="72"/>
        <v>5000</v>
      </c>
      <c r="J237" s="402"/>
      <c r="K237" s="402"/>
      <c r="L237" s="402"/>
      <c r="M237" s="402"/>
      <c r="N237" s="402"/>
      <c r="O237" s="402"/>
      <c r="P237" s="402"/>
      <c r="Q237" s="402"/>
      <c r="R237" s="402"/>
      <c r="S237" s="402"/>
      <c r="T237" s="402"/>
      <c r="U237" s="402"/>
      <c r="V237" s="402"/>
      <c r="W237" s="402"/>
      <c r="X237" s="402">
        <f t="shared" si="73"/>
        <v>5000</v>
      </c>
      <c r="Y237" s="92">
        <v>5000</v>
      </c>
      <c r="Z237" s="402"/>
      <c r="AA237" s="92">
        <f t="shared" si="74"/>
        <v>0</v>
      </c>
      <c r="AB237" s="203">
        <f t="shared" si="75"/>
        <v>0</v>
      </c>
      <c r="AC237" s="92"/>
    </row>
    <row r="238" spans="3:29" s="130" customFormat="1">
      <c r="C238" s="298" t="s">
        <v>259</v>
      </c>
      <c r="D238" s="652">
        <v>8947</v>
      </c>
      <c r="E238" s="652"/>
      <c r="F238" s="652"/>
      <c r="G238" s="652">
        <f t="shared" si="71"/>
        <v>8947</v>
      </c>
      <c r="H238" s="652"/>
      <c r="I238" s="652">
        <f t="shared" si="72"/>
        <v>8947</v>
      </c>
      <c r="J238" s="652"/>
      <c r="K238" s="652"/>
      <c r="L238" s="652"/>
      <c r="M238" s="652"/>
      <c r="N238" s="652"/>
      <c r="O238" s="652"/>
      <c r="P238" s="652"/>
      <c r="Q238" s="652"/>
      <c r="R238" s="652"/>
      <c r="S238" s="652"/>
      <c r="T238" s="652"/>
      <c r="U238" s="652"/>
      <c r="V238" s="652"/>
      <c r="W238" s="652"/>
      <c r="X238" s="652">
        <f t="shared" si="73"/>
        <v>8947</v>
      </c>
      <c r="Y238" s="140">
        <v>8947</v>
      </c>
      <c r="Z238" s="652"/>
      <c r="AA238" s="92">
        <f t="shared" si="74"/>
        <v>0</v>
      </c>
      <c r="AB238" s="203">
        <f t="shared" si="75"/>
        <v>0</v>
      </c>
      <c r="AC238" s="92"/>
    </row>
    <row r="239" spans="3:29" s="130" customFormat="1">
      <c r="C239" s="298" t="s">
        <v>586</v>
      </c>
      <c r="D239" s="652">
        <v>6000</v>
      </c>
      <c r="E239" s="652"/>
      <c r="F239" s="652"/>
      <c r="G239" s="652">
        <f t="shared" si="71"/>
        <v>6000</v>
      </c>
      <c r="H239" s="652"/>
      <c r="I239" s="652">
        <f t="shared" si="72"/>
        <v>6000</v>
      </c>
      <c r="J239" s="652"/>
      <c r="K239" s="652"/>
      <c r="L239" s="652"/>
      <c r="M239" s="652"/>
      <c r="N239" s="652"/>
      <c r="O239" s="652"/>
      <c r="P239" s="652"/>
      <c r="Q239" s="652"/>
      <c r="R239" s="652"/>
      <c r="S239" s="652"/>
      <c r="T239" s="652"/>
      <c r="U239" s="652"/>
      <c r="V239" s="652"/>
      <c r="W239" s="652"/>
      <c r="X239" s="652">
        <f t="shared" si="73"/>
        <v>6000</v>
      </c>
      <c r="Y239" s="140">
        <v>6000</v>
      </c>
      <c r="Z239" s="652"/>
      <c r="AA239" s="92">
        <f t="shared" si="74"/>
        <v>0</v>
      </c>
      <c r="AB239" s="203">
        <f t="shared" si="75"/>
        <v>0</v>
      </c>
      <c r="AC239" s="92"/>
    </row>
    <row r="240" spans="3:29" s="130" customFormat="1">
      <c r="C240" s="298" t="s">
        <v>260</v>
      </c>
      <c r="D240" s="652">
        <v>4000</v>
      </c>
      <c r="E240" s="652"/>
      <c r="F240" s="652"/>
      <c r="G240" s="652">
        <f t="shared" si="71"/>
        <v>4000</v>
      </c>
      <c r="H240" s="652"/>
      <c r="I240" s="652">
        <f t="shared" si="72"/>
        <v>4000</v>
      </c>
      <c r="J240" s="652"/>
      <c r="K240" s="652"/>
      <c r="L240" s="652"/>
      <c r="M240" s="652"/>
      <c r="N240" s="652"/>
      <c r="O240" s="652"/>
      <c r="P240" s="652"/>
      <c r="Q240" s="652"/>
      <c r="R240" s="652"/>
      <c r="S240" s="652"/>
      <c r="T240" s="652"/>
      <c r="U240" s="652"/>
      <c r="V240" s="652"/>
      <c r="W240" s="652"/>
      <c r="X240" s="652">
        <f t="shared" si="73"/>
        <v>4000</v>
      </c>
      <c r="Y240" s="140">
        <v>4000</v>
      </c>
      <c r="Z240" s="652"/>
      <c r="AA240" s="92">
        <f t="shared" si="74"/>
        <v>0</v>
      </c>
      <c r="AB240" s="203">
        <f t="shared" si="75"/>
        <v>0</v>
      </c>
      <c r="AC240" s="92"/>
    </row>
    <row r="241" spans="3:29">
      <c r="C241" s="58" t="s">
        <v>55</v>
      </c>
      <c r="D241" s="140">
        <v>405000</v>
      </c>
      <c r="E241" s="140"/>
      <c r="F241" s="140"/>
      <c r="G241" s="140">
        <f t="shared" si="51"/>
        <v>405000</v>
      </c>
      <c r="H241" s="140"/>
      <c r="I241" s="140">
        <f t="shared" si="70"/>
        <v>405000</v>
      </c>
      <c r="J241" s="140"/>
      <c r="K241" s="140"/>
      <c r="L241" s="140"/>
      <c r="M241" s="140"/>
      <c r="N241" s="140"/>
      <c r="O241" s="140"/>
      <c r="P241" s="140"/>
      <c r="Q241" s="140"/>
      <c r="R241" s="140"/>
      <c r="S241" s="140"/>
      <c r="T241" s="140">
        <f t="shared" si="47"/>
        <v>0</v>
      </c>
      <c r="U241" s="140"/>
      <c r="V241" s="140"/>
      <c r="W241" s="140"/>
      <c r="X241" s="94">
        <f t="shared" si="67"/>
        <v>405000</v>
      </c>
      <c r="Y241" s="140">
        <v>405000</v>
      </c>
      <c r="Z241" s="140">
        <f t="shared" ref="Z241:Z261" si="76">Y241-X241</f>
        <v>0</v>
      </c>
      <c r="AA241" s="140">
        <f t="shared" si="74"/>
        <v>0</v>
      </c>
      <c r="AB241" s="196">
        <f t="shared" si="75"/>
        <v>0</v>
      </c>
      <c r="AC241" s="140"/>
    </row>
    <row r="242" spans="3:29">
      <c r="C242" s="88"/>
      <c r="D242" s="140"/>
      <c r="E242" s="140"/>
      <c r="F242" s="140"/>
      <c r="G242" s="140">
        <f t="shared" si="51"/>
        <v>0</v>
      </c>
      <c r="H242" s="140"/>
      <c r="I242" s="140">
        <f t="shared" si="70"/>
        <v>0</v>
      </c>
      <c r="J242" s="140"/>
      <c r="K242" s="140"/>
      <c r="L242" s="140"/>
      <c r="M242" s="140"/>
      <c r="N242" s="140"/>
      <c r="O242" s="140"/>
      <c r="P242" s="140"/>
      <c r="Q242" s="140"/>
      <c r="R242" s="140"/>
      <c r="S242" s="140"/>
      <c r="T242" s="140">
        <f t="shared" si="47"/>
        <v>0</v>
      </c>
      <c r="U242" s="140"/>
      <c r="V242" s="140"/>
      <c r="W242" s="140"/>
      <c r="X242" s="94">
        <f t="shared" si="67"/>
        <v>0</v>
      </c>
      <c r="Y242" s="140"/>
      <c r="Z242" s="140">
        <f t="shared" si="76"/>
        <v>0</v>
      </c>
      <c r="AA242" s="140">
        <f t="shared" si="74"/>
        <v>0</v>
      </c>
      <c r="AB242" s="196" t="str">
        <f t="shared" si="75"/>
        <v/>
      </c>
      <c r="AC242" s="140"/>
    </row>
    <row r="243" spans="3:29">
      <c r="C243" s="78" t="s">
        <v>3</v>
      </c>
      <c r="D243" s="137">
        <v>300000</v>
      </c>
      <c r="E243" s="137"/>
      <c r="F243" s="137"/>
      <c r="G243" s="137">
        <f t="shared" si="51"/>
        <v>300000</v>
      </c>
      <c r="H243" s="137">
        <v>-78810</v>
      </c>
      <c r="I243" s="137">
        <f t="shared" si="70"/>
        <v>221190</v>
      </c>
      <c r="J243" s="137"/>
      <c r="K243" s="137"/>
      <c r="L243" s="137"/>
      <c r="M243" s="137"/>
      <c r="N243" s="137"/>
      <c r="O243" s="137"/>
      <c r="P243" s="137"/>
      <c r="Q243" s="137"/>
      <c r="R243" s="137"/>
      <c r="S243" s="137"/>
      <c r="T243" s="137">
        <f t="shared" si="47"/>
        <v>0</v>
      </c>
      <c r="U243" s="137"/>
      <c r="V243" s="137"/>
      <c r="W243" s="137"/>
      <c r="X243" s="106">
        <f t="shared" si="67"/>
        <v>300000</v>
      </c>
      <c r="Y243" s="137">
        <v>300000</v>
      </c>
      <c r="Z243" s="137">
        <f t="shared" si="76"/>
        <v>0</v>
      </c>
      <c r="AA243" s="137">
        <f t="shared" si="74"/>
        <v>78810</v>
      </c>
      <c r="AB243" s="192">
        <f t="shared" si="75"/>
        <v>0.35630001356300012</v>
      </c>
      <c r="AC243" s="137"/>
    </row>
    <row r="244" spans="3:29">
      <c r="C244" s="88"/>
      <c r="D244" s="140"/>
      <c r="E244" s="140"/>
      <c r="F244" s="140"/>
      <c r="G244" s="140">
        <f t="shared" si="51"/>
        <v>0</v>
      </c>
      <c r="H244" s="140"/>
      <c r="I244" s="140">
        <f t="shared" si="70"/>
        <v>0</v>
      </c>
      <c r="J244" s="140"/>
      <c r="K244" s="140"/>
      <c r="L244" s="140"/>
      <c r="M244" s="140"/>
      <c r="N244" s="140"/>
      <c r="O244" s="140"/>
      <c r="P244" s="140"/>
      <c r="Q244" s="140"/>
      <c r="R244" s="140"/>
      <c r="S244" s="140"/>
      <c r="T244" s="140">
        <f t="shared" ref="T244:T261" si="77">SUM(J244:S244)</f>
        <v>0</v>
      </c>
      <c r="U244" s="140"/>
      <c r="V244" s="140"/>
      <c r="W244" s="140"/>
      <c r="X244" s="94">
        <f t="shared" si="67"/>
        <v>0</v>
      </c>
      <c r="Y244" s="140"/>
      <c r="Z244" s="140">
        <f t="shared" si="76"/>
        <v>0</v>
      </c>
      <c r="AA244" s="140">
        <f t="shared" si="74"/>
        <v>0</v>
      </c>
      <c r="AB244" s="196" t="str">
        <f t="shared" si="75"/>
        <v/>
      </c>
      <c r="AC244" s="140"/>
    </row>
    <row r="245" spans="3:29">
      <c r="C245" s="78" t="s">
        <v>21</v>
      </c>
      <c r="D245" s="137">
        <f>200000+54000</f>
        <v>254000</v>
      </c>
      <c r="E245" s="137"/>
      <c r="F245" s="137"/>
      <c r="G245" s="137">
        <f t="shared" si="51"/>
        <v>254000</v>
      </c>
      <c r="H245" s="137">
        <v>-40000</v>
      </c>
      <c r="I245" s="137">
        <f t="shared" si="70"/>
        <v>214000</v>
      </c>
      <c r="J245" s="137">
        <v>-40000</v>
      </c>
      <c r="K245" s="137"/>
      <c r="L245" s="137"/>
      <c r="M245" s="137"/>
      <c r="N245" s="137"/>
      <c r="O245" s="137"/>
      <c r="P245" s="137"/>
      <c r="Q245" s="137"/>
      <c r="R245" s="137"/>
      <c r="S245" s="137"/>
      <c r="T245" s="137">
        <f>SUM(J245:S245)</f>
        <v>-40000</v>
      </c>
      <c r="U245" s="137"/>
      <c r="V245" s="137"/>
      <c r="W245" s="137"/>
      <c r="X245" s="106">
        <f>G245+T245+U245+V245+W245</f>
        <v>214000</v>
      </c>
      <c r="Y245" s="137">
        <f>200000+54000-40000</f>
        <v>214000</v>
      </c>
      <c r="Z245" s="137">
        <f t="shared" si="76"/>
        <v>0</v>
      </c>
      <c r="AA245" s="137">
        <f t="shared" si="74"/>
        <v>0</v>
      </c>
      <c r="AB245" s="192">
        <f t="shared" si="75"/>
        <v>0</v>
      </c>
      <c r="AC245" s="137"/>
    </row>
    <row r="246" spans="3:29">
      <c r="C246" s="78"/>
      <c r="D246" s="137"/>
      <c r="E246" s="137"/>
      <c r="F246" s="137"/>
      <c r="G246" s="137">
        <f t="shared" si="51"/>
        <v>0</v>
      </c>
      <c r="H246" s="137"/>
      <c r="I246" s="137">
        <f t="shared" si="70"/>
        <v>0</v>
      </c>
      <c r="J246" s="137"/>
      <c r="K246" s="137"/>
      <c r="L246" s="137"/>
      <c r="M246" s="137"/>
      <c r="N246" s="137"/>
      <c r="O246" s="137"/>
      <c r="P246" s="137"/>
      <c r="Q246" s="137"/>
      <c r="R246" s="137"/>
      <c r="S246" s="137"/>
      <c r="T246" s="137">
        <f t="shared" si="77"/>
        <v>0</v>
      </c>
      <c r="U246" s="137"/>
      <c r="V246" s="137"/>
      <c r="W246" s="137"/>
      <c r="X246" s="106">
        <f t="shared" si="67"/>
        <v>0</v>
      </c>
      <c r="Y246" s="137"/>
      <c r="Z246" s="137">
        <f t="shared" si="76"/>
        <v>0</v>
      </c>
      <c r="AA246" s="137">
        <f t="shared" si="74"/>
        <v>0</v>
      </c>
      <c r="AB246" s="192" t="str">
        <f t="shared" si="75"/>
        <v/>
      </c>
      <c r="AC246" s="137"/>
    </row>
    <row r="247" spans="3:29" ht="25.5">
      <c r="C247" s="89" t="s">
        <v>94</v>
      </c>
      <c r="D247" s="141">
        <v>32080</v>
      </c>
      <c r="E247" s="141"/>
      <c r="F247" s="141"/>
      <c r="G247" s="141">
        <f t="shared" si="51"/>
        <v>32080</v>
      </c>
      <c r="H247" s="141"/>
      <c r="I247" s="141">
        <f t="shared" si="70"/>
        <v>32080</v>
      </c>
      <c r="J247" s="141"/>
      <c r="K247" s="141"/>
      <c r="L247" s="141"/>
      <c r="M247" s="141"/>
      <c r="N247" s="141"/>
      <c r="O247" s="141"/>
      <c r="P247" s="141"/>
      <c r="Q247" s="141"/>
      <c r="R247" s="141"/>
      <c r="S247" s="141"/>
      <c r="T247" s="141">
        <f t="shared" si="77"/>
        <v>0</v>
      </c>
      <c r="U247" s="141"/>
      <c r="V247" s="141"/>
      <c r="W247" s="141"/>
      <c r="X247" s="228">
        <f t="shared" si="67"/>
        <v>32080</v>
      </c>
      <c r="Y247" s="141">
        <v>32080</v>
      </c>
      <c r="Z247" s="141">
        <f t="shared" si="76"/>
        <v>0</v>
      </c>
      <c r="AA247" s="141">
        <f t="shared" si="74"/>
        <v>0</v>
      </c>
      <c r="AB247" s="197">
        <f t="shared" si="75"/>
        <v>0</v>
      </c>
      <c r="AC247" s="141"/>
    </row>
    <row r="248" spans="3:29">
      <c r="C248" s="89"/>
      <c r="D248" s="141"/>
      <c r="E248" s="141"/>
      <c r="F248" s="141"/>
      <c r="G248" s="141">
        <f t="shared" si="51"/>
        <v>0</v>
      </c>
      <c r="H248" s="141"/>
      <c r="I248" s="141">
        <f t="shared" si="70"/>
        <v>0</v>
      </c>
      <c r="J248" s="141"/>
      <c r="K248" s="141"/>
      <c r="L248" s="141"/>
      <c r="M248" s="141"/>
      <c r="N248" s="141"/>
      <c r="O248" s="141"/>
      <c r="P248" s="141"/>
      <c r="Q248" s="141"/>
      <c r="R248" s="141"/>
      <c r="S248" s="141"/>
      <c r="T248" s="141">
        <f t="shared" si="77"/>
        <v>0</v>
      </c>
      <c r="U248" s="141"/>
      <c r="V248" s="141"/>
      <c r="W248" s="141"/>
      <c r="X248" s="228">
        <f t="shared" si="67"/>
        <v>0</v>
      </c>
      <c r="Y248" s="141"/>
      <c r="Z248" s="141">
        <f t="shared" si="76"/>
        <v>0</v>
      </c>
      <c r="AA248" s="141">
        <f t="shared" si="74"/>
        <v>0</v>
      </c>
      <c r="AB248" s="197" t="str">
        <f t="shared" si="75"/>
        <v/>
      </c>
      <c r="AC248" s="141"/>
    </row>
    <row r="249" spans="3:29">
      <c r="C249" s="90" t="s">
        <v>22</v>
      </c>
      <c r="D249" s="141">
        <v>270000</v>
      </c>
      <c r="E249" s="141"/>
      <c r="F249" s="141">
        <v>13500</v>
      </c>
      <c r="G249" s="141">
        <f t="shared" si="51"/>
        <v>256500</v>
      </c>
      <c r="H249" s="141"/>
      <c r="I249" s="141">
        <f t="shared" si="70"/>
        <v>270000</v>
      </c>
      <c r="J249" s="141"/>
      <c r="K249" s="141"/>
      <c r="L249" s="141"/>
      <c r="M249" s="141"/>
      <c r="N249" s="141"/>
      <c r="O249" s="141"/>
      <c r="P249" s="141"/>
      <c r="Q249" s="141"/>
      <c r="R249" s="141"/>
      <c r="S249" s="141"/>
      <c r="T249" s="141">
        <f t="shared" si="77"/>
        <v>0</v>
      </c>
      <c r="U249" s="141">
        <v>13500</v>
      </c>
      <c r="V249" s="141"/>
      <c r="W249" s="141"/>
      <c r="X249" s="228">
        <f t="shared" si="67"/>
        <v>270000</v>
      </c>
      <c r="Y249" s="141">
        <v>270000</v>
      </c>
      <c r="Z249" s="141">
        <f t="shared" si="76"/>
        <v>0</v>
      </c>
      <c r="AA249" s="141">
        <f t="shared" si="74"/>
        <v>0</v>
      </c>
      <c r="AB249" s="197">
        <f t="shared" si="75"/>
        <v>0</v>
      </c>
      <c r="AC249" s="141"/>
    </row>
    <row r="250" spans="3:29">
      <c r="C250" s="58"/>
      <c r="D250" s="140"/>
      <c r="E250" s="140"/>
      <c r="F250" s="140"/>
      <c r="G250" s="140">
        <f t="shared" si="51"/>
        <v>0</v>
      </c>
      <c r="H250" s="140"/>
      <c r="I250" s="140">
        <f t="shared" si="70"/>
        <v>0</v>
      </c>
      <c r="J250" s="140"/>
      <c r="K250" s="140"/>
      <c r="L250" s="140"/>
      <c r="M250" s="140"/>
      <c r="N250" s="140"/>
      <c r="O250" s="140"/>
      <c r="P250" s="140"/>
      <c r="Q250" s="140"/>
      <c r="R250" s="140"/>
      <c r="S250" s="140"/>
      <c r="T250" s="140">
        <f t="shared" si="77"/>
        <v>0</v>
      </c>
      <c r="U250" s="140"/>
      <c r="V250" s="140"/>
      <c r="W250" s="140"/>
      <c r="X250" s="94">
        <f t="shared" si="67"/>
        <v>0</v>
      </c>
      <c r="Y250" s="140"/>
      <c r="Z250" s="140">
        <f t="shared" si="76"/>
        <v>0</v>
      </c>
      <c r="AA250" s="140">
        <f t="shared" si="74"/>
        <v>0</v>
      </c>
      <c r="AB250" s="196" t="str">
        <f t="shared" si="75"/>
        <v/>
      </c>
      <c r="AC250" s="140"/>
    </row>
    <row r="251" spans="3:29">
      <c r="C251" s="78" t="s">
        <v>56</v>
      </c>
      <c r="D251" s="137">
        <v>6230</v>
      </c>
      <c r="E251" s="137"/>
      <c r="F251" s="137"/>
      <c r="G251" s="137">
        <f t="shared" si="51"/>
        <v>6230</v>
      </c>
      <c r="H251" s="137"/>
      <c r="I251" s="137">
        <f t="shared" si="70"/>
        <v>6230</v>
      </c>
      <c r="J251" s="137"/>
      <c r="K251" s="137"/>
      <c r="L251" s="137"/>
      <c r="M251" s="137"/>
      <c r="N251" s="137"/>
      <c r="O251" s="137"/>
      <c r="P251" s="137"/>
      <c r="Q251" s="137"/>
      <c r="R251" s="137"/>
      <c r="S251" s="137"/>
      <c r="T251" s="137">
        <f t="shared" si="77"/>
        <v>0</v>
      </c>
      <c r="U251" s="137"/>
      <c r="V251" s="137"/>
      <c r="W251" s="137"/>
      <c r="X251" s="106">
        <f t="shared" si="67"/>
        <v>6230</v>
      </c>
      <c r="Y251" s="137">
        <v>6230</v>
      </c>
      <c r="Z251" s="137">
        <f t="shared" si="76"/>
        <v>0</v>
      </c>
      <c r="AA251" s="137">
        <f t="shared" si="74"/>
        <v>0</v>
      </c>
      <c r="AB251" s="192">
        <f t="shared" si="75"/>
        <v>0</v>
      </c>
      <c r="AC251" s="137"/>
    </row>
    <row r="252" spans="3:29">
      <c r="C252" s="78"/>
      <c r="D252" s="137"/>
      <c r="E252" s="137"/>
      <c r="F252" s="137"/>
      <c r="G252" s="137">
        <f t="shared" si="51"/>
        <v>0</v>
      </c>
      <c r="H252" s="137"/>
      <c r="I252" s="137">
        <f t="shared" si="70"/>
        <v>0</v>
      </c>
      <c r="J252" s="137"/>
      <c r="K252" s="137"/>
      <c r="L252" s="137"/>
      <c r="M252" s="137"/>
      <c r="N252" s="137"/>
      <c r="O252" s="137"/>
      <c r="P252" s="137"/>
      <c r="Q252" s="137"/>
      <c r="R252" s="137"/>
      <c r="S252" s="137"/>
      <c r="T252" s="137">
        <f t="shared" si="77"/>
        <v>0</v>
      </c>
      <c r="U252" s="137"/>
      <c r="V252" s="137"/>
      <c r="W252" s="137"/>
      <c r="X252" s="106">
        <f t="shared" si="67"/>
        <v>0</v>
      </c>
      <c r="Y252" s="137"/>
      <c r="Z252" s="137">
        <f t="shared" si="76"/>
        <v>0</v>
      </c>
      <c r="AA252" s="137">
        <f t="shared" si="74"/>
        <v>0</v>
      </c>
      <c r="AB252" s="192" t="str">
        <f t="shared" si="75"/>
        <v/>
      </c>
      <c r="AC252" s="137"/>
    </row>
    <row r="253" spans="3:29">
      <c r="C253" s="78" t="s">
        <v>97</v>
      </c>
      <c r="D253" s="137">
        <v>39000</v>
      </c>
      <c r="E253" s="137"/>
      <c r="F253" s="137"/>
      <c r="G253" s="137">
        <f t="shared" si="51"/>
        <v>39000</v>
      </c>
      <c r="H253" s="137"/>
      <c r="I253" s="137">
        <f t="shared" si="70"/>
        <v>39000</v>
      </c>
      <c r="J253" s="137"/>
      <c r="K253" s="137"/>
      <c r="L253" s="137"/>
      <c r="M253" s="137"/>
      <c r="N253" s="137"/>
      <c r="O253" s="137"/>
      <c r="P253" s="137"/>
      <c r="Q253" s="137"/>
      <c r="R253" s="137"/>
      <c r="S253" s="137"/>
      <c r="T253" s="137">
        <f t="shared" si="77"/>
        <v>0</v>
      </c>
      <c r="U253" s="137"/>
      <c r="V253" s="137"/>
      <c r="W253" s="137"/>
      <c r="X253" s="106">
        <f t="shared" si="67"/>
        <v>39000</v>
      </c>
      <c r="Y253" s="137">
        <v>39000</v>
      </c>
      <c r="Z253" s="137">
        <f t="shared" si="76"/>
        <v>0</v>
      </c>
      <c r="AA253" s="137">
        <f t="shared" si="74"/>
        <v>0</v>
      </c>
      <c r="AB253" s="192">
        <f t="shared" si="75"/>
        <v>0</v>
      </c>
      <c r="AC253" s="137"/>
    </row>
    <row r="254" spans="3:29">
      <c r="C254" s="78"/>
      <c r="D254" s="137"/>
      <c r="E254" s="137"/>
      <c r="F254" s="137"/>
      <c r="G254" s="137">
        <f t="shared" si="51"/>
        <v>0</v>
      </c>
      <c r="H254" s="137"/>
      <c r="I254" s="137">
        <f t="shared" si="70"/>
        <v>0</v>
      </c>
      <c r="J254" s="137"/>
      <c r="K254" s="137"/>
      <c r="L254" s="137"/>
      <c r="M254" s="137"/>
      <c r="N254" s="137"/>
      <c r="O254" s="137"/>
      <c r="P254" s="137"/>
      <c r="Q254" s="137"/>
      <c r="R254" s="137"/>
      <c r="S254" s="137"/>
      <c r="T254" s="137">
        <f t="shared" si="77"/>
        <v>0</v>
      </c>
      <c r="U254" s="137"/>
      <c r="V254" s="137"/>
      <c r="W254" s="137"/>
      <c r="X254" s="106">
        <f t="shared" si="67"/>
        <v>0</v>
      </c>
      <c r="Y254" s="137"/>
      <c r="Z254" s="137">
        <f t="shared" si="76"/>
        <v>0</v>
      </c>
      <c r="AA254" s="137">
        <f t="shared" si="74"/>
        <v>0</v>
      </c>
      <c r="AB254" s="192" t="str">
        <f t="shared" si="75"/>
        <v/>
      </c>
      <c r="AC254" s="137"/>
    </row>
    <row r="255" spans="3:29">
      <c r="C255" s="78" t="s">
        <v>93</v>
      </c>
      <c r="D255" s="137">
        <v>25170</v>
      </c>
      <c r="E255" s="137"/>
      <c r="F255" s="137"/>
      <c r="G255" s="137">
        <f t="shared" si="51"/>
        <v>25170</v>
      </c>
      <c r="H255" s="137"/>
      <c r="I255" s="137">
        <f t="shared" si="70"/>
        <v>25170</v>
      </c>
      <c r="J255" s="137"/>
      <c r="K255" s="137"/>
      <c r="L255" s="137"/>
      <c r="M255" s="137"/>
      <c r="N255" s="137"/>
      <c r="O255" s="137"/>
      <c r="P255" s="137"/>
      <c r="Q255" s="137"/>
      <c r="R255" s="137"/>
      <c r="S255" s="137"/>
      <c r="T255" s="137">
        <f t="shared" si="77"/>
        <v>0</v>
      </c>
      <c r="U255" s="137"/>
      <c r="V255" s="137"/>
      <c r="W255" s="137"/>
      <c r="X255" s="106">
        <f t="shared" si="67"/>
        <v>25170</v>
      </c>
      <c r="Y255" s="137">
        <v>25170</v>
      </c>
      <c r="Z255" s="137">
        <f t="shared" si="76"/>
        <v>0</v>
      </c>
      <c r="AA255" s="137">
        <f t="shared" si="74"/>
        <v>0</v>
      </c>
      <c r="AB255" s="192">
        <f t="shared" si="75"/>
        <v>0</v>
      </c>
      <c r="AC255" s="137"/>
    </row>
    <row r="256" spans="3:29">
      <c r="C256" s="78"/>
      <c r="D256" s="137"/>
      <c r="E256" s="137"/>
      <c r="F256" s="137"/>
      <c r="G256" s="137">
        <f t="shared" si="51"/>
        <v>0</v>
      </c>
      <c r="H256" s="137"/>
      <c r="I256" s="137">
        <f t="shared" si="70"/>
        <v>0</v>
      </c>
      <c r="J256" s="137"/>
      <c r="K256" s="137"/>
      <c r="L256" s="137"/>
      <c r="M256" s="137"/>
      <c r="N256" s="137"/>
      <c r="O256" s="137"/>
      <c r="P256" s="137"/>
      <c r="Q256" s="137"/>
      <c r="R256" s="137"/>
      <c r="S256" s="137"/>
      <c r="T256" s="137">
        <f t="shared" si="77"/>
        <v>0</v>
      </c>
      <c r="U256" s="137"/>
      <c r="V256" s="137"/>
      <c r="W256" s="137"/>
      <c r="X256" s="106">
        <f t="shared" si="67"/>
        <v>0</v>
      </c>
      <c r="Y256" s="137"/>
      <c r="Z256" s="137">
        <f t="shared" si="76"/>
        <v>0</v>
      </c>
      <c r="AA256" s="137">
        <f t="shared" si="74"/>
        <v>0</v>
      </c>
      <c r="AB256" s="192" t="str">
        <f t="shared" si="75"/>
        <v/>
      </c>
      <c r="AC256" s="137"/>
    </row>
    <row r="257" spans="1:30">
      <c r="C257" s="78" t="s">
        <v>92</v>
      </c>
      <c r="D257" s="137">
        <v>15170</v>
      </c>
      <c r="E257" s="137"/>
      <c r="F257" s="137"/>
      <c r="G257" s="137">
        <f t="shared" si="51"/>
        <v>15170</v>
      </c>
      <c r="H257" s="137"/>
      <c r="I257" s="137">
        <f t="shared" si="70"/>
        <v>15170</v>
      </c>
      <c r="J257" s="137"/>
      <c r="K257" s="137"/>
      <c r="L257" s="137"/>
      <c r="M257" s="137"/>
      <c r="N257" s="137"/>
      <c r="O257" s="137"/>
      <c r="P257" s="137"/>
      <c r="Q257" s="137"/>
      <c r="R257" s="137"/>
      <c r="S257" s="137"/>
      <c r="T257" s="137">
        <f t="shared" si="77"/>
        <v>0</v>
      </c>
      <c r="U257" s="137"/>
      <c r="V257" s="137"/>
      <c r="W257" s="137"/>
      <c r="X257" s="106">
        <f t="shared" si="67"/>
        <v>15170</v>
      </c>
      <c r="Y257" s="137">
        <v>15170</v>
      </c>
      <c r="Z257" s="137">
        <f t="shared" si="76"/>
        <v>0</v>
      </c>
      <c r="AA257" s="137">
        <f t="shared" si="74"/>
        <v>0</v>
      </c>
      <c r="AB257" s="192">
        <f t="shared" si="75"/>
        <v>0</v>
      </c>
      <c r="AC257" s="137"/>
    </row>
    <row r="258" spans="1:30" s="130" customFormat="1">
      <c r="A258" s="4"/>
      <c r="B258" s="4"/>
      <c r="C258" s="78"/>
      <c r="D258" s="137"/>
      <c r="E258" s="137"/>
      <c r="F258" s="137"/>
      <c r="G258" s="137">
        <f t="shared" si="51"/>
        <v>0</v>
      </c>
      <c r="H258" s="137"/>
      <c r="I258" s="137">
        <f t="shared" si="70"/>
        <v>0</v>
      </c>
      <c r="J258" s="137"/>
      <c r="K258" s="137"/>
      <c r="L258" s="137"/>
      <c r="M258" s="137"/>
      <c r="N258" s="137"/>
      <c r="O258" s="137"/>
      <c r="P258" s="137"/>
      <c r="Q258" s="137"/>
      <c r="R258" s="137"/>
      <c r="S258" s="137"/>
      <c r="T258" s="137">
        <f t="shared" si="77"/>
        <v>0</v>
      </c>
      <c r="U258" s="137"/>
      <c r="V258" s="137"/>
      <c r="W258" s="137"/>
      <c r="X258" s="106">
        <f t="shared" si="67"/>
        <v>0</v>
      </c>
      <c r="Y258" s="137"/>
      <c r="Z258" s="137">
        <f t="shared" si="76"/>
        <v>0</v>
      </c>
      <c r="AA258" s="137">
        <f t="shared" si="74"/>
        <v>0</v>
      </c>
      <c r="AB258" s="192" t="str">
        <f t="shared" si="75"/>
        <v/>
      </c>
      <c r="AC258" s="137"/>
      <c r="AD258" s="4"/>
    </row>
    <row r="259" spans="1:30">
      <c r="C259" s="78" t="s">
        <v>125</v>
      </c>
      <c r="D259" s="137">
        <v>100000</v>
      </c>
      <c r="E259" s="137"/>
      <c r="F259" s="137"/>
      <c r="G259" s="137">
        <f t="shared" ref="G259:G261" si="78">D259-E259-F259</f>
        <v>100000</v>
      </c>
      <c r="H259" s="137">
        <v>150000</v>
      </c>
      <c r="I259" s="137">
        <f t="shared" si="70"/>
        <v>250000</v>
      </c>
      <c r="J259" s="137"/>
      <c r="K259" s="137"/>
      <c r="L259" s="137"/>
      <c r="M259" s="137"/>
      <c r="N259" s="137"/>
      <c r="O259" s="137"/>
      <c r="P259" s="137"/>
      <c r="Q259" s="137"/>
      <c r="R259" s="137"/>
      <c r="S259" s="137"/>
      <c r="T259" s="137">
        <f t="shared" si="77"/>
        <v>0</v>
      </c>
      <c r="U259" s="137"/>
      <c r="V259" s="137"/>
      <c r="W259" s="137"/>
      <c r="X259" s="106">
        <f t="shared" si="67"/>
        <v>100000</v>
      </c>
      <c r="Y259" s="137">
        <v>100000</v>
      </c>
      <c r="Z259" s="137">
        <f t="shared" si="76"/>
        <v>0</v>
      </c>
      <c r="AA259" s="137">
        <f t="shared" si="74"/>
        <v>-150000</v>
      </c>
      <c r="AB259" s="192">
        <f t="shared" si="75"/>
        <v>-0.6</v>
      </c>
      <c r="AC259" s="137"/>
    </row>
    <row r="260" spans="1:30">
      <c r="C260" s="46" t="s">
        <v>34</v>
      </c>
      <c r="D260" s="138">
        <v>28800</v>
      </c>
      <c r="E260" s="138"/>
      <c r="F260" s="138"/>
      <c r="G260" s="138">
        <f t="shared" si="78"/>
        <v>28800</v>
      </c>
      <c r="H260" s="138"/>
      <c r="I260" s="138">
        <f t="shared" si="70"/>
        <v>28800</v>
      </c>
      <c r="J260" s="138"/>
      <c r="K260" s="138"/>
      <c r="L260" s="138"/>
      <c r="M260" s="138"/>
      <c r="N260" s="138"/>
      <c r="O260" s="138"/>
      <c r="P260" s="138"/>
      <c r="Q260" s="138"/>
      <c r="R260" s="138"/>
      <c r="S260" s="138"/>
      <c r="T260" s="138">
        <f t="shared" si="77"/>
        <v>0</v>
      </c>
      <c r="U260" s="138"/>
      <c r="V260" s="138"/>
      <c r="W260" s="138"/>
      <c r="X260" s="139">
        <f t="shared" si="67"/>
        <v>28800</v>
      </c>
      <c r="Y260" s="138">
        <v>28800</v>
      </c>
      <c r="Z260" s="138">
        <f t="shared" si="76"/>
        <v>0</v>
      </c>
      <c r="AA260" s="138">
        <f t="shared" si="74"/>
        <v>0</v>
      </c>
      <c r="AB260" s="193">
        <f t="shared" si="75"/>
        <v>0</v>
      </c>
      <c r="AC260" s="138"/>
    </row>
    <row r="261" spans="1:30" ht="13.5" customHeight="1">
      <c r="C261" s="33"/>
      <c r="D261" s="139"/>
      <c r="E261" s="139"/>
      <c r="F261" s="139"/>
      <c r="G261" s="139">
        <f t="shared" si="78"/>
        <v>0</v>
      </c>
      <c r="H261" s="139"/>
      <c r="I261" s="139">
        <f t="shared" si="70"/>
        <v>0</v>
      </c>
      <c r="J261" s="139"/>
      <c r="K261" s="139"/>
      <c r="L261" s="139"/>
      <c r="M261" s="139"/>
      <c r="N261" s="139"/>
      <c r="O261" s="139"/>
      <c r="P261" s="139"/>
      <c r="Q261" s="139"/>
      <c r="R261" s="139"/>
      <c r="S261" s="139"/>
      <c r="T261" s="139">
        <f t="shared" si="77"/>
        <v>0</v>
      </c>
      <c r="U261" s="139"/>
      <c r="V261" s="139"/>
      <c r="W261" s="139"/>
      <c r="X261" s="139">
        <f t="shared" si="67"/>
        <v>0</v>
      </c>
      <c r="Y261" s="139"/>
      <c r="Z261" s="139">
        <f t="shared" si="76"/>
        <v>0</v>
      </c>
      <c r="AA261" s="139">
        <f t="shared" si="74"/>
        <v>0</v>
      </c>
      <c r="AB261" s="195" t="str">
        <f t="shared" si="75"/>
        <v/>
      </c>
      <c r="AC261" s="139"/>
    </row>
  </sheetData>
  <autoFilter ref="C5:AD261"/>
  <mergeCells count="4">
    <mergeCell ref="AC3:AD3"/>
    <mergeCell ref="AA3:AB3"/>
    <mergeCell ref="J3:Z3"/>
    <mergeCell ref="D3:I3"/>
  </mergeCells>
  <phoneticPr fontId="31" type="noConversion"/>
  <pageMargins left="1.1811023622047245" right="0.27559055118110237" top="0.47244094488188981" bottom="0.98425196850393704" header="0.51181102362204722" footer="0.51181102362204722"/>
  <pageSetup paperSize="9" fitToHeight="70" orientation="portrait" r:id="rId1"/>
  <headerFooter alignWithMargins="0">
    <oddFooter>&amp;C&amp;P/&amp;N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pane ySplit="3" topLeftCell="A4" activePane="bottomLeft" state="frozen"/>
      <selection activeCell="A8" sqref="A8"/>
      <selection pane="bottomLeft" activeCell="E18" sqref="E18"/>
    </sheetView>
  </sheetViews>
  <sheetFormatPr defaultColWidth="9.140625" defaultRowHeight="15"/>
  <cols>
    <col min="1" max="1" width="5.5703125" style="156" customWidth="1"/>
    <col min="2" max="2" width="16" style="152" customWidth="1"/>
    <col min="3" max="3" width="10.28515625" style="152" customWidth="1"/>
    <col min="4" max="4" width="13.140625" style="152" customWidth="1"/>
    <col min="5" max="5" width="43.28515625" style="152" customWidth="1"/>
    <col min="6" max="6" width="12.140625" style="152" bestFit="1" customWidth="1"/>
    <col min="7" max="16384" width="9.140625" style="152"/>
  </cols>
  <sheetData>
    <row r="1" spans="1:6">
      <c r="A1" s="304" t="s">
        <v>162</v>
      </c>
      <c r="B1" s="114"/>
      <c r="C1" s="114"/>
      <c r="D1" s="115"/>
      <c r="E1" s="115"/>
      <c r="F1" s="115"/>
    </row>
    <row r="2" spans="1:6" ht="15.75">
      <c r="A2" s="305"/>
      <c r="B2" s="114"/>
      <c r="C2" s="114"/>
      <c r="D2" s="115"/>
      <c r="E2" s="115"/>
      <c r="F2" s="379" t="s">
        <v>26</v>
      </c>
    </row>
    <row r="3" spans="1:6">
      <c r="A3" s="386" t="s">
        <v>167</v>
      </c>
      <c r="B3" s="386" t="s">
        <v>163</v>
      </c>
      <c r="C3" s="386" t="s">
        <v>164</v>
      </c>
      <c r="D3" s="386" t="s">
        <v>57</v>
      </c>
      <c r="E3" s="386" t="s">
        <v>165</v>
      </c>
      <c r="F3" s="386" t="s">
        <v>292</v>
      </c>
    </row>
    <row r="4" spans="1:6">
      <c r="A4" s="376"/>
      <c r="B4" s="371"/>
      <c r="C4" s="371"/>
      <c r="D4" s="371"/>
      <c r="E4" s="371"/>
      <c r="F4" s="380"/>
    </row>
    <row r="5" spans="1:6" s="153" customFormat="1">
      <c r="A5" s="381"/>
      <c r="B5" s="382" t="s">
        <v>47</v>
      </c>
      <c r="C5" s="356"/>
      <c r="D5" s="383"/>
      <c r="E5" s="357"/>
      <c r="F5" s="358">
        <f>SUM(F6:F17)</f>
        <v>2991030</v>
      </c>
    </row>
    <row r="6" spans="1:6" s="153" customFormat="1" ht="25.5">
      <c r="A6" s="368">
        <v>1</v>
      </c>
      <c r="B6" s="151" t="s">
        <v>47</v>
      </c>
      <c r="C6" s="384" t="s">
        <v>46</v>
      </c>
      <c r="D6" s="154" t="s">
        <v>183</v>
      </c>
      <c r="E6" s="154" t="s">
        <v>296</v>
      </c>
      <c r="F6" s="385">
        <v>2134000</v>
      </c>
    </row>
    <row r="7" spans="1:6" s="153" customFormat="1" ht="38.25">
      <c r="A7" s="359">
        <v>2</v>
      </c>
      <c r="B7" s="151" t="s">
        <v>47</v>
      </c>
      <c r="C7" s="384" t="s">
        <v>46</v>
      </c>
      <c r="D7" s="154" t="s">
        <v>171</v>
      </c>
      <c r="E7" s="154" t="s">
        <v>301</v>
      </c>
      <c r="F7" s="155">
        <v>85800</v>
      </c>
    </row>
    <row r="8" spans="1:6" s="153" customFormat="1" ht="114.75" customHeight="1">
      <c r="A8" s="368">
        <v>3</v>
      </c>
      <c r="B8" s="151" t="s">
        <v>47</v>
      </c>
      <c r="C8" s="384" t="s">
        <v>46</v>
      </c>
      <c r="D8" s="154" t="s">
        <v>311</v>
      </c>
      <c r="E8" s="154" t="s">
        <v>312</v>
      </c>
      <c r="F8" s="155">
        <v>487920</v>
      </c>
    </row>
    <row r="9" spans="1:6" s="153" customFormat="1" ht="114.75" customHeight="1">
      <c r="A9" s="359">
        <v>4</v>
      </c>
      <c r="B9" s="151" t="s">
        <v>47</v>
      </c>
      <c r="C9" s="384" t="s">
        <v>46</v>
      </c>
      <c r="D9" s="403" t="s">
        <v>314</v>
      </c>
      <c r="E9" s="404" t="s">
        <v>316</v>
      </c>
      <c r="F9" s="155">
        <v>40000</v>
      </c>
    </row>
    <row r="10" spans="1:6" s="153" customFormat="1" ht="25.5">
      <c r="A10" s="368">
        <v>5</v>
      </c>
      <c r="B10" s="151" t="s">
        <v>47</v>
      </c>
      <c r="C10" s="384" t="s">
        <v>46</v>
      </c>
      <c r="D10" s="154" t="s">
        <v>172</v>
      </c>
      <c r="E10" s="154" t="s">
        <v>300</v>
      </c>
      <c r="F10" s="361">
        <v>131900</v>
      </c>
    </row>
    <row r="11" spans="1:6" s="153" customFormat="1" ht="76.5" customHeight="1">
      <c r="A11" s="359">
        <v>6</v>
      </c>
      <c r="B11" s="151" t="s">
        <v>47</v>
      </c>
      <c r="C11" s="384" t="s">
        <v>46</v>
      </c>
      <c r="D11" s="154" t="s">
        <v>173</v>
      </c>
      <c r="E11" s="362" t="s">
        <v>299</v>
      </c>
      <c r="F11" s="363">
        <v>20000</v>
      </c>
    </row>
    <row r="12" spans="1:6" s="153" customFormat="1" ht="78" customHeight="1">
      <c r="A12" s="368">
        <v>7</v>
      </c>
      <c r="B12" s="151" t="s">
        <v>47</v>
      </c>
      <c r="C12" s="384" t="s">
        <v>46</v>
      </c>
      <c r="D12" s="154" t="s">
        <v>173</v>
      </c>
      <c r="E12" s="362" t="s">
        <v>298</v>
      </c>
      <c r="F12" s="363">
        <v>6000</v>
      </c>
    </row>
    <row r="13" spans="1:6" s="153" customFormat="1" ht="66.75" customHeight="1">
      <c r="A13" s="359">
        <v>8</v>
      </c>
      <c r="B13" s="151" t="s">
        <v>47</v>
      </c>
      <c r="C13" s="384" t="s">
        <v>46</v>
      </c>
      <c r="D13" s="154" t="s">
        <v>174</v>
      </c>
      <c r="E13" s="154" t="s">
        <v>297</v>
      </c>
      <c r="F13" s="155">
        <v>21000</v>
      </c>
    </row>
    <row r="14" spans="1:6" s="153" customFormat="1" ht="38.25">
      <c r="A14" s="368">
        <v>9</v>
      </c>
      <c r="B14" s="151" t="s">
        <v>47</v>
      </c>
      <c r="C14" s="384" t="s">
        <v>46</v>
      </c>
      <c r="D14" s="154" t="s">
        <v>175</v>
      </c>
      <c r="E14" s="154" t="s">
        <v>295</v>
      </c>
      <c r="F14" s="155">
        <v>24090</v>
      </c>
    </row>
    <row r="15" spans="1:6" s="153" customFormat="1" ht="38.25">
      <c r="A15" s="359">
        <v>10</v>
      </c>
      <c r="B15" s="151" t="s">
        <v>47</v>
      </c>
      <c r="C15" s="384" t="s">
        <v>46</v>
      </c>
      <c r="D15" s="154" t="s">
        <v>6</v>
      </c>
      <c r="E15" s="154" t="s">
        <v>294</v>
      </c>
      <c r="F15" s="155">
        <v>14850</v>
      </c>
    </row>
    <row r="16" spans="1:6" s="153" customFormat="1" ht="25.5">
      <c r="A16" s="368">
        <v>11</v>
      </c>
      <c r="B16" s="151" t="s">
        <v>47</v>
      </c>
      <c r="C16" s="384" t="s">
        <v>46</v>
      </c>
      <c r="D16" s="360" t="s">
        <v>176</v>
      </c>
      <c r="E16" s="360" t="s">
        <v>293</v>
      </c>
      <c r="F16" s="364">
        <v>23800</v>
      </c>
    </row>
    <row r="17" spans="1:6" s="153" customFormat="1" ht="25.5">
      <c r="A17" s="359">
        <v>12</v>
      </c>
      <c r="B17" s="151" t="s">
        <v>47</v>
      </c>
      <c r="C17" s="384" t="s">
        <v>46</v>
      </c>
      <c r="D17" s="154"/>
      <c r="E17" s="154" t="s">
        <v>182</v>
      </c>
      <c r="F17" s="155">
        <v>1670</v>
      </c>
    </row>
  </sheetData>
  <autoFilter ref="A3:F16"/>
  <pageMargins left="0.19685039370078741" right="0.19685039370078741" top="0.43307086614173229" bottom="0.31496062992125984" header="0.31496062992125984" footer="0.15748031496062992"/>
  <pageSetup paperSize="9" scale="75" orientation="landscape" r:id="rId1"/>
  <headerFooter>
    <oddFooter>&amp;C&amp;P/&amp;N&amp;R&amp;D&amp;T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pane ySplit="3" topLeftCell="A4" activePane="bottomLeft" state="frozen"/>
      <selection activeCell="A2" sqref="A2"/>
      <selection pane="bottomLeft" activeCell="H14" sqref="H14"/>
    </sheetView>
  </sheetViews>
  <sheetFormatPr defaultColWidth="9.140625" defaultRowHeight="15"/>
  <cols>
    <col min="1" max="1" width="5.5703125" style="116" customWidth="1"/>
    <col min="2" max="2" width="17" style="116" customWidth="1"/>
    <col min="3" max="3" width="16.5703125" style="116" customWidth="1"/>
    <col min="4" max="4" width="21" style="116" customWidth="1"/>
    <col min="5" max="5" width="43.28515625" style="116" customWidth="1"/>
    <col min="6" max="6" width="9.140625" style="116" bestFit="1" customWidth="1"/>
    <col min="7" max="16384" width="9.140625" style="116"/>
  </cols>
  <sheetData>
    <row r="1" spans="1:10">
      <c r="A1" s="378" t="s">
        <v>166</v>
      </c>
      <c r="B1" s="115"/>
      <c r="C1" s="115"/>
      <c r="D1" s="115"/>
      <c r="E1" s="115"/>
      <c r="F1" s="115"/>
      <c r="G1" s="115"/>
      <c r="H1" s="115"/>
      <c r="I1" s="115"/>
      <c r="J1" s="115"/>
    </row>
    <row r="2" spans="1:10">
      <c r="A2" s="115"/>
      <c r="B2" s="115"/>
      <c r="C2" s="115"/>
      <c r="D2" s="115"/>
      <c r="E2" s="115"/>
      <c r="F2" s="379" t="s">
        <v>26</v>
      </c>
      <c r="G2" s="115"/>
      <c r="H2" s="115"/>
      <c r="I2" s="115"/>
      <c r="J2" s="115"/>
    </row>
    <row r="3" spans="1:10">
      <c r="A3" s="366" t="s">
        <v>167</v>
      </c>
      <c r="B3" s="365" t="s">
        <v>163</v>
      </c>
      <c r="C3" s="365" t="s">
        <v>164</v>
      </c>
      <c r="D3" s="365" t="s">
        <v>57</v>
      </c>
      <c r="E3" s="365" t="s">
        <v>165</v>
      </c>
      <c r="F3" s="365" t="s">
        <v>292</v>
      </c>
      <c r="G3" s="115"/>
      <c r="H3" s="115"/>
      <c r="I3" s="115"/>
      <c r="J3" s="115"/>
    </row>
    <row r="4" spans="1:10">
      <c r="A4" s="376"/>
      <c r="B4" s="376"/>
      <c r="C4" s="376"/>
      <c r="D4" s="376"/>
      <c r="E4" s="376"/>
      <c r="F4" s="377"/>
      <c r="G4" s="115"/>
      <c r="H4" s="115"/>
      <c r="I4" s="115"/>
      <c r="J4" s="115"/>
    </row>
    <row r="5" spans="1:10">
      <c r="A5" s="372"/>
      <c r="B5" s="373" t="s">
        <v>47</v>
      </c>
      <c r="C5" s="367"/>
      <c r="D5" s="374"/>
      <c r="E5" s="357"/>
      <c r="F5" s="375">
        <f>F6</f>
        <v>40000</v>
      </c>
      <c r="G5" s="115"/>
      <c r="H5" s="115"/>
      <c r="I5" s="115"/>
      <c r="J5" s="115"/>
    </row>
    <row r="6" spans="1:10" ht="89.25">
      <c r="A6" s="150">
        <v>1</v>
      </c>
      <c r="B6" s="151" t="s">
        <v>47</v>
      </c>
      <c r="C6" s="369" t="s">
        <v>52</v>
      </c>
      <c r="D6" s="151" t="s">
        <v>21</v>
      </c>
      <c r="E6" s="154" t="s">
        <v>313</v>
      </c>
      <c r="F6" s="370">
        <v>40000</v>
      </c>
      <c r="G6" s="115"/>
      <c r="H6" s="115"/>
      <c r="I6" s="115"/>
      <c r="J6" s="115"/>
    </row>
    <row r="7" spans="1:10" s="118" customFormat="1">
      <c r="A7" s="117"/>
      <c r="B7" s="121"/>
      <c r="C7" s="121"/>
      <c r="D7" s="122"/>
      <c r="E7" s="122"/>
      <c r="F7" s="123"/>
      <c r="G7" s="117"/>
      <c r="H7" s="117"/>
      <c r="I7" s="117"/>
      <c r="J7" s="117"/>
    </row>
    <row r="8" spans="1:10" s="118" customFormat="1">
      <c r="B8" s="124"/>
      <c r="C8" s="124"/>
      <c r="D8" s="124"/>
      <c r="E8" s="124"/>
      <c r="F8" s="126"/>
    </row>
    <row r="9" spans="1:10" s="118" customFormat="1">
      <c r="B9" s="124"/>
      <c r="C9" s="124"/>
      <c r="D9" s="127"/>
      <c r="E9" s="127"/>
      <c r="F9" s="128"/>
    </row>
    <row r="10" spans="1:10" s="118" customFormat="1">
      <c r="B10" s="124"/>
      <c r="C10" s="124"/>
      <c r="D10" s="124"/>
      <c r="E10" s="124"/>
      <c r="F10" s="126"/>
    </row>
    <row r="11" spans="1:10" s="118" customFormat="1">
      <c r="B11" s="124"/>
      <c r="C11" s="124"/>
      <c r="D11" s="124"/>
      <c r="E11" s="124"/>
      <c r="F11" s="126"/>
    </row>
    <row r="12" spans="1:10" s="118" customFormat="1">
      <c r="B12" s="124"/>
      <c r="C12" s="124"/>
      <c r="D12" s="124"/>
      <c r="E12" s="124"/>
      <c r="F12" s="126"/>
    </row>
    <row r="13" spans="1:10" s="118" customFormat="1">
      <c r="B13" s="117"/>
      <c r="C13" s="117"/>
      <c r="D13" s="117"/>
      <c r="E13" s="117"/>
      <c r="F13" s="120"/>
    </row>
    <row r="14" spans="1:10" s="117" customFormat="1">
      <c r="F14" s="120"/>
    </row>
    <row r="15" spans="1:10" s="117" customFormat="1">
      <c r="F15" s="120"/>
    </row>
    <row r="16" spans="1:10" s="117" customFormat="1">
      <c r="F16" s="120"/>
    </row>
    <row r="17" spans="2:6" s="117" customFormat="1">
      <c r="B17" s="124"/>
      <c r="C17" s="124"/>
      <c r="F17" s="120"/>
    </row>
    <row r="18" spans="2:6" s="118" customFormat="1">
      <c r="B18" s="124"/>
      <c r="C18" s="124"/>
      <c r="D18" s="124"/>
      <c r="E18" s="124"/>
      <c r="F18" s="120"/>
    </row>
    <row r="19" spans="2:6" s="118" customFormat="1">
      <c r="B19" s="124"/>
      <c r="C19" s="124"/>
      <c r="D19" s="124"/>
      <c r="E19" s="124"/>
      <c r="F19" s="120"/>
    </row>
    <row r="20" spans="2:6" s="118" customFormat="1">
      <c r="B20" s="124"/>
      <c r="C20" s="124"/>
      <c r="D20" s="124"/>
      <c r="E20" s="124"/>
      <c r="F20" s="120"/>
    </row>
    <row r="21" spans="2:6" s="118" customFormat="1">
      <c r="B21" s="124"/>
      <c r="C21" s="124"/>
      <c r="D21" s="124"/>
      <c r="E21" s="124"/>
      <c r="F21" s="120"/>
    </row>
    <row r="22" spans="2:6" s="118" customFormat="1">
      <c r="B22" s="124"/>
      <c r="C22" s="124"/>
      <c r="D22" s="124"/>
      <c r="E22" s="124"/>
      <c r="F22" s="120"/>
    </row>
    <row r="23" spans="2:6" s="118" customFormat="1">
      <c r="B23" s="124"/>
      <c r="C23" s="124"/>
      <c r="D23" s="124"/>
      <c r="E23" s="124"/>
      <c r="F23" s="120"/>
    </row>
    <row r="24" spans="2:6" s="125" customFormat="1">
      <c r="B24" s="117"/>
      <c r="C24" s="117"/>
      <c r="D24" s="117"/>
      <c r="E24" s="117"/>
      <c r="F24" s="120"/>
    </row>
    <row r="25" spans="2:6" s="125" customFormat="1">
      <c r="B25" s="117"/>
      <c r="C25" s="117"/>
      <c r="D25" s="117"/>
      <c r="E25" s="117"/>
      <c r="F25" s="120"/>
    </row>
    <row r="26" spans="2:6" s="125" customFormat="1">
      <c r="B26" s="117"/>
      <c r="C26" s="117"/>
      <c r="D26" s="117"/>
      <c r="E26" s="117"/>
      <c r="F26" s="120"/>
    </row>
    <row r="27" spans="2:6" s="118" customFormat="1">
      <c r="B27" s="124"/>
      <c r="C27" s="124"/>
      <c r="D27" s="124"/>
      <c r="E27" s="124"/>
      <c r="F27" s="120"/>
    </row>
    <row r="28" spans="2:6" s="118" customFormat="1">
      <c r="B28" s="124"/>
      <c r="C28" s="124"/>
      <c r="D28" s="124"/>
      <c r="E28" s="124"/>
      <c r="F28" s="120"/>
    </row>
    <row r="29" spans="2:6" s="118" customFormat="1">
      <c r="B29" s="124"/>
      <c r="C29" s="124"/>
      <c r="D29" s="124"/>
      <c r="E29" s="124"/>
    </row>
    <row r="30" spans="2:6" s="118" customFormat="1">
      <c r="C30" s="124"/>
      <c r="D30" s="124"/>
      <c r="E30" s="124"/>
      <c r="F30" s="120"/>
    </row>
    <row r="31" spans="2:6" s="118" customFormat="1">
      <c r="B31" s="124"/>
      <c r="C31" s="124"/>
      <c r="D31" s="124"/>
      <c r="E31" s="124"/>
      <c r="F31" s="120"/>
    </row>
    <row r="32" spans="2:6" s="118" customFormat="1">
      <c r="C32" s="124"/>
      <c r="D32" s="124"/>
      <c r="E32" s="124"/>
      <c r="F32" s="120"/>
    </row>
  </sheetData>
  <pageMargins left="0.19685039370078741" right="0.19685039370078741" top="0.51181102362204722" bottom="0.51181102362204722" header="0.31496062992125984" footer="0.31496062992125984"/>
  <pageSetup paperSize="9" scale="75" orientation="landscape" r:id="rId1"/>
  <headerFoot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workbookViewId="0">
      <pane ySplit="4" topLeftCell="A20" activePane="bottomLeft" state="frozen"/>
      <selection pane="bottomLeft"/>
    </sheetView>
  </sheetViews>
  <sheetFormatPr defaultRowHeight="12.75"/>
  <cols>
    <col min="1" max="1" width="65.140625" style="129" customWidth="1"/>
    <col min="2" max="2" width="5.5703125" style="129" customWidth="1"/>
    <col min="3" max="6" width="11.42578125" style="129" customWidth="1"/>
    <col min="7" max="9" width="11.140625" style="129" customWidth="1"/>
    <col min="10" max="10" width="14.28515625" style="129" customWidth="1"/>
    <col min="11" max="11" width="13" style="129" customWidth="1"/>
    <col min="12" max="12" width="15.28515625" style="129" customWidth="1"/>
    <col min="13" max="13" width="16.5703125" style="129" customWidth="1"/>
    <col min="14" max="16384" width="9.140625" style="129"/>
  </cols>
  <sheetData>
    <row r="1" spans="1:9" ht="12.75" customHeight="1">
      <c r="A1" s="411" t="s">
        <v>317</v>
      </c>
      <c r="B1" s="412"/>
      <c r="C1" s="413"/>
      <c r="D1" s="413"/>
      <c r="E1" s="413"/>
      <c r="G1" s="313"/>
      <c r="H1" s="354"/>
      <c r="I1" s="313" t="s">
        <v>318</v>
      </c>
    </row>
    <row r="2" spans="1:9" ht="12.75" customHeight="1">
      <c r="C2" s="414">
        <f>C11+C93</f>
        <v>320905991.11000001</v>
      </c>
      <c r="D2" s="414"/>
      <c r="E2" s="414"/>
      <c r="F2" s="414"/>
      <c r="G2" s="414">
        <f>G11+G93</f>
        <v>110893877.75</v>
      </c>
      <c r="H2" s="414"/>
      <c r="I2" s="414"/>
    </row>
    <row r="3" spans="1:9" ht="12.75" customHeight="1">
      <c r="A3" s="698" t="s">
        <v>319</v>
      </c>
      <c r="B3" s="700" t="s">
        <v>320</v>
      </c>
      <c r="C3" s="702" t="s">
        <v>321</v>
      </c>
      <c r="D3" s="696" t="s">
        <v>322</v>
      </c>
      <c r="E3" s="704" t="s">
        <v>323</v>
      </c>
      <c r="F3" s="696" t="s">
        <v>324</v>
      </c>
      <c r="G3" s="694" t="s">
        <v>325</v>
      </c>
      <c r="H3" s="694" t="s">
        <v>326</v>
      </c>
      <c r="I3" s="696" t="s">
        <v>327</v>
      </c>
    </row>
    <row r="4" spans="1:9" ht="27.75" customHeight="1">
      <c r="A4" s="699"/>
      <c r="B4" s="701"/>
      <c r="C4" s="703"/>
      <c r="D4" s="697"/>
      <c r="E4" s="705"/>
      <c r="F4" s="697"/>
      <c r="G4" s="695"/>
      <c r="H4" s="695"/>
      <c r="I4" s="697"/>
    </row>
    <row r="5" spans="1:9" ht="12.75" customHeight="1">
      <c r="A5" s="415" t="s">
        <v>328</v>
      </c>
      <c r="B5" s="416" t="s">
        <v>59</v>
      </c>
      <c r="C5" s="417">
        <f>C6+C7+C9+C10+C8</f>
        <v>320905991.11000001</v>
      </c>
      <c r="D5" s="418">
        <f t="shared" ref="D5:I5" si="0">D6+D7+D9+D10+D8</f>
        <v>30966365.43</v>
      </c>
      <c r="E5" s="418">
        <f t="shared" si="0"/>
        <v>62283180</v>
      </c>
      <c r="F5" s="418">
        <f t="shared" si="0"/>
        <v>12400565</v>
      </c>
      <c r="G5" s="418">
        <f t="shared" si="0"/>
        <v>110893877.75</v>
      </c>
      <c r="H5" s="418"/>
      <c r="I5" s="418">
        <f t="shared" si="0"/>
        <v>1722600</v>
      </c>
    </row>
    <row r="6" spans="1:9" ht="11.25" customHeight="1">
      <c r="A6" s="419" t="s">
        <v>329</v>
      </c>
      <c r="B6" s="420" t="s">
        <v>330</v>
      </c>
      <c r="C6" s="421">
        <f t="shared" ref="C6:G7" si="1">C13+C95</f>
        <v>232986482</v>
      </c>
      <c r="D6" s="422">
        <f t="shared" si="1"/>
        <v>27021096.43</v>
      </c>
      <c r="E6" s="422">
        <f t="shared" si="1"/>
        <v>39380818</v>
      </c>
      <c r="F6" s="422">
        <f t="shared" si="1"/>
        <v>12400565</v>
      </c>
      <c r="G6" s="422">
        <f t="shared" si="1"/>
        <v>69370959.75</v>
      </c>
      <c r="H6" s="422"/>
      <c r="I6" s="422">
        <f t="shared" ref="I6:I7" si="2">I13+I95</f>
        <v>287141</v>
      </c>
    </row>
    <row r="7" spans="1:9" ht="12" customHeight="1">
      <c r="A7" s="423"/>
      <c r="B7" s="420" t="s">
        <v>331</v>
      </c>
      <c r="C7" s="421">
        <f t="shared" si="1"/>
        <v>3016763</v>
      </c>
      <c r="D7" s="422">
        <f t="shared" si="1"/>
        <v>0</v>
      </c>
      <c r="E7" s="422">
        <f t="shared" si="1"/>
        <v>1211291</v>
      </c>
      <c r="F7" s="422">
        <f t="shared" si="1"/>
        <v>0</v>
      </c>
      <c r="G7" s="422">
        <f t="shared" si="1"/>
        <v>1805472</v>
      </c>
      <c r="H7" s="422"/>
      <c r="I7" s="422">
        <f t="shared" si="2"/>
        <v>0</v>
      </c>
    </row>
    <row r="8" spans="1:9" ht="13.5" customHeight="1">
      <c r="A8" s="423"/>
      <c r="B8" s="420" t="s">
        <v>332</v>
      </c>
      <c r="C8" s="421">
        <f t="shared" ref="C8:G9" si="3">C97</f>
        <v>22680</v>
      </c>
      <c r="D8" s="422">
        <f t="shared" si="3"/>
        <v>139849</v>
      </c>
      <c r="E8" s="422">
        <f t="shared" si="3"/>
        <v>22680</v>
      </c>
      <c r="F8" s="422">
        <f t="shared" si="3"/>
        <v>0</v>
      </c>
      <c r="G8" s="422">
        <f t="shared" si="3"/>
        <v>36000</v>
      </c>
      <c r="H8" s="422"/>
      <c r="I8" s="422">
        <f t="shared" ref="I8:I9" si="4">I97</f>
        <v>0</v>
      </c>
    </row>
    <row r="9" spans="1:9" ht="12.75" customHeight="1">
      <c r="A9" s="423"/>
      <c r="B9" s="420" t="s">
        <v>333</v>
      </c>
      <c r="C9" s="421">
        <f t="shared" si="3"/>
        <v>15161328</v>
      </c>
      <c r="D9" s="422">
        <f t="shared" si="3"/>
        <v>3790320</v>
      </c>
      <c r="E9" s="422">
        <f t="shared" si="3"/>
        <v>3790332</v>
      </c>
      <c r="F9" s="422">
        <f t="shared" si="3"/>
        <v>0</v>
      </c>
      <c r="G9" s="422">
        <f t="shared" si="3"/>
        <v>3790332</v>
      </c>
      <c r="H9" s="422"/>
      <c r="I9" s="422">
        <f t="shared" si="4"/>
        <v>0</v>
      </c>
    </row>
    <row r="10" spans="1:9" ht="12.75" customHeight="1">
      <c r="A10" s="424"/>
      <c r="B10" s="425" t="s">
        <v>334</v>
      </c>
      <c r="C10" s="426">
        <f>C15</f>
        <v>69718738.109999999</v>
      </c>
      <c r="D10" s="427">
        <f t="shared" ref="D10:I10" si="5">D15</f>
        <v>15100</v>
      </c>
      <c r="E10" s="427">
        <f t="shared" si="5"/>
        <v>17878059</v>
      </c>
      <c r="F10" s="427">
        <f t="shared" si="5"/>
        <v>0</v>
      </c>
      <c r="G10" s="427">
        <f t="shared" si="5"/>
        <v>35891114</v>
      </c>
      <c r="H10" s="427"/>
      <c r="I10" s="427">
        <f t="shared" si="5"/>
        <v>1435459</v>
      </c>
    </row>
    <row r="11" spans="1:9" ht="12.75" customHeight="1">
      <c r="A11" s="428" t="s">
        <v>335</v>
      </c>
      <c r="B11" s="429"/>
      <c r="C11" s="430">
        <f>C16+C28+C34+C40+C81+C87</f>
        <v>91777098.109999999</v>
      </c>
      <c r="D11" s="431">
        <f t="shared" ref="D11:I11" si="6">D16+D28+D34+D40+D81+D87</f>
        <v>2682743.5</v>
      </c>
      <c r="E11" s="431">
        <f t="shared" si="6"/>
        <v>22358702</v>
      </c>
      <c r="F11" s="431">
        <f t="shared" si="6"/>
        <v>0</v>
      </c>
      <c r="G11" s="431">
        <f t="shared" si="6"/>
        <v>44602371.75</v>
      </c>
      <c r="H11" s="431"/>
      <c r="I11" s="431">
        <f t="shared" si="6"/>
        <v>1722600</v>
      </c>
    </row>
    <row r="12" spans="1:9" ht="12.75" customHeight="1">
      <c r="A12" s="432" t="s">
        <v>336</v>
      </c>
      <c r="B12" s="429" t="s">
        <v>59</v>
      </c>
      <c r="C12" s="433">
        <f>C13+C14+C15</f>
        <v>91777098.109999999</v>
      </c>
      <c r="D12" s="434">
        <f t="shared" ref="D12:I12" si="7">D13+D14+D15</f>
        <v>2682743.5</v>
      </c>
      <c r="E12" s="434">
        <f t="shared" si="7"/>
        <v>22358702</v>
      </c>
      <c r="F12" s="434">
        <f t="shared" si="7"/>
        <v>0</v>
      </c>
      <c r="G12" s="434">
        <f t="shared" si="7"/>
        <v>44602371.75</v>
      </c>
      <c r="H12" s="434"/>
      <c r="I12" s="434">
        <f t="shared" si="7"/>
        <v>1722600</v>
      </c>
    </row>
    <row r="13" spans="1:9" ht="12.75" customHeight="1">
      <c r="A13" s="419" t="s">
        <v>329</v>
      </c>
      <c r="B13" s="435" t="s">
        <v>330</v>
      </c>
      <c r="C13" s="436">
        <f>C17+C29+C35+C41+C82+C88</f>
        <v>19208264</v>
      </c>
      <c r="D13" s="437">
        <f t="shared" ref="D13:I13" si="8">D17+D29+D35+D41+D82+D88</f>
        <v>2667643.5</v>
      </c>
      <c r="E13" s="437">
        <f t="shared" si="8"/>
        <v>3269352</v>
      </c>
      <c r="F13" s="437">
        <f t="shared" si="8"/>
        <v>0</v>
      </c>
      <c r="G13" s="437">
        <f t="shared" si="8"/>
        <v>7072452.75</v>
      </c>
      <c r="H13" s="437"/>
      <c r="I13" s="437">
        <f t="shared" si="8"/>
        <v>287141</v>
      </c>
    </row>
    <row r="14" spans="1:9" ht="12.75" customHeight="1">
      <c r="A14" s="424"/>
      <c r="B14" s="420" t="s">
        <v>331</v>
      </c>
      <c r="C14" s="436">
        <f>C42</f>
        <v>2850096</v>
      </c>
      <c r="D14" s="437">
        <f t="shared" ref="D14:I14" si="9">D42</f>
        <v>0</v>
      </c>
      <c r="E14" s="437">
        <f t="shared" si="9"/>
        <v>1211291</v>
      </c>
      <c r="F14" s="437">
        <f t="shared" si="9"/>
        <v>0</v>
      </c>
      <c r="G14" s="437">
        <f t="shared" si="9"/>
        <v>1638805</v>
      </c>
      <c r="H14" s="437"/>
      <c r="I14" s="437">
        <f t="shared" si="9"/>
        <v>0</v>
      </c>
    </row>
    <row r="15" spans="1:9" ht="12.75" customHeight="1">
      <c r="A15" s="438"/>
      <c r="B15" s="435" t="s">
        <v>334</v>
      </c>
      <c r="C15" s="436">
        <f>C18+C30+C36+C43+C83+C89</f>
        <v>69718738.109999999</v>
      </c>
      <c r="D15" s="437">
        <f t="shared" ref="D15:I15" si="10">D18+D30+D36+D43+D83+D89</f>
        <v>15100</v>
      </c>
      <c r="E15" s="437">
        <f t="shared" si="10"/>
        <v>17878059</v>
      </c>
      <c r="F15" s="437">
        <f t="shared" si="10"/>
        <v>0</v>
      </c>
      <c r="G15" s="437">
        <f t="shared" si="10"/>
        <v>35891114</v>
      </c>
      <c r="H15" s="437"/>
      <c r="I15" s="437">
        <f t="shared" si="10"/>
        <v>1435459</v>
      </c>
    </row>
    <row r="16" spans="1:9" ht="12" customHeight="1">
      <c r="A16" s="439" t="s">
        <v>120</v>
      </c>
      <c r="B16" s="440" t="s">
        <v>59</v>
      </c>
      <c r="C16" s="441">
        <f>C17+C18</f>
        <v>4920000</v>
      </c>
      <c r="D16" s="442">
        <f t="shared" ref="D16:I16" si="11">D17+D18</f>
        <v>0</v>
      </c>
      <c r="E16" s="442">
        <f t="shared" si="11"/>
        <v>0</v>
      </c>
      <c r="F16" s="442">
        <f t="shared" si="11"/>
        <v>0</v>
      </c>
      <c r="G16" s="442">
        <f t="shared" si="11"/>
        <v>2900000</v>
      </c>
      <c r="H16" s="442"/>
      <c r="I16" s="442">
        <f t="shared" si="11"/>
        <v>0</v>
      </c>
    </row>
    <row r="17" spans="1:9" ht="12.75" customHeight="1">
      <c r="A17" s="419" t="s">
        <v>329</v>
      </c>
      <c r="B17" s="443" t="s">
        <v>330</v>
      </c>
      <c r="C17" s="444">
        <f>C20+C23+C26</f>
        <v>2000000</v>
      </c>
      <c r="D17" s="445">
        <f t="shared" ref="D17:I18" si="12">D20+D23+D26</f>
        <v>0</v>
      </c>
      <c r="E17" s="445">
        <f t="shared" si="12"/>
        <v>0</v>
      </c>
      <c r="F17" s="445">
        <f t="shared" si="12"/>
        <v>0</v>
      </c>
      <c r="G17" s="445">
        <f t="shared" si="12"/>
        <v>1340000</v>
      </c>
      <c r="H17" s="445"/>
      <c r="I17" s="445">
        <f t="shared" si="12"/>
        <v>0</v>
      </c>
    </row>
    <row r="18" spans="1:9" ht="12.75" customHeight="1">
      <c r="A18" s="438"/>
      <c r="B18" s="446" t="s">
        <v>334</v>
      </c>
      <c r="C18" s="444">
        <f>C21+C24+C27</f>
        <v>2920000</v>
      </c>
      <c r="D18" s="445">
        <f t="shared" si="12"/>
        <v>0</v>
      </c>
      <c r="E18" s="445">
        <f t="shared" si="12"/>
        <v>0</v>
      </c>
      <c r="F18" s="445">
        <f t="shared" si="12"/>
        <v>0</v>
      </c>
      <c r="G18" s="445">
        <f t="shared" si="12"/>
        <v>1560000</v>
      </c>
      <c r="H18" s="445"/>
      <c r="I18" s="445">
        <f t="shared" si="12"/>
        <v>0</v>
      </c>
    </row>
    <row r="19" spans="1:9" ht="14.25" customHeight="1">
      <c r="A19" s="447" t="s">
        <v>337</v>
      </c>
      <c r="B19" s="443" t="s">
        <v>59</v>
      </c>
      <c r="C19" s="444">
        <f>C20+C21</f>
        <v>2600000</v>
      </c>
      <c r="D19" s="445">
        <f t="shared" ref="D19:I19" si="13">D20+D21</f>
        <v>0</v>
      </c>
      <c r="E19" s="445">
        <f t="shared" si="13"/>
        <v>0</v>
      </c>
      <c r="F19" s="445">
        <f t="shared" si="13"/>
        <v>0</v>
      </c>
      <c r="G19" s="445">
        <f t="shared" si="13"/>
        <v>1000000</v>
      </c>
      <c r="H19" s="445"/>
      <c r="I19" s="445">
        <f t="shared" si="13"/>
        <v>0</v>
      </c>
    </row>
    <row r="20" spans="1:9" ht="14.25" customHeight="1">
      <c r="A20" s="419" t="s">
        <v>329</v>
      </c>
      <c r="B20" s="443" t="s">
        <v>330</v>
      </c>
      <c r="C20" s="448">
        <v>390000</v>
      </c>
      <c r="D20" s="449"/>
      <c r="E20" s="449"/>
      <c r="F20" s="449"/>
      <c r="G20" s="449">
        <v>150000</v>
      </c>
      <c r="H20" s="449"/>
      <c r="I20" s="449"/>
    </row>
    <row r="21" spans="1:9" ht="12.75" customHeight="1">
      <c r="A21" s="438"/>
      <c r="B21" s="446" t="s">
        <v>334</v>
      </c>
      <c r="C21" s="444">
        <v>2210000</v>
      </c>
      <c r="D21" s="445"/>
      <c r="E21" s="445"/>
      <c r="F21" s="445"/>
      <c r="G21" s="445">
        <v>850000</v>
      </c>
      <c r="H21" s="445"/>
      <c r="I21" s="445"/>
    </row>
    <row r="22" spans="1:9" ht="12.75" customHeight="1">
      <c r="A22" s="450" t="s">
        <v>338</v>
      </c>
      <c r="B22" s="451" t="s">
        <v>59</v>
      </c>
      <c r="C22" s="452">
        <f>C23+C24</f>
        <v>1320000</v>
      </c>
      <c r="D22" s="453">
        <f t="shared" ref="D22:I22" si="14">D23+D24</f>
        <v>0</v>
      </c>
      <c r="E22" s="453">
        <f t="shared" si="14"/>
        <v>0</v>
      </c>
      <c r="F22" s="453">
        <f t="shared" si="14"/>
        <v>0</v>
      </c>
      <c r="G22" s="453">
        <f t="shared" si="14"/>
        <v>1100000</v>
      </c>
      <c r="H22" s="453"/>
      <c r="I22" s="453">
        <f t="shared" si="14"/>
        <v>0</v>
      </c>
    </row>
    <row r="23" spans="1:9" ht="12" customHeight="1">
      <c r="A23" s="419" t="s">
        <v>339</v>
      </c>
      <c r="B23" s="454" t="s">
        <v>330</v>
      </c>
      <c r="C23" s="444">
        <v>960000</v>
      </c>
      <c r="D23" s="445"/>
      <c r="E23" s="445"/>
      <c r="F23" s="445"/>
      <c r="G23" s="445">
        <v>740000</v>
      </c>
      <c r="H23" s="445"/>
      <c r="I23" s="445"/>
    </row>
    <row r="24" spans="1:9" ht="15.75" customHeight="1">
      <c r="A24" s="455"/>
      <c r="B24" s="435" t="s">
        <v>340</v>
      </c>
      <c r="C24" s="444">
        <v>360000</v>
      </c>
      <c r="D24" s="445"/>
      <c r="E24" s="445"/>
      <c r="F24" s="445"/>
      <c r="G24" s="445">
        <v>360000</v>
      </c>
      <c r="H24" s="445"/>
      <c r="I24" s="445"/>
    </row>
    <row r="25" spans="1:9" ht="13.5" customHeight="1">
      <c r="A25" s="456" t="s">
        <v>341</v>
      </c>
      <c r="B25" s="457" t="s">
        <v>59</v>
      </c>
      <c r="C25" s="444">
        <f>C26+C27</f>
        <v>1000000</v>
      </c>
      <c r="D25" s="445">
        <f t="shared" ref="D25:I25" si="15">D26+D27</f>
        <v>0</v>
      </c>
      <c r="E25" s="445">
        <f t="shared" si="15"/>
        <v>0</v>
      </c>
      <c r="F25" s="445">
        <f t="shared" si="15"/>
        <v>0</v>
      </c>
      <c r="G25" s="445">
        <f t="shared" si="15"/>
        <v>800000</v>
      </c>
      <c r="H25" s="445"/>
      <c r="I25" s="445">
        <f t="shared" si="15"/>
        <v>0</v>
      </c>
    </row>
    <row r="26" spans="1:9" ht="11.25" customHeight="1">
      <c r="A26" s="419" t="s">
        <v>339</v>
      </c>
      <c r="B26" s="457" t="s">
        <v>330</v>
      </c>
      <c r="C26" s="444">
        <v>650000</v>
      </c>
      <c r="D26" s="445"/>
      <c r="E26" s="445"/>
      <c r="F26" s="445"/>
      <c r="G26" s="445">
        <v>450000</v>
      </c>
      <c r="H26" s="445"/>
      <c r="I26" s="445"/>
    </row>
    <row r="27" spans="1:9" ht="13.5" customHeight="1">
      <c r="A27" s="455"/>
      <c r="B27" s="435" t="s">
        <v>340</v>
      </c>
      <c r="C27" s="444">
        <v>350000</v>
      </c>
      <c r="D27" s="458"/>
      <c r="E27" s="458"/>
      <c r="F27" s="458"/>
      <c r="G27" s="458">
        <v>350000</v>
      </c>
      <c r="H27" s="458"/>
      <c r="I27" s="458"/>
    </row>
    <row r="28" spans="1:9" ht="13.5" customHeight="1">
      <c r="A28" s="459" t="s">
        <v>118</v>
      </c>
      <c r="B28" s="440" t="s">
        <v>59</v>
      </c>
      <c r="C28" s="441">
        <f>C29+C30</f>
        <v>5112392</v>
      </c>
      <c r="D28" s="442">
        <f t="shared" ref="D28:I28" si="16">D29+D30</f>
        <v>15100</v>
      </c>
      <c r="E28" s="442">
        <f t="shared" si="16"/>
        <v>212056</v>
      </c>
      <c r="F28" s="442">
        <f t="shared" si="16"/>
        <v>0</v>
      </c>
      <c r="G28" s="442">
        <f t="shared" si="16"/>
        <v>125012</v>
      </c>
      <c r="H28" s="442"/>
      <c r="I28" s="442">
        <f t="shared" si="16"/>
        <v>0</v>
      </c>
    </row>
    <row r="29" spans="1:9" ht="12.75" customHeight="1">
      <c r="A29" s="419" t="s">
        <v>329</v>
      </c>
      <c r="B29" s="420" t="s">
        <v>330</v>
      </c>
      <c r="C29" s="444">
        <f>C32</f>
        <v>2619942</v>
      </c>
      <c r="D29" s="445">
        <f t="shared" ref="D29:I30" si="17">D32</f>
        <v>0</v>
      </c>
      <c r="E29" s="445">
        <f t="shared" si="17"/>
        <v>212056</v>
      </c>
      <c r="F29" s="445">
        <f t="shared" si="17"/>
        <v>0</v>
      </c>
      <c r="G29" s="445">
        <f t="shared" si="17"/>
        <v>32112</v>
      </c>
      <c r="H29" s="445"/>
      <c r="I29" s="445">
        <f t="shared" si="17"/>
        <v>0</v>
      </c>
    </row>
    <row r="30" spans="1:9" ht="12.75" customHeight="1">
      <c r="A30" s="438"/>
      <c r="B30" s="435" t="s">
        <v>334</v>
      </c>
      <c r="C30" s="444">
        <f>C33</f>
        <v>2492450</v>
      </c>
      <c r="D30" s="445">
        <f t="shared" si="17"/>
        <v>15100</v>
      </c>
      <c r="E30" s="445">
        <f t="shared" si="17"/>
        <v>0</v>
      </c>
      <c r="F30" s="445">
        <f t="shared" si="17"/>
        <v>0</v>
      </c>
      <c r="G30" s="445">
        <f t="shared" si="17"/>
        <v>92900</v>
      </c>
      <c r="H30" s="445"/>
      <c r="I30" s="445">
        <f t="shared" si="17"/>
        <v>0</v>
      </c>
    </row>
    <row r="31" spans="1:9" ht="12.75" customHeight="1">
      <c r="A31" s="460" t="s">
        <v>342</v>
      </c>
      <c r="B31" s="443" t="s">
        <v>59</v>
      </c>
      <c r="C31" s="444">
        <f>C32+C33</f>
        <v>5112392</v>
      </c>
      <c r="D31" s="445">
        <f t="shared" ref="D31:I31" si="18">D32+D33</f>
        <v>15100</v>
      </c>
      <c r="E31" s="445">
        <f t="shared" si="18"/>
        <v>212056</v>
      </c>
      <c r="F31" s="445">
        <f t="shared" si="18"/>
        <v>0</v>
      </c>
      <c r="G31" s="445">
        <f t="shared" si="18"/>
        <v>125012</v>
      </c>
      <c r="H31" s="445"/>
      <c r="I31" s="445">
        <f t="shared" si="18"/>
        <v>0</v>
      </c>
    </row>
    <row r="32" spans="1:9" ht="12.75" customHeight="1">
      <c r="A32" s="419" t="s">
        <v>329</v>
      </c>
      <c r="B32" s="443" t="s">
        <v>330</v>
      </c>
      <c r="C32" s="444">
        <v>2619942</v>
      </c>
      <c r="D32" s="461"/>
      <c r="E32" s="461">
        <v>212056</v>
      </c>
      <c r="F32" s="461"/>
      <c r="G32" s="461">
        <v>32112</v>
      </c>
      <c r="H32" s="461"/>
      <c r="I32" s="461"/>
    </row>
    <row r="33" spans="1:9" ht="12.75" customHeight="1">
      <c r="A33" s="438"/>
      <c r="B33" s="446" t="s">
        <v>334</v>
      </c>
      <c r="C33" s="444">
        <v>2492450</v>
      </c>
      <c r="D33" s="461">
        <v>15100</v>
      </c>
      <c r="E33" s="461"/>
      <c r="F33" s="461"/>
      <c r="G33" s="461">
        <v>92900</v>
      </c>
      <c r="H33" s="461"/>
      <c r="I33" s="461"/>
    </row>
    <row r="34" spans="1:9">
      <c r="A34" s="462" t="s">
        <v>46</v>
      </c>
      <c r="B34" s="463" t="s">
        <v>59</v>
      </c>
      <c r="C34" s="464">
        <f>C35+C36</f>
        <v>1382781</v>
      </c>
      <c r="D34" s="465">
        <f t="shared" ref="D34:I34" si="19">D35+D36</f>
        <v>0</v>
      </c>
      <c r="E34" s="465">
        <f t="shared" si="19"/>
        <v>92000</v>
      </c>
      <c r="F34" s="465">
        <f t="shared" si="19"/>
        <v>0</v>
      </c>
      <c r="G34" s="465">
        <f t="shared" si="19"/>
        <v>1290781</v>
      </c>
      <c r="H34" s="465"/>
      <c r="I34" s="465">
        <f t="shared" si="19"/>
        <v>0</v>
      </c>
    </row>
    <row r="35" spans="1:9" ht="12.75" customHeight="1">
      <c r="A35" s="419" t="s">
        <v>329</v>
      </c>
      <c r="B35" s="443" t="s">
        <v>330</v>
      </c>
      <c r="C35" s="444">
        <f>C38</f>
        <v>362781</v>
      </c>
      <c r="D35" s="445">
        <f t="shared" ref="D35:I36" si="20">D38</f>
        <v>0</v>
      </c>
      <c r="E35" s="445">
        <f t="shared" si="20"/>
        <v>24141</v>
      </c>
      <c r="F35" s="445">
        <f t="shared" si="20"/>
        <v>0</v>
      </c>
      <c r="G35" s="445">
        <f t="shared" si="20"/>
        <v>338640</v>
      </c>
      <c r="H35" s="445"/>
      <c r="I35" s="445">
        <f t="shared" si="20"/>
        <v>0</v>
      </c>
    </row>
    <row r="36" spans="1:9">
      <c r="A36" s="438"/>
      <c r="B36" s="446" t="s">
        <v>334</v>
      </c>
      <c r="C36" s="444">
        <f>C39</f>
        <v>1020000</v>
      </c>
      <c r="D36" s="445">
        <f t="shared" si="20"/>
        <v>0</v>
      </c>
      <c r="E36" s="445">
        <f t="shared" si="20"/>
        <v>67859</v>
      </c>
      <c r="F36" s="445">
        <f t="shared" si="20"/>
        <v>0</v>
      </c>
      <c r="G36" s="445">
        <f t="shared" si="20"/>
        <v>952141</v>
      </c>
      <c r="H36" s="445"/>
      <c r="I36" s="445">
        <f t="shared" si="20"/>
        <v>0</v>
      </c>
    </row>
    <row r="37" spans="1:9">
      <c r="A37" s="466" t="s">
        <v>115</v>
      </c>
      <c r="B37" s="443" t="s">
        <v>59</v>
      </c>
      <c r="C37" s="444">
        <f>C38+C39</f>
        <v>1382781</v>
      </c>
      <c r="D37" s="445">
        <f t="shared" ref="D37:I37" si="21">D38+D39</f>
        <v>0</v>
      </c>
      <c r="E37" s="445">
        <f t="shared" si="21"/>
        <v>92000</v>
      </c>
      <c r="F37" s="445">
        <f t="shared" si="21"/>
        <v>0</v>
      </c>
      <c r="G37" s="445">
        <f t="shared" si="21"/>
        <v>1290781</v>
      </c>
      <c r="H37" s="445"/>
      <c r="I37" s="445">
        <f t="shared" si="21"/>
        <v>0</v>
      </c>
    </row>
    <row r="38" spans="1:9">
      <c r="A38" s="419" t="s">
        <v>329</v>
      </c>
      <c r="B38" s="443" t="s">
        <v>330</v>
      </c>
      <c r="C38" s="448">
        <v>362781</v>
      </c>
      <c r="D38" s="449"/>
      <c r="E38" s="449">
        <v>24141</v>
      </c>
      <c r="F38" s="449"/>
      <c r="G38" s="449">
        <v>338640</v>
      </c>
      <c r="H38" s="449"/>
      <c r="I38" s="449"/>
    </row>
    <row r="39" spans="1:9">
      <c r="A39" s="438"/>
      <c r="B39" s="446" t="s">
        <v>334</v>
      </c>
      <c r="C39" s="448">
        <v>1020000</v>
      </c>
      <c r="D39" s="445"/>
      <c r="E39" s="445">
        <v>67859</v>
      </c>
      <c r="F39" s="445"/>
      <c r="G39" s="445">
        <v>952141</v>
      </c>
      <c r="H39" s="445"/>
      <c r="I39" s="445"/>
    </row>
    <row r="40" spans="1:9" ht="12" customHeight="1">
      <c r="A40" s="439" t="s">
        <v>117</v>
      </c>
      <c r="B40" s="463" t="s">
        <v>59</v>
      </c>
      <c r="C40" s="467">
        <f>C41+C42+C43</f>
        <v>79421325.109999999</v>
      </c>
      <c r="D40" s="468">
        <f t="shared" ref="D40:I40" si="22">D41+D42+D43</f>
        <v>2667643.5</v>
      </c>
      <c r="E40" s="468">
        <f t="shared" si="22"/>
        <v>22054646</v>
      </c>
      <c r="F40" s="468">
        <f t="shared" si="22"/>
        <v>0</v>
      </c>
      <c r="G40" s="468">
        <f t="shared" si="22"/>
        <v>39816578.75</v>
      </c>
      <c r="H40" s="468"/>
      <c r="I40" s="468">
        <f t="shared" si="22"/>
        <v>1722600</v>
      </c>
    </row>
    <row r="41" spans="1:9" ht="12" customHeight="1">
      <c r="A41" s="419" t="s">
        <v>329</v>
      </c>
      <c r="B41" s="443" t="s">
        <v>330</v>
      </c>
      <c r="C41" s="469">
        <f>C45+C64+C79</f>
        <v>13909451</v>
      </c>
      <c r="D41" s="470">
        <f t="shared" ref="D41:I41" si="23">D45+D64+D79</f>
        <v>2667643.5</v>
      </c>
      <c r="E41" s="470">
        <f t="shared" si="23"/>
        <v>3033155</v>
      </c>
      <c r="F41" s="470">
        <f t="shared" si="23"/>
        <v>0</v>
      </c>
      <c r="G41" s="470">
        <f t="shared" si="23"/>
        <v>5203700.75</v>
      </c>
      <c r="H41" s="470"/>
      <c r="I41" s="470">
        <f t="shared" si="23"/>
        <v>287141</v>
      </c>
    </row>
    <row r="42" spans="1:9" ht="12" customHeight="1">
      <c r="A42" s="424"/>
      <c r="B42" s="446" t="s">
        <v>331</v>
      </c>
      <c r="C42" s="469">
        <f>C46</f>
        <v>2850096</v>
      </c>
      <c r="D42" s="470">
        <f t="shared" ref="D42:I42" si="24">D46</f>
        <v>0</v>
      </c>
      <c r="E42" s="470">
        <f t="shared" si="24"/>
        <v>1211291</v>
      </c>
      <c r="F42" s="470">
        <f t="shared" si="24"/>
        <v>0</v>
      </c>
      <c r="G42" s="470">
        <f t="shared" si="24"/>
        <v>1638805</v>
      </c>
      <c r="H42" s="470"/>
      <c r="I42" s="470">
        <f t="shared" si="24"/>
        <v>0</v>
      </c>
    </row>
    <row r="43" spans="1:9" s="273" customFormat="1">
      <c r="A43" s="438"/>
      <c r="B43" s="446" t="s">
        <v>334</v>
      </c>
      <c r="C43" s="469">
        <f>C47+C65+C80</f>
        <v>62661778.109999999</v>
      </c>
      <c r="D43" s="470">
        <f t="shared" ref="D43:I43" si="25">D47+D65+D80</f>
        <v>0</v>
      </c>
      <c r="E43" s="470">
        <f t="shared" si="25"/>
        <v>17810200</v>
      </c>
      <c r="F43" s="470">
        <f t="shared" si="25"/>
        <v>0</v>
      </c>
      <c r="G43" s="470">
        <f t="shared" si="25"/>
        <v>32974073</v>
      </c>
      <c r="H43" s="470"/>
      <c r="I43" s="470">
        <f t="shared" si="25"/>
        <v>1435459</v>
      </c>
    </row>
    <row r="44" spans="1:9" s="273" customFormat="1">
      <c r="A44" s="471" t="s">
        <v>343</v>
      </c>
      <c r="B44" s="472" t="s">
        <v>59</v>
      </c>
      <c r="C44" s="473">
        <f>C45+C46+C47</f>
        <v>71962353.109999999</v>
      </c>
      <c r="D44" s="474">
        <f t="shared" ref="D44:I44" si="26">D45+D46+D47</f>
        <v>2667643.5</v>
      </c>
      <c r="E44" s="474">
        <f t="shared" si="26"/>
        <v>21811579</v>
      </c>
      <c r="F44" s="474">
        <f t="shared" si="26"/>
        <v>0</v>
      </c>
      <c r="G44" s="474">
        <f t="shared" si="26"/>
        <v>37442370</v>
      </c>
      <c r="H44" s="474"/>
      <c r="I44" s="474">
        <f t="shared" si="26"/>
        <v>1722600</v>
      </c>
    </row>
    <row r="45" spans="1:9" s="273" customFormat="1">
      <c r="A45" s="419" t="s">
        <v>329</v>
      </c>
      <c r="B45" s="435" t="s">
        <v>330</v>
      </c>
      <c r="C45" s="475">
        <f>C48+C50+C53+C57+C61</f>
        <v>12721587</v>
      </c>
      <c r="D45" s="476">
        <f>D48+D50+D53+D57+D61</f>
        <v>2667643.5</v>
      </c>
      <c r="E45" s="476">
        <f t="shared" ref="E45:F45" si="27">E48+E50+E53+E57+E61</f>
        <v>2991878</v>
      </c>
      <c r="F45" s="476">
        <f t="shared" si="27"/>
        <v>0</v>
      </c>
      <c r="G45" s="476">
        <f>G48+G50+G53+G57+G61</f>
        <v>4829154</v>
      </c>
      <c r="H45" s="476"/>
      <c r="I45" s="476">
        <f>I48+I50+I53+I57+I61</f>
        <v>287141</v>
      </c>
    </row>
    <row r="46" spans="1:9" s="273" customFormat="1">
      <c r="A46" s="424"/>
      <c r="B46" s="420" t="s">
        <v>331</v>
      </c>
      <c r="C46" s="477">
        <f>C54+C58</f>
        <v>2850096</v>
      </c>
      <c r="D46" s="478">
        <f>D54+D58</f>
        <v>0</v>
      </c>
      <c r="E46" s="478">
        <f t="shared" ref="E46:F46" si="28">E54+E58</f>
        <v>1211291</v>
      </c>
      <c r="F46" s="478">
        <f t="shared" si="28"/>
        <v>0</v>
      </c>
      <c r="G46" s="478">
        <f>G54+G58</f>
        <v>1638805</v>
      </c>
      <c r="H46" s="478"/>
      <c r="I46" s="478">
        <f>I54+I58</f>
        <v>0</v>
      </c>
    </row>
    <row r="47" spans="1:9" s="273" customFormat="1">
      <c r="A47" s="438"/>
      <c r="B47" s="435" t="s">
        <v>334</v>
      </c>
      <c r="C47" s="477">
        <f>C51+C55+C59+C62</f>
        <v>56390670.109999999</v>
      </c>
      <c r="D47" s="478">
        <f>D51+D55+D59+D62</f>
        <v>0</v>
      </c>
      <c r="E47" s="478">
        <f t="shared" ref="E47:F47" si="29">E51+E55+E59+E62</f>
        <v>17608410</v>
      </c>
      <c r="F47" s="478">
        <f t="shared" si="29"/>
        <v>0</v>
      </c>
      <c r="G47" s="478">
        <f>G51+G55+G59+G62</f>
        <v>30974411</v>
      </c>
      <c r="H47" s="478"/>
      <c r="I47" s="478">
        <f>I51+I55+I59+I62</f>
        <v>1435459</v>
      </c>
    </row>
    <row r="48" spans="1:9" s="273" customFormat="1">
      <c r="A48" s="479" t="s">
        <v>344</v>
      </c>
      <c r="B48" s="443" t="s">
        <v>330</v>
      </c>
      <c r="C48" s="480">
        <v>2838253</v>
      </c>
      <c r="D48" s="481">
        <v>1115613.02</v>
      </c>
      <c r="E48" s="481"/>
      <c r="F48" s="481"/>
      <c r="G48" s="481"/>
      <c r="H48" s="481"/>
      <c r="I48" s="481"/>
    </row>
    <row r="49" spans="1:9" s="273" customFormat="1">
      <c r="A49" s="482" t="s">
        <v>345</v>
      </c>
      <c r="B49" s="451" t="s">
        <v>59</v>
      </c>
      <c r="C49" s="483">
        <f>C50+C51</f>
        <v>21814800</v>
      </c>
      <c r="D49" s="484">
        <f t="shared" ref="D49:I49" si="30">D50+D51</f>
        <v>0</v>
      </c>
      <c r="E49" s="484">
        <f t="shared" si="30"/>
        <v>6505410</v>
      </c>
      <c r="F49" s="484">
        <f t="shared" si="30"/>
        <v>0</v>
      </c>
      <c r="G49" s="484">
        <f t="shared" si="30"/>
        <v>15309390</v>
      </c>
      <c r="H49" s="484"/>
      <c r="I49" s="484">
        <f t="shared" si="30"/>
        <v>0</v>
      </c>
    </row>
    <row r="50" spans="1:9" s="273" customFormat="1">
      <c r="A50" s="485" t="s">
        <v>329</v>
      </c>
      <c r="B50" s="443" t="s">
        <v>330</v>
      </c>
      <c r="C50" s="480">
        <v>4045380</v>
      </c>
      <c r="D50" s="486"/>
      <c r="E50" s="486">
        <v>1076766</v>
      </c>
      <c r="F50" s="486"/>
      <c r="G50" s="486">
        <v>2968614</v>
      </c>
      <c r="H50" s="486"/>
      <c r="I50" s="486"/>
    </row>
    <row r="51" spans="1:9" s="273" customFormat="1">
      <c r="A51" s="487"/>
      <c r="B51" s="488" t="s">
        <v>334</v>
      </c>
      <c r="C51" s="489">
        <v>17769420</v>
      </c>
      <c r="D51" s="490"/>
      <c r="E51" s="490">
        <v>5428644</v>
      </c>
      <c r="F51" s="490"/>
      <c r="G51" s="490">
        <v>12340776</v>
      </c>
      <c r="H51" s="490"/>
      <c r="I51" s="490"/>
    </row>
    <row r="52" spans="1:9" s="273" customFormat="1">
      <c r="A52" s="479" t="s">
        <v>100</v>
      </c>
      <c r="B52" s="443" t="s">
        <v>59</v>
      </c>
      <c r="C52" s="480">
        <f>C53+C54+C55</f>
        <v>29030982</v>
      </c>
      <c r="D52" s="486">
        <f>D53+D54+D55</f>
        <v>1552030.48</v>
      </c>
      <c r="E52" s="486">
        <f t="shared" ref="E52:F52" si="31">E53+E54+E55</f>
        <v>9435069</v>
      </c>
      <c r="F52" s="486">
        <f t="shared" si="31"/>
        <v>0</v>
      </c>
      <c r="G52" s="486">
        <f>G53+G54+G55</f>
        <v>19410405</v>
      </c>
      <c r="H52" s="486"/>
      <c r="I52" s="486">
        <f>I53+I54+I55</f>
        <v>0</v>
      </c>
    </row>
    <row r="53" spans="1:9" s="273" customFormat="1">
      <c r="A53" s="485" t="s">
        <v>329</v>
      </c>
      <c r="B53" s="435" t="s">
        <v>330</v>
      </c>
      <c r="C53" s="480">
        <v>1955070</v>
      </c>
      <c r="D53" s="486">
        <v>1552030.48</v>
      </c>
      <c r="E53" s="486">
        <v>350388</v>
      </c>
      <c r="F53" s="486"/>
      <c r="G53" s="486">
        <v>1419174</v>
      </c>
      <c r="H53" s="486"/>
      <c r="I53" s="486"/>
    </row>
    <row r="54" spans="1:9" s="273" customFormat="1">
      <c r="A54" s="487"/>
      <c r="B54" s="420" t="s">
        <v>331</v>
      </c>
      <c r="C54" s="489">
        <v>2850096</v>
      </c>
      <c r="D54" s="490"/>
      <c r="E54" s="490">
        <v>1211291</v>
      </c>
      <c r="F54" s="490"/>
      <c r="G54" s="490">
        <v>1638805</v>
      </c>
      <c r="H54" s="490"/>
      <c r="I54" s="490"/>
    </row>
    <row r="55" spans="1:9" s="273" customFormat="1">
      <c r="A55" s="487"/>
      <c r="B55" s="435" t="s">
        <v>334</v>
      </c>
      <c r="C55" s="480">
        <v>24225816</v>
      </c>
      <c r="D55" s="486"/>
      <c r="E55" s="486">
        <v>7873390</v>
      </c>
      <c r="F55" s="486"/>
      <c r="G55" s="486">
        <v>16352426</v>
      </c>
      <c r="H55" s="486"/>
      <c r="I55" s="486"/>
    </row>
    <row r="56" spans="1:9" s="273" customFormat="1">
      <c r="A56" s="482" t="s">
        <v>234</v>
      </c>
      <c r="B56" s="451" t="s">
        <v>59</v>
      </c>
      <c r="C56" s="483">
        <f>C57+C58+C59</f>
        <v>11387918.109999999</v>
      </c>
      <c r="D56" s="484">
        <f t="shared" ref="D56:I56" si="32">D57+D58+D59</f>
        <v>0</v>
      </c>
      <c r="E56" s="484">
        <f t="shared" si="32"/>
        <v>703300</v>
      </c>
      <c r="F56" s="484">
        <f t="shared" si="32"/>
        <v>0</v>
      </c>
      <c r="G56" s="484">
        <f t="shared" si="32"/>
        <v>999975</v>
      </c>
      <c r="H56" s="484"/>
      <c r="I56" s="484">
        <f t="shared" si="32"/>
        <v>0</v>
      </c>
    </row>
    <row r="57" spans="1:9" s="273" customFormat="1">
      <c r="A57" s="485" t="s">
        <v>329</v>
      </c>
      <c r="B57" s="435" t="s">
        <v>330</v>
      </c>
      <c r="C57" s="491">
        <v>2734319</v>
      </c>
      <c r="D57" s="492"/>
      <c r="E57" s="492">
        <v>703300</v>
      </c>
      <c r="F57" s="492"/>
      <c r="G57" s="492">
        <v>154225</v>
      </c>
      <c r="H57" s="492"/>
      <c r="I57" s="492"/>
    </row>
    <row r="58" spans="1:9" s="273" customFormat="1">
      <c r="A58" s="487"/>
      <c r="B58" s="420" t="s">
        <v>331</v>
      </c>
      <c r="C58" s="493"/>
      <c r="D58" s="492"/>
      <c r="E58" s="492"/>
      <c r="F58" s="492"/>
      <c r="G58" s="492"/>
      <c r="H58" s="492"/>
      <c r="I58" s="492"/>
    </row>
    <row r="59" spans="1:9" s="273" customFormat="1">
      <c r="A59" s="487"/>
      <c r="B59" s="435" t="s">
        <v>334</v>
      </c>
      <c r="C59" s="493">
        <v>8653599.1099999994</v>
      </c>
      <c r="D59" s="492"/>
      <c r="E59" s="492"/>
      <c r="F59" s="492"/>
      <c r="G59" s="492">
        <v>845750</v>
      </c>
      <c r="H59" s="492"/>
      <c r="I59" s="492"/>
    </row>
    <row r="60" spans="1:9" s="273" customFormat="1">
      <c r="A60" s="482" t="s">
        <v>101</v>
      </c>
      <c r="B60" s="451" t="s">
        <v>59</v>
      </c>
      <c r="C60" s="483">
        <f>C61+C62</f>
        <v>6890400</v>
      </c>
      <c r="D60" s="484">
        <f t="shared" ref="D60:I60" si="33">D61+D62</f>
        <v>0</v>
      </c>
      <c r="E60" s="484">
        <f t="shared" si="33"/>
        <v>5167800</v>
      </c>
      <c r="F60" s="484">
        <f t="shared" si="33"/>
        <v>0</v>
      </c>
      <c r="G60" s="484">
        <f t="shared" si="33"/>
        <v>1722600</v>
      </c>
      <c r="H60" s="484"/>
      <c r="I60" s="484">
        <f t="shared" si="33"/>
        <v>1722600</v>
      </c>
    </row>
    <row r="61" spans="1:9" s="273" customFormat="1">
      <c r="A61" s="485" t="s">
        <v>329</v>
      </c>
      <c r="B61" s="443" t="s">
        <v>330</v>
      </c>
      <c r="C61" s="493">
        <v>1148565</v>
      </c>
      <c r="D61" s="486"/>
      <c r="E61" s="486">
        <v>861424</v>
      </c>
      <c r="F61" s="486"/>
      <c r="G61" s="486">
        <v>287141</v>
      </c>
      <c r="H61" s="486"/>
      <c r="I61" s="486">
        <v>287141</v>
      </c>
    </row>
    <row r="62" spans="1:9" s="273" customFormat="1">
      <c r="A62" s="487"/>
      <c r="B62" s="488" t="s">
        <v>334</v>
      </c>
      <c r="C62" s="494">
        <v>5741835</v>
      </c>
      <c r="D62" s="490"/>
      <c r="E62" s="492">
        <v>4306376</v>
      </c>
      <c r="F62" s="490"/>
      <c r="G62" s="490">
        <v>1435459</v>
      </c>
      <c r="H62" s="490"/>
      <c r="I62" s="490">
        <v>1435459</v>
      </c>
    </row>
    <row r="63" spans="1:9" s="273" customFormat="1">
      <c r="A63" s="471" t="s">
        <v>346</v>
      </c>
      <c r="B63" s="472" t="s">
        <v>59</v>
      </c>
      <c r="C63" s="473">
        <f>C64+C65</f>
        <v>7458972</v>
      </c>
      <c r="D63" s="474">
        <f t="shared" ref="D63:I63" si="34">D64+D65</f>
        <v>0</v>
      </c>
      <c r="E63" s="474">
        <f t="shared" si="34"/>
        <v>243067</v>
      </c>
      <c r="F63" s="474">
        <f t="shared" si="34"/>
        <v>0</v>
      </c>
      <c r="G63" s="474">
        <f t="shared" si="34"/>
        <v>2374208.75</v>
      </c>
      <c r="H63" s="474"/>
      <c r="I63" s="474">
        <f t="shared" si="34"/>
        <v>0</v>
      </c>
    </row>
    <row r="64" spans="1:9" s="273" customFormat="1">
      <c r="A64" s="419" t="s">
        <v>329</v>
      </c>
      <c r="B64" s="443" t="s">
        <v>330</v>
      </c>
      <c r="C64" s="475">
        <f>C67+C70+C73+C76</f>
        <v>1187864</v>
      </c>
      <c r="D64" s="476">
        <f t="shared" ref="D64:G65" si="35">D67+D70+D73+D76</f>
        <v>0</v>
      </c>
      <c r="E64" s="476">
        <f t="shared" si="35"/>
        <v>41277</v>
      </c>
      <c r="F64" s="476">
        <f t="shared" si="35"/>
        <v>0</v>
      </c>
      <c r="G64" s="476">
        <f t="shared" si="35"/>
        <v>374546.75</v>
      </c>
      <c r="H64" s="476"/>
      <c r="I64" s="476"/>
    </row>
    <row r="65" spans="1:10" s="273" customFormat="1">
      <c r="A65" s="438"/>
      <c r="B65" s="446" t="s">
        <v>334</v>
      </c>
      <c r="C65" s="477">
        <f>C68+C71+C74+C77</f>
        <v>6271108</v>
      </c>
      <c r="D65" s="478">
        <f t="shared" si="35"/>
        <v>0</v>
      </c>
      <c r="E65" s="478">
        <f t="shared" si="35"/>
        <v>201790</v>
      </c>
      <c r="F65" s="478">
        <f t="shared" si="35"/>
        <v>0</v>
      </c>
      <c r="G65" s="478">
        <f t="shared" si="35"/>
        <v>1999662</v>
      </c>
      <c r="H65" s="478"/>
      <c r="I65" s="478"/>
    </row>
    <row r="66" spans="1:10" s="273" customFormat="1">
      <c r="A66" s="479" t="s">
        <v>347</v>
      </c>
      <c r="B66" s="443" t="s">
        <v>59</v>
      </c>
      <c r="C66" s="495">
        <f>C67+C68</f>
        <v>783827</v>
      </c>
      <c r="D66" s="496">
        <f>D67+D68</f>
        <v>0</v>
      </c>
      <c r="E66" s="496">
        <f t="shared" ref="E66:F66" si="36">E67+E68</f>
        <v>23517</v>
      </c>
      <c r="F66" s="496">
        <f t="shared" si="36"/>
        <v>0</v>
      </c>
      <c r="G66" s="496">
        <f>G67+G68</f>
        <v>760310</v>
      </c>
      <c r="H66" s="496"/>
      <c r="I66" s="496">
        <f>I67+I68</f>
        <v>0</v>
      </c>
    </row>
    <row r="67" spans="1:10" s="273" customFormat="1">
      <c r="A67" s="485" t="s">
        <v>329</v>
      </c>
      <c r="B67" s="443" t="s">
        <v>330</v>
      </c>
      <c r="C67" s="495">
        <v>120827</v>
      </c>
      <c r="D67" s="497"/>
      <c r="E67" s="495">
        <v>3627</v>
      </c>
      <c r="F67" s="497"/>
      <c r="G67" s="495">
        <v>117200</v>
      </c>
      <c r="H67" s="497"/>
      <c r="I67" s="497"/>
    </row>
    <row r="68" spans="1:10" s="273" customFormat="1">
      <c r="A68" s="498"/>
      <c r="B68" s="488" t="s">
        <v>334</v>
      </c>
      <c r="C68" s="499">
        <v>663000</v>
      </c>
      <c r="D68" s="500"/>
      <c r="E68" s="499">
        <v>19890</v>
      </c>
      <c r="F68" s="500"/>
      <c r="G68" s="499">
        <v>643110</v>
      </c>
      <c r="H68" s="500"/>
      <c r="I68" s="500"/>
    </row>
    <row r="69" spans="1:10" s="273" customFormat="1">
      <c r="A69" s="479" t="s">
        <v>236</v>
      </c>
      <c r="B69" s="443" t="s">
        <v>59</v>
      </c>
      <c r="C69" s="501">
        <f>C70+C71</f>
        <v>1464927</v>
      </c>
      <c r="D69" s="502">
        <f t="shared" ref="D69:I69" si="37">D70+D71</f>
        <v>0</v>
      </c>
      <c r="E69" s="502">
        <f t="shared" si="37"/>
        <v>0</v>
      </c>
      <c r="F69" s="502">
        <f t="shared" si="37"/>
        <v>0</v>
      </c>
      <c r="G69" s="502">
        <f t="shared" si="37"/>
        <v>366231.75</v>
      </c>
      <c r="H69" s="502"/>
      <c r="I69" s="502">
        <f t="shared" si="37"/>
        <v>0</v>
      </c>
    </row>
    <row r="70" spans="1:10" s="273" customFormat="1">
      <c r="A70" s="485" t="s">
        <v>329</v>
      </c>
      <c r="B70" s="503" t="s">
        <v>330</v>
      </c>
      <c r="C70" s="504">
        <v>225819</v>
      </c>
      <c r="D70" s="505"/>
      <c r="E70" s="505"/>
      <c r="F70" s="505"/>
      <c r="G70" s="505">
        <v>56454.75</v>
      </c>
      <c r="H70" s="505"/>
      <c r="I70" s="505"/>
    </row>
    <row r="71" spans="1:10" s="273" customFormat="1">
      <c r="A71" s="506"/>
      <c r="B71" s="443" t="s">
        <v>334</v>
      </c>
      <c r="C71" s="501">
        <v>1239108</v>
      </c>
      <c r="D71" s="505"/>
      <c r="E71" s="505"/>
      <c r="F71" s="505"/>
      <c r="G71" s="505">
        <v>309777</v>
      </c>
      <c r="H71" s="505"/>
      <c r="I71" s="505"/>
    </row>
    <row r="72" spans="1:10" s="273" customFormat="1">
      <c r="A72" s="479" t="s">
        <v>348</v>
      </c>
      <c r="B72" s="443" t="s">
        <v>59</v>
      </c>
      <c r="C72" s="501">
        <f>C73+C74</f>
        <v>3014718</v>
      </c>
      <c r="D72" s="502">
        <f t="shared" ref="D72:I72" si="38">D73+D74</f>
        <v>0</v>
      </c>
      <c r="E72" s="502">
        <f t="shared" si="38"/>
        <v>0</v>
      </c>
      <c r="F72" s="502">
        <f t="shared" si="38"/>
        <v>0</v>
      </c>
      <c r="G72" s="502">
        <f t="shared" si="38"/>
        <v>753679.5</v>
      </c>
      <c r="H72" s="502"/>
      <c r="I72" s="502">
        <f t="shared" si="38"/>
        <v>0</v>
      </c>
    </row>
    <row r="73" spans="1:10" s="273" customFormat="1">
      <c r="A73" s="507" t="s">
        <v>329</v>
      </c>
      <c r="B73" s="443" t="s">
        <v>330</v>
      </c>
      <c r="C73" s="501">
        <v>464718</v>
      </c>
      <c r="D73" s="508"/>
      <c r="E73" s="508"/>
      <c r="F73" s="508"/>
      <c r="G73" s="508">
        <v>116179.5</v>
      </c>
      <c r="H73" s="508"/>
      <c r="I73" s="508"/>
    </row>
    <row r="74" spans="1:10" s="273" customFormat="1">
      <c r="A74" s="506"/>
      <c r="B74" s="446" t="s">
        <v>334</v>
      </c>
      <c r="C74" s="509">
        <v>2550000</v>
      </c>
      <c r="D74" s="510"/>
      <c r="E74" s="510"/>
      <c r="F74" s="510"/>
      <c r="G74" s="510">
        <v>637500</v>
      </c>
      <c r="H74" s="510"/>
      <c r="I74" s="510"/>
    </row>
    <row r="75" spans="1:10" s="273" customFormat="1">
      <c r="A75" s="479" t="s">
        <v>113</v>
      </c>
      <c r="B75" s="443" t="s">
        <v>59</v>
      </c>
      <c r="C75" s="501">
        <f>C76+C77</f>
        <v>2195500</v>
      </c>
      <c r="D75" s="502">
        <f t="shared" ref="D75:I75" si="39">D76+D77</f>
        <v>0</v>
      </c>
      <c r="E75" s="502">
        <f t="shared" si="39"/>
        <v>219550</v>
      </c>
      <c r="F75" s="502">
        <f t="shared" si="39"/>
        <v>0</v>
      </c>
      <c r="G75" s="502">
        <f t="shared" si="39"/>
        <v>493987.5</v>
      </c>
      <c r="H75" s="502"/>
      <c r="I75" s="502">
        <f t="shared" si="39"/>
        <v>0</v>
      </c>
    </row>
    <row r="76" spans="1:10" s="273" customFormat="1">
      <c r="A76" s="511" t="s">
        <v>329</v>
      </c>
      <c r="B76" s="443" t="s">
        <v>330</v>
      </c>
      <c r="C76" s="512">
        <v>376500</v>
      </c>
      <c r="D76" s="508"/>
      <c r="E76" s="508">
        <v>37650</v>
      </c>
      <c r="F76" s="508"/>
      <c r="G76" s="508">
        <v>84712.5</v>
      </c>
      <c r="H76" s="508"/>
      <c r="I76" s="508"/>
    </row>
    <row r="77" spans="1:10" s="273" customFormat="1">
      <c r="A77" s="513"/>
      <c r="B77" s="446" t="s">
        <v>334</v>
      </c>
      <c r="C77" s="514">
        <v>1819000</v>
      </c>
      <c r="D77" s="510"/>
      <c r="E77" s="510">
        <v>181900</v>
      </c>
      <c r="F77" s="510"/>
      <c r="G77" s="510">
        <v>409275</v>
      </c>
      <c r="H77" s="510"/>
      <c r="I77" s="510"/>
    </row>
    <row r="78" spans="1:10" s="273" customFormat="1">
      <c r="A78" s="447" t="s">
        <v>235</v>
      </c>
      <c r="B78" s="443" t="s">
        <v>59</v>
      </c>
      <c r="C78" s="493">
        <f>C79+C80</f>
        <v>0</v>
      </c>
      <c r="D78" s="481">
        <f t="shared" ref="D78:I78" si="40">D79+D80</f>
        <v>0</v>
      </c>
      <c r="E78" s="481">
        <f t="shared" si="40"/>
        <v>0</v>
      </c>
      <c r="F78" s="481">
        <f t="shared" si="40"/>
        <v>0</v>
      </c>
      <c r="G78" s="481">
        <f t="shared" si="40"/>
        <v>0</v>
      </c>
      <c r="H78" s="481"/>
      <c r="I78" s="481">
        <f t="shared" si="40"/>
        <v>0</v>
      </c>
      <c r="J78" s="515" t="s">
        <v>349</v>
      </c>
    </row>
    <row r="79" spans="1:10" s="273" customFormat="1">
      <c r="A79" s="419" t="s">
        <v>329</v>
      </c>
      <c r="B79" s="443" t="s">
        <v>330</v>
      </c>
      <c r="C79" s="493"/>
      <c r="D79" s="481"/>
      <c r="E79" s="481"/>
      <c r="F79" s="481"/>
      <c r="G79" s="481"/>
      <c r="H79" s="481"/>
      <c r="I79" s="481"/>
    </row>
    <row r="80" spans="1:10" s="273" customFormat="1">
      <c r="A80" s="516"/>
      <c r="B80" s="488" t="s">
        <v>334</v>
      </c>
      <c r="C80" s="494"/>
      <c r="D80" s="517"/>
      <c r="E80" s="517"/>
      <c r="F80" s="517"/>
      <c r="G80" s="517"/>
      <c r="H80" s="517"/>
      <c r="I80" s="517"/>
    </row>
    <row r="81" spans="1:10" s="273" customFormat="1">
      <c r="A81" s="439" t="s">
        <v>150</v>
      </c>
      <c r="B81" s="440" t="s">
        <v>59</v>
      </c>
      <c r="C81" s="441">
        <f>C82+C83</f>
        <v>440600</v>
      </c>
      <c r="D81" s="442">
        <f t="shared" ref="D81:I81" si="41">D82+D83</f>
        <v>0</v>
      </c>
      <c r="E81" s="442">
        <f t="shared" si="41"/>
        <v>0</v>
      </c>
      <c r="F81" s="442">
        <f t="shared" si="41"/>
        <v>0</v>
      </c>
      <c r="G81" s="442">
        <f t="shared" si="41"/>
        <v>220000</v>
      </c>
      <c r="H81" s="442"/>
      <c r="I81" s="442">
        <f t="shared" si="41"/>
        <v>0</v>
      </c>
    </row>
    <row r="82" spans="1:10" s="273" customFormat="1">
      <c r="A82" s="419" t="s">
        <v>329</v>
      </c>
      <c r="B82" s="443" t="s">
        <v>330</v>
      </c>
      <c r="C82" s="444">
        <f>C85</f>
        <v>66090</v>
      </c>
      <c r="D82" s="445">
        <f t="shared" ref="D82:I83" si="42">D85</f>
        <v>0</v>
      </c>
      <c r="E82" s="445">
        <f t="shared" si="42"/>
        <v>0</v>
      </c>
      <c r="F82" s="445">
        <f t="shared" si="42"/>
        <v>0</v>
      </c>
      <c r="G82" s="445">
        <f t="shared" si="42"/>
        <v>33000</v>
      </c>
      <c r="H82" s="445"/>
      <c r="I82" s="445">
        <f t="shared" si="42"/>
        <v>0</v>
      </c>
    </row>
    <row r="83" spans="1:10" s="273" customFormat="1">
      <c r="A83" s="438"/>
      <c r="B83" s="446" t="s">
        <v>334</v>
      </c>
      <c r="C83" s="444">
        <f>C86</f>
        <v>374510</v>
      </c>
      <c r="D83" s="445">
        <f t="shared" si="42"/>
        <v>0</v>
      </c>
      <c r="E83" s="445">
        <f t="shared" si="42"/>
        <v>0</v>
      </c>
      <c r="F83" s="445">
        <f t="shared" si="42"/>
        <v>0</v>
      </c>
      <c r="G83" s="445">
        <f t="shared" si="42"/>
        <v>187000</v>
      </c>
      <c r="H83" s="445"/>
      <c r="I83" s="445">
        <f t="shared" si="42"/>
        <v>0</v>
      </c>
    </row>
    <row r="84" spans="1:10" s="273" customFormat="1">
      <c r="A84" s="460" t="s">
        <v>350</v>
      </c>
      <c r="B84" s="443" t="s">
        <v>59</v>
      </c>
      <c r="C84" s="444">
        <f>C85+C86</f>
        <v>440600</v>
      </c>
      <c r="D84" s="445">
        <f t="shared" ref="D84:I84" si="43">D85+D86</f>
        <v>0</v>
      </c>
      <c r="E84" s="445">
        <f t="shared" si="43"/>
        <v>0</v>
      </c>
      <c r="F84" s="445">
        <f t="shared" si="43"/>
        <v>0</v>
      </c>
      <c r="G84" s="445">
        <f t="shared" si="43"/>
        <v>220000</v>
      </c>
      <c r="H84" s="445"/>
      <c r="I84" s="445">
        <f t="shared" si="43"/>
        <v>0</v>
      </c>
      <c r="J84" s="515" t="s">
        <v>351</v>
      </c>
    </row>
    <row r="85" spans="1:10" s="273" customFormat="1">
      <c r="A85" s="485" t="s">
        <v>329</v>
      </c>
      <c r="B85" s="443" t="s">
        <v>330</v>
      </c>
      <c r="C85" s="448">
        <v>66090</v>
      </c>
      <c r="D85" s="449"/>
      <c r="E85" s="449"/>
      <c r="F85" s="449"/>
      <c r="G85" s="449">
        <v>33000</v>
      </c>
      <c r="H85" s="449"/>
      <c r="I85" s="449"/>
    </row>
    <row r="86" spans="1:10" s="273" customFormat="1">
      <c r="A86" s="506"/>
      <c r="B86" s="446" t="s">
        <v>334</v>
      </c>
      <c r="C86" s="448">
        <v>374510</v>
      </c>
      <c r="D86" s="449"/>
      <c r="E86" s="449"/>
      <c r="F86" s="449"/>
      <c r="G86" s="449">
        <v>187000</v>
      </c>
      <c r="H86" s="449"/>
      <c r="I86" s="449"/>
    </row>
    <row r="87" spans="1:10" s="273" customFormat="1">
      <c r="A87" s="439" t="s">
        <v>151</v>
      </c>
      <c r="B87" s="440" t="s">
        <v>59</v>
      </c>
      <c r="C87" s="441">
        <f>C88+C89</f>
        <v>500000</v>
      </c>
      <c r="D87" s="442">
        <f t="shared" ref="D87:I87" si="44">D88+D89</f>
        <v>0</v>
      </c>
      <c r="E87" s="442">
        <f t="shared" si="44"/>
        <v>0</v>
      </c>
      <c r="F87" s="442">
        <f t="shared" si="44"/>
        <v>0</v>
      </c>
      <c r="G87" s="442">
        <f t="shared" si="44"/>
        <v>250000</v>
      </c>
      <c r="H87" s="442"/>
      <c r="I87" s="442">
        <f t="shared" si="44"/>
        <v>0</v>
      </c>
    </row>
    <row r="88" spans="1:10" s="273" customFormat="1">
      <c r="A88" s="419" t="s">
        <v>329</v>
      </c>
      <c r="B88" s="443" t="s">
        <v>330</v>
      </c>
      <c r="C88" s="444">
        <f>C91</f>
        <v>250000</v>
      </c>
      <c r="D88" s="445">
        <f t="shared" ref="D88:I89" si="45">D91</f>
        <v>0</v>
      </c>
      <c r="E88" s="445">
        <f t="shared" si="45"/>
        <v>0</v>
      </c>
      <c r="F88" s="445">
        <f t="shared" si="45"/>
        <v>0</v>
      </c>
      <c r="G88" s="445">
        <f t="shared" si="45"/>
        <v>125000</v>
      </c>
      <c r="H88" s="445"/>
      <c r="I88" s="445">
        <f t="shared" si="45"/>
        <v>0</v>
      </c>
    </row>
    <row r="89" spans="1:10" s="273" customFormat="1">
      <c r="A89" s="438"/>
      <c r="B89" s="446" t="s">
        <v>334</v>
      </c>
      <c r="C89" s="444">
        <f>C92</f>
        <v>250000</v>
      </c>
      <c r="D89" s="445">
        <f t="shared" si="45"/>
        <v>0</v>
      </c>
      <c r="E89" s="445">
        <f t="shared" si="45"/>
        <v>0</v>
      </c>
      <c r="F89" s="445">
        <f t="shared" si="45"/>
        <v>0</v>
      </c>
      <c r="G89" s="445">
        <f t="shared" si="45"/>
        <v>125000</v>
      </c>
      <c r="H89" s="445"/>
      <c r="I89" s="445">
        <f t="shared" si="45"/>
        <v>0</v>
      </c>
    </row>
    <row r="90" spans="1:10" s="273" customFormat="1" ht="25.5">
      <c r="A90" s="460" t="s">
        <v>352</v>
      </c>
      <c r="B90" s="443" t="s">
        <v>59</v>
      </c>
      <c r="C90" s="444">
        <f>C91+C92</f>
        <v>500000</v>
      </c>
      <c r="D90" s="445">
        <f t="shared" ref="D90:I90" si="46">D91+D92</f>
        <v>0</v>
      </c>
      <c r="E90" s="445">
        <f t="shared" si="46"/>
        <v>0</v>
      </c>
      <c r="F90" s="445">
        <f t="shared" si="46"/>
        <v>0</v>
      </c>
      <c r="G90" s="445">
        <f t="shared" si="46"/>
        <v>250000</v>
      </c>
      <c r="H90" s="445"/>
      <c r="I90" s="445">
        <f t="shared" si="46"/>
        <v>0</v>
      </c>
      <c r="J90" s="515" t="s">
        <v>351</v>
      </c>
    </row>
    <row r="91" spans="1:10" s="273" customFormat="1">
      <c r="A91" s="485" t="s">
        <v>329</v>
      </c>
      <c r="B91" s="443" t="s">
        <v>330</v>
      </c>
      <c r="C91" s="448">
        <v>250000</v>
      </c>
      <c r="D91" s="449"/>
      <c r="E91" s="449"/>
      <c r="F91" s="449"/>
      <c r="G91" s="449">
        <v>125000</v>
      </c>
      <c r="H91" s="449"/>
      <c r="I91" s="449"/>
    </row>
    <row r="92" spans="1:10" s="273" customFormat="1">
      <c r="A92" s="506"/>
      <c r="B92" s="446" t="s">
        <v>334</v>
      </c>
      <c r="C92" s="444">
        <v>250000</v>
      </c>
      <c r="D92" s="445"/>
      <c r="E92" s="445"/>
      <c r="F92" s="445"/>
      <c r="G92" s="445">
        <v>125000</v>
      </c>
      <c r="H92" s="445"/>
      <c r="I92" s="445"/>
    </row>
    <row r="93" spans="1:10" s="273" customFormat="1">
      <c r="A93" s="518"/>
      <c r="B93" s="519"/>
      <c r="C93" s="520">
        <f>C99+C126+C149+C154+C162+C164+C168+C175+C183+C216+C280+C282</f>
        <v>229128893</v>
      </c>
      <c r="D93" s="521">
        <f>D99+D126+D149+D154+D162+D164+D168+D175+D183+D216+D280+D282</f>
        <v>28283621.93</v>
      </c>
      <c r="E93" s="521">
        <f t="shared" ref="E93:F93" si="47">E99+E126+E149+E154+E162+E164+E168+E175+E183+E216+E280+E282</f>
        <v>39924478</v>
      </c>
      <c r="F93" s="521">
        <f t="shared" si="47"/>
        <v>12400565</v>
      </c>
      <c r="G93" s="521">
        <f>G99+G126+G149+G154+G162+G164+G168+G175+G183+G216+G280+G282</f>
        <v>66291506</v>
      </c>
      <c r="H93" s="521"/>
      <c r="I93" s="521">
        <f>I99+I126+I149+I154+I162+I164+I168+I175+I183+I216+I280+I282</f>
        <v>0</v>
      </c>
    </row>
    <row r="94" spans="1:10" s="273" customFormat="1">
      <c r="A94" s="432" t="s">
        <v>353</v>
      </c>
      <c r="B94" s="429" t="s">
        <v>59</v>
      </c>
      <c r="C94" s="433">
        <f>C95+C96+C97+C98</f>
        <v>229128893</v>
      </c>
      <c r="D94" s="434">
        <f t="shared" ref="D94:I94" si="48">D95+D96+D97+D98</f>
        <v>28283621.93</v>
      </c>
      <c r="E94" s="434">
        <f t="shared" si="48"/>
        <v>39924478</v>
      </c>
      <c r="F94" s="434">
        <f t="shared" si="48"/>
        <v>12400565</v>
      </c>
      <c r="G94" s="434">
        <f t="shared" si="48"/>
        <v>66291506</v>
      </c>
      <c r="H94" s="434"/>
      <c r="I94" s="434">
        <f t="shared" si="48"/>
        <v>0</v>
      </c>
    </row>
    <row r="95" spans="1:10" s="273" customFormat="1">
      <c r="A95" s="419" t="s">
        <v>329</v>
      </c>
      <c r="B95" s="420" t="s">
        <v>330</v>
      </c>
      <c r="C95" s="421">
        <f>C99+C127+C149+C154+C164+C168+C176+C183+C217+C280+C282</f>
        <v>213778218</v>
      </c>
      <c r="D95" s="422">
        <f>D99+D127+D149+D154+D164+D168+D176+D183+D217+D280+D282</f>
        <v>24353452.93</v>
      </c>
      <c r="E95" s="422">
        <f t="shared" ref="E95:F95" si="49">E99+E127+E149+E154+E164+E168+E176+E183+E217+E280+E282</f>
        <v>36111466</v>
      </c>
      <c r="F95" s="422">
        <f t="shared" si="49"/>
        <v>12400565</v>
      </c>
      <c r="G95" s="422">
        <f>G99+G127+G149+G154+G164+G168+G176+G183+G217+G280+G282</f>
        <v>62298507</v>
      </c>
      <c r="H95" s="422"/>
      <c r="I95" s="422">
        <f>I99+I127+I149+I154+I164+I168+I176+I183+I217+I280+I282</f>
        <v>0</v>
      </c>
    </row>
    <row r="96" spans="1:10" s="273" customFormat="1">
      <c r="A96" s="423"/>
      <c r="B96" s="435" t="s">
        <v>331</v>
      </c>
      <c r="C96" s="421">
        <f>C177</f>
        <v>166667</v>
      </c>
      <c r="D96" s="422">
        <f>D177</f>
        <v>0</v>
      </c>
      <c r="E96" s="422">
        <f t="shared" ref="E96:F96" si="50">E177</f>
        <v>0</v>
      </c>
      <c r="F96" s="422">
        <f t="shared" si="50"/>
        <v>0</v>
      </c>
      <c r="G96" s="422">
        <f>G177</f>
        <v>166667</v>
      </c>
      <c r="H96" s="422"/>
      <c r="I96" s="422">
        <f>I177</f>
        <v>0</v>
      </c>
    </row>
    <row r="97" spans="1:11" s="273" customFormat="1">
      <c r="A97" s="423"/>
      <c r="B97" s="435" t="s">
        <v>332</v>
      </c>
      <c r="C97" s="421">
        <f>C162</f>
        <v>22680</v>
      </c>
      <c r="D97" s="422">
        <f>D162</f>
        <v>139849</v>
      </c>
      <c r="E97" s="422">
        <f t="shared" ref="E97:F97" si="51">E162</f>
        <v>22680</v>
      </c>
      <c r="F97" s="422">
        <f t="shared" si="51"/>
        <v>0</v>
      </c>
      <c r="G97" s="422">
        <f>G162</f>
        <v>36000</v>
      </c>
      <c r="H97" s="422"/>
      <c r="I97" s="422">
        <f>I162</f>
        <v>0</v>
      </c>
    </row>
    <row r="98" spans="1:11" s="273" customFormat="1">
      <c r="A98" s="522"/>
      <c r="B98" s="435" t="s">
        <v>333</v>
      </c>
      <c r="C98" s="421">
        <f>C128+C218</f>
        <v>15161328</v>
      </c>
      <c r="D98" s="422">
        <f>D128+D218</f>
        <v>3790320</v>
      </c>
      <c r="E98" s="422">
        <f t="shared" ref="E98:F98" si="52">E128+E218</f>
        <v>3790332</v>
      </c>
      <c r="F98" s="422">
        <f t="shared" si="52"/>
        <v>0</v>
      </c>
      <c r="G98" s="422">
        <f>G128+G218</f>
        <v>3790332</v>
      </c>
      <c r="H98" s="422"/>
      <c r="I98" s="422">
        <f>I128+I218</f>
        <v>0</v>
      </c>
    </row>
    <row r="99" spans="1:11" s="273" customFormat="1">
      <c r="A99" s="439" t="s">
        <v>120</v>
      </c>
      <c r="B99" s="440" t="s">
        <v>59</v>
      </c>
      <c r="C99" s="441">
        <f>C100+C117+C122</f>
        <v>65851860</v>
      </c>
      <c r="D99" s="442">
        <f>D100+D117+D122</f>
        <v>2532166.6</v>
      </c>
      <c r="E99" s="442">
        <f t="shared" ref="E99:F99" si="53">E100+E117+E122</f>
        <v>7948250</v>
      </c>
      <c r="F99" s="442">
        <f t="shared" si="53"/>
        <v>3518342</v>
      </c>
      <c r="G99" s="442">
        <f>G100+G117+G122</f>
        <v>21315000</v>
      </c>
      <c r="H99" s="442"/>
      <c r="I99" s="442">
        <f>I100+I117+I122</f>
        <v>0</v>
      </c>
    </row>
    <row r="100" spans="1:11" s="273" customFormat="1">
      <c r="A100" s="523" t="s">
        <v>354</v>
      </c>
      <c r="B100" s="524" t="s">
        <v>59</v>
      </c>
      <c r="C100" s="525">
        <f>SUM(C101:C116)</f>
        <v>44664160</v>
      </c>
      <c r="D100" s="526">
        <f>SUM(D101:D116)</f>
        <v>1257203.6000000001</v>
      </c>
      <c r="E100" s="526">
        <f t="shared" ref="E100" si="54">SUM(E101:E116)</f>
        <v>5598250</v>
      </c>
      <c r="F100" s="526">
        <v>1909723</v>
      </c>
      <c r="G100" s="526">
        <f>SUM(G101:G116)</f>
        <v>15215000</v>
      </c>
      <c r="H100" s="526"/>
      <c r="I100" s="526">
        <f>SUM(I101:I116)</f>
        <v>0</v>
      </c>
    </row>
    <row r="101" spans="1:11" s="273" customFormat="1">
      <c r="A101" s="527" t="s">
        <v>355</v>
      </c>
      <c r="B101" s="451" t="s">
        <v>330</v>
      </c>
      <c r="C101" s="483">
        <v>3440000</v>
      </c>
      <c r="D101" s="484"/>
      <c r="E101" s="484">
        <v>250000</v>
      </c>
      <c r="F101" s="484"/>
      <c r="G101" s="484">
        <v>3000000</v>
      </c>
      <c r="H101" s="484"/>
      <c r="I101" s="484"/>
    </row>
    <row r="102" spans="1:11" s="273" customFormat="1">
      <c r="A102" s="527" t="s">
        <v>356</v>
      </c>
      <c r="B102" s="451" t="s">
        <v>330</v>
      </c>
      <c r="C102" s="483">
        <v>3200000</v>
      </c>
      <c r="D102" s="484"/>
      <c r="E102" s="484">
        <v>97200</v>
      </c>
      <c r="F102" s="484"/>
      <c r="G102" s="484">
        <v>1500000</v>
      </c>
      <c r="H102" s="484"/>
      <c r="I102" s="484"/>
    </row>
    <row r="103" spans="1:11" s="273" customFormat="1">
      <c r="A103" s="528" t="s">
        <v>357</v>
      </c>
      <c r="B103" s="443" t="s">
        <v>330</v>
      </c>
      <c r="C103" s="529">
        <v>9200000</v>
      </c>
      <c r="D103" s="530">
        <v>130713.60000000001</v>
      </c>
      <c r="E103" s="530">
        <v>3500000</v>
      </c>
      <c r="F103" s="530"/>
      <c r="G103" s="530">
        <v>3915000</v>
      </c>
      <c r="H103" s="530"/>
      <c r="I103" s="530"/>
    </row>
    <row r="104" spans="1:11" s="273" customFormat="1">
      <c r="A104" s="531" t="s">
        <v>358</v>
      </c>
      <c r="B104" s="446" t="s">
        <v>330</v>
      </c>
      <c r="C104" s="532">
        <v>5500000</v>
      </c>
      <c r="D104" s="533"/>
      <c r="E104" s="533">
        <v>250000</v>
      </c>
      <c r="F104" s="533"/>
      <c r="G104" s="533">
        <v>2500000</v>
      </c>
      <c r="H104" s="533"/>
      <c r="I104" s="533"/>
    </row>
    <row r="105" spans="1:11" s="273" customFormat="1">
      <c r="A105" s="534" t="s">
        <v>359</v>
      </c>
      <c r="B105" s="446" t="s">
        <v>330</v>
      </c>
      <c r="C105" s="529">
        <v>1044160</v>
      </c>
      <c r="D105" s="530"/>
      <c r="E105" s="530"/>
      <c r="F105" s="530"/>
      <c r="G105" s="530">
        <v>1000000</v>
      </c>
      <c r="H105" s="530"/>
      <c r="I105" s="530"/>
    </row>
    <row r="106" spans="1:11" s="273" customFormat="1">
      <c r="A106" s="534" t="s">
        <v>360</v>
      </c>
      <c r="B106" s="446" t="s">
        <v>330</v>
      </c>
      <c r="C106" s="529">
        <v>1000000</v>
      </c>
      <c r="D106" s="530"/>
      <c r="E106" s="530">
        <v>200000</v>
      </c>
      <c r="F106" s="530"/>
      <c r="G106" s="530">
        <v>1000000</v>
      </c>
      <c r="H106" s="530"/>
      <c r="I106" s="530"/>
    </row>
    <row r="107" spans="1:11" s="273" customFormat="1" ht="22.5">
      <c r="A107" s="528" t="s">
        <v>361</v>
      </c>
      <c r="B107" s="420" t="s">
        <v>330</v>
      </c>
      <c r="C107" s="529">
        <v>8000000</v>
      </c>
      <c r="D107" s="530"/>
      <c r="E107" s="530"/>
      <c r="F107" s="530"/>
      <c r="G107" s="530">
        <v>300000</v>
      </c>
      <c r="H107" s="530"/>
      <c r="I107" s="530"/>
    </row>
    <row r="108" spans="1:11" s="273" customFormat="1">
      <c r="A108" s="528" t="s">
        <v>362</v>
      </c>
      <c r="B108" s="443" t="s">
        <v>330</v>
      </c>
      <c r="C108" s="529">
        <v>5280000</v>
      </c>
      <c r="D108" s="530">
        <v>1126490</v>
      </c>
      <c r="E108" s="530">
        <v>1301050</v>
      </c>
      <c r="F108" s="530"/>
      <c r="G108" s="530">
        <v>1000000</v>
      </c>
      <c r="H108" s="530"/>
      <c r="I108" s="530"/>
      <c r="K108" s="535"/>
    </row>
    <row r="109" spans="1:11" s="273" customFormat="1">
      <c r="A109" s="536" t="s">
        <v>363</v>
      </c>
      <c r="B109" s="537" t="s">
        <v>330</v>
      </c>
      <c r="C109" s="538">
        <v>8000000</v>
      </c>
      <c r="D109" s="539"/>
      <c r="E109" s="539"/>
      <c r="F109" s="539"/>
      <c r="G109" s="539">
        <v>1000000</v>
      </c>
      <c r="H109" s="539"/>
      <c r="I109" s="539"/>
    </row>
    <row r="110" spans="1:11" s="273" customFormat="1" ht="22.5">
      <c r="A110" s="540" t="s">
        <v>364</v>
      </c>
      <c r="B110" s="451" t="s">
        <v>330</v>
      </c>
      <c r="C110" s="483"/>
      <c r="D110" s="484"/>
      <c r="E110" s="484"/>
      <c r="F110" s="484"/>
      <c r="G110" s="484"/>
      <c r="H110" s="484"/>
      <c r="I110" s="484"/>
      <c r="J110" s="515" t="s">
        <v>365</v>
      </c>
    </row>
    <row r="111" spans="1:11" s="273" customFormat="1">
      <c r="A111" s="540" t="s">
        <v>366</v>
      </c>
      <c r="B111" s="451" t="s">
        <v>330</v>
      </c>
      <c r="C111" s="483"/>
      <c r="D111" s="484"/>
      <c r="E111" s="484"/>
      <c r="F111" s="484"/>
      <c r="G111" s="484"/>
      <c r="H111" s="484"/>
      <c r="I111" s="484"/>
    </row>
    <row r="112" spans="1:11" s="273" customFormat="1">
      <c r="A112" s="540" t="s">
        <v>367</v>
      </c>
      <c r="B112" s="451" t="s">
        <v>330</v>
      </c>
      <c r="C112" s="483"/>
      <c r="D112" s="484"/>
      <c r="E112" s="484"/>
      <c r="F112" s="484"/>
      <c r="G112" s="484"/>
      <c r="H112" s="484"/>
      <c r="I112" s="484"/>
    </row>
    <row r="113" spans="1:9" s="273" customFormat="1">
      <c r="A113" s="540" t="s">
        <v>368</v>
      </c>
      <c r="B113" s="451" t="s">
        <v>330</v>
      </c>
      <c r="C113" s="483"/>
      <c r="D113" s="484"/>
      <c r="E113" s="484"/>
      <c r="F113" s="484"/>
      <c r="G113" s="484"/>
      <c r="H113" s="484"/>
      <c r="I113" s="484"/>
    </row>
    <row r="114" spans="1:9" s="273" customFormat="1">
      <c r="A114" s="540" t="s">
        <v>369</v>
      </c>
      <c r="B114" s="451" t="s">
        <v>330</v>
      </c>
      <c r="C114" s="483"/>
      <c r="D114" s="484"/>
      <c r="E114" s="484"/>
      <c r="F114" s="484"/>
      <c r="G114" s="484"/>
      <c r="H114" s="484"/>
      <c r="I114" s="484"/>
    </row>
    <row r="115" spans="1:9" s="273" customFormat="1">
      <c r="A115" s="541" t="s">
        <v>370</v>
      </c>
      <c r="B115" s="542" t="s">
        <v>330</v>
      </c>
      <c r="C115" s="543"/>
      <c r="D115" s="544"/>
      <c r="E115" s="544"/>
      <c r="F115" s="544"/>
      <c r="G115" s="544"/>
      <c r="H115" s="544"/>
      <c r="I115" s="544"/>
    </row>
    <row r="116" spans="1:9" s="273" customFormat="1">
      <c r="A116" s="541" t="s">
        <v>371</v>
      </c>
      <c r="B116" s="542" t="s">
        <v>330</v>
      </c>
      <c r="C116" s="543"/>
      <c r="D116" s="544"/>
      <c r="E116" s="544"/>
      <c r="F116" s="544"/>
      <c r="G116" s="544"/>
      <c r="H116" s="544"/>
      <c r="I116" s="544"/>
    </row>
    <row r="117" spans="1:9" s="273" customFormat="1">
      <c r="A117" s="545" t="s">
        <v>372</v>
      </c>
      <c r="B117" s="546" t="s">
        <v>59</v>
      </c>
      <c r="C117" s="525">
        <f>SUM(C118:C121)</f>
        <v>11137700</v>
      </c>
      <c r="D117" s="526">
        <f>SUM(D118:D121)</f>
        <v>1240220</v>
      </c>
      <c r="E117" s="526">
        <f t="shared" ref="E117" si="55">SUM(E118:E121)</f>
        <v>1800000</v>
      </c>
      <c r="F117" s="526">
        <v>1337467</v>
      </c>
      <c r="G117" s="526">
        <f>SUM(G118:G121)</f>
        <v>4200000</v>
      </c>
      <c r="H117" s="526"/>
      <c r="I117" s="526">
        <f>SUM(I118:I121)</f>
        <v>0</v>
      </c>
    </row>
    <row r="118" spans="1:9" s="273" customFormat="1">
      <c r="A118" s="534" t="s">
        <v>373</v>
      </c>
      <c r="B118" s="443" t="s">
        <v>330</v>
      </c>
      <c r="C118" s="529">
        <v>2837700</v>
      </c>
      <c r="D118" s="530"/>
      <c r="E118" s="530"/>
      <c r="F118" s="530"/>
      <c r="G118" s="530">
        <v>1800000</v>
      </c>
      <c r="H118" s="530"/>
      <c r="I118" s="530"/>
    </row>
    <row r="119" spans="1:9" s="273" customFormat="1">
      <c r="A119" s="534" t="s">
        <v>374</v>
      </c>
      <c r="B119" s="443" t="s">
        <v>330</v>
      </c>
      <c r="C119" s="529">
        <v>5700000</v>
      </c>
      <c r="D119" s="530">
        <v>1240220</v>
      </c>
      <c r="E119" s="530">
        <v>1800000</v>
      </c>
      <c r="F119" s="530"/>
      <c r="G119" s="530">
        <v>1000000</v>
      </c>
      <c r="H119" s="530"/>
      <c r="I119" s="530"/>
    </row>
    <row r="120" spans="1:9" s="273" customFormat="1">
      <c r="A120" s="547" t="s">
        <v>375</v>
      </c>
      <c r="B120" s="542" t="s">
        <v>330</v>
      </c>
      <c r="C120" s="543">
        <v>1600000</v>
      </c>
      <c r="D120" s="544"/>
      <c r="E120" s="544"/>
      <c r="F120" s="544"/>
      <c r="G120" s="544">
        <v>400000</v>
      </c>
      <c r="H120" s="544"/>
      <c r="I120" s="544"/>
    </row>
    <row r="121" spans="1:9" s="273" customFormat="1">
      <c r="A121" s="534" t="s">
        <v>376</v>
      </c>
      <c r="B121" s="443" t="s">
        <v>330</v>
      </c>
      <c r="C121" s="529">
        <v>1000000</v>
      </c>
      <c r="D121" s="530"/>
      <c r="E121" s="530"/>
      <c r="F121" s="530"/>
      <c r="G121" s="530">
        <v>1000000</v>
      </c>
      <c r="H121" s="530"/>
      <c r="I121" s="530"/>
    </row>
    <row r="122" spans="1:9" s="273" customFormat="1">
      <c r="A122" s="545" t="s">
        <v>377</v>
      </c>
      <c r="B122" s="524" t="s">
        <v>59</v>
      </c>
      <c r="C122" s="525">
        <f>SUM(C123:C125)</f>
        <v>10050000</v>
      </c>
      <c r="D122" s="526">
        <f>SUM(D123:D125)</f>
        <v>34743</v>
      </c>
      <c r="E122" s="526">
        <f t="shared" ref="E122" si="56">SUM(E123:E125)</f>
        <v>550000</v>
      </c>
      <c r="F122" s="526">
        <v>271152</v>
      </c>
      <c r="G122" s="526">
        <f>SUM(G123:G125)</f>
        <v>1900000</v>
      </c>
      <c r="H122" s="526"/>
      <c r="I122" s="526">
        <f>SUM(I123:I125)</f>
        <v>0</v>
      </c>
    </row>
    <row r="123" spans="1:9" s="273" customFormat="1">
      <c r="A123" s="527" t="s">
        <v>378</v>
      </c>
      <c r="B123" s="451" t="s">
        <v>330</v>
      </c>
      <c r="C123" s="483">
        <v>1500000</v>
      </c>
      <c r="D123" s="484"/>
      <c r="E123" s="484">
        <v>500000</v>
      </c>
      <c r="F123" s="484"/>
      <c r="G123" s="484">
        <v>1500000</v>
      </c>
      <c r="H123" s="484"/>
      <c r="I123" s="484"/>
    </row>
    <row r="124" spans="1:9" s="273" customFormat="1">
      <c r="A124" s="528" t="s">
        <v>379</v>
      </c>
      <c r="B124" s="443" t="s">
        <v>330</v>
      </c>
      <c r="C124" s="548">
        <v>6500000</v>
      </c>
      <c r="D124" s="486"/>
      <c r="E124" s="486"/>
      <c r="F124" s="486"/>
      <c r="G124" s="486">
        <v>300000</v>
      </c>
      <c r="H124" s="486"/>
      <c r="I124" s="486"/>
    </row>
    <row r="125" spans="1:9" s="273" customFormat="1">
      <c r="A125" s="528" t="s">
        <v>380</v>
      </c>
      <c r="B125" s="443" t="s">
        <v>330</v>
      </c>
      <c r="C125" s="532">
        <v>2050000</v>
      </c>
      <c r="D125" s="530">
        <v>34743</v>
      </c>
      <c r="E125" s="530">
        <v>50000</v>
      </c>
      <c r="F125" s="530"/>
      <c r="G125" s="530">
        <v>100000</v>
      </c>
      <c r="H125" s="530"/>
      <c r="I125" s="530"/>
    </row>
    <row r="126" spans="1:9" s="273" customFormat="1">
      <c r="A126" s="439" t="s">
        <v>381</v>
      </c>
      <c r="B126" s="440" t="s">
        <v>59</v>
      </c>
      <c r="C126" s="441">
        <f>C127+C128</f>
        <v>15167674</v>
      </c>
      <c r="D126" s="442">
        <f t="shared" ref="D126:I126" si="57">D127+D128</f>
        <v>1315614.6299999999</v>
      </c>
      <c r="E126" s="442">
        <f t="shared" si="57"/>
        <v>1420617</v>
      </c>
      <c r="F126" s="442">
        <f t="shared" si="57"/>
        <v>588013</v>
      </c>
      <c r="G126" s="442">
        <f t="shared" si="57"/>
        <v>8979617</v>
      </c>
      <c r="H126" s="442"/>
      <c r="I126" s="442">
        <f t="shared" si="57"/>
        <v>0</v>
      </c>
    </row>
    <row r="127" spans="1:9" s="273" customFormat="1">
      <c r="A127" s="423" t="s">
        <v>329</v>
      </c>
      <c r="B127" s="420" t="s">
        <v>330</v>
      </c>
      <c r="C127" s="444">
        <f>C130+C132+C135+C136+C139+C140+C141+C142+C144+C145+C138+C143</f>
        <v>13709206</v>
      </c>
      <c r="D127" s="445">
        <f>D130+D132+D135+D136+D139+D140+D141+D142+D144+D145+D138+D143</f>
        <v>963032.63</v>
      </c>
      <c r="E127" s="445">
        <f t="shared" ref="E127:F127" si="58">E130+E132+E135+E136+E139+E140+E141+E142+E144+E145+E138+E143</f>
        <v>1056000</v>
      </c>
      <c r="F127" s="445">
        <f t="shared" si="58"/>
        <v>588013</v>
      </c>
      <c r="G127" s="445">
        <f>G130+G132+G135+G136+G139+G140+G141+G142+G144+G145+G138+G143</f>
        <v>8615000</v>
      </c>
      <c r="H127" s="445"/>
      <c r="I127" s="445">
        <f>I130+I132+I135+I136+I139+I140+I141+I142+I144+I145+I138+I143</f>
        <v>0</v>
      </c>
    </row>
    <row r="128" spans="1:9" s="273" customFormat="1">
      <c r="A128" s="438"/>
      <c r="B128" s="420" t="s">
        <v>333</v>
      </c>
      <c r="C128" s="549">
        <f>C131</f>
        <v>1458468</v>
      </c>
      <c r="D128" s="550">
        <f t="shared" ref="D128:I128" si="59">D131</f>
        <v>352582</v>
      </c>
      <c r="E128" s="550">
        <f t="shared" si="59"/>
        <v>364617</v>
      </c>
      <c r="F128" s="550">
        <f t="shared" si="59"/>
        <v>0</v>
      </c>
      <c r="G128" s="550">
        <f t="shared" si="59"/>
        <v>364617</v>
      </c>
      <c r="H128" s="550"/>
      <c r="I128" s="550">
        <f t="shared" si="59"/>
        <v>0</v>
      </c>
    </row>
    <row r="129" spans="1:9" s="273" customFormat="1">
      <c r="A129" s="438" t="s">
        <v>382</v>
      </c>
      <c r="B129" s="443" t="s">
        <v>59</v>
      </c>
      <c r="C129" s="444">
        <f>C130+C131</f>
        <v>2258468</v>
      </c>
      <c r="D129" s="445">
        <f t="shared" ref="D129:I129" si="60">D130+D131</f>
        <v>603575.66</v>
      </c>
      <c r="E129" s="445">
        <f t="shared" si="60"/>
        <v>620217</v>
      </c>
      <c r="F129" s="445">
        <f t="shared" si="60"/>
        <v>0</v>
      </c>
      <c r="G129" s="445">
        <f t="shared" si="60"/>
        <v>564617</v>
      </c>
      <c r="H129" s="445"/>
      <c r="I129" s="445">
        <f t="shared" si="60"/>
        <v>0</v>
      </c>
    </row>
    <row r="130" spans="1:9" s="273" customFormat="1">
      <c r="A130" s="419" t="s">
        <v>329</v>
      </c>
      <c r="B130" s="443" t="s">
        <v>330</v>
      </c>
      <c r="C130" s="444">
        <v>800000</v>
      </c>
      <c r="D130" s="445">
        <v>250993.66</v>
      </c>
      <c r="E130" s="445">
        <v>255600</v>
      </c>
      <c r="F130" s="445"/>
      <c r="G130" s="445">
        <v>200000</v>
      </c>
      <c r="H130" s="445"/>
      <c r="I130" s="445"/>
    </row>
    <row r="131" spans="1:9" s="273" customFormat="1">
      <c r="A131" s="438"/>
      <c r="B131" s="446" t="s">
        <v>333</v>
      </c>
      <c r="C131" s="549">
        <v>1458468</v>
      </c>
      <c r="D131" s="445">
        <v>352582</v>
      </c>
      <c r="E131" s="445">
        <v>364617</v>
      </c>
      <c r="F131" s="445"/>
      <c r="G131" s="445">
        <v>364617</v>
      </c>
      <c r="H131" s="445"/>
      <c r="I131" s="445"/>
    </row>
    <row r="132" spans="1:9" s="273" customFormat="1">
      <c r="A132" s="438" t="s">
        <v>383</v>
      </c>
      <c r="B132" s="446" t="s">
        <v>59</v>
      </c>
      <c r="C132" s="549">
        <f>C133+C134</f>
        <v>500000</v>
      </c>
      <c r="D132" s="550">
        <f t="shared" ref="D132:I132" si="61">D133+D134</f>
        <v>0</v>
      </c>
      <c r="E132" s="550">
        <f t="shared" si="61"/>
        <v>0</v>
      </c>
      <c r="F132" s="550">
        <f t="shared" si="61"/>
        <v>0</v>
      </c>
      <c r="G132" s="550">
        <f t="shared" si="61"/>
        <v>500000</v>
      </c>
      <c r="H132" s="550"/>
      <c r="I132" s="550">
        <f t="shared" si="61"/>
        <v>0</v>
      </c>
    </row>
    <row r="133" spans="1:9" s="273" customFormat="1">
      <c r="A133" s="551" t="s">
        <v>384</v>
      </c>
      <c r="B133" s="443" t="s">
        <v>330</v>
      </c>
      <c r="C133" s="552">
        <v>100000</v>
      </c>
      <c r="D133" s="553"/>
      <c r="E133" s="553"/>
      <c r="F133" s="553"/>
      <c r="G133" s="553">
        <v>100000</v>
      </c>
      <c r="H133" s="553"/>
      <c r="I133" s="553"/>
    </row>
    <row r="134" spans="1:9" s="273" customFormat="1">
      <c r="A134" s="551" t="s">
        <v>385</v>
      </c>
      <c r="B134" s="443" t="s">
        <v>330</v>
      </c>
      <c r="C134" s="552">
        <v>400000</v>
      </c>
      <c r="D134" s="553"/>
      <c r="E134" s="553"/>
      <c r="F134" s="553"/>
      <c r="G134" s="553">
        <v>400000</v>
      </c>
      <c r="H134" s="553"/>
      <c r="I134" s="553"/>
    </row>
    <row r="135" spans="1:9" s="273" customFormat="1">
      <c r="A135" s="438" t="s">
        <v>386</v>
      </c>
      <c r="B135" s="446" t="s">
        <v>330</v>
      </c>
      <c r="C135" s="549">
        <v>500000</v>
      </c>
      <c r="D135" s="554">
        <v>153042</v>
      </c>
      <c r="E135" s="555">
        <v>250000</v>
      </c>
      <c r="F135" s="555">
        <v>96958</v>
      </c>
      <c r="G135" s="555">
        <v>250000</v>
      </c>
      <c r="H135" s="555"/>
      <c r="I135" s="555"/>
    </row>
    <row r="136" spans="1:9" s="273" customFormat="1">
      <c r="A136" s="438" t="s">
        <v>387</v>
      </c>
      <c r="B136" s="446" t="s">
        <v>59</v>
      </c>
      <c r="C136" s="549">
        <f>C137</f>
        <v>275000</v>
      </c>
      <c r="D136" s="550">
        <f>D137</f>
        <v>0</v>
      </c>
      <c r="E136" s="550"/>
      <c r="F136" s="550"/>
      <c r="G136" s="550">
        <f>G137</f>
        <v>200000</v>
      </c>
      <c r="H136" s="550"/>
      <c r="I136" s="550">
        <f>I137</f>
        <v>0</v>
      </c>
    </row>
    <row r="137" spans="1:9" s="273" customFormat="1">
      <c r="A137" s="551" t="s">
        <v>388</v>
      </c>
      <c r="B137" s="443" t="s">
        <v>330</v>
      </c>
      <c r="C137" s="532">
        <v>275000</v>
      </c>
      <c r="D137" s="530"/>
      <c r="E137" s="530"/>
      <c r="F137" s="530"/>
      <c r="G137" s="530">
        <v>200000</v>
      </c>
      <c r="H137" s="530"/>
      <c r="I137" s="530"/>
    </row>
    <row r="138" spans="1:9" s="273" customFormat="1">
      <c r="A138" s="556" t="s">
        <v>389</v>
      </c>
      <c r="B138" s="557" t="s">
        <v>59</v>
      </c>
      <c r="C138" s="444">
        <v>550000</v>
      </c>
      <c r="D138" s="445"/>
      <c r="E138" s="445"/>
      <c r="F138" s="445"/>
      <c r="G138" s="445">
        <v>55000</v>
      </c>
      <c r="H138" s="445"/>
      <c r="I138" s="445"/>
    </row>
    <row r="139" spans="1:9" s="273" customFormat="1">
      <c r="A139" s="438" t="s">
        <v>390</v>
      </c>
      <c r="B139" s="446" t="s">
        <v>59</v>
      </c>
      <c r="C139" s="549">
        <v>800000</v>
      </c>
      <c r="D139" s="550">
        <v>95625</v>
      </c>
      <c r="E139" s="550"/>
      <c r="F139" s="550">
        <v>392872</v>
      </c>
      <c r="G139" s="550">
        <v>200000</v>
      </c>
      <c r="H139" s="550"/>
      <c r="I139" s="550"/>
    </row>
    <row r="140" spans="1:9" s="273" customFormat="1">
      <c r="A140" s="447" t="s">
        <v>391</v>
      </c>
      <c r="B140" s="443" t="s">
        <v>330</v>
      </c>
      <c r="C140" s="549">
        <v>1130206</v>
      </c>
      <c r="D140" s="558">
        <v>150206.32999999999</v>
      </c>
      <c r="E140" s="558">
        <v>130000</v>
      </c>
      <c r="F140" s="558"/>
      <c r="G140" s="558">
        <v>75000</v>
      </c>
      <c r="H140" s="558"/>
      <c r="I140" s="558"/>
    </row>
    <row r="141" spans="1:9" s="273" customFormat="1">
      <c r="A141" s="559" t="s">
        <v>392</v>
      </c>
      <c r="B141" s="443" t="s">
        <v>330</v>
      </c>
      <c r="C141" s="549">
        <v>1000000</v>
      </c>
      <c r="D141" s="550"/>
      <c r="E141" s="550"/>
      <c r="F141" s="550"/>
      <c r="G141" s="550">
        <v>500000</v>
      </c>
      <c r="H141" s="550"/>
      <c r="I141" s="550"/>
    </row>
    <row r="142" spans="1:9" s="273" customFormat="1">
      <c r="A142" s="559" t="s">
        <v>393</v>
      </c>
      <c r="B142" s="443" t="s">
        <v>330</v>
      </c>
      <c r="C142" s="549">
        <v>1000000</v>
      </c>
      <c r="D142" s="550">
        <v>284785.64</v>
      </c>
      <c r="E142" s="550">
        <v>260400</v>
      </c>
      <c r="F142" s="550">
        <v>37563</v>
      </c>
      <c r="G142" s="550">
        <v>250000</v>
      </c>
      <c r="H142" s="550"/>
      <c r="I142" s="550"/>
    </row>
    <row r="143" spans="1:9" s="273" customFormat="1">
      <c r="A143" s="560" t="s">
        <v>394</v>
      </c>
      <c r="B143" s="561" t="s">
        <v>330</v>
      </c>
      <c r="C143" s="452">
        <v>6164000</v>
      </c>
      <c r="D143" s="453">
        <v>28380</v>
      </c>
      <c r="E143" s="453"/>
      <c r="F143" s="453">
        <v>60620</v>
      </c>
      <c r="G143" s="453">
        <f>5585000+290000</f>
        <v>5875000</v>
      </c>
      <c r="H143" s="453"/>
      <c r="I143" s="453"/>
    </row>
    <row r="144" spans="1:9" s="273" customFormat="1">
      <c r="A144" s="560" t="s">
        <v>395</v>
      </c>
      <c r="B144" s="562" t="s">
        <v>330</v>
      </c>
      <c r="C144" s="452">
        <v>350000</v>
      </c>
      <c r="D144" s="453"/>
      <c r="E144" s="453"/>
      <c r="F144" s="453"/>
      <c r="G144" s="453">
        <v>350000</v>
      </c>
      <c r="H144" s="453"/>
      <c r="I144" s="453"/>
    </row>
    <row r="145" spans="1:10" s="273" customFormat="1">
      <c r="A145" s="438" t="s">
        <v>396</v>
      </c>
      <c r="B145" s="563" t="s">
        <v>330</v>
      </c>
      <c r="C145" s="564">
        <f>SUM(C146:C148)</f>
        <v>640000</v>
      </c>
      <c r="D145" s="565"/>
      <c r="E145" s="565">
        <v>160000</v>
      </c>
      <c r="F145" s="565">
        <f t="shared" ref="F145" si="62">SUM(F146:F148)</f>
        <v>0</v>
      </c>
      <c r="G145" s="565">
        <f>SUM(G146:G148)</f>
        <v>160000</v>
      </c>
      <c r="H145" s="565"/>
      <c r="I145" s="565">
        <f t="shared" ref="I145" si="63">SUM(I146:I148)</f>
        <v>0</v>
      </c>
    </row>
    <row r="146" spans="1:10" s="273" customFormat="1">
      <c r="A146" s="566" t="s">
        <v>397</v>
      </c>
      <c r="B146" s="567"/>
      <c r="C146" s="568">
        <v>280000</v>
      </c>
      <c r="D146" s="569"/>
      <c r="E146" s="569"/>
      <c r="F146" s="569"/>
      <c r="G146" s="569">
        <v>70000</v>
      </c>
      <c r="H146" s="569"/>
      <c r="I146" s="569"/>
    </row>
    <row r="147" spans="1:10" s="273" customFormat="1">
      <c r="A147" s="566" t="s">
        <v>398</v>
      </c>
      <c r="B147" s="567"/>
      <c r="C147" s="568">
        <v>240000</v>
      </c>
      <c r="D147" s="569"/>
      <c r="E147" s="569"/>
      <c r="F147" s="569"/>
      <c r="G147" s="569">
        <v>60000</v>
      </c>
      <c r="H147" s="569"/>
      <c r="I147" s="569"/>
    </row>
    <row r="148" spans="1:10" s="273" customFormat="1">
      <c r="A148" s="566" t="s">
        <v>399</v>
      </c>
      <c r="B148" s="567"/>
      <c r="C148" s="568">
        <v>120000</v>
      </c>
      <c r="D148" s="569"/>
      <c r="E148" s="569"/>
      <c r="F148" s="569"/>
      <c r="G148" s="569">
        <v>30000</v>
      </c>
      <c r="H148" s="569"/>
      <c r="I148" s="569"/>
    </row>
    <row r="149" spans="1:10" s="273" customFormat="1" ht="12" customHeight="1">
      <c r="A149" s="462" t="s">
        <v>148</v>
      </c>
      <c r="B149" s="463" t="s">
        <v>59</v>
      </c>
      <c r="C149" s="464">
        <f>SUM(C150:C153)</f>
        <v>2720000</v>
      </c>
      <c r="D149" s="465">
        <f>SUM(D150:D153)</f>
        <v>249373.23</v>
      </c>
      <c r="E149" s="465">
        <f t="shared" ref="E149:F149" si="64">SUM(E150:E153)</f>
        <v>1020000</v>
      </c>
      <c r="F149" s="465">
        <f t="shared" si="64"/>
        <v>211416</v>
      </c>
      <c r="G149" s="465">
        <f>SUM(G150:G153)</f>
        <v>1200000</v>
      </c>
      <c r="H149" s="465"/>
      <c r="I149" s="465">
        <f>SUM(I150:I153)</f>
        <v>0</v>
      </c>
    </row>
    <row r="150" spans="1:10" s="273" customFormat="1" ht="12" customHeight="1">
      <c r="A150" s="447" t="s">
        <v>400</v>
      </c>
      <c r="B150" s="570" t="s">
        <v>330</v>
      </c>
      <c r="C150" s="549">
        <v>675000</v>
      </c>
      <c r="D150" s="550"/>
      <c r="E150" s="550"/>
      <c r="F150" s="550"/>
      <c r="G150" s="550">
        <v>675000</v>
      </c>
      <c r="H150" s="550"/>
      <c r="I150" s="550"/>
    </row>
    <row r="151" spans="1:10" s="273" customFormat="1" ht="12" customHeight="1">
      <c r="A151" s="447" t="s">
        <v>401</v>
      </c>
      <c r="B151" s="571" t="s">
        <v>330</v>
      </c>
      <c r="C151" s="549">
        <v>1275000</v>
      </c>
      <c r="D151" s="550">
        <v>350</v>
      </c>
      <c r="E151" s="550">
        <v>855000</v>
      </c>
      <c r="F151" s="550">
        <v>169650</v>
      </c>
      <c r="G151" s="550">
        <v>250000</v>
      </c>
      <c r="H151" s="550"/>
      <c r="I151" s="550"/>
      <c r="J151" s="572"/>
    </row>
    <row r="152" spans="1:10" s="273" customFormat="1" ht="12" customHeight="1">
      <c r="A152" s="447" t="s">
        <v>402</v>
      </c>
      <c r="B152" s="573" t="s">
        <v>330</v>
      </c>
      <c r="C152" s="549">
        <v>720000</v>
      </c>
      <c r="D152" s="550">
        <v>249023.23</v>
      </c>
      <c r="E152" s="550">
        <v>165000</v>
      </c>
      <c r="F152" s="550">
        <v>41766</v>
      </c>
      <c r="G152" s="550">
        <v>225000</v>
      </c>
      <c r="H152" s="550"/>
      <c r="I152" s="550"/>
    </row>
    <row r="153" spans="1:10" s="273" customFormat="1" ht="12" customHeight="1">
      <c r="A153" s="560" t="s">
        <v>403</v>
      </c>
      <c r="B153" s="562" t="s">
        <v>330</v>
      </c>
      <c r="C153" s="452">
        <v>50000</v>
      </c>
      <c r="D153" s="453"/>
      <c r="E153" s="453"/>
      <c r="F153" s="453"/>
      <c r="G153" s="453">
        <v>50000</v>
      </c>
      <c r="H153" s="453"/>
      <c r="I153" s="453"/>
    </row>
    <row r="154" spans="1:10" s="273" customFormat="1">
      <c r="A154" s="439" t="s">
        <v>46</v>
      </c>
      <c r="B154" s="463" t="s">
        <v>59</v>
      </c>
      <c r="C154" s="441">
        <f>C155+C158+C160+C161</f>
        <v>2017981</v>
      </c>
      <c r="D154" s="442">
        <f>D155+D158+D160+D161</f>
        <v>226013.47</v>
      </c>
      <c r="E154" s="442">
        <f t="shared" ref="E154:F154" si="65">E155+E158+E160+E161</f>
        <v>440000</v>
      </c>
      <c r="F154" s="442">
        <f t="shared" si="65"/>
        <v>0</v>
      </c>
      <c r="G154" s="442">
        <f>G155+G158+G160+G161</f>
        <v>1260000</v>
      </c>
      <c r="H154" s="442"/>
      <c r="I154" s="442">
        <f>I155+I158+I160+I161</f>
        <v>0</v>
      </c>
    </row>
    <row r="155" spans="1:10" s="273" customFormat="1">
      <c r="A155" s="438" t="s">
        <v>404</v>
      </c>
      <c r="B155" s="443" t="s">
        <v>59</v>
      </c>
      <c r="C155" s="444">
        <f>C156+C157</f>
        <v>1142981</v>
      </c>
      <c r="D155" s="445">
        <f t="shared" ref="D155:I155" si="66">D156+D157</f>
        <v>0</v>
      </c>
      <c r="E155" s="445">
        <f t="shared" si="66"/>
        <v>50000</v>
      </c>
      <c r="F155" s="445">
        <f t="shared" si="66"/>
        <v>0</v>
      </c>
      <c r="G155" s="445">
        <f t="shared" si="66"/>
        <v>850000</v>
      </c>
      <c r="H155" s="445"/>
      <c r="I155" s="445">
        <f t="shared" si="66"/>
        <v>0</v>
      </c>
    </row>
    <row r="156" spans="1:10" s="273" customFormat="1">
      <c r="A156" s="574" t="s">
        <v>405</v>
      </c>
      <c r="B156" s="443" t="s">
        <v>330</v>
      </c>
      <c r="C156" s="529">
        <v>860000</v>
      </c>
      <c r="D156" s="530"/>
      <c r="E156" s="530">
        <v>50000</v>
      </c>
      <c r="F156" s="530"/>
      <c r="G156" s="530">
        <v>810000</v>
      </c>
      <c r="H156" s="530"/>
      <c r="I156" s="530"/>
    </row>
    <row r="157" spans="1:10" s="273" customFormat="1">
      <c r="A157" s="574" t="s">
        <v>406</v>
      </c>
      <c r="B157" s="443" t="s">
        <v>330</v>
      </c>
      <c r="C157" s="532">
        <v>282981</v>
      </c>
      <c r="D157" s="575"/>
      <c r="E157" s="575"/>
      <c r="F157" s="575"/>
      <c r="G157" s="575">
        <v>40000</v>
      </c>
      <c r="H157" s="575"/>
      <c r="I157" s="575"/>
    </row>
    <row r="158" spans="1:10" s="273" customFormat="1">
      <c r="A158" s="438" t="s">
        <v>407</v>
      </c>
      <c r="B158" s="443" t="s">
        <v>59</v>
      </c>
      <c r="C158" s="444">
        <f>C159</f>
        <v>225000</v>
      </c>
      <c r="D158" s="445">
        <f>D159</f>
        <v>0</v>
      </c>
      <c r="E158" s="445">
        <f t="shared" ref="E158:F158" si="67">E159</f>
        <v>0</v>
      </c>
      <c r="F158" s="445">
        <f t="shared" si="67"/>
        <v>0</v>
      </c>
      <c r="G158" s="445">
        <f>G159</f>
        <v>60000</v>
      </c>
      <c r="H158" s="445"/>
      <c r="I158" s="445">
        <f>I159</f>
        <v>0</v>
      </c>
    </row>
    <row r="159" spans="1:10" s="273" customFormat="1">
      <c r="A159" s="576" t="s">
        <v>408</v>
      </c>
      <c r="B159" s="443" t="s">
        <v>330</v>
      </c>
      <c r="C159" s="532">
        <v>225000</v>
      </c>
      <c r="D159" s="575"/>
      <c r="E159" s="575"/>
      <c r="F159" s="575"/>
      <c r="G159" s="575">
        <v>60000</v>
      </c>
      <c r="H159" s="575"/>
      <c r="I159" s="575"/>
    </row>
    <row r="160" spans="1:10" s="273" customFormat="1">
      <c r="A160" s="438" t="s">
        <v>409</v>
      </c>
      <c r="B160" s="443" t="s">
        <v>330</v>
      </c>
      <c r="C160" s="444">
        <v>650000</v>
      </c>
      <c r="D160" s="445"/>
      <c r="E160" s="445">
        <v>50000</v>
      </c>
      <c r="F160" s="445"/>
      <c r="G160" s="445">
        <v>350000</v>
      </c>
      <c r="H160" s="445"/>
      <c r="I160" s="445"/>
    </row>
    <row r="161" spans="1:9" s="273" customFormat="1">
      <c r="A161" s="438" t="s">
        <v>410</v>
      </c>
      <c r="B161" s="446" t="s">
        <v>330</v>
      </c>
      <c r="C161" s="549"/>
      <c r="D161" s="550">
        <v>226013.47</v>
      </c>
      <c r="E161" s="550">
        <v>340000</v>
      </c>
      <c r="F161" s="550"/>
      <c r="G161" s="550"/>
      <c r="H161" s="550"/>
      <c r="I161" s="550"/>
    </row>
    <row r="162" spans="1:9" s="273" customFormat="1">
      <c r="A162" s="462" t="s">
        <v>52</v>
      </c>
      <c r="B162" s="463" t="s">
        <v>59</v>
      </c>
      <c r="C162" s="464">
        <f>C163</f>
        <v>22680</v>
      </c>
      <c r="D162" s="465">
        <f t="shared" ref="D162:I162" si="68">D163</f>
        <v>139849</v>
      </c>
      <c r="E162" s="465">
        <f t="shared" si="68"/>
        <v>22680</v>
      </c>
      <c r="F162" s="465">
        <f t="shared" si="68"/>
        <v>0</v>
      </c>
      <c r="G162" s="465">
        <f t="shared" si="68"/>
        <v>36000</v>
      </c>
      <c r="H162" s="465"/>
      <c r="I162" s="465">
        <f t="shared" si="68"/>
        <v>0</v>
      </c>
    </row>
    <row r="163" spans="1:9" s="273" customFormat="1">
      <c r="A163" s="438" t="s">
        <v>411</v>
      </c>
      <c r="B163" s="577" t="s">
        <v>332</v>
      </c>
      <c r="C163" s="549">
        <v>22680</v>
      </c>
      <c r="D163" s="550">
        <v>139849</v>
      </c>
      <c r="E163" s="550">
        <v>22680</v>
      </c>
      <c r="F163" s="550"/>
      <c r="G163" s="550">
        <v>36000</v>
      </c>
      <c r="H163" s="550"/>
      <c r="I163" s="550"/>
    </row>
    <row r="164" spans="1:9" s="273" customFormat="1">
      <c r="A164" s="439" t="s">
        <v>149</v>
      </c>
      <c r="B164" s="440" t="s">
        <v>59</v>
      </c>
      <c r="C164" s="441">
        <f>C165+C166+C167</f>
        <v>725985</v>
      </c>
      <c r="D164" s="442">
        <f t="shared" ref="D164:I164" si="69">D165+D166+D167</f>
        <v>58544</v>
      </c>
      <c r="E164" s="442">
        <f t="shared" si="69"/>
        <v>580000</v>
      </c>
      <c r="F164" s="442">
        <f t="shared" si="69"/>
        <v>72625</v>
      </c>
      <c r="G164" s="442">
        <f t="shared" si="69"/>
        <v>231085</v>
      </c>
      <c r="H164" s="442"/>
      <c r="I164" s="442">
        <f t="shared" si="69"/>
        <v>0</v>
      </c>
    </row>
    <row r="165" spans="1:9" s="273" customFormat="1">
      <c r="A165" s="578" t="s">
        <v>412</v>
      </c>
      <c r="B165" s="443" t="s">
        <v>330</v>
      </c>
      <c r="C165" s="444">
        <v>200000</v>
      </c>
      <c r="D165" s="445">
        <v>58544</v>
      </c>
      <c r="E165" s="445">
        <v>580000</v>
      </c>
      <c r="F165" s="445">
        <v>9625</v>
      </c>
      <c r="G165" s="445">
        <v>100000</v>
      </c>
      <c r="H165" s="445"/>
      <c r="I165" s="445"/>
    </row>
    <row r="166" spans="1:9" s="273" customFormat="1">
      <c r="A166" s="438" t="s">
        <v>413</v>
      </c>
      <c r="B166" s="443" t="s">
        <v>330</v>
      </c>
      <c r="C166" s="444">
        <v>125985</v>
      </c>
      <c r="D166" s="445"/>
      <c r="E166" s="445"/>
      <c r="F166" s="445">
        <v>63000</v>
      </c>
      <c r="G166" s="445">
        <v>31085</v>
      </c>
      <c r="H166" s="445"/>
      <c r="I166" s="445"/>
    </row>
    <row r="167" spans="1:9" s="273" customFormat="1">
      <c r="A167" s="438" t="s">
        <v>414</v>
      </c>
      <c r="B167" s="443" t="s">
        <v>330</v>
      </c>
      <c r="C167" s="444">
        <v>400000</v>
      </c>
      <c r="D167" s="445"/>
      <c r="E167" s="445"/>
      <c r="F167" s="445"/>
      <c r="G167" s="445">
        <v>100000</v>
      </c>
      <c r="H167" s="445"/>
      <c r="I167" s="445"/>
    </row>
    <row r="168" spans="1:9" s="273" customFormat="1">
      <c r="A168" s="439" t="s">
        <v>415</v>
      </c>
      <c r="B168" s="440" t="s">
        <v>59</v>
      </c>
      <c r="C168" s="441">
        <f>C169+C172+C174</f>
        <v>13845500</v>
      </c>
      <c r="D168" s="442">
        <f>D169+D172+D174</f>
        <v>377630</v>
      </c>
      <c r="E168" s="442">
        <f t="shared" ref="E168:F168" si="70">E169+E172+E174</f>
        <v>4600000</v>
      </c>
      <c r="F168" s="442">
        <f t="shared" si="70"/>
        <v>0</v>
      </c>
      <c r="G168" s="442">
        <f>G169+G172+G174</f>
        <v>1600000</v>
      </c>
      <c r="H168" s="442"/>
      <c r="I168" s="442">
        <f>I169+I172+I174</f>
        <v>0</v>
      </c>
    </row>
    <row r="169" spans="1:9" s="273" customFormat="1">
      <c r="A169" s="438" t="s">
        <v>416</v>
      </c>
      <c r="B169" s="443" t="s">
        <v>330</v>
      </c>
      <c r="C169" s="444">
        <f>C170</f>
        <v>5350000</v>
      </c>
      <c r="D169" s="445">
        <f>D170</f>
        <v>69012</v>
      </c>
      <c r="E169" s="445">
        <f>E170+E171</f>
        <v>4400000</v>
      </c>
      <c r="F169" s="445">
        <f t="shared" ref="F169" si="71">F170</f>
        <v>0</v>
      </c>
      <c r="G169" s="445">
        <f>G170+G171</f>
        <v>1000000</v>
      </c>
      <c r="H169" s="445"/>
      <c r="I169" s="445">
        <f>I170</f>
        <v>0</v>
      </c>
    </row>
    <row r="170" spans="1:9" s="273" customFormat="1">
      <c r="A170" s="579" t="s">
        <v>417</v>
      </c>
      <c r="B170" s="443"/>
      <c r="C170" s="529">
        <v>5350000</v>
      </c>
      <c r="D170" s="530">
        <v>69012</v>
      </c>
      <c r="E170" s="530">
        <v>4100000</v>
      </c>
      <c r="F170" s="530"/>
      <c r="G170" s="530"/>
      <c r="H170" s="530"/>
      <c r="I170" s="530"/>
    </row>
    <row r="171" spans="1:9" s="273" customFormat="1">
      <c r="A171" s="580" t="s">
        <v>418</v>
      </c>
      <c r="B171" s="443"/>
      <c r="C171" s="529"/>
      <c r="D171" s="530"/>
      <c r="E171" s="530">
        <v>300000</v>
      </c>
      <c r="F171" s="530"/>
      <c r="G171" s="530">
        <v>1000000</v>
      </c>
      <c r="H171" s="530"/>
      <c r="I171" s="530"/>
    </row>
    <row r="172" spans="1:9" s="273" customFormat="1">
      <c r="A172" s="438" t="s">
        <v>419</v>
      </c>
      <c r="B172" s="443" t="s">
        <v>330</v>
      </c>
      <c r="C172" s="444">
        <f>SUM(C173:C173)</f>
        <v>7500000</v>
      </c>
      <c r="D172" s="445">
        <f>SUM(D173:D173)</f>
        <v>0</v>
      </c>
      <c r="E172" s="445">
        <f t="shared" ref="E172:F172" si="72">SUM(E173:E173)</f>
        <v>0</v>
      </c>
      <c r="F172" s="445">
        <f t="shared" si="72"/>
        <v>0</v>
      </c>
      <c r="G172" s="445">
        <f>SUM(G173:G173)</f>
        <v>400000</v>
      </c>
      <c r="H172" s="445"/>
      <c r="I172" s="445">
        <f>SUM(I173:I173)</f>
        <v>0</v>
      </c>
    </row>
    <row r="173" spans="1:9" s="273" customFormat="1">
      <c r="A173" s="506" t="s">
        <v>420</v>
      </c>
      <c r="B173" s="443"/>
      <c r="C173" s="529">
        <v>7500000</v>
      </c>
      <c r="D173" s="530"/>
      <c r="E173" s="530"/>
      <c r="F173" s="530"/>
      <c r="G173" s="530">
        <v>400000</v>
      </c>
      <c r="H173" s="530"/>
      <c r="I173" s="530"/>
    </row>
    <row r="174" spans="1:9" s="273" customFormat="1">
      <c r="A174" s="438" t="s">
        <v>421</v>
      </c>
      <c r="B174" s="443" t="s">
        <v>330</v>
      </c>
      <c r="C174" s="444">
        <v>995500</v>
      </c>
      <c r="D174" s="445">
        <v>308618</v>
      </c>
      <c r="E174" s="445">
        <v>200000</v>
      </c>
      <c r="F174" s="445"/>
      <c r="G174" s="445">
        <v>200000</v>
      </c>
      <c r="H174" s="445"/>
      <c r="I174" s="445"/>
    </row>
    <row r="175" spans="1:9" s="273" customFormat="1">
      <c r="A175" s="459" t="s">
        <v>119</v>
      </c>
      <c r="B175" s="440" t="s">
        <v>59</v>
      </c>
      <c r="C175" s="441">
        <f>C176+C177</f>
        <v>3966667</v>
      </c>
      <c r="D175" s="442">
        <f t="shared" ref="D175:I175" si="73">D176+D177</f>
        <v>0</v>
      </c>
      <c r="E175" s="442">
        <f t="shared" si="73"/>
        <v>0</v>
      </c>
      <c r="F175" s="442">
        <f t="shared" si="73"/>
        <v>0</v>
      </c>
      <c r="G175" s="442">
        <f t="shared" si="73"/>
        <v>1266667</v>
      </c>
      <c r="H175" s="442"/>
      <c r="I175" s="442">
        <f t="shared" si="73"/>
        <v>0</v>
      </c>
    </row>
    <row r="176" spans="1:9" s="273" customFormat="1">
      <c r="A176" s="581" t="s">
        <v>329</v>
      </c>
      <c r="B176" s="582" t="s">
        <v>330</v>
      </c>
      <c r="C176" s="583">
        <f>C178+C180+C182</f>
        <v>3800000</v>
      </c>
      <c r="D176" s="584">
        <f t="shared" ref="D176:I176" si="74">D178+D180+D182</f>
        <v>0</v>
      </c>
      <c r="E176" s="584">
        <f t="shared" si="74"/>
        <v>0</v>
      </c>
      <c r="F176" s="584">
        <f t="shared" si="74"/>
        <v>0</v>
      </c>
      <c r="G176" s="584">
        <f t="shared" si="74"/>
        <v>1100000</v>
      </c>
      <c r="H176" s="584"/>
      <c r="I176" s="584">
        <f t="shared" si="74"/>
        <v>0</v>
      </c>
    </row>
    <row r="177" spans="1:10" s="273" customFormat="1">
      <c r="A177" s="585"/>
      <c r="B177" s="582" t="s">
        <v>331</v>
      </c>
      <c r="C177" s="583">
        <f>C181</f>
        <v>166667</v>
      </c>
      <c r="D177" s="584">
        <f t="shared" ref="D177:I177" si="75">D181</f>
        <v>0</v>
      </c>
      <c r="E177" s="584">
        <f t="shared" si="75"/>
        <v>0</v>
      </c>
      <c r="F177" s="584">
        <f t="shared" si="75"/>
        <v>0</v>
      </c>
      <c r="G177" s="584">
        <f t="shared" si="75"/>
        <v>166667</v>
      </c>
      <c r="H177" s="584"/>
      <c r="I177" s="584">
        <f t="shared" si="75"/>
        <v>0</v>
      </c>
    </row>
    <row r="178" spans="1:10" s="273" customFormat="1">
      <c r="A178" s="586" t="s">
        <v>422</v>
      </c>
      <c r="B178" s="443" t="s">
        <v>330</v>
      </c>
      <c r="C178" s="444">
        <v>2800000</v>
      </c>
      <c r="D178" s="587"/>
      <c r="E178" s="587"/>
      <c r="F178" s="587"/>
      <c r="G178" s="587">
        <v>700000</v>
      </c>
      <c r="H178" s="587"/>
      <c r="I178" s="587"/>
    </row>
    <row r="179" spans="1:10" s="273" customFormat="1">
      <c r="A179" s="588" t="s">
        <v>423</v>
      </c>
      <c r="B179" s="557" t="s">
        <v>59</v>
      </c>
      <c r="C179" s="589">
        <f>SUM(C180:C181)</f>
        <v>366667</v>
      </c>
      <c r="D179" s="587">
        <f>SUM(D180:D181)</f>
        <v>0</v>
      </c>
      <c r="E179" s="587">
        <f t="shared" ref="E179:F179" si="76">SUM(E180:E181)</f>
        <v>0</v>
      </c>
      <c r="F179" s="587">
        <f t="shared" si="76"/>
        <v>0</v>
      </c>
      <c r="G179" s="587">
        <f>SUM(G180:G181)</f>
        <v>366667</v>
      </c>
      <c r="H179" s="587"/>
      <c r="I179" s="587">
        <f>SUM(I180:I181)</f>
        <v>0</v>
      </c>
    </row>
    <row r="180" spans="1:10" s="273" customFormat="1">
      <c r="A180" s="590" t="s">
        <v>329</v>
      </c>
      <c r="B180" s="591" t="s">
        <v>330</v>
      </c>
      <c r="C180" s="589">
        <v>200000</v>
      </c>
      <c r="D180" s="587"/>
      <c r="E180" s="587"/>
      <c r="F180" s="587"/>
      <c r="G180" s="587">
        <v>200000</v>
      </c>
      <c r="H180" s="587"/>
      <c r="I180" s="587"/>
    </row>
    <row r="181" spans="1:10" s="273" customFormat="1">
      <c r="A181" s="556"/>
      <c r="B181" s="591" t="s">
        <v>331</v>
      </c>
      <c r="C181" s="592">
        <v>166667</v>
      </c>
      <c r="D181" s="593"/>
      <c r="E181" s="593"/>
      <c r="F181" s="593"/>
      <c r="G181" s="593">
        <v>166667</v>
      </c>
      <c r="H181" s="593"/>
      <c r="I181" s="593"/>
    </row>
    <row r="182" spans="1:10" s="273" customFormat="1">
      <c r="A182" s="560" t="s">
        <v>424</v>
      </c>
      <c r="B182" s="561" t="s">
        <v>330</v>
      </c>
      <c r="C182" s="452">
        <v>800000</v>
      </c>
      <c r="D182" s="453"/>
      <c r="E182" s="453"/>
      <c r="F182" s="453"/>
      <c r="G182" s="453">
        <v>200000</v>
      </c>
      <c r="H182" s="453"/>
      <c r="I182" s="453"/>
    </row>
    <row r="183" spans="1:10" s="273" customFormat="1">
      <c r="A183" s="439" t="s">
        <v>150</v>
      </c>
      <c r="B183" s="440" t="s">
        <v>59</v>
      </c>
      <c r="C183" s="441">
        <f>C184+C186+C192+C193+C194+C195+C196</f>
        <v>15343849</v>
      </c>
      <c r="D183" s="442">
        <f>D184+D186+D192+D193+D194+D195+D196</f>
        <v>369720</v>
      </c>
      <c r="E183" s="442">
        <f t="shared" ref="E183:F183" si="77">E184+E186+E192+E193+E194+E195+E196</f>
        <v>1219530</v>
      </c>
      <c r="F183" s="442">
        <f t="shared" si="77"/>
        <v>2296310</v>
      </c>
      <c r="G183" s="442">
        <f>G184+G186+G192+G193+G194+G195+G196</f>
        <v>4314552</v>
      </c>
      <c r="H183" s="442"/>
      <c r="I183" s="442">
        <f>I184+I186+I192+I193+I194+I195+I196</f>
        <v>0</v>
      </c>
    </row>
    <row r="184" spans="1:10" s="273" customFormat="1">
      <c r="A184" s="556" t="s">
        <v>425</v>
      </c>
      <c r="B184" s="557" t="s">
        <v>59</v>
      </c>
      <c r="C184" s="444">
        <f>SUM(C185:C185)</f>
        <v>300000</v>
      </c>
      <c r="D184" s="445">
        <f>SUM(D185:D185)</f>
        <v>0</v>
      </c>
      <c r="E184" s="445">
        <f t="shared" ref="E184:F184" si="78">SUM(E185:E185)</f>
        <v>0</v>
      </c>
      <c r="F184" s="445">
        <f t="shared" si="78"/>
        <v>0</v>
      </c>
      <c r="G184" s="445">
        <f>SUM(G185:G185)</f>
        <v>300000</v>
      </c>
      <c r="H184" s="445"/>
      <c r="I184" s="445">
        <f>SUM(I185:I185)</f>
        <v>0</v>
      </c>
    </row>
    <row r="185" spans="1:10" s="273" customFormat="1">
      <c r="A185" s="527" t="s">
        <v>426</v>
      </c>
      <c r="B185" s="451" t="s">
        <v>330</v>
      </c>
      <c r="C185" s="483">
        <v>300000</v>
      </c>
      <c r="D185" s="484"/>
      <c r="E185" s="484"/>
      <c r="F185" s="484"/>
      <c r="G185" s="484">
        <v>300000</v>
      </c>
      <c r="H185" s="484"/>
      <c r="I185" s="484"/>
    </row>
    <row r="186" spans="1:10" s="273" customFormat="1">
      <c r="A186" s="556" t="s">
        <v>427</v>
      </c>
      <c r="B186" s="557" t="s">
        <v>59</v>
      </c>
      <c r="C186" s="444">
        <v>1200000</v>
      </c>
      <c r="D186" s="587">
        <v>47283</v>
      </c>
      <c r="E186" s="587">
        <v>365400</v>
      </c>
      <c r="F186" s="587">
        <v>100716</v>
      </c>
      <c r="G186" s="587">
        <v>300000</v>
      </c>
      <c r="H186" s="587"/>
      <c r="I186" s="587"/>
    </row>
    <row r="187" spans="1:10" s="273" customFormat="1" ht="14.25" customHeight="1">
      <c r="A187" s="527" t="s">
        <v>428</v>
      </c>
      <c r="B187" s="451" t="s">
        <v>330</v>
      </c>
      <c r="C187" s="483"/>
      <c r="D187" s="484"/>
      <c r="E187" s="484"/>
      <c r="F187" s="484"/>
      <c r="G187" s="484"/>
      <c r="H187" s="484"/>
      <c r="I187" s="484"/>
      <c r="J187" s="515" t="s">
        <v>429</v>
      </c>
    </row>
    <row r="188" spans="1:10" s="273" customFormat="1">
      <c r="A188" s="527" t="s">
        <v>430</v>
      </c>
      <c r="B188" s="451" t="s">
        <v>330</v>
      </c>
      <c r="C188" s="483"/>
      <c r="D188" s="484"/>
      <c r="E188" s="484"/>
      <c r="F188" s="484"/>
      <c r="G188" s="484"/>
      <c r="H188" s="484"/>
      <c r="I188" s="484"/>
    </row>
    <row r="189" spans="1:10" s="273" customFormat="1" ht="22.5">
      <c r="A189" s="527" t="s">
        <v>431</v>
      </c>
      <c r="B189" s="451" t="s">
        <v>330</v>
      </c>
      <c r="C189" s="483"/>
      <c r="D189" s="484"/>
      <c r="E189" s="484"/>
      <c r="F189" s="484"/>
      <c r="G189" s="484"/>
      <c r="H189" s="484"/>
      <c r="I189" s="484"/>
    </row>
    <row r="190" spans="1:10" s="273" customFormat="1">
      <c r="A190" s="594" t="s">
        <v>432</v>
      </c>
      <c r="B190" s="595" t="s">
        <v>330</v>
      </c>
      <c r="C190" s="543"/>
      <c r="D190" s="544"/>
      <c r="E190" s="544"/>
      <c r="F190" s="544"/>
      <c r="G190" s="544"/>
      <c r="H190" s="544"/>
      <c r="I190" s="544"/>
    </row>
    <row r="191" spans="1:10" s="273" customFormat="1">
      <c r="A191" s="594" t="s">
        <v>433</v>
      </c>
      <c r="B191" s="595" t="s">
        <v>330</v>
      </c>
      <c r="C191" s="543"/>
      <c r="D191" s="544"/>
      <c r="E191" s="544"/>
      <c r="F191" s="544"/>
      <c r="G191" s="544"/>
      <c r="H191" s="544"/>
      <c r="I191" s="544"/>
    </row>
    <row r="192" spans="1:10" s="273" customFormat="1" ht="25.5">
      <c r="A192" s="556" t="s">
        <v>434</v>
      </c>
      <c r="B192" s="557" t="s">
        <v>59</v>
      </c>
      <c r="C192" s="444">
        <v>280000</v>
      </c>
      <c r="D192" s="445">
        <v>46352</v>
      </c>
      <c r="E192" s="596">
        <v>80000</v>
      </c>
      <c r="F192" s="445">
        <v>33548</v>
      </c>
      <c r="G192" s="445">
        <v>70000</v>
      </c>
      <c r="H192" s="445"/>
      <c r="I192" s="445"/>
    </row>
    <row r="193" spans="1:10" s="273" customFormat="1">
      <c r="A193" s="556" t="s">
        <v>435</v>
      </c>
      <c r="B193" s="557" t="s">
        <v>59</v>
      </c>
      <c r="C193" s="444">
        <v>1000000</v>
      </c>
      <c r="D193" s="445">
        <v>10801</v>
      </c>
      <c r="E193" s="445">
        <v>104130</v>
      </c>
      <c r="F193" s="445">
        <v>162046</v>
      </c>
      <c r="G193" s="445">
        <v>250000</v>
      </c>
      <c r="H193" s="445"/>
      <c r="I193" s="445"/>
    </row>
    <row r="194" spans="1:10" s="273" customFormat="1">
      <c r="A194" s="447" t="s">
        <v>436</v>
      </c>
      <c r="B194" s="443" t="s">
        <v>437</v>
      </c>
      <c r="C194" s="444">
        <v>6313849</v>
      </c>
      <c r="D194" s="445">
        <v>169297</v>
      </c>
      <c r="E194" s="445"/>
      <c r="F194" s="445">
        <v>2000000</v>
      </c>
      <c r="G194" s="445">
        <v>1644552</v>
      </c>
      <c r="H194" s="445"/>
      <c r="I194" s="445"/>
    </row>
    <row r="195" spans="1:10" s="273" customFormat="1">
      <c r="A195" s="560" t="s">
        <v>438</v>
      </c>
      <c r="B195" s="561" t="s">
        <v>330</v>
      </c>
      <c r="C195" s="452">
        <v>250000</v>
      </c>
      <c r="D195" s="453">
        <v>95987</v>
      </c>
      <c r="E195" s="453">
        <f>250000+420000</f>
        <v>670000</v>
      </c>
      <c r="F195" s="453"/>
      <c r="G195" s="453">
        <v>250000</v>
      </c>
      <c r="H195" s="453"/>
      <c r="I195" s="453"/>
    </row>
    <row r="196" spans="1:10" s="273" customFormat="1">
      <c r="A196" s="447" t="s">
        <v>439</v>
      </c>
      <c r="B196" s="457" t="s">
        <v>59</v>
      </c>
      <c r="C196" s="493">
        <v>6000000</v>
      </c>
      <c r="D196" s="481"/>
      <c r="E196" s="481"/>
      <c r="F196" s="481"/>
      <c r="G196" s="481">
        <v>1500000</v>
      </c>
      <c r="H196" s="481"/>
      <c r="I196" s="481"/>
      <c r="J196" s="515" t="s">
        <v>440</v>
      </c>
    </row>
    <row r="197" spans="1:10" s="273" customFormat="1">
      <c r="A197" s="527" t="s">
        <v>441</v>
      </c>
      <c r="B197" s="451" t="s">
        <v>330</v>
      </c>
      <c r="C197" s="483"/>
      <c r="D197" s="484"/>
      <c r="E197" s="484"/>
      <c r="F197" s="484"/>
      <c r="G197" s="484"/>
      <c r="H197" s="484"/>
      <c r="I197" s="484"/>
    </row>
    <row r="198" spans="1:10" s="273" customFormat="1">
      <c r="A198" s="527" t="s">
        <v>442</v>
      </c>
      <c r="B198" s="451" t="s">
        <v>330</v>
      </c>
      <c r="C198" s="483"/>
      <c r="D198" s="484"/>
      <c r="E198" s="484"/>
      <c r="F198" s="484"/>
      <c r="G198" s="484"/>
      <c r="H198" s="484"/>
      <c r="I198" s="484"/>
    </row>
    <row r="199" spans="1:10" s="273" customFormat="1">
      <c r="A199" s="527" t="s">
        <v>443</v>
      </c>
      <c r="B199" s="451" t="s">
        <v>330</v>
      </c>
      <c r="C199" s="483"/>
      <c r="D199" s="484"/>
      <c r="E199" s="484"/>
      <c r="F199" s="484"/>
      <c r="G199" s="484"/>
      <c r="H199" s="484"/>
      <c r="I199" s="484"/>
    </row>
    <row r="200" spans="1:10" s="273" customFormat="1">
      <c r="A200" s="527" t="s">
        <v>444</v>
      </c>
      <c r="B200" s="451" t="s">
        <v>330</v>
      </c>
      <c r="C200" s="483"/>
      <c r="D200" s="484"/>
      <c r="E200" s="484"/>
      <c r="F200" s="484"/>
      <c r="G200" s="484"/>
      <c r="H200" s="484"/>
      <c r="I200" s="484"/>
    </row>
    <row r="201" spans="1:10" s="273" customFormat="1">
      <c r="A201" s="594" t="s">
        <v>445</v>
      </c>
      <c r="B201" s="595" t="s">
        <v>330</v>
      </c>
      <c r="C201" s="543"/>
      <c r="D201" s="544"/>
      <c r="E201" s="544"/>
      <c r="F201" s="544"/>
      <c r="G201" s="544"/>
      <c r="H201" s="544"/>
      <c r="I201" s="544"/>
    </row>
    <row r="202" spans="1:10" s="273" customFormat="1">
      <c r="A202" s="527" t="s">
        <v>446</v>
      </c>
      <c r="B202" s="451" t="s">
        <v>330</v>
      </c>
      <c r="C202" s="483"/>
      <c r="D202" s="484"/>
      <c r="E202" s="484"/>
      <c r="F202" s="484"/>
      <c r="G202" s="484"/>
      <c r="H202" s="484"/>
      <c r="I202" s="484"/>
    </row>
    <row r="203" spans="1:10" s="273" customFormat="1">
      <c r="A203" s="597" t="s">
        <v>447</v>
      </c>
      <c r="B203" s="595" t="s">
        <v>330</v>
      </c>
      <c r="C203" s="543"/>
      <c r="D203" s="544"/>
      <c r="E203" s="544"/>
      <c r="F203" s="544"/>
      <c r="G203" s="544"/>
      <c r="H203" s="544"/>
      <c r="I203" s="544"/>
    </row>
    <row r="204" spans="1:10" s="273" customFormat="1">
      <c r="A204" s="527" t="s">
        <v>448</v>
      </c>
      <c r="B204" s="451" t="s">
        <v>330</v>
      </c>
      <c r="C204" s="483"/>
      <c r="D204" s="484"/>
      <c r="E204" s="484"/>
      <c r="F204" s="484"/>
      <c r="G204" s="484"/>
      <c r="H204" s="484"/>
      <c r="I204" s="484"/>
    </row>
    <row r="205" spans="1:10" s="273" customFormat="1">
      <c r="A205" s="527" t="s">
        <v>449</v>
      </c>
      <c r="B205" s="451" t="s">
        <v>330</v>
      </c>
      <c r="C205" s="483"/>
      <c r="D205" s="484"/>
      <c r="E205" s="484"/>
      <c r="F205" s="484"/>
      <c r="G205" s="484"/>
      <c r="H205" s="484"/>
      <c r="I205" s="484"/>
    </row>
    <row r="206" spans="1:10" s="273" customFormat="1">
      <c r="A206" s="527" t="s">
        <v>450</v>
      </c>
      <c r="B206" s="451" t="s">
        <v>330</v>
      </c>
      <c r="C206" s="483"/>
      <c r="D206" s="484"/>
      <c r="E206" s="484"/>
      <c r="F206" s="484"/>
      <c r="G206" s="484"/>
      <c r="H206" s="484"/>
      <c r="I206" s="484"/>
    </row>
    <row r="207" spans="1:10" s="273" customFormat="1">
      <c r="A207" s="527" t="s">
        <v>451</v>
      </c>
      <c r="B207" s="451" t="s">
        <v>330</v>
      </c>
      <c r="C207" s="483"/>
      <c r="D207" s="484"/>
      <c r="E207" s="484"/>
      <c r="F207" s="484"/>
      <c r="G207" s="484"/>
      <c r="H207" s="484"/>
      <c r="I207" s="484"/>
    </row>
    <row r="208" spans="1:10" s="273" customFormat="1">
      <c r="A208" s="527" t="s">
        <v>452</v>
      </c>
      <c r="B208" s="451" t="s">
        <v>330</v>
      </c>
      <c r="C208" s="483"/>
      <c r="D208" s="484"/>
      <c r="E208" s="484"/>
      <c r="F208" s="484"/>
      <c r="G208" s="484"/>
      <c r="H208" s="484"/>
      <c r="I208" s="484"/>
    </row>
    <row r="209" spans="1:9" s="273" customFormat="1">
      <c r="A209" s="594" t="s">
        <v>453</v>
      </c>
      <c r="B209" s="595" t="s">
        <v>330</v>
      </c>
      <c r="C209" s="543"/>
      <c r="D209" s="544"/>
      <c r="E209" s="544"/>
      <c r="F209" s="544"/>
      <c r="G209" s="544"/>
      <c r="H209" s="544"/>
      <c r="I209" s="544"/>
    </row>
    <row r="210" spans="1:9" s="273" customFormat="1">
      <c r="A210" s="527" t="s">
        <v>454</v>
      </c>
      <c r="B210" s="451" t="s">
        <v>330</v>
      </c>
      <c r="C210" s="483"/>
      <c r="D210" s="484"/>
      <c r="E210" s="484"/>
      <c r="F210" s="484"/>
      <c r="G210" s="484"/>
      <c r="H210" s="484"/>
      <c r="I210" s="484"/>
    </row>
    <row r="211" spans="1:9" s="273" customFormat="1">
      <c r="A211" s="527" t="s">
        <v>455</v>
      </c>
      <c r="B211" s="451" t="s">
        <v>330</v>
      </c>
      <c r="C211" s="483"/>
      <c r="D211" s="484"/>
      <c r="E211" s="484"/>
      <c r="F211" s="484"/>
      <c r="G211" s="484"/>
      <c r="H211" s="484"/>
      <c r="I211" s="484"/>
    </row>
    <row r="212" spans="1:9" s="273" customFormat="1">
      <c r="A212" s="580" t="s">
        <v>456</v>
      </c>
      <c r="B212" s="557" t="s">
        <v>330</v>
      </c>
      <c r="C212" s="598"/>
      <c r="D212" s="599"/>
      <c r="E212" s="599">
        <v>420000</v>
      </c>
      <c r="F212" s="599"/>
      <c r="G212" s="599"/>
      <c r="H212" s="599"/>
      <c r="I212" s="599"/>
    </row>
    <row r="213" spans="1:9" s="273" customFormat="1">
      <c r="A213" s="527" t="s">
        <v>457</v>
      </c>
      <c r="B213" s="451" t="s">
        <v>330</v>
      </c>
      <c r="C213" s="483"/>
      <c r="D213" s="484"/>
      <c r="E213" s="484"/>
      <c r="F213" s="484"/>
      <c r="G213" s="484"/>
      <c r="H213" s="484"/>
      <c r="I213" s="484"/>
    </row>
    <row r="214" spans="1:9" s="273" customFormat="1">
      <c r="A214" s="527" t="s">
        <v>458</v>
      </c>
      <c r="B214" s="451" t="s">
        <v>330</v>
      </c>
      <c r="C214" s="483"/>
      <c r="D214" s="484"/>
      <c r="E214" s="484"/>
      <c r="F214" s="484"/>
      <c r="G214" s="484"/>
      <c r="H214" s="484"/>
      <c r="I214" s="484"/>
    </row>
    <row r="215" spans="1:9" s="273" customFormat="1">
      <c r="A215" s="527" t="s">
        <v>459</v>
      </c>
      <c r="B215" s="451" t="s">
        <v>330</v>
      </c>
      <c r="C215" s="483"/>
      <c r="D215" s="484"/>
      <c r="E215" s="484"/>
      <c r="F215" s="484"/>
      <c r="G215" s="484"/>
      <c r="H215" s="484"/>
      <c r="I215" s="484"/>
    </row>
    <row r="216" spans="1:9" s="273" customFormat="1">
      <c r="A216" s="439" t="s">
        <v>117</v>
      </c>
      <c r="B216" s="440" t="s">
        <v>59</v>
      </c>
      <c r="C216" s="441">
        <f>C217+C218</f>
        <v>107973400</v>
      </c>
      <c r="D216" s="442">
        <f t="shared" ref="D216:I216" si="79">D217+D218</f>
        <v>22918097</v>
      </c>
      <c r="E216" s="442">
        <f t="shared" si="79"/>
        <v>22543401</v>
      </c>
      <c r="F216" s="442">
        <f t="shared" si="79"/>
        <v>5380963</v>
      </c>
      <c r="G216" s="442">
        <f t="shared" si="79"/>
        <v>24853400</v>
      </c>
      <c r="H216" s="442"/>
      <c r="I216" s="442">
        <f t="shared" si="79"/>
        <v>0</v>
      </c>
    </row>
    <row r="217" spans="1:9" s="273" customFormat="1">
      <c r="A217" s="423" t="s">
        <v>329</v>
      </c>
      <c r="B217" s="443" t="s">
        <v>330</v>
      </c>
      <c r="C217" s="444">
        <f>C220+C259+C268+C271+C277+C278+C279</f>
        <v>94270540</v>
      </c>
      <c r="D217" s="445">
        <f>D220+D259+D268+D271+D277+D278+D279</f>
        <v>19480359</v>
      </c>
      <c r="E217" s="445">
        <f t="shared" ref="E217:F217" si="80">E220+E259+E268+E271+E277+E278+E279</f>
        <v>19117686</v>
      </c>
      <c r="F217" s="445">
        <f t="shared" si="80"/>
        <v>5380963</v>
      </c>
      <c r="G217" s="445">
        <f>G220+G259+G268+G271+G277+G278+G279</f>
        <v>21427685</v>
      </c>
      <c r="H217" s="445"/>
      <c r="I217" s="445">
        <f>I220+I259+I268+I271+I277+I278+I279</f>
        <v>0</v>
      </c>
    </row>
    <row r="218" spans="1:9" s="273" customFormat="1">
      <c r="A218" s="600"/>
      <c r="B218" s="443" t="s">
        <v>333</v>
      </c>
      <c r="C218" s="444">
        <f>C221</f>
        <v>13702860</v>
      </c>
      <c r="D218" s="445">
        <f t="shared" ref="D218:I218" si="81">D221</f>
        <v>3437738</v>
      </c>
      <c r="E218" s="445">
        <f t="shared" si="81"/>
        <v>3425715</v>
      </c>
      <c r="F218" s="445">
        <f t="shared" si="81"/>
        <v>0</v>
      </c>
      <c r="G218" s="445">
        <f t="shared" si="81"/>
        <v>3425715</v>
      </c>
      <c r="H218" s="445"/>
      <c r="I218" s="445">
        <f t="shared" si="81"/>
        <v>0</v>
      </c>
    </row>
    <row r="219" spans="1:9" s="273" customFormat="1">
      <c r="A219" s="471" t="s">
        <v>460</v>
      </c>
      <c r="B219" s="472" t="s">
        <v>59</v>
      </c>
      <c r="C219" s="601">
        <v>93650000</v>
      </c>
      <c r="D219" s="602">
        <f>D220+D221</f>
        <v>20234077</v>
      </c>
      <c r="E219" s="602">
        <f>E220+E221</f>
        <v>20834201</v>
      </c>
      <c r="F219" s="602">
        <f t="shared" ref="F219" si="82">SUM(F222:F258)</f>
        <v>0</v>
      </c>
      <c r="G219" s="602">
        <f>SUM(G222:G258)</f>
        <v>20850000</v>
      </c>
      <c r="H219" s="602"/>
      <c r="I219" s="602">
        <f>SUM(I222:I258)</f>
        <v>0</v>
      </c>
    </row>
    <row r="220" spans="1:9" s="273" customFormat="1">
      <c r="A220" s="423" t="s">
        <v>329</v>
      </c>
      <c r="B220" s="443" t="s">
        <v>330</v>
      </c>
      <c r="C220" s="444">
        <v>79947140</v>
      </c>
      <c r="D220" s="445">
        <v>16796339</v>
      </c>
      <c r="E220" s="445">
        <v>17408486</v>
      </c>
      <c r="F220" s="445">
        <v>4318815</v>
      </c>
      <c r="G220" s="445">
        <f>G219-G221</f>
        <v>17424285</v>
      </c>
      <c r="H220" s="445"/>
      <c r="I220" s="445"/>
    </row>
    <row r="221" spans="1:9" s="273" customFormat="1">
      <c r="A221" s="600"/>
      <c r="B221" s="443" t="s">
        <v>333</v>
      </c>
      <c r="C221" s="444">
        <v>13702860</v>
      </c>
      <c r="D221" s="445">
        <v>3437738</v>
      </c>
      <c r="E221" s="445">
        <v>3425715</v>
      </c>
      <c r="F221" s="445"/>
      <c r="G221" s="445">
        <v>3425715</v>
      </c>
      <c r="H221" s="445"/>
      <c r="I221" s="445"/>
    </row>
    <row r="222" spans="1:9" s="273" customFormat="1">
      <c r="A222" s="603" t="s">
        <v>461</v>
      </c>
      <c r="B222" s="446"/>
      <c r="C222" s="532"/>
      <c r="D222" s="530"/>
      <c r="E222" s="530"/>
      <c r="F222" s="530"/>
      <c r="G222" s="530">
        <v>1000000</v>
      </c>
      <c r="H222" s="530"/>
      <c r="I222" s="530"/>
    </row>
    <row r="223" spans="1:9" s="273" customFormat="1">
      <c r="A223" s="603" t="s">
        <v>462</v>
      </c>
      <c r="B223" s="446"/>
      <c r="C223" s="532"/>
      <c r="D223" s="530"/>
      <c r="E223" s="530"/>
      <c r="F223" s="530"/>
      <c r="G223" s="530">
        <v>1000000</v>
      </c>
      <c r="H223" s="530"/>
      <c r="I223" s="530"/>
    </row>
    <row r="224" spans="1:9" s="273" customFormat="1">
      <c r="A224" s="603" t="s">
        <v>463</v>
      </c>
      <c r="B224" s="446"/>
      <c r="C224" s="529"/>
      <c r="D224" s="530"/>
      <c r="E224" s="530"/>
      <c r="F224" s="530"/>
      <c r="G224" s="530">
        <v>1600000</v>
      </c>
      <c r="H224" s="530"/>
      <c r="I224" s="530"/>
    </row>
    <row r="225" spans="1:9" s="273" customFormat="1">
      <c r="A225" s="603" t="s">
        <v>464</v>
      </c>
      <c r="B225" s="446"/>
      <c r="C225" s="529"/>
      <c r="D225" s="530"/>
      <c r="E225" s="530"/>
      <c r="F225" s="530"/>
      <c r="G225" s="530">
        <v>1500000</v>
      </c>
      <c r="H225" s="530"/>
      <c r="I225" s="530"/>
    </row>
    <row r="226" spans="1:9" s="273" customFormat="1">
      <c r="A226" s="603" t="s">
        <v>465</v>
      </c>
      <c r="B226" s="446"/>
      <c r="C226" s="529"/>
      <c r="D226" s="530"/>
      <c r="E226" s="530"/>
      <c r="F226" s="530"/>
      <c r="G226" s="530">
        <v>1100000</v>
      </c>
      <c r="H226" s="530"/>
      <c r="I226" s="530"/>
    </row>
    <row r="227" spans="1:9" s="273" customFormat="1">
      <c r="A227" s="603" t="s">
        <v>466</v>
      </c>
      <c r="B227" s="446"/>
      <c r="C227" s="529"/>
      <c r="D227" s="530"/>
      <c r="E227" s="530"/>
      <c r="F227" s="530"/>
      <c r="G227" s="530">
        <v>1200000</v>
      </c>
      <c r="H227" s="530"/>
      <c r="I227" s="530"/>
    </row>
    <row r="228" spans="1:9" s="273" customFormat="1">
      <c r="A228" s="603" t="s">
        <v>467</v>
      </c>
      <c r="B228" s="446"/>
      <c r="C228" s="529"/>
      <c r="D228" s="530"/>
      <c r="E228" s="530"/>
      <c r="F228" s="530"/>
      <c r="G228" s="530">
        <v>1200000</v>
      </c>
      <c r="H228" s="530"/>
      <c r="I228" s="530"/>
    </row>
    <row r="229" spans="1:9" s="273" customFormat="1">
      <c r="A229" s="603" t="s">
        <v>468</v>
      </c>
      <c r="B229" s="446"/>
      <c r="C229" s="529"/>
      <c r="D229" s="530"/>
      <c r="E229" s="530"/>
      <c r="F229" s="530"/>
      <c r="G229" s="530">
        <v>2200000</v>
      </c>
      <c r="H229" s="530"/>
      <c r="I229" s="530"/>
    </row>
    <row r="230" spans="1:9" s="273" customFormat="1">
      <c r="A230" s="603" t="s">
        <v>469</v>
      </c>
      <c r="B230" s="446"/>
      <c r="C230" s="529"/>
      <c r="D230" s="530"/>
      <c r="E230" s="530"/>
      <c r="F230" s="530"/>
      <c r="G230" s="530">
        <v>400000</v>
      </c>
      <c r="H230" s="530"/>
      <c r="I230" s="530"/>
    </row>
    <row r="231" spans="1:9" s="273" customFormat="1">
      <c r="A231" s="603" t="s">
        <v>470</v>
      </c>
      <c r="B231" s="446"/>
      <c r="C231" s="529"/>
      <c r="D231" s="530"/>
      <c r="E231" s="530"/>
      <c r="F231" s="530"/>
      <c r="G231" s="530">
        <v>400000</v>
      </c>
      <c r="H231" s="530"/>
      <c r="I231" s="530"/>
    </row>
    <row r="232" spans="1:9" s="273" customFormat="1">
      <c r="A232" s="603" t="s">
        <v>471</v>
      </c>
      <c r="B232" s="446"/>
      <c r="C232" s="529"/>
      <c r="D232" s="530"/>
      <c r="E232" s="530"/>
      <c r="F232" s="530"/>
      <c r="G232" s="530">
        <v>600000</v>
      </c>
      <c r="H232" s="530"/>
      <c r="I232" s="530"/>
    </row>
    <row r="233" spans="1:9" s="273" customFormat="1">
      <c r="A233" s="603" t="s">
        <v>472</v>
      </c>
      <c r="B233" s="446"/>
      <c r="C233" s="529"/>
      <c r="D233" s="530"/>
      <c r="E233" s="530"/>
      <c r="F233" s="530"/>
      <c r="G233" s="530">
        <v>1000000</v>
      </c>
      <c r="H233" s="530"/>
      <c r="I233" s="530"/>
    </row>
    <row r="234" spans="1:9" s="273" customFormat="1">
      <c r="A234" s="603" t="s">
        <v>473</v>
      </c>
      <c r="B234" s="446"/>
      <c r="C234" s="529"/>
      <c r="D234" s="530"/>
      <c r="E234" s="530"/>
      <c r="F234" s="530"/>
      <c r="G234" s="530">
        <v>900000</v>
      </c>
      <c r="H234" s="530"/>
      <c r="I234" s="530"/>
    </row>
    <row r="235" spans="1:9" s="273" customFormat="1">
      <c r="A235" s="603" t="s">
        <v>474</v>
      </c>
      <c r="B235" s="446"/>
      <c r="C235" s="529"/>
      <c r="D235" s="530"/>
      <c r="E235" s="530"/>
      <c r="F235" s="530"/>
      <c r="G235" s="530">
        <v>400000</v>
      </c>
      <c r="H235" s="530"/>
      <c r="I235" s="530"/>
    </row>
    <row r="236" spans="1:9" s="273" customFormat="1">
      <c r="A236" s="603" t="s">
        <v>475</v>
      </c>
      <c r="B236" s="446"/>
      <c r="C236" s="529"/>
      <c r="D236" s="530"/>
      <c r="E236" s="530"/>
      <c r="F236" s="530"/>
      <c r="G236" s="530">
        <v>400000</v>
      </c>
      <c r="H236" s="530"/>
      <c r="I236" s="530"/>
    </row>
    <row r="237" spans="1:9" s="273" customFormat="1">
      <c r="A237" s="594" t="s">
        <v>476</v>
      </c>
      <c r="B237" s="595"/>
      <c r="C237" s="543"/>
      <c r="D237" s="544"/>
      <c r="E237" s="544"/>
      <c r="F237" s="544"/>
      <c r="G237" s="544">
        <v>800000</v>
      </c>
      <c r="H237" s="544"/>
      <c r="I237" s="544"/>
    </row>
    <row r="238" spans="1:9" s="273" customFormat="1">
      <c r="A238" s="527" t="s">
        <v>477</v>
      </c>
      <c r="B238" s="451"/>
      <c r="C238" s="483"/>
      <c r="D238" s="484"/>
      <c r="E238" s="484"/>
      <c r="F238" s="484"/>
      <c r="G238" s="484">
        <v>1500000</v>
      </c>
      <c r="H238" s="484"/>
      <c r="I238" s="484"/>
    </row>
    <row r="239" spans="1:9" s="273" customFormat="1">
      <c r="A239" s="603" t="s">
        <v>478</v>
      </c>
      <c r="B239" s="446"/>
      <c r="C239" s="529"/>
      <c r="D239" s="530"/>
      <c r="E239" s="530"/>
      <c r="F239" s="530"/>
      <c r="G239" s="530">
        <v>900000</v>
      </c>
      <c r="H239" s="530"/>
      <c r="I239" s="530"/>
    </row>
    <row r="240" spans="1:9" s="273" customFormat="1">
      <c r="A240" s="527" t="s">
        <v>479</v>
      </c>
      <c r="B240" s="451"/>
      <c r="C240" s="483"/>
      <c r="D240" s="484"/>
      <c r="E240" s="484"/>
      <c r="F240" s="484"/>
      <c r="G240" s="484">
        <v>2500000</v>
      </c>
      <c r="H240" s="484"/>
      <c r="I240" s="484"/>
    </row>
    <row r="241" spans="1:10" s="273" customFormat="1" ht="22.5">
      <c r="A241" s="528" t="s">
        <v>480</v>
      </c>
      <c r="B241" s="420" t="s">
        <v>330</v>
      </c>
      <c r="C241" s="529">
        <v>11250000</v>
      </c>
      <c r="D241" s="530"/>
      <c r="E241" s="530"/>
      <c r="F241" s="530"/>
      <c r="G241" s="530">
        <v>250000</v>
      </c>
      <c r="H241" s="530"/>
      <c r="I241" s="530"/>
    </row>
    <row r="242" spans="1:10" s="273" customFormat="1">
      <c r="A242" s="527" t="s">
        <v>481</v>
      </c>
      <c r="B242" s="451"/>
      <c r="C242" s="483"/>
      <c r="D242" s="484"/>
      <c r="E242" s="484"/>
      <c r="F242" s="484"/>
      <c r="G242" s="484"/>
      <c r="H242" s="484"/>
      <c r="I242" s="484"/>
      <c r="J242" s="515" t="s">
        <v>482</v>
      </c>
    </row>
    <row r="243" spans="1:10" s="273" customFormat="1">
      <c r="A243" s="527" t="s">
        <v>483</v>
      </c>
      <c r="B243" s="451"/>
      <c r="C243" s="483"/>
      <c r="D243" s="484"/>
      <c r="E243" s="484"/>
      <c r="F243" s="484"/>
      <c r="G243" s="484"/>
      <c r="H243" s="484"/>
      <c r="I243" s="484"/>
    </row>
    <row r="244" spans="1:10" s="273" customFormat="1">
      <c r="A244" s="594" t="s">
        <v>484</v>
      </c>
      <c r="B244" s="595"/>
      <c r="C244" s="543"/>
      <c r="D244" s="544"/>
      <c r="E244" s="544"/>
      <c r="F244" s="544"/>
      <c r="G244" s="544"/>
      <c r="H244" s="544"/>
      <c r="I244" s="544"/>
    </row>
    <row r="245" spans="1:10" s="273" customFormat="1">
      <c r="A245" s="527" t="s">
        <v>485</v>
      </c>
      <c r="B245" s="451"/>
      <c r="C245" s="483"/>
      <c r="D245" s="484"/>
      <c r="E245" s="484"/>
      <c r="F245" s="484"/>
      <c r="G245" s="484"/>
      <c r="H245" s="484"/>
      <c r="I245" s="484"/>
    </row>
    <row r="246" spans="1:10" s="273" customFormat="1">
      <c r="A246" s="527" t="s">
        <v>486</v>
      </c>
      <c r="B246" s="604"/>
      <c r="C246" s="483"/>
      <c r="D246" s="484"/>
      <c r="E246" s="484"/>
      <c r="F246" s="484"/>
      <c r="G246" s="484"/>
      <c r="H246" s="484"/>
      <c r="I246" s="484"/>
    </row>
    <row r="247" spans="1:10" s="273" customFormat="1">
      <c r="A247" s="527" t="s">
        <v>487</v>
      </c>
      <c r="B247" s="604"/>
      <c r="C247" s="483"/>
      <c r="D247" s="484"/>
      <c r="E247" s="484"/>
      <c r="F247" s="484"/>
      <c r="G247" s="484"/>
      <c r="H247" s="484"/>
      <c r="I247" s="484"/>
    </row>
    <row r="248" spans="1:10" s="273" customFormat="1">
      <c r="A248" s="594" t="s">
        <v>488</v>
      </c>
      <c r="B248" s="595"/>
      <c r="C248" s="543"/>
      <c r="D248" s="544"/>
      <c r="E248" s="544"/>
      <c r="F248" s="544"/>
      <c r="G248" s="544"/>
      <c r="H248" s="544"/>
      <c r="I248" s="544"/>
    </row>
    <row r="249" spans="1:10" s="273" customFormat="1" ht="22.5">
      <c r="A249" s="594" t="s">
        <v>489</v>
      </c>
      <c r="B249" s="595"/>
      <c r="C249" s="543"/>
      <c r="D249" s="544"/>
      <c r="E249" s="544"/>
      <c r="F249" s="544"/>
      <c r="G249" s="544"/>
      <c r="H249" s="544"/>
      <c r="I249" s="544"/>
    </row>
    <row r="250" spans="1:10" s="273" customFormat="1">
      <c r="A250" s="594" t="s">
        <v>490</v>
      </c>
      <c r="B250" s="595"/>
      <c r="C250" s="543"/>
      <c r="D250" s="544"/>
      <c r="E250" s="544"/>
      <c r="F250" s="544"/>
      <c r="G250" s="544"/>
      <c r="H250" s="544"/>
      <c r="I250" s="544"/>
    </row>
    <row r="251" spans="1:10" s="273" customFormat="1" ht="22.5">
      <c r="A251" s="527" t="s">
        <v>491</v>
      </c>
      <c r="B251" s="451"/>
      <c r="C251" s="483"/>
      <c r="D251" s="484"/>
      <c r="E251" s="484"/>
      <c r="F251" s="484"/>
      <c r="G251" s="484"/>
      <c r="H251" s="484"/>
      <c r="I251" s="484"/>
    </row>
    <row r="252" spans="1:10" s="273" customFormat="1">
      <c r="A252" s="527" t="s">
        <v>492</v>
      </c>
      <c r="B252" s="451"/>
      <c r="C252" s="483"/>
      <c r="D252" s="484"/>
      <c r="E252" s="484"/>
      <c r="F252" s="484"/>
      <c r="G252" s="484"/>
      <c r="H252" s="484"/>
      <c r="I252" s="484"/>
    </row>
    <row r="253" spans="1:10" s="273" customFormat="1">
      <c r="A253" s="527" t="s">
        <v>493</v>
      </c>
      <c r="B253" s="451"/>
      <c r="C253" s="483"/>
      <c r="D253" s="484"/>
      <c r="E253" s="484"/>
      <c r="F253" s="484"/>
      <c r="G253" s="484"/>
      <c r="H253" s="484"/>
      <c r="I253" s="484"/>
    </row>
    <row r="254" spans="1:10" s="273" customFormat="1" ht="22.5">
      <c r="A254" s="527" t="s">
        <v>494</v>
      </c>
      <c r="B254" s="451"/>
      <c r="C254" s="483"/>
      <c r="D254" s="484"/>
      <c r="E254" s="484"/>
      <c r="F254" s="484"/>
      <c r="G254" s="484"/>
      <c r="H254" s="484"/>
      <c r="I254" s="484"/>
    </row>
    <row r="255" spans="1:10" s="273" customFormat="1">
      <c r="A255" s="527" t="s">
        <v>495</v>
      </c>
      <c r="B255" s="451"/>
      <c r="C255" s="483"/>
      <c r="D255" s="484"/>
      <c r="E255" s="484"/>
      <c r="F255" s="484"/>
      <c r="G255" s="484"/>
      <c r="H255" s="484"/>
      <c r="I255" s="484"/>
    </row>
    <row r="256" spans="1:10" s="273" customFormat="1">
      <c r="A256" s="594" t="s">
        <v>496</v>
      </c>
      <c r="B256" s="595" t="s">
        <v>330</v>
      </c>
      <c r="C256" s="543"/>
      <c r="D256" s="544"/>
      <c r="E256" s="544"/>
      <c r="F256" s="544"/>
      <c r="G256" s="544"/>
      <c r="H256" s="544"/>
      <c r="I256" s="544"/>
    </row>
    <row r="257" spans="1:10" s="273" customFormat="1">
      <c r="A257" s="528" t="s">
        <v>497</v>
      </c>
      <c r="B257" s="420"/>
      <c r="C257" s="529"/>
      <c r="D257" s="530"/>
      <c r="E257" s="530"/>
      <c r="F257" s="530"/>
      <c r="G257" s="530"/>
      <c r="H257" s="530"/>
      <c r="I257" s="530"/>
    </row>
    <row r="258" spans="1:10" s="273" customFormat="1">
      <c r="A258" s="605" t="s">
        <v>498</v>
      </c>
      <c r="B258" s="606"/>
      <c r="C258" s="607"/>
      <c r="D258" s="608"/>
      <c r="E258" s="608"/>
      <c r="F258" s="608"/>
      <c r="G258" s="608"/>
      <c r="H258" s="608"/>
      <c r="I258" s="608"/>
    </row>
    <row r="259" spans="1:10" s="273" customFormat="1">
      <c r="A259" s="447" t="s">
        <v>499</v>
      </c>
      <c r="B259" s="443" t="s">
        <v>330</v>
      </c>
      <c r="C259" s="444">
        <v>8000000</v>
      </c>
      <c r="D259" s="445">
        <v>1373442</v>
      </c>
      <c r="E259" s="445"/>
      <c r="F259" s="445">
        <v>206557</v>
      </c>
      <c r="G259" s="445">
        <v>2000000</v>
      </c>
      <c r="H259" s="445"/>
      <c r="I259" s="445"/>
      <c r="J259" s="515" t="s">
        <v>500</v>
      </c>
    </row>
    <row r="260" spans="1:10" s="273" customFormat="1">
      <c r="A260" s="594" t="s">
        <v>501</v>
      </c>
      <c r="B260" s="595" t="s">
        <v>330</v>
      </c>
      <c r="C260" s="543"/>
      <c r="D260" s="544"/>
      <c r="E260" s="544"/>
      <c r="F260" s="544"/>
      <c r="G260" s="544"/>
      <c r="H260" s="544"/>
      <c r="I260" s="544"/>
    </row>
    <row r="261" spans="1:10" s="273" customFormat="1">
      <c r="A261" s="527" t="s">
        <v>502</v>
      </c>
      <c r="B261" s="451"/>
      <c r="C261" s="483"/>
      <c r="D261" s="484"/>
      <c r="E261" s="484"/>
      <c r="F261" s="484"/>
      <c r="G261" s="484"/>
      <c r="H261" s="484"/>
      <c r="I261" s="484"/>
    </row>
    <row r="262" spans="1:10" s="273" customFormat="1">
      <c r="A262" s="527" t="s">
        <v>503</v>
      </c>
      <c r="B262" s="451"/>
      <c r="C262" s="483"/>
      <c r="D262" s="484"/>
      <c r="E262" s="484"/>
      <c r="F262" s="484"/>
      <c r="G262" s="484"/>
      <c r="H262" s="484"/>
      <c r="I262" s="484"/>
    </row>
    <row r="263" spans="1:10" s="273" customFormat="1" ht="33.75">
      <c r="A263" s="594" t="s">
        <v>504</v>
      </c>
      <c r="B263" s="595" t="s">
        <v>330</v>
      </c>
      <c r="C263" s="543"/>
      <c r="D263" s="544"/>
      <c r="E263" s="544"/>
      <c r="F263" s="544"/>
      <c r="G263" s="544"/>
      <c r="H263" s="544"/>
      <c r="I263" s="544"/>
    </row>
    <row r="264" spans="1:10" s="273" customFormat="1">
      <c r="A264" s="527" t="s">
        <v>505</v>
      </c>
      <c r="B264" s="451"/>
      <c r="C264" s="483"/>
      <c r="D264" s="484"/>
      <c r="E264" s="484"/>
      <c r="F264" s="484"/>
      <c r="G264" s="484"/>
      <c r="H264" s="484"/>
      <c r="I264" s="484"/>
    </row>
    <row r="265" spans="1:10" s="273" customFormat="1">
      <c r="A265" s="527" t="s">
        <v>506</v>
      </c>
      <c r="B265" s="451"/>
      <c r="C265" s="483"/>
      <c r="D265" s="484"/>
      <c r="E265" s="484"/>
      <c r="F265" s="484"/>
      <c r="G265" s="484"/>
      <c r="H265" s="484"/>
      <c r="I265" s="484"/>
    </row>
    <row r="266" spans="1:10" s="273" customFormat="1">
      <c r="A266" s="527" t="s">
        <v>507</v>
      </c>
      <c r="B266" s="451" t="s">
        <v>330</v>
      </c>
      <c r="C266" s="483"/>
      <c r="D266" s="484"/>
      <c r="E266" s="484"/>
      <c r="F266" s="484"/>
      <c r="G266" s="484"/>
      <c r="H266" s="484"/>
      <c r="I266" s="484"/>
    </row>
    <row r="267" spans="1:10" s="273" customFormat="1">
      <c r="A267" s="527" t="s">
        <v>508</v>
      </c>
      <c r="B267" s="451" t="s">
        <v>330</v>
      </c>
      <c r="C267" s="483"/>
      <c r="D267" s="484"/>
      <c r="E267" s="484"/>
      <c r="F267" s="484"/>
      <c r="G267" s="484"/>
      <c r="H267" s="484"/>
      <c r="I267" s="484"/>
    </row>
    <row r="268" spans="1:10" s="273" customFormat="1">
      <c r="A268" s="447" t="s">
        <v>509</v>
      </c>
      <c r="B268" s="443" t="s">
        <v>330</v>
      </c>
      <c r="C268" s="444">
        <v>4000000</v>
      </c>
      <c r="D268" s="445">
        <v>855538</v>
      </c>
      <c r="E268" s="445">
        <v>1090000</v>
      </c>
      <c r="F268" s="445">
        <v>344462</v>
      </c>
      <c r="G268" s="445">
        <v>1000000</v>
      </c>
      <c r="H268" s="445"/>
      <c r="I268" s="445"/>
    </row>
    <row r="269" spans="1:10" s="273" customFormat="1">
      <c r="A269" s="603" t="s">
        <v>510</v>
      </c>
      <c r="B269" s="443"/>
      <c r="C269" s="529"/>
      <c r="D269" s="530"/>
      <c r="E269" s="530"/>
      <c r="F269" s="530"/>
      <c r="G269" s="530"/>
      <c r="H269" s="530"/>
      <c r="I269" s="530"/>
    </row>
    <row r="270" spans="1:10" s="273" customFormat="1">
      <c r="A270" s="574" t="s">
        <v>511</v>
      </c>
      <c r="B270" s="443"/>
      <c r="C270" s="529"/>
      <c r="D270" s="530"/>
      <c r="E270" s="530"/>
      <c r="F270" s="530"/>
      <c r="G270" s="530"/>
      <c r="H270" s="530"/>
      <c r="I270" s="530"/>
    </row>
    <row r="271" spans="1:10" s="273" customFormat="1">
      <c r="A271" s="438" t="s">
        <v>512</v>
      </c>
      <c r="B271" s="443" t="s">
        <v>330</v>
      </c>
      <c r="C271" s="444">
        <f>SUM(C272:C276)</f>
        <v>463400</v>
      </c>
      <c r="D271" s="445">
        <v>392158</v>
      </c>
      <c r="E271" s="445">
        <v>359200</v>
      </c>
      <c r="F271" s="445">
        <f t="shared" ref="F271" si="83">SUM(F272:F276)</f>
        <v>0</v>
      </c>
      <c r="G271" s="445">
        <f>SUM(G272:G276)</f>
        <v>463400</v>
      </c>
      <c r="H271" s="445"/>
      <c r="I271" s="445">
        <f>SUM(I272:I276)</f>
        <v>0</v>
      </c>
    </row>
    <row r="272" spans="1:10" s="273" customFormat="1">
      <c r="A272" s="574" t="s">
        <v>513</v>
      </c>
      <c r="B272" s="443"/>
      <c r="C272" s="532">
        <v>85400</v>
      </c>
      <c r="D272" s="575"/>
      <c r="E272" s="575"/>
      <c r="F272" s="575"/>
      <c r="G272" s="575">
        <v>85400</v>
      </c>
      <c r="H272" s="575"/>
      <c r="I272" s="575"/>
    </row>
    <row r="273" spans="1:9" s="273" customFormat="1">
      <c r="A273" s="574" t="s">
        <v>514</v>
      </c>
      <c r="B273" s="443"/>
      <c r="C273" s="532">
        <v>129000</v>
      </c>
      <c r="D273" s="575"/>
      <c r="E273" s="575"/>
      <c r="F273" s="575"/>
      <c r="G273" s="575">
        <v>129000</v>
      </c>
      <c r="H273" s="575"/>
      <c r="I273" s="575"/>
    </row>
    <row r="274" spans="1:9" s="273" customFormat="1">
      <c r="A274" s="574" t="s">
        <v>515</v>
      </c>
      <c r="B274" s="443"/>
      <c r="C274" s="532">
        <v>64000</v>
      </c>
      <c r="D274" s="575"/>
      <c r="E274" s="575"/>
      <c r="F274" s="575"/>
      <c r="G274" s="575">
        <v>64000</v>
      </c>
      <c r="H274" s="575"/>
      <c r="I274" s="575"/>
    </row>
    <row r="275" spans="1:9" s="273" customFormat="1">
      <c r="A275" s="506" t="s">
        <v>516</v>
      </c>
      <c r="B275" s="443"/>
      <c r="C275" s="532">
        <v>120000</v>
      </c>
      <c r="D275" s="575"/>
      <c r="E275" s="575"/>
      <c r="F275" s="575"/>
      <c r="G275" s="575">
        <v>120000</v>
      </c>
      <c r="H275" s="575"/>
      <c r="I275" s="575"/>
    </row>
    <row r="276" spans="1:9" s="273" customFormat="1">
      <c r="A276" s="574" t="s">
        <v>517</v>
      </c>
      <c r="B276" s="443"/>
      <c r="C276" s="532">
        <v>65000</v>
      </c>
      <c r="D276" s="575"/>
      <c r="E276" s="575"/>
      <c r="F276" s="575"/>
      <c r="G276" s="575">
        <v>65000</v>
      </c>
      <c r="H276" s="575"/>
      <c r="I276" s="575"/>
    </row>
    <row r="277" spans="1:9" s="273" customFormat="1">
      <c r="A277" s="447" t="s">
        <v>518</v>
      </c>
      <c r="B277" s="443" t="s">
        <v>330</v>
      </c>
      <c r="C277" s="444">
        <v>200000</v>
      </c>
      <c r="D277" s="550">
        <v>33082</v>
      </c>
      <c r="E277" s="550">
        <v>200000</v>
      </c>
      <c r="F277" s="550">
        <v>116918</v>
      </c>
      <c r="G277" s="550">
        <v>100000</v>
      </c>
      <c r="H277" s="550"/>
      <c r="I277" s="550"/>
    </row>
    <row r="278" spans="1:9" s="273" customFormat="1" ht="25.5">
      <c r="A278" s="586" t="s">
        <v>519</v>
      </c>
      <c r="B278" s="609" t="s">
        <v>330</v>
      </c>
      <c r="C278" s="610">
        <v>1600000</v>
      </c>
      <c r="D278" s="587"/>
      <c r="E278" s="587"/>
      <c r="F278" s="587"/>
      <c r="G278" s="587">
        <v>400000</v>
      </c>
      <c r="H278" s="587"/>
      <c r="I278" s="587"/>
    </row>
    <row r="279" spans="1:9" s="273" customFormat="1">
      <c r="A279" s="438" t="s">
        <v>520</v>
      </c>
      <c r="B279" s="443" t="s">
        <v>330</v>
      </c>
      <c r="C279" s="444">
        <v>60000</v>
      </c>
      <c r="D279" s="445">
        <v>29800</v>
      </c>
      <c r="E279" s="445">
        <v>60000</v>
      </c>
      <c r="F279" s="445">
        <v>394211</v>
      </c>
      <c r="G279" s="445">
        <v>40000</v>
      </c>
      <c r="H279" s="445"/>
      <c r="I279" s="445"/>
    </row>
    <row r="280" spans="1:9" s="273" customFormat="1">
      <c r="A280" s="439" t="s">
        <v>152</v>
      </c>
      <c r="B280" s="463" t="s">
        <v>59</v>
      </c>
      <c r="C280" s="464">
        <f>SUM(C281:C281)</f>
        <v>345312</v>
      </c>
      <c r="D280" s="465">
        <f>SUM(D281:D281)</f>
        <v>75312</v>
      </c>
      <c r="E280" s="465">
        <f t="shared" ref="E280:F280" si="84">SUM(E281:E281)</f>
        <v>30000</v>
      </c>
      <c r="F280" s="465">
        <f t="shared" si="84"/>
        <v>65000</v>
      </c>
      <c r="G280" s="465">
        <f>SUM(G281:G281)</f>
        <v>60000</v>
      </c>
      <c r="H280" s="465"/>
      <c r="I280" s="465">
        <f>SUM(I281:I281)</f>
        <v>0</v>
      </c>
    </row>
    <row r="281" spans="1:9" s="273" customFormat="1">
      <c r="A281" s="438" t="s">
        <v>521</v>
      </c>
      <c r="B281" s="443" t="s">
        <v>330</v>
      </c>
      <c r="C281" s="549">
        <v>345312</v>
      </c>
      <c r="D281" s="550">
        <v>75312</v>
      </c>
      <c r="E281" s="550">
        <v>30000</v>
      </c>
      <c r="F281" s="550">
        <v>65000</v>
      </c>
      <c r="G281" s="550">
        <v>60000</v>
      </c>
      <c r="H281" s="550"/>
      <c r="I281" s="550"/>
    </row>
    <row r="282" spans="1:9" s="273" customFormat="1">
      <c r="A282" s="439" t="s">
        <v>147</v>
      </c>
      <c r="B282" s="463" t="s">
        <v>59</v>
      </c>
      <c r="C282" s="464">
        <f>C283+C284+C285</f>
        <v>1147985</v>
      </c>
      <c r="D282" s="465">
        <f t="shared" ref="D282:I282" si="85">D283+D284+D285</f>
        <v>21302</v>
      </c>
      <c r="E282" s="465">
        <f t="shared" si="85"/>
        <v>100000</v>
      </c>
      <c r="F282" s="465">
        <f t="shared" si="85"/>
        <v>267896</v>
      </c>
      <c r="G282" s="465">
        <f t="shared" si="85"/>
        <v>1175185</v>
      </c>
      <c r="H282" s="465"/>
      <c r="I282" s="465">
        <f t="shared" si="85"/>
        <v>0</v>
      </c>
    </row>
    <row r="283" spans="1:9" s="273" customFormat="1">
      <c r="A283" s="438" t="s">
        <v>522</v>
      </c>
      <c r="B283" s="443" t="s">
        <v>330</v>
      </c>
      <c r="C283" s="549">
        <v>25000</v>
      </c>
      <c r="D283" s="550">
        <v>21302</v>
      </c>
      <c r="E283" s="550">
        <v>100000</v>
      </c>
      <c r="F283" s="550">
        <v>267896</v>
      </c>
      <c r="G283" s="550">
        <v>100000</v>
      </c>
      <c r="H283" s="550"/>
      <c r="I283" s="550"/>
    </row>
    <row r="284" spans="1:9" s="273" customFormat="1" ht="25.5">
      <c r="A284" s="438" t="s">
        <v>523</v>
      </c>
      <c r="B284" s="443" t="s">
        <v>330</v>
      </c>
      <c r="C284" s="549">
        <v>586400</v>
      </c>
      <c r="D284" s="445"/>
      <c r="E284" s="445"/>
      <c r="F284" s="445"/>
      <c r="G284" s="445">
        <v>538600</v>
      </c>
      <c r="H284" s="445"/>
      <c r="I284" s="445"/>
    </row>
    <row r="285" spans="1:9" s="273" customFormat="1" ht="15" customHeight="1">
      <c r="A285" s="611" t="s">
        <v>524</v>
      </c>
      <c r="B285" s="443" t="s">
        <v>330</v>
      </c>
      <c r="C285" s="444">
        <f>C286+C287</f>
        <v>536585</v>
      </c>
      <c r="D285" s="445">
        <f t="shared" ref="D285:I285" si="86">D286+D287</f>
        <v>0</v>
      </c>
      <c r="E285" s="445">
        <f t="shared" si="86"/>
        <v>0</v>
      </c>
      <c r="F285" s="445">
        <f t="shared" si="86"/>
        <v>0</v>
      </c>
      <c r="G285" s="445">
        <f t="shared" si="86"/>
        <v>536585</v>
      </c>
      <c r="H285" s="445"/>
      <c r="I285" s="445">
        <f t="shared" si="86"/>
        <v>0</v>
      </c>
    </row>
    <row r="286" spans="1:9" s="273" customFormat="1">
      <c r="A286" s="566" t="s">
        <v>525</v>
      </c>
      <c r="B286" s="443"/>
      <c r="C286" s="612">
        <v>459675</v>
      </c>
      <c r="D286" s="613"/>
      <c r="E286" s="613"/>
      <c r="F286" s="613"/>
      <c r="G286" s="613">
        <v>459675</v>
      </c>
      <c r="H286" s="613"/>
      <c r="I286" s="613"/>
    </row>
    <row r="287" spans="1:9" s="273" customFormat="1">
      <c r="A287" s="566" t="s">
        <v>526</v>
      </c>
      <c r="B287" s="443"/>
      <c r="C287" s="612">
        <v>76910</v>
      </c>
      <c r="D287" s="613"/>
      <c r="E287" s="613"/>
      <c r="F287" s="613"/>
      <c r="G287" s="613">
        <v>76910</v>
      </c>
      <c r="H287" s="613"/>
      <c r="I287" s="613"/>
    </row>
    <row r="288" spans="1:9" s="273" customFormat="1">
      <c r="A288" s="428" t="s">
        <v>527</v>
      </c>
      <c r="B288" s="429"/>
      <c r="C288" s="614"/>
      <c r="D288" s="615">
        <f>D289+D293+D295+D291</f>
        <v>304304</v>
      </c>
      <c r="E288" s="615">
        <f t="shared" ref="E288:F288" si="87">E289+E293+E295+E291</f>
        <v>3770000</v>
      </c>
      <c r="F288" s="615">
        <f t="shared" si="87"/>
        <v>2145696</v>
      </c>
      <c r="G288" s="615">
        <f>G289+G293+G295+G291</f>
        <v>7443200</v>
      </c>
      <c r="H288" s="615"/>
      <c r="I288" s="615">
        <f>I289+I293+I295+I291</f>
        <v>0</v>
      </c>
    </row>
    <row r="289" spans="1:9" s="273" customFormat="1">
      <c r="A289" s="439" t="s">
        <v>118</v>
      </c>
      <c r="B289" s="440"/>
      <c r="C289" s="441"/>
      <c r="D289" s="442">
        <f>SUM(D290:D290)</f>
        <v>72160</v>
      </c>
      <c r="E289" s="442">
        <f t="shared" ref="E289:F289" si="88">SUM(E290:E290)</f>
        <v>770000</v>
      </c>
      <c r="F289" s="442">
        <f t="shared" si="88"/>
        <v>527840</v>
      </c>
      <c r="G289" s="442">
        <f>SUM(G290:G290)</f>
        <v>500000</v>
      </c>
      <c r="H289" s="442"/>
      <c r="I289" s="442">
        <f>SUM(I290:I290)</f>
        <v>0</v>
      </c>
    </row>
    <row r="290" spans="1:9" s="273" customFormat="1">
      <c r="A290" s="447" t="s">
        <v>528</v>
      </c>
      <c r="B290" s="443"/>
      <c r="C290" s="444"/>
      <c r="D290" s="445">
        <v>72160</v>
      </c>
      <c r="E290" s="445">
        <v>770000</v>
      </c>
      <c r="F290" s="445">
        <v>527840</v>
      </c>
      <c r="G290" s="445">
        <v>500000</v>
      </c>
      <c r="H290" s="445"/>
      <c r="I290" s="445"/>
    </row>
    <row r="291" spans="1:9" s="273" customFormat="1">
      <c r="A291" s="439" t="s">
        <v>148</v>
      </c>
      <c r="B291" s="440"/>
      <c r="C291" s="441"/>
      <c r="D291" s="442">
        <f>D292</f>
        <v>0</v>
      </c>
      <c r="E291" s="442">
        <f t="shared" ref="E291:F291" si="89">E292</f>
        <v>0</v>
      </c>
      <c r="F291" s="442">
        <f t="shared" si="89"/>
        <v>0</v>
      </c>
      <c r="G291" s="442">
        <f>G292</f>
        <v>2000000</v>
      </c>
      <c r="H291" s="442"/>
      <c r="I291" s="442">
        <f>I292</f>
        <v>0</v>
      </c>
    </row>
    <row r="292" spans="1:9" s="273" customFormat="1">
      <c r="A292" s="447" t="s">
        <v>529</v>
      </c>
      <c r="B292" s="443"/>
      <c r="C292" s="444"/>
      <c r="D292" s="445"/>
      <c r="E292" s="445"/>
      <c r="F292" s="445"/>
      <c r="G292" s="445">
        <v>2000000</v>
      </c>
      <c r="H292" s="445"/>
      <c r="I292" s="445"/>
    </row>
    <row r="293" spans="1:9" s="273" customFormat="1">
      <c r="A293" s="439" t="s">
        <v>149</v>
      </c>
      <c r="B293" s="440"/>
      <c r="C293" s="441"/>
      <c r="D293" s="442">
        <f>D294</f>
        <v>232144</v>
      </c>
      <c r="E293" s="442">
        <f t="shared" ref="E293:F293" si="90">E294</f>
        <v>3000000</v>
      </c>
      <c r="F293" s="442">
        <f t="shared" si="90"/>
        <v>17856</v>
      </c>
      <c r="G293" s="442">
        <f>G294</f>
        <v>2500000</v>
      </c>
      <c r="H293" s="442"/>
      <c r="I293" s="442">
        <f>I294</f>
        <v>0</v>
      </c>
    </row>
    <row r="294" spans="1:9" s="273" customFormat="1">
      <c r="A294" s="447" t="s">
        <v>530</v>
      </c>
      <c r="B294" s="443"/>
      <c r="C294" s="444"/>
      <c r="D294" s="445">
        <v>232144</v>
      </c>
      <c r="E294" s="445">
        <v>3000000</v>
      </c>
      <c r="F294" s="445">
        <v>17856</v>
      </c>
      <c r="G294" s="445">
        <v>2500000</v>
      </c>
      <c r="H294" s="445"/>
      <c r="I294" s="445"/>
    </row>
    <row r="295" spans="1:9" s="273" customFormat="1">
      <c r="A295" s="616" t="s">
        <v>119</v>
      </c>
      <c r="B295" s="617"/>
      <c r="C295" s="441"/>
      <c r="D295" s="442">
        <f>SUM(D296:D296)</f>
        <v>0</v>
      </c>
      <c r="E295" s="442">
        <f t="shared" ref="E295:F295" si="91">SUM(E296:E296)</f>
        <v>0</v>
      </c>
      <c r="F295" s="442">
        <f t="shared" si="91"/>
        <v>1600000</v>
      </c>
      <c r="G295" s="442">
        <f>SUM(G296:G296)</f>
        <v>2443200</v>
      </c>
      <c r="H295" s="442"/>
      <c r="I295" s="442">
        <f>SUM(I296:I296)</f>
        <v>0</v>
      </c>
    </row>
    <row r="296" spans="1:9" s="273" customFormat="1">
      <c r="A296" s="618" t="s">
        <v>531</v>
      </c>
      <c r="B296" s="443"/>
      <c r="C296" s="444"/>
      <c r="D296" s="445"/>
      <c r="E296" s="445"/>
      <c r="F296" s="445">
        <v>1600000</v>
      </c>
      <c r="G296" s="445">
        <v>2443200</v>
      </c>
      <c r="H296" s="445"/>
      <c r="I296" s="445"/>
    </row>
    <row r="297" spans="1:9" s="273" customFormat="1" ht="25.5">
      <c r="A297" s="619" t="s">
        <v>532</v>
      </c>
      <c r="B297" s="416" t="s">
        <v>59</v>
      </c>
      <c r="C297" s="417"/>
      <c r="D297" s="418">
        <f>D298+D299+D300+D301+D302</f>
        <v>31270669.43</v>
      </c>
      <c r="E297" s="418">
        <f t="shared" ref="E297:F297" si="92">E298+E299+E300+E301+E302</f>
        <v>66053180</v>
      </c>
      <c r="F297" s="418">
        <f t="shared" si="92"/>
        <v>14546261</v>
      </c>
      <c r="G297" s="418">
        <f>G298+G299+G300+G301+G302</f>
        <v>118337077.75</v>
      </c>
      <c r="H297" s="418"/>
      <c r="I297" s="418">
        <f>I298+I299+I300+I301+I302</f>
        <v>1722600</v>
      </c>
    </row>
    <row r="298" spans="1:9" s="273" customFormat="1">
      <c r="A298" s="423" t="s">
        <v>329</v>
      </c>
      <c r="B298" s="443" t="s">
        <v>330</v>
      </c>
      <c r="C298" s="421"/>
      <c r="D298" s="422">
        <f>D6+D288</f>
        <v>27325400.43</v>
      </c>
      <c r="E298" s="422">
        <f t="shared" ref="E298:F298" si="93">E6+E288</f>
        <v>43150818</v>
      </c>
      <c r="F298" s="422">
        <f t="shared" si="93"/>
        <v>14546261</v>
      </c>
      <c r="G298" s="422">
        <f>G6+G288</f>
        <v>76814159.75</v>
      </c>
      <c r="H298" s="422"/>
      <c r="I298" s="422">
        <f>I6+I288</f>
        <v>287141</v>
      </c>
    </row>
    <row r="299" spans="1:9" s="273" customFormat="1">
      <c r="A299" s="423"/>
      <c r="B299" s="443" t="s">
        <v>333</v>
      </c>
      <c r="C299" s="421"/>
      <c r="D299" s="422">
        <f>D9</f>
        <v>3790320</v>
      </c>
      <c r="E299" s="422">
        <f t="shared" ref="E299:F299" si="94">E9</f>
        <v>3790332</v>
      </c>
      <c r="F299" s="422">
        <f t="shared" si="94"/>
        <v>0</v>
      </c>
      <c r="G299" s="422">
        <f>G9</f>
        <v>3790332</v>
      </c>
      <c r="H299" s="422"/>
      <c r="I299" s="422">
        <f>I9</f>
        <v>0</v>
      </c>
    </row>
    <row r="300" spans="1:9" s="273" customFormat="1">
      <c r="A300" s="423"/>
      <c r="B300" s="443" t="s">
        <v>332</v>
      </c>
      <c r="C300" s="421"/>
      <c r="D300" s="422">
        <f>D8</f>
        <v>139849</v>
      </c>
      <c r="E300" s="422">
        <f t="shared" ref="E300:F300" si="95">E8</f>
        <v>22680</v>
      </c>
      <c r="F300" s="422">
        <f t="shared" si="95"/>
        <v>0</v>
      </c>
      <c r="G300" s="422">
        <f>G8</f>
        <v>36000</v>
      </c>
      <c r="H300" s="422"/>
      <c r="I300" s="422">
        <f>I8</f>
        <v>0</v>
      </c>
    </row>
    <row r="301" spans="1:9" s="273" customFormat="1">
      <c r="A301" s="423"/>
      <c r="B301" s="443" t="s">
        <v>331</v>
      </c>
      <c r="C301" s="421"/>
      <c r="D301" s="422">
        <f>D7</f>
        <v>0</v>
      </c>
      <c r="E301" s="422">
        <f t="shared" ref="E301:F301" si="96">E7</f>
        <v>1211291</v>
      </c>
      <c r="F301" s="422">
        <f t="shared" si="96"/>
        <v>0</v>
      </c>
      <c r="G301" s="422">
        <f>G7</f>
        <v>1805472</v>
      </c>
      <c r="H301" s="422"/>
      <c r="I301" s="422">
        <f>I7</f>
        <v>0</v>
      </c>
    </row>
    <row r="302" spans="1:9" s="273" customFormat="1">
      <c r="A302" s="620"/>
      <c r="B302" s="443" t="s">
        <v>334</v>
      </c>
      <c r="C302" s="421"/>
      <c r="D302" s="422">
        <f>D10</f>
        <v>15100</v>
      </c>
      <c r="E302" s="422">
        <f t="shared" ref="E302:F302" si="97">E10</f>
        <v>17878059</v>
      </c>
      <c r="F302" s="422">
        <f t="shared" si="97"/>
        <v>0</v>
      </c>
      <c r="G302" s="422">
        <f>G10</f>
        <v>35891114</v>
      </c>
      <c r="H302" s="422"/>
      <c r="I302" s="422">
        <f>I10</f>
        <v>1435459</v>
      </c>
    </row>
    <row r="303" spans="1:9" s="273" customFormat="1"/>
    <row r="304" spans="1:9" s="273" customFormat="1"/>
    <row r="305" s="273" customFormat="1"/>
    <row r="306" s="273" customFormat="1"/>
    <row r="307" s="273" customFormat="1"/>
    <row r="308" s="273" customFormat="1"/>
    <row r="309" s="273" customFormat="1"/>
    <row r="310" s="273" customFormat="1"/>
    <row r="311" s="273" customFormat="1"/>
    <row r="328" ht="14.25" customHeight="1"/>
    <row r="378" ht="16.5" customHeight="1"/>
    <row r="492" ht="16.5" customHeight="1"/>
  </sheetData>
  <mergeCells count="9">
    <mergeCell ref="G3:G4"/>
    <mergeCell ref="H3:H4"/>
    <mergeCell ref="I3:I4"/>
    <mergeCell ref="A3:A4"/>
    <mergeCell ref="B3:B4"/>
    <mergeCell ref="C3:C4"/>
    <mergeCell ref="D3:D4"/>
    <mergeCell ref="E3:E4"/>
    <mergeCell ref="F3: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Sheet2</vt:lpstr>
      <vt:lpstr>Koondvorm (1)</vt:lpstr>
      <vt:lpstr>Omatulud (3)</vt:lpstr>
      <vt:lpstr>Toetused (4)</vt:lpstr>
      <vt:lpstr>Piirsumma</vt:lpstr>
      <vt:lpstr>Kulud (5)</vt:lpstr>
      <vt:lpstr>Lisanduvad kulud (5a)</vt:lpstr>
      <vt:lpstr>Vähenevad kulud (5b)</vt:lpstr>
      <vt:lpstr>Inv koond (6a)</vt:lpstr>
      <vt:lpstr>Inv infokaart (6b)</vt:lpstr>
      <vt:lpstr>Inv infokaardi lisa(6c)</vt:lpstr>
      <vt:lpstr>välisprojektid (7)</vt:lpstr>
      <vt:lpstr>'Koondvorm (1)'!Print_Titles</vt:lpstr>
      <vt:lpstr>'Lisanduvad kulud (5a)'!Print_Titles</vt:lpstr>
      <vt:lpstr>'Omatulud (3)'!Print_Titles</vt:lpstr>
      <vt:lpstr>'Vähenevad kulud (5b)'!Print_Titles</vt:lpstr>
    </vt:vector>
  </TitlesOfParts>
  <Company>Tallinna Linnakantselei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valler</dc:creator>
  <cp:lastModifiedBy>Maarja Valler</cp:lastModifiedBy>
  <cp:lastPrinted>2017-05-22T08:34:47Z</cp:lastPrinted>
  <dcterms:created xsi:type="dcterms:W3CDTF">2011-11-17T06:19:29Z</dcterms:created>
  <dcterms:modified xsi:type="dcterms:W3CDTF">2017-06-19T09:17:14Z</dcterms:modified>
</cp:coreProperties>
</file>